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ummary" sheetId="1" r:id="rId4"/>
    <sheet name="Price Calculator Sunwood® Perfe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<sst xmlns="http://schemas.openxmlformats.org/spreadsheetml/2006/main" uniqueCount="21">
  <si>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DISCOUNTED PRICE TABLES 2026</t>
  </si>
  <si>
    <t>Account Code:</t>
  </si>
  <si>
    <t>YORK03</t>
  </si>
  <si>
    <t>Product</t>
  </si>
  <si>
    <t>Discount %</t>
  </si>
  <si>
    <t>Perfect Fit Sunwood - A</t>
  </si>
  <si>
    <t>15%</t>
  </si>
  <si>
    <t>Adjust the values above to update the suggested sell price tables.</t>
  </si>
  <si>
    <t>DISCOUNTED COST</t>
  </si>
  <si>
    <t>SUGGESTED SELL PRICE</t>
  </si>
  <si>
    <t>Sunwood® Perfect Fit - Perfect Fit Sunwood - Standard Frames - PRICE RANGE A</t>
  </si>
  <si>
    <t>Ash, Auburn, Carbon, Honey, Kalm, Khol, Oregon, Polar, Pure</t>
  </si>
  <si>
    <t>WIDTH</t>
  </si>
  <si>
    <t>(mm)</t>
  </si>
  <si>
    <t>DROP</t>
  </si>
  <si>
    <t>Mark Up:</t>
  </si>
  <si>
    <t>VAT:</t>
  </si>
  <si>
    <t>Additional Charge:</t>
  </si>
  <si>
    <t>100.00%</t>
  </si>
  <si>
    <t>20%</t>
  </si>
  <si>
    <t>£ 0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</si>
</sst>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6"/>
      <color rgb="FFffffff"/>
      <name val="Calibri"/>
    </font>
    <font>
      <b val="0"/>
      <i val="0"/>
      <strike val="0"/>
      <u val="none"/>
      <sz val="14"/>
      <color rgb="FFffffff"/>
      <name val="Calibri"/>
    </font>
    <font>
      <b val="1"/>
      <i val="0"/>
      <strike val="0"/>
      <u val="none"/>
      <sz val="14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ebebe"/>
        <bgColor rgb="FFbebebe"/>
      </patternFill>
    </fill>
    <fill>
      <patternFill patternType="solid">
        <fgColor rgb="FF3C64B1"/>
        <bgColor rgb="FF3C64B1"/>
      </patternFill>
    </fill>
    <fill>
      <patternFill patternType="solid">
        <fgColor rgb="FFadc0e3"/>
        <bgColor rgb="FFadc0e3"/>
      </patternFill>
    </fill>
    <fill>
      <patternFill patternType="solid">
        <fgColor rgb="FF808080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center" textRotation="90" wrapText="true" shrinkToFit="false"/>
    </xf>
    <xf xfId="0" fontId="2" numFmtId="0" fillId="4" borderId="0" applyFont="1" applyNumberFormat="0" applyFill="1" applyBorder="0" applyAlignment="1">
      <alignment vertical="center" textRotation="90" wrapText="true" shrinkToFit="false"/>
    </xf>
    <xf xfId="0" fontId="3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0" numFmtId="0" fillId="5" borderId="0" applyFont="0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5" numFmtId="0" fillId="2" borderId="0" applyFont="1" applyNumberFormat="0" applyFill="1" applyBorder="0" applyAlignment="1">
      <alignment vertical="bottom" textRotation="0" wrapText="true" shrinkToFit="false"/>
    </xf>
    <xf xfId="0" fontId="5" numFmtId="0" fillId="6" borderId="0" applyFont="1" applyNumberFormat="0" applyFill="1" applyBorder="0" applyAlignment="1">
      <alignment vertical="bottom" textRotation="0" wrapText="true" shrinkToFit="false"/>
    </xf>
    <xf xfId="0" fontId="5" numFmtId="9" fillId="6" borderId="0" applyFont="1" applyNumberFormat="1" applyFill="1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9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B5" sqref="B5"/>
    </sheetView>
  </sheetViews>
  <sheetFormatPr defaultRowHeight="14.4" outlineLevelRow="0" outlineLevelCol="0"/>
  <cols>
    <col min="1" max="1" width="30" customWidth="true" style="0"/>
    <col min="2" max="2" width="15" customWidth="true" style="0"/>
  </cols>
  <sheetData>
    <row r="1" spans="1:2">
      <c r="A1" s="1" t="s">
        <v>0</v>
      </c>
    </row>
    <row r="2" spans="1:2">
      <c r="A2" s="2" t="s">
        <v>1</v>
      </c>
      <c r="B2" s="3" t="s">
        <v>2</v>
      </c>
    </row>
    <row r="4" spans="1:2">
      <c r="A4" s="2" t="s">
        <v>3</v>
      </c>
      <c r="B4" s="2" t="s">
        <v>4</v>
      </c>
    </row>
    <row r="5" spans="1:2">
      <c r="A5" s="3" t="s">
        <v>5</v>
      </c>
      <c r="B5" s="3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111"/>
  <sheetViews>
    <sheetView tabSelected="0" workbookViewId="0" showGridLines="true" showRowColHeaders="1">
      <selection activeCell="A1" sqref="A1:BD111"/>
    </sheetView>
  </sheetViews>
  <sheetFormatPr defaultRowHeight="14.4" outlineLevelRow="0" outlineLevelCol="0"/>
  <cols>
    <col min="2" max="2" width="4" customWidth="true" style="0"/>
    <col min="15" max="15" width="28.279" bestFit="true" customWidth="true" style="0"/>
    <col min="16" max="16" width="11.711" bestFit="true" customWidth="true" style="0"/>
    <col min="19" max="19" width="4" customWidth="true" style="0"/>
    <col min="20" max="20" width="4" customWidth="true" style="0"/>
  </cols>
  <sheetData>
    <row r="1" spans="1:5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3" t="s">
        <v>1</v>
      </c>
      <c r="P4" s="14" t="str">
        <f>Summary!$B$2</f>
        <v>0</v>
      </c>
      <c r="Q4" s="4"/>
      <c r="R4" s="4"/>
      <c r="S4" s="4"/>
      <c r="T4" s="5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3" t="s">
        <v>15</v>
      </c>
      <c r="P5" s="15" t="s">
        <v>18</v>
      </c>
      <c r="Q5" s="4"/>
      <c r="R5" s="4"/>
      <c r="S5" s="4"/>
      <c r="T5" s="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3" t="s">
        <v>16</v>
      </c>
      <c r="P6" s="15" t="s">
        <v>19</v>
      </c>
      <c r="Q6" s="4"/>
      <c r="R6" s="4"/>
      <c r="S6" s="4"/>
      <c r="T6" s="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3" t="s">
        <v>17</v>
      </c>
      <c r="P7" s="14" t="s">
        <v>20</v>
      </c>
      <c r="Q7" s="4"/>
      <c r="R7" s="4"/>
      <c r="S7" s="4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12" t="s">
        <v>7</v>
      </c>
      <c r="N8" s="12"/>
      <c r="O8" s="12"/>
      <c r="P8" s="12"/>
      <c r="Q8" s="12"/>
      <c r="R8" s="12"/>
      <c r="S8" s="16"/>
      <c r="T8" s="1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>
      <c r="A9" s="4"/>
      <c r="B9" s="5"/>
      <c r="C9" s="7" t="s">
        <v>8</v>
      </c>
      <c r="D9" s="7"/>
      <c r="E9" s="7"/>
      <c r="F9" s="7"/>
      <c r="G9" s="7"/>
      <c r="H9" s="7"/>
      <c r="I9" s="7"/>
      <c r="J9" s="7"/>
      <c r="K9" s="7"/>
      <c r="L9" s="7"/>
      <c r="M9" s="4"/>
      <c r="N9" s="4"/>
      <c r="O9" s="4"/>
      <c r="P9" s="4"/>
      <c r="Q9" s="4"/>
      <c r="R9" s="4"/>
      <c r="S9" s="5"/>
      <c r="T9" s="5"/>
      <c r="U9" s="7" t="s">
        <v>9</v>
      </c>
      <c r="V9" s="7"/>
      <c r="W9" s="7"/>
      <c r="X9" s="7"/>
      <c r="Y9" s="7"/>
      <c r="Z9" s="7"/>
      <c r="AA9" s="7"/>
      <c r="AB9" s="7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1:56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>
      <c r="A11" s="4"/>
      <c r="B11" s="5"/>
      <c r="C11" s="8" t="s">
        <v>10</v>
      </c>
      <c r="D11" s="11"/>
      <c r="E11" s="11"/>
      <c r="F11" s="11"/>
      <c r="G11" s="11"/>
      <c r="H11" s="11"/>
      <c r="I11" s="11"/>
      <c r="J11" s="11"/>
      <c r="K11" s="11"/>
      <c r="L11" s="11"/>
      <c r="M11" s="4"/>
      <c r="N11" s="4"/>
      <c r="O11" s="4"/>
      <c r="P11" s="4"/>
      <c r="Q11" s="4"/>
      <c r="R11" s="4"/>
      <c r="S11" s="5"/>
      <c r="T11" s="5"/>
      <c r="U11" s="8" t="s">
        <v>10</v>
      </c>
      <c r="V11" s="11"/>
      <c r="W11" s="11"/>
      <c r="X11" s="11"/>
      <c r="Y11" s="11"/>
      <c r="Z11" s="11"/>
      <c r="AA11" s="11"/>
      <c r="AB11" s="11"/>
      <c r="AC11" s="11"/>
      <c r="AD11" s="11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>
      <c r="A12" s="4"/>
      <c r="B12" s="5"/>
      <c r="C12" s="8" t="s">
        <v>11</v>
      </c>
      <c r="D12" s="11"/>
      <c r="E12" s="11"/>
      <c r="F12" s="11"/>
      <c r="G12" s="11"/>
      <c r="H12" s="11"/>
      <c r="I12" s="11"/>
      <c r="J12" s="11"/>
      <c r="K12" s="11"/>
      <c r="L12" s="11"/>
      <c r="M12" s="4"/>
      <c r="N12" s="4"/>
      <c r="O12" s="4"/>
      <c r="P12" s="4"/>
      <c r="Q12" s="4"/>
      <c r="R12" s="4"/>
      <c r="S12" s="5"/>
      <c r="T12" s="5"/>
      <c r="U12" s="8" t="s">
        <v>11</v>
      </c>
      <c r="V12" s="11"/>
      <c r="W12" s="11"/>
      <c r="X12" s="11"/>
      <c r="Y12" s="11"/>
      <c r="Z12" s="11"/>
      <c r="AA12" s="11"/>
      <c r="AB12" s="11"/>
      <c r="AC12" s="11"/>
      <c r="AD12" s="11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1:56">
      <c r="A13" s="4"/>
      <c r="B13" s="5"/>
      <c r="C13" s="9" t="s">
        <v>12</v>
      </c>
      <c r="D13" s="9"/>
      <c r="E13" s="9"/>
      <c r="F13" s="9"/>
      <c r="G13" s="9"/>
      <c r="H13" s="9"/>
      <c r="I13" s="9"/>
      <c r="J13" s="9"/>
      <c r="K13" s="9"/>
      <c r="L13" s="9"/>
      <c r="M13" s="4"/>
      <c r="N13" s="4"/>
      <c r="O13" s="4"/>
      <c r="P13" s="4"/>
      <c r="Q13" s="4"/>
      <c r="R13" s="4"/>
      <c r="S13" s="5"/>
      <c r="T13" s="5"/>
      <c r="U13" s="9" t="s">
        <v>12</v>
      </c>
      <c r="V13" s="9"/>
      <c r="W13" s="9"/>
      <c r="X13" s="9"/>
      <c r="Y13" s="9"/>
      <c r="Z13" s="9"/>
      <c r="AA13" s="9"/>
      <c r="AB13" s="9"/>
      <c r="AC13" s="9"/>
      <c r="AD13" s="9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>
      <c r="A14" s="4"/>
      <c r="B14" s="6"/>
      <c r="C14" s="10" t="s">
        <v>13</v>
      </c>
      <c r="D14" s="10">
        <v>300</v>
      </c>
      <c r="E14" s="10">
        <v>400</v>
      </c>
      <c r="F14" s="10">
        <v>500</v>
      </c>
      <c r="G14" s="10">
        <v>600</v>
      </c>
      <c r="H14" s="10">
        <v>700</v>
      </c>
      <c r="I14" s="10">
        <v>800</v>
      </c>
      <c r="J14" s="10">
        <v>900</v>
      </c>
      <c r="K14" s="10">
        <v>1050</v>
      </c>
      <c r="L14" s="10">
        <v>1200</v>
      </c>
      <c r="M14" s="4"/>
      <c r="N14" s="4"/>
      <c r="O14" s="4"/>
      <c r="P14" s="4"/>
      <c r="Q14" s="4"/>
      <c r="R14" s="4"/>
      <c r="S14" s="5"/>
      <c r="T14" s="6"/>
      <c r="U14" s="10" t="s">
        <v>13</v>
      </c>
      <c r="V14" s="10">
        <v>300</v>
      </c>
      <c r="W14" s="10">
        <v>400</v>
      </c>
      <c r="X14" s="10">
        <v>500</v>
      </c>
      <c r="Y14" s="10">
        <v>600</v>
      </c>
      <c r="Z14" s="10">
        <v>700</v>
      </c>
      <c r="AA14" s="10">
        <v>800</v>
      </c>
      <c r="AB14" s="10">
        <v>900</v>
      </c>
      <c r="AC14" s="10">
        <v>1050</v>
      </c>
      <c r="AD14" s="10">
        <v>1200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56">
      <c r="A15" s="4"/>
      <c r="B15" s="6" t="s">
        <v>14</v>
      </c>
      <c r="C15" s="10">
        <v>610</v>
      </c>
      <c r="D15" s="4">
        <v>59.09</v>
      </c>
      <c r="E15" s="4">
        <v>62.34</v>
      </c>
      <c r="F15" s="4">
        <v>63.97</v>
      </c>
      <c r="G15" s="4">
        <v>69.33</v>
      </c>
      <c r="H15" s="4">
        <v>73.04</v>
      </c>
      <c r="I15" s="4">
        <v>74.67</v>
      </c>
      <c r="J15" s="4">
        <v>77.24</v>
      </c>
      <c r="K15" s="4">
        <v>81.89</v>
      </c>
      <c r="L15" s="4">
        <v>86.54</v>
      </c>
      <c r="M15" s="4"/>
      <c r="N15" s="4"/>
      <c r="O15" s="4"/>
      <c r="P15" s="4"/>
      <c r="Q15" s="4"/>
      <c r="R15" s="4"/>
      <c r="S15" s="5"/>
      <c r="T15" s="6" t="s">
        <v>14</v>
      </c>
      <c r="U15" s="10">
        <v>610</v>
      </c>
      <c r="V15" s="4" t="str">
        <f>ROUND(59.09*(1+P6)*(1+P5)+P7,2)</f>
        <v>0</v>
      </c>
      <c r="W15" s="4" t="str">
        <f>ROUND(62.34*(1+P6)*(1+P5)+P7,2)</f>
        <v>0</v>
      </c>
      <c r="X15" s="4" t="str">
        <f>ROUND(63.97*(1+P6)*(1+P5)+P7,2)</f>
        <v>0</v>
      </c>
      <c r="Y15" s="4" t="str">
        <f>ROUND(69.33*(1+P6)*(1+P5)+P7,2)</f>
        <v>0</v>
      </c>
      <c r="Z15" s="4" t="str">
        <f>ROUND(73.04*(1+P6)*(1+P5)+P7,2)</f>
        <v>0</v>
      </c>
      <c r="AA15" s="4" t="str">
        <f>ROUND(74.67*(1+P6)*(1+P5)+P7,2)</f>
        <v>0</v>
      </c>
      <c r="AB15" s="4" t="str">
        <f>ROUND(77.24*(1+P6)*(1+P5)+P7,2)</f>
        <v>0</v>
      </c>
      <c r="AC15" s="4" t="str">
        <f>ROUND(81.89*(1+P6)*(1+P5)+P7,2)</f>
        <v>0</v>
      </c>
      <c r="AD15" s="4" t="str">
        <f>ROUND(86.54*(1+P6)*(1+P5)+P7,2)</f>
        <v>0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>
      <c r="A16" s="4"/>
      <c r="B16" s="6"/>
      <c r="C16" s="10">
        <v>762</v>
      </c>
      <c r="D16" s="4">
        <v>60.87</v>
      </c>
      <c r="E16" s="4">
        <v>64.22</v>
      </c>
      <c r="F16" s="4">
        <v>65.89</v>
      </c>
      <c r="G16" s="4">
        <v>71.41</v>
      </c>
      <c r="H16" s="4">
        <v>75.24</v>
      </c>
      <c r="I16" s="4">
        <v>76.93</v>
      </c>
      <c r="J16" s="4">
        <v>79.55</v>
      </c>
      <c r="K16" s="4">
        <v>84.33</v>
      </c>
      <c r="L16" s="4">
        <v>89.15</v>
      </c>
      <c r="M16" s="4"/>
      <c r="N16" s="4"/>
      <c r="O16" s="4"/>
      <c r="P16" s="4"/>
      <c r="Q16" s="4"/>
      <c r="R16" s="4"/>
      <c r="S16" s="5"/>
      <c r="T16" s="6"/>
      <c r="U16" s="10">
        <v>762</v>
      </c>
      <c r="V16" s="4" t="str">
        <f>ROUND(60.87*(1+P6)*(1+P5)+P7,2)</f>
        <v>0</v>
      </c>
      <c r="W16" s="4" t="str">
        <f>ROUND(64.22*(1+P6)*(1+P5)+P7,2)</f>
        <v>0</v>
      </c>
      <c r="X16" s="4" t="str">
        <f>ROUND(65.89*(1+P6)*(1+P5)+P7,2)</f>
        <v>0</v>
      </c>
      <c r="Y16" s="4" t="str">
        <f>ROUND(71.41*(1+P6)*(1+P5)+P7,2)</f>
        <v>0</v>
      </c>
      <c r="Z16" s="4" t="str">
        <f>ROUND(75.24*(1+P6)*(1+P5)+P7,2)</f>
        <v>0</v>
      </c>
      <c r="AA16" s="4" t="str">
        <f>ROUND(76.93*(1+P6)*(1+P5)+P7,2)</f>
        <v>0</v>
      </c>
      <c r="AB16" s="4" t="str">
        <f>ROUND(79.55*(1+P6)*(1+P5)+P7,2)</f>
        <v>0</v>
      </c>
      <c r="AC16" s="4" t="str">
        <f>ROUND(84.33*(1+P6)*(1+P5)+P7,2)</f>
        <v>0</v>
      </c>
      <c r="AD16" s="4" t="str">
        <f>ROUND(89.15*(1+P6)*(1+P5)+P7,2)</f>
        <v>0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>
      <c r="A17" s="4"/>
      <c r="B17" s="6"/>
      <c r="C17" s="10">
        <v>914</v>
      </c>
      <c r="D17" s="4">
        <v>62.08</v>
      </c>
      <c r="E17" s="4">
        <v>65.5</v>
      </c>
      <c r="F17" s="4">
        <v>67.22</v>
      </c>
      <c r="G17" s="4">
        <v>72.83</v>
      </c>
      <c r="H17" s="4">
        <v>76.73</v>
      </c>
      <c r="I17" s="4">
        <v>78.46</v>
      </c>
      <c r="J17" s="4">
        <v>81.15</v>
      </c>
      <c r="K17" s="4">
        <v>86.02</v>
      </c>
      <c r="L17" s="4">
        <v>90.93</v>
      </c>
      <c r="M17" s="4"/>
      <c r="N17" s="4"/>
      <c r="O17" s="4"/>
      <c r="P17" s="4"/>
      <c r="Q17" s="4"/>
      <c r="R17" s="4"/>
      <c r="S17" s="5"/>
      <c r="T17" s="6"/>
      <c r="U17" s="10">
        <v>914</v>
      </c>
      <c r="V17" s="4" t="str">
        <f>ROUND(62.08*(1+P6)*(1+P5)+P7,2)</f>
        <v>0</v>
      </c>
      <c r="W17" s="4" t="str">
        <f>ROUND(65.5*(1+P6)*(1+P5)+P7,2)</f>
        <v>0</v>
      </c>
      <c r="X17" s="4" t="str">
        <f>ROUND(67.22*(1+P6)*(1+P5)+P7,2)</f>
        <v>0</v>
      </c>
      <c r="Y17" s="4" t="str">
        <f>ROUND(72.83*(1+P6)*(1+P5)+P7,2)</f>
        <v>0</v>
      </c>
      <c r="Z17" s="4" t="str">
        <f>ROUND(76.73*(1+P6)*(1+P5)+P7,2)</f>
        <v>0</v>
      </c>
      <c r="AA17" s="4" t="str">
        <f>ROUND(78.46*(1+P6)*(1+P5)+P7,2)</f>
        <v>0</v>
      </c>
      <c r="AB17" s="4" t="str">
        <f>ROUND(81.15*(1+P6)*(1+P5)+P7,2)</f>
        <v>0</v>
      </c>
      <c r="AC17" s="4" t="str">
        <f>ROUND(86.02*(1+P6)*(1+P5)+P7,2)</f>
        <v>0</v>
      </c>
      <c r="AD17" s="4" t="str">
        <f>ROUND(90.93*(1+P6)*(1+P5)+P7,2)</f>
        <v>0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>
      <c r="A18" s="4"/>
      <c r="B18" s="6"/>
      <c r="C18" s="10">
        <v>1067</v>
      </c>
      <c r="D18" s="4">
        <v>63.33</v>
      </c>
      <c r="E18" s="4">
        <v>66.82</v>
      </c>
      <c r="F18" s="4">
        <v>68.55</v>
      </c>
      <c r="G18" s="4">
        <v>74.3</v>
      </c>
      <c r="H18" s="4">
        <v>78.27</v>
      </c>
      <c r="I18" s="4">
        <v>80.02</v>
      </c>
      <c r="J18" s="4">
        <v>82.76</v>
      </c>
      <c r="K18" s="4">
        <v>87.77</v>
      </c>
      <c r="L18" s="4">
        <v>92.74</v>
      </c>
      <c r="M18" s="4"/>
      <c r="N18" s="4"/>
      <c r="O18" s="4"/>
      <c r="P18" s="4"/>
      <c r="Q18" s="4"/>
      <c r="R18" s="4"/>
      <c r="S18" s="5"/>
      <c r="T18" s="6"/>
      <c r="U18" s="10">
        <v>1067</v>
      </c>
      <c r="V18" s="4" t="str">
        <f>ROUND(63.33*(1+P6)*(1+P5)+P7,2)</f>
        <v>0</v>
      </c>
      <c r="W18" s="4" t="str">
        <f>ROUND(66.82*(1+P6)*(1+P5)+P7,2)</f>
        <v>0</v>
      </c>
      <c r="X18" s="4" t="str">
        <f>ROUND(68.55*(1+P6)*(1+P5)+P7,2)</f>
        <v>0</v>
      </c>
      <c r="Y18" s="4" t="str">
        <f>ROUND(74.3*(1+P6)*(1+P5)+P7,2)</f>
        <v>0</v>
      </c>
      <c r="Z18" s="4" t="str">
        <f>ROUND(78.27*(1+P6)*(1+P5)+P7,2)</f>
        <v>0</v>
      </c>
      <c r="AA18" s="4" t="str">
        <f>ROUND(80.02*(1+P6)*(1+P5)+P7,2)</f>
        <v>0</v>
      </c>
      <c r="AB18" s="4" t="str">
        <f>ROUND(82.76*(1+P6)*(1+P5)+P7,2)</f>
        <v>0</v>
      </c>
      <c r="AC18" s="4" t="str">
        <f>ROUND(87.77*(1+P6)*(1+P5)+P7,2)</f>
        <v>0</v>
      </c>
      <c r="AD18" s="4" t="str">
        <f>ROUND(92.74*(1+P6)*(1+P5)+P7,2)</f>
        <v>0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>
      <c r="A19" s="4"/>
      <c r="B19" s="6"/>
      <c r="C19" s="10">
        <v>1219</v>
      </c>
      <c r="D19" s="4">
        <v>65.23</v>
      </c>
      <c r="E19" s="4">
        <v>69.27</v>
      </c>
      <c r="F19" s="4">
        <v>73.55</v>
      </c>
      <c r="G19" s="4">
        <v>77.84</v>
      </c>
      <c r="H19" s="4">
        <v>79.24</v>
      </c>
      <c r="I19" s="4">
        <v>82.43</v>
      </c>
      <c r="J19" s="4">
        <v>95.18</v>
      </c>
      <c r="K19" s="4">
        <v>101.11</v>
      </c>
      <c r="L19" s="4">
        <v>107.27</v>
      </c>
      <c r="M19" s="4"/>
      <c r="N19" s="4"/>
      <c r="O19" s="4"/>
      <c r="P19" s="4"/>
      <c r="Q19" s="4"/>
      <c r="R19" s="4"/>
      <c r="S19" s="5"/>
      <c r="T19" s="6"/>
      <c r="U19" s="10">
        <v>1219</v>
      </c>
      <c r="V19" s="4" t="str">
        <f>ROUND(65.23*(1+P6)*(1+P5)+P7,2)</f>
        <v>0</v>
      </c>
      <c r="W19" s="4" t="str">
        <f>ROUND(69.27*(1+P6)*(1+P5)+P7,2)</f>
        <v>0</v>
      </c>
      <c r="X19" s="4" t="str">
        <f>ROUND(73.55*(1+P6)*(1+P5)+P7,2)</f>
        <v>0</v>
      </c>
      <c r="Y19" s="4" t="str">
        <f>ROUND(77.84*(1+P6)*(1+P5)+P7,2)</f>
        <v>0</v>
      </c>
      <c r="Z19" s="4" t="str">
        <f>ROUND(79.24*(1+P6)*(1+P5)+P7,2)</f>
        <v>0</v>
      </c>
      <c r="AA19" s="4" t="str">
        <f>ROUND(82.43*(1+P6)*(1+P5)+P7,2)</f>
        <v>0</v>
      </c>
      <c r="AB19" s="4" t="str">
        <f>ROUND(95.18*(1+P6)*(1+P5)+P7,2)</f>
        <v>0</v>
      </c>
      <c r="AC19" s="4" t="str">
        <f>ROUND(101.11*(1+P6)*(1+P5)+P7,2)</f>
        <v>0</v>
      </c>
      <c r="AD19" s="4" t="str">
        <f>ROUND(107.27*(1+P6)*(1+P5)+P7,2)</f>
        <v>0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>
      <c r="A20" s="4"/>
      <c r="B20" s="6"/>
      <c r="C20" s="10">
        <v>1372</v>
      </c>
      <c r="D20" s="4">
        <v>68.16</v>
      </c>
      <c r="E20" s="4">
        <v>72.38</v>
      </c>
      <c r="F20" s="4">
        <v>76.85</v>
      </c>
      <c r="G20" s="4">
        <v>81.35</v>
      </c>
      <c r="H20" s="4">
        <v>85.01</v>
      </c>
      <c r="I20" s="4">
        <v>88.83</v>
      </c>
      <c r="J20" s="4">
        <v>99.45</v>
      </c>
      <c r="K20" s="4">
        <v>105.66</v>
      </c>
      <c r="L20" s="4">
        <v>112.09</v>
      </c>
      <c r="M20" s="4"/>
      <c r="N20" s="4"/>
      <c r="O20" s="4"/>
      <c r="P20" s="4"/>
      <c r="Q20" s="4"/>
      <c r="R20" s="4"/>
      <c r="S20" s="5"/>
      <c r="T20" s="6"/>
      <c r="U20" s="10">
        <v>1372</v>
      </c>
      <c r="V20" s="4" t="str">
        <f>ROUND(68.16*(1+P6)*(1+P5)+P7,2)</f>
        <v>0</v>
      </c>
      <c r="W20" s="4" t="str">
        <f>ROUND(72.38*(1+P6)*(1+P5)+P7,2)</f>
        <v>0</v>
      </c>
      <c r="X20" s="4" t="str">
        <f>ROUND(76.85*(1+P6)*(1+P5)+P7,2)</f>
        <v>0</v>
      </c>
      <c r="Y20" s="4" t="str">
        <f>ROUND(81.35*(1+P6)*(1+P5)+P7,2)</f>
        <v>0</v>
      </c>
      <c r="Z20" s="4" t="str">
        <f>ROUND(85.01*(1+P6)*(1+P5)+P7,2)</f>
        <v>0</v>
      </c>
      <c r="AA20" s="4" t="str">
        <f>ROUND(88.83*(1+P6)*(1+P5)+P7,2)</f>
        <v>0</v>
      </c>
      <c r="AB20" s="4" t="str">
        <f>ROUND(99.45*(1+P6)*(1+P5)+P7,2)</f>
        <v>0</v>
      </c>
      <c r="AC20" s="4" t="str">
        <f>ROUND(105.66*(1+P6)*(1+P5)+P7,2)</f>
        <v>0</v>
      </c>
      <c r="AD20" s="4" t="str">
        <f>ROUND(112.09*(1+P6)*(1+P5)+P7,2)</f>
        <v>0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1:56">
      <c r="A21" s="4"/>
      <c r="B21" s="6"/>
      <c r="C21" s="10">
        <v>1524</v>
      </c>
      <c r="D21" s="4">
        <v>71.22</v>
      </c>
      <c r="E21" s="4">
        <v>75.63</v>
      </c>
      <c r="F21" s="4">
        <v>80.32</v>
      </c>
      <c r="G21" s="4">
        <v>85.02</v>
      </c>
      <c r="H21" s="4">
        <v>88.83</v>
      </c>
      <c r="I21" s="4">
        <v>92.83</v>
      </c>
      <c r="J21" s="4">
        <v>103.94</v>
      </c>
      <c r="K21" s="4">
        <v>110.42</v>
      </c>
      <c r="L21" s="4">
        <v>117.14</v>
      </c>
      <c r="M21" s="4"/>
      <c r="N21" s="4"/>
      <c r="O21" s="4"/>
      <c r="P21" s="4"/>
      <c r="Q21" s="4"/>
      <c r="R21" s="4"/>
      <c r="S21" s="5"/>
      <c r="T21" s="6"/>
      <c r="U21" s="10">
        <v>1524</v>
      </c>
      <c r="V21" s="4" t="str">
        <f>ROUND(71.22*(1+P6)*(1+P5)+P7,2)</f>
        <v>0</v>
      </c>
      <c r="W21" s="4" t="str">
        <f>ROUND(75.63*(1+P6)*(1+P5)+P7,2)</f>
        <v>0</v>
      </c>
      <c r="X21" s="4" t="str">
        <f>ROUND(80.32*(1+P6)*(1+P5)+P7,2)</f>
        <v>0</v>
      </c>
      <c r="Y21" s="4" t="str">
        <f>ROUND(85.02*(1+P6)*(1+P5)+P7,2)</f>
        <v>0</v>
      </c>
      <c r="Z21" s="4" t="str">
        <f>ROUND(88.83*(1+P6)*(1+P5)+P7,2)</f>
        <v>0</v>
      </c>
      <c r="AA21" s="4" t="str">
        <f>ROUND(92.83*(1+P6)*(1+P5)+P7,2)</f>
        <v>0</v>
      </c>
      <c r="AB21" s="4" t="str">
        <f>ROUND(103.94*(1+P6)*(1+P5)+P7,2)</f>
        <v>0</v>
      </c>
      <c r="AC21" s="4" t="str">
        <f>ROUND(110.42*(1+P6)*(1+P5)+P7,2)</f>
        <v>0</v>
      </c>
      <c r="AD21" s="4" t="str">
        <f>ROUND(117.14*(1+P6)*(1+P5)+P7,2)</f>
        <v>0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6">
      <c r="A22" s="4"/>
      <c r="B22" s="6"/>
      <c r="C22" s="10">
        <v>1676</v>
      </c>
      <c r="D22" s="4">
        <v>74.43</v>
      </c>
      <c r="E22" s="4">
        <v>79.02</v>
      </c>
      <c r="F22" s="4">
        <v>83.93</v>
      </c>
      <c r="G22" s="4">
        <v>88.85</v>
      </c>
      <c r="H22" s="4">
        <v>92.83</v>
      </c>
      <c r="I22" s="4">
        <v>97.02</v>
      </c>
      <c r="J22" s="4">
        <v>108.61</v>
      </c>
      <c r="K22" s="4">
        <v>115.39</v>
      </c>
      <c r="L22" s="4">
        <v>122.41</v>
      </c>
      <c r="M22" s="4"/>
      <c r="N22" s="4"/>
      <c r="O22" s="4"/>
      <c r="P22" s="4"/>
      <c r="Q22" s="4"/>
      <c r="R22" s="4"/>
      <c r="S22" s="5"/>
      <c r="T22" s="6"/>
      <c r="U22" s="10">
        <v>1676</v>
      </c>
      <c r="V22" s="4" t="str">
        <f>ROUND(74.43*(1+P6)*(1+P5)+P7,2)</f>
        <v>0</v>
      </c>
      <c r="W22" s="4" t="str">
        <f>ROUND(79.02*(1+P6)*(1+P5)+P7,2)</f>
        <v>0</v>
      </c>
      <c r="X22" s="4" t="str">
        <f>ROUND(83.93*(1+P6)*(1+P5)+P7,2)</f>
        <v>0</v>
      </c>
      <c r="Y22" s="4" t="str">
        <f>ROUND(88.85*(1+P6)*(1+P5)+P7,2)</f>
        <v>0</v>
      </c>
      <c r="Z22" s="4" t="str">
        <f>ROUND(92.83*(1+P6)*(1+P5)+P7,2)</f>
        <v>0</v>
      </c>
      <c r="AA22" s="4" t="str">
        <f>ROUND(97.02*(1+P6)*(1+P5)+P7,2)</f>
        <v>0</v>
      </c>
      <c r="AB22" s="4" t="str">
        <f>ROUND(108.61*(1+P6)*(1+P5)+P7,2)</f>
        <v>0</v>
      </c>
      <c r="AC22" s="4" t="str">
        <f>ROUND(115.39*(1+P6)*(1+P5)+P7,2)</f>
        <v>0</v>
      </c>
      <c r="AD22" s="4" t="str">
        <f>ROUND(122.41*(1+P6)*(1+P5)+P7,2)</f>
        <v>0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>
      <c r="A23" s="4"/>
      <c r="B23" s="6"/>
      <c r="C23" s="10">
        <v>1829</v>
      </c>
      <c r="D23" s="4">
        <v>77.78</v>
      </c>
      <c r="E23" s="4">
        <v>86.52</v>
      </c>
      <c r="F23" s="4">
        <v>93</v>
      </c>
      <c r="G23" s="4">
        <v>99.51</v>
      </c>
      <c r="H23" s="4">
        <v>103.97</v>
      </c>
      <c r="I23" s="4">
        <v>108.66</v>
      </c>
      <c r="J23" s="4">
        <v>112</v>
      </c>
      <c r="K23" s="4">
        <v>121.54</v>
      </c>
      <c r="L23" s="4">
        <v>130.17</v>
      </c>
      <c r="M23" s="4"/>
      <c r="N23" s="4"/>
      <c r="O23" s="4"/>
      <c r="P23" s="4"/>
      <c r="Q23" s="4"/>
      <c r="R23" s="4"/>
      <c r="S23" s="5"/>
      <c r="T23" s="6"/>
      <c r="U23" s="10">
        <v>1829</v>
      </c>
      <c r="V23" s="4" t="str">
        <f>ROUND(77.78*(1+P6)*(1+P5)+P7,2)</f>
        <v>0</v>
      </c>
      <c r="W23" s="4" t="str">
        <f>ROUND(86.52*(1+P6)*(1+P5)+P7,2)</f>
        <v>0</v>
      </c>
      <c r="X23" s="4" t="str">
        <f>ROUND(93*(1+P6)*(1+P5)+P7,2)</f>
        <v>0</v>
      </c>
      <c r="Y23" s="4" t="str">
        <f>ROUND(99.51*(1+P6)*(1+P5)+P7,2)</f>
        <v>0</v>
      </c>
      <c r="Z23" s="4" t="str">
        <f>ROUND(103.97*(1+P6)*(1+P5)+P7,2)</f>
        <v>0</v>
      </c>
      <c r="AA23" s="4" t="str">
        <f>ROUND(108.66*(1+P6)*(1+P5)+P7,2)</f>
        <v>0</v>
      </c>
      <c r="AB23" s="4" t="str">
        <f>ROUND(112*(1+P6)*(1+P5)+P7,2)</f>
        <v>0</v>
      </c>
      <c r="AC23" s="4" t="str">
        <f>ROUND(121.54*(1+P6)*(1+P5)+P7,2)</f>
        <v>0</v>
      </c>
      <c r="AD23" s="4" t="str">
        <f>ROUND(130.17*(1+P6)*(1+P5)+P7,2)</f>
        <v>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6">
      <c r="A24" s="4"/>
      <c r="B24" s="6"/>
      <c r="C24" s="10">
        <v>1981</v>
      </c>
      <c r="D24" s="4">
        <v>82.06</v>
      </c>
      <c r="E24" s="4">
        <v>92.93</v>
      </c>
      <c r="F24" s="4">
        <v>99.84</v>
      </c>
      <c r="G24" s="4">
        <v>106.74</v>
      </c>
      <c r="H24" s="4">
        <v>112.59</v>
      </c>
      <c r="I24" s="4">
        <v>118.8</v>
      </c>
      <c r="J24" s="4">
        <v>122.89</v>
      </c>
      <c r="K24" s="4">
        <v>131.36</v>
      </c>
      <c r="L24" s="4">
        <v>139.55</v>
      </c>
      <c r="M24" s="4"/>
      <c r="N24" s="4"/>
      <c r="O24" s="4"/>
      <c r="P24" s="4"/>
      <c r="Q24" s="4"/>
      <c r="R24" s="4"/>
      <c r="S24" s="5"/>
      <c r="T24" s="6"/>
      <c r="U24" s="10">
        <v>1981</v>
      </c>
      <c r="V24" s="4" t="str">
        <f>ROUND(82.06*(1+P6)*(1+P5)+P7,2)</f>
        <v>0</v>
      </c>
      <c r="W24" s="4" t="str">
        <f>ROUND(92.93*(1+P6)*(1+P5)+P7,2)</f>
        <v>0</v>
      </c>
      <c r="X24" s="4" t="str">
        <f>ROUND(99.84*(1+P6)*(1+P5)+P7,2)</f>
        <v>0</v>
      </c>
      <c r="Y24" s="4" t="str">
        <f>ROUND(106.74*(1+P6)*(1+P5)+P7,2)</f>
        <v>0</v>
      </c>
      <c r="Z24" s="4" t="str">
        <f>ROUND(112.59*(1+P6)*(1+P5)+P7,2)</f>
        <v>0</v>
      </c>
      <c r="AA24" s="4" t="str">
        <f>ROUND(118.8*(1+P6)*(1+P5)+P7,2)</f>
        <v>0</v>
      </c>
      <c r="AB24" s="4" t="str">
        <f>ROUND(122.89*(1+P6)*(1+P5)+P7,2)</f>
        <v>0</v>
      </c>
      <c r="AC24" s="4" t="str">
        <f>ROUND(131.36*(1+P6)*(1+P5)+P7,2)</f>
        <v>0</v>
      </c>
      <c r="AD24" s="4" t="str">
        <f>ROUND(139.55*(1+P6)*(1+P5)+P7,2)</f>
        <v>0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56">
      <c r="A25" s="4"/>
      <c r="B25" s="6"/>
      <c r="C25" s="10">
        <v>2134</v>
      </c>
      <c r="D25" s="4">
        <v>86.57</v>
      </c>
      <c r="E25" s="4">
        <v>99.35</v>
      </c>
      <c r="F25" s="4">
        <v>106.66</v>
      </c>
      <c r="G25" s="4">
        <v>113.95</v>
      </c>
      <c r="H25" s="4">
        <v>120.21</v>
      </c>
      <c r="I25" s="4">
        <v>126.83</v>
      </c>
      <c r="J25" s="4">
        <v>133.81</v>
      </c>
      <c r="K25" s="4">
        <v>141.17</v>
      </c>
      <c r="L25" s="4">
        <v>148.94</v>
      </c>
      <c r="M25" s="4"/>
      <c r="N25" s="4"/>
      <c r="O25" s="4"/>
      <c r="P25" s="4"/>
      <c r="Q25" s="4"/>
      <c r="R25" s="4"/>
      <c r="S25" s="5"/>
      <c r="T25" s="6"/>
      <c r="U25" s="10">
        <v>2134</v>
      </c>
      <c r="V25" s="4" t="str">
        <f>ROUND(86.57*(1+P6)*(1+P5)+P7,2)</f>
        <v>0</v>
      </c>
      <c r="W25" s="4" t="str">
        <f>ROUND(99.35*(1+P6)*(1+P5)+P7,2)</f>
        <v>0</v>
      </c>
      <c r="X25" s="4" t="str">
        <f>ROUND(106.66*(1+P6)*(1+P5)+P7,2)</f>
        <v>0</v>
      </c>
      <c r="Y25" s="4" t="str">
        <f>ROUND(113.95*(1+P6)*(1+P5)+P7,2)</f>
        <v>0</v>
      </c>
      <c r="Z25" s="4" t="str">
        <f>ROUND(120.21*(1+P6)*(1+P5)+P7,2)</f>
        <v>0</v>
      </c>
      <c r="AA25" s="4" t="str">
        <f>ROUND(126.83*(1+P6)*(1+P5)+P7,2)</f>
        <v>0</v>
      </c>
      <c r="AB25" s="4" t="str">
        <f>ROUND(133.81*(1+P6)*(1+P5)+P7,2)</f>
        <v>0</v>
      </c>
      <c r="AC25" s="4" t="str">
        <f>ROUND(141.17*(1+P6)*(1+P5)+P7,2)</f>
        <v>0</v>
      </c>
      <c r="AD25" s="4" t="str">
        <f>ROUND(148.94*(1+P6)*(1+P5)+P7,2)</f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:56">
      <c r="A26" s="4"/>
      <c r="B26" s="6"/>
      <c r="C26" s="10">
        <v>2200</v>
      </c>
      <c r="D26" s="4">
        <v>91.33</v>
      </c>
      <c r="E26" s="4">
        <v>104.38</v>
      </c>
      <c r="F26" s="4">
        <v>111.33</v>
      </c>
      <c r="G26" s="4">
        <v>118.28</v>
      </c>
      <c r="H26" s="4">
        <v>124.79</v>
      </c>
      <c r="I26" s="4">
        <v>131.64</v>
      </c>
      <c r="J26" s="4">
        <v>138.92</v>
      </c>
      <c r="K26" s="4">
        <v>146.55</v>
      </c>
      <c r="L26" s="4">
        <v>154.6</v>
      </c>
      <c r="M26" s="4"/>
      <c r="N26" s="4"/>
      <c r="O26" s="4"/>
      <c r="P26" s="4"/>
      <c r="Q26" s="4"/>
      <c r="R26" s="4"/>
      <c r="S26" s="5"/>
      <c r="T26" s="6"/>
      <c r="U26" s="10">
        <v>2200</v>
      </c>
      <c r="V26" s="4" t="str">
        <f>ROUND(91.33*(1+P6)*(1+P5)+P7,2)</f>
        <v>0</v>
      </c>
      <c r="W26" s="4" t="str">
        <f>ROUND(104.38*(1+P6)*(1+P5)+P7,2)</f>
        <v>0</v>
      </c>
      <c r="X26" s="4" t="str">
        <f>ROUND(111.33*(1+P6)*(1+P5)+P7,2)</f>
        <v>0</v>
      </c>
      <c r="Y26" s="4" t="str">
        <f>ROUND(118.28*(1+P6)*(1+P5)+P7,2)</f>
        <v>0</v>
      </c>
      <c r="Z26" s="4" t="str">
        <f>ROUND(124.79*(1+P6)*(1+P5)+P7,2)</f>
        <v>0</v>
      </c>
      <c r="AA26" s="4" t="str">
        <f>ROUND(131.64*(1+P6)*(1+P5)+P7,2)</f>
        <v>0</v>
      </c>
      <c r="AB26" s="4" t="str">
        <f>ROUND(138.92*(1+P6)*(1+P5)+P7,2)</f>
        <v>0</v>
      </c>
      <c r="AC26" s="4" t="str">
        <f>ROUND(146.55*(1+P6)*(1+P5)+P7,2)</f>
        <v>0</v>
      </c>
      <c r="AD26" s="4" t="str">
        <f>ROUND(154.6*(1+P6)*(1+P5)+P7,2)</f>
        <v>0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5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</row>
    <row r="33" spans="1:5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5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1:5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1:5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5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1:5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1:5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1:5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</row>
    <row r="43" spans="1:5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pans="1:5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1:5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1:5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5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1:5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1:5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1:5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</row>
    <row r="51" spans="1:5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</row>
    <row r="52" spans="1:5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</row>
    <row r="53" spans="1:5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1:5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1:5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</row>
    <row r="56" spans="1: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</row>
    <row r="57" spans="1:5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</row>
    <row r="58" spans="1:5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1:5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1:5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</row>
    <row r="61" spans="1:5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</row>
    <row r="62" spans="1:5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</row>
    <row r="63" spans="1:5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1:5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1:5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1:5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1:5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1:5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1:5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1:5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1:5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1:5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1:5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1:5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1:5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1:5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1:5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</sheetData>
  <mergeCells>
    <mergeCell ref="C8:L8"/>
    <mergeCell ref="M8:T8"/>
    <mergeCell ref="U8:AD8"/>
    <mergeCell ref="C9:L9"/>
    <mergeCell ref="M9:S9"/>
    <mergeCell ref="U9:AD9"/>
    <mergeCell ref="C11:L11"/>
    <mergeCell ref="M11:S11"/>
    <mergeCell ref="U11:AD11"/>
    <mergeCell ref="C12:L12"/>
    <mergeCell ref="M12:S12"/>
    <mergeCell ref="U12:AD12"/>
    <mergeCell ref="C13:L13"/>
    <mergeCell ref="M13:S13"/>
    <mergeCell ref="U13:AD13"/>
    <mergeCell ref="M14:S14"/>
    <mergeCell ref="B15:B26"/>
    <mergeCell ref="M15:S15"/>
    <mergeCell ref="T15:T26"/>
    <mergeCell ref="M16:S16"/>
    <mergeCell ref="M17:S17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Price Calculator Sunwood® Perfe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2026-02-03T13:40:33+00:00</dcterms:created>
  <dcterms:modified xsi:type="dcterms:W3CDTF">2026-02-03T13:40:33+00:00</dcterms:modified>
  <dc:title>Sunwood® Perfect Fit Price List</dc:title>
  <dc:description/>
  <dc:subject/>
  <cp:keywords/>
  <cp:category/>
</cp:coreProperties>
</file>