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svg" ContentType="image/svg+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809"/>
  <workbookPr codeName="ThisWorkbook" defaultThemeVersion="166925"/>
  <mc:AlternateContent xmlns:mc="http://schemas.openxmlformats.org/markup-compatibility/2006">
    <mc:Choice Requires="x15">
      <x15ac:absPath xmlns:x15ac="http://schemas.microsoft.com/office/spreadsheetml/2010/11/ac" url="https://perfectshutters-my.sharepoint.com/personal/jezz_perfectshutters_co_uk/Documents/Microsoft Teams Chat Files/"/>
    </mc:Choice>
  </mc:AlternateContent>
  <xr:revisionPtr revIDLastSave="0" documentId="8_{BC21B160-F2DF-4AE7-8CCF-C817A58D6E5C}" xr6:coauthVersionLast="47" xr6:coauthVersionMax="47" xr10:uidLastSave="{00000000-0000-0000-0000-000000000000}"/>
  <bookViews>
    <workbookView xWindow="-110" yWindow="-110" windowWidth="19420" windowHeight="10300" tabRatio="639" xr2:uid="{6926EE6A-0BF6-4A00-B0FC-A9A9D977EB11}"/>
  </bookViews>
  <sheets>
    <sheet name="Pricing" sheetId="2" r:id="rId1"/>
    <sheet name="Sales_Signoff" sheetId="30" state="veryHidden" r:id="rId2"/>
    <sheet name="Comparison" sheetId="31" r:id="rId3"/>
    <sheet name="OLD Pro Quote" sheetId="7" state="veryHidden" r:id="rId4"/>
    <sheet name="Pro Quote" sheetId="34" r:id="rId5"/>
    <sheet name="Confirmation" sheetId="35" r:id="rId6"/>
    <sheet name="Blind Pricing" sheetId="19" r:id="rId7"/>
    <sheet name="Survey Front" sheetId="3" state="veryHidden" r:id="rId8"/>
    <sheet name="Drawing" sheetId="4" state="veryHidden" r:id="rId9"/>
    <sheet name="Issue Report" sheetId="21" state="veryHidden" r:id="rId10"/>
    <sheet name="Install Time" sheetId="20" state="veryHidden" r:id="rId11"/>
    <sheet name="Signoff Sheet" sheetId="24" state="veryHidden" r:id="rId12"/>
    <sheet name="Delivery Note" sheetId="22" state="veryHidden" r:id="rId13"/>
    <sheet name="Matrix2" sheetId="6" state="veryHidden" r:id="rId14"/>
    <sheet name="Data" sheetId="1" state="veryHidden" r:id="rId15"/>
    <sheet name="Helper" sheetId="25" state="veryHidden" r:id="rId16"/>
    <sheet name="CS2" sheetId="8" state="veryHidden" r:id="rId17"/>
    <sheet name="Blind Survey" sheetId="23" state="veryHidden" r:id="rId18"/>
    <sheet name="Comparison (2)" sheetId="32" r:id="rId19"/>
    <sheet name="Survey_Pricing" sheetId="36" state="veryHidden" r:id="rId20"/>
    <sheet name="Job Sheet" sheetId="16" state="hidden" r:id="rId21"/>
    <sheet name="Matrix" sheetId="9" state="veryHidden" r:id="rId22"/>
    <sheet name="Antigua" sheetId="10" state="hidden" r:id="rId23"/>
    <sheet name="Bermuda" sheetId="14" state="hidden" r:id="rId24"/>
    <sheet name="Cuba" sheetId="11" state="hidden" r:id="rId25"/>
    <sheet name="Java" sheetId="12" state="hidden" r:id="rId26"/>
    <sheet name="Fiji" sheetId="13" state="hidden" r:id="rId27"/>
    <sheet name="Samoa" sheetId="15" state="veryHidden" r:id="rId28"/>
    <sheet name="Technical" sheetId="5" state="hidden" r:id="rId29"/>
    <sheet name="Hampton Spec" sheetId="27" state="hidden" r:id="rId30"/>
    <sheet name="Aruba Spec" sheetId="28" state="hidden" r:id="rId31"/>
  </sheets>
  <definedNames>
    <definedName name="AdjustableHinge" localSheetId="5">#REF!</definedName>
    <definedName name="AdjustableHinge" localSheetId="12">#REF!</definedName>
    <definedName name="AdjustableHinge" localSheetId="19">#REF!</definedName>
    <definedName name="AdjustableHinge">Data!$AO$20</definedName>
    <definedName name="Alouvre" localSheetId="22">Table2[BarbadosL]</definedName>
    <definedName name="Alouvre" localSheetId="30">Table2[BarbadosL]</definedName>
    <definedName name="Alouvre" localSheetId="23">Table2[BarbadosL]</definedName>
    <definedName name="Alouvre" localSheetId="17">Table2[BarbadosL]</definedName>
    <definedName name="Alouvre" localSheetId="18">Table2[BarbadosL]</definedName>
    <definedName name="Alouvre" localSheetId="5">#REF!</definedName>
    <definedName name="Alouvre" localSheetId="16">Table2[BarbadosL]</definedName>
    <definedName name="Alouvre" localSheetId="24">Table2[BarbadosL]</definedName>
    <definedName name="Alouvre" localSheetId="12">#REF!</definedName>
    <definedName name="Alouvre" localSheetId="8">Table2[BarbadosL]</definedName>
    <definedName name="Alouvre" localSheetId="26">Table2[BarbadosL]</definedName>
    <definedName name="Alouvre" localSheetId="25">Table2[BarbadosL]</definedName>
    <definedName name="Alouvre" localSheetId="21">Table2[BarbadosL]</definedName>
    <definedName name="Alouvre" localSheetId="13">Table2[BarbadosL]</definedName>
    <definedName name="Alouvre" localSheetId="3">Table2[BarbadosL]</definedName>
    <definedName name="Alouvre" localSheetId="0">Table2[BarbadosL]</definedName>
    <definedName name="Alouvre" localSheetId="27">Table2[BarbadosL]</definedName>
    <definedName name="Alouvre" localSheetId="11">Table2[BarbadosL]</definedName>
    <definedName name="Alouvre" localSheetId="7">Table2[BarbadosL]</definedName>
    <definedName name="Alouvre" localSheetId="19">#REF!</definedName>
    <definedName name="Alouvre" localSheetId="28">Table2[BarbadosL]</definedName>
    <definedName name="Alouvre">Table2[BarbadosL]</definedName>
    <definedName name="Antigua" localSheetId="23">Table1[Barbados]</definedName>
    <definedName name="Antigua" localSheetId="24">Table1[Barbados]</definedName>
    <definedName name="Antigua" localSheetId="26">Table1[Barbados]</definedName>
    <definedName name="Antigua" localSheetId="25">Table1[Barbados]</definedName>
    <definedName name="Antigua" localSheetId="27">Table1[Barbados]</definedName>
    <definedName name="Antigua" localSheetId="19">#REF!</definedName>
    <definedName name="Antigua">#REF!</definedName>
    <definedName name="AntiguaH" localSheetId="19">#REF!</definedName>
    <definedName name="AntiguaL" localSheetId="22">Table2[BarbadosL]</definedName>
    <definedName name="AntiguaL" localSheetId="30">Table2[BarbadosL]</definedName>
    <definedName name="AntiguaL" localSheetId="23">Table2[BarbadosL]</definedName>
    <definedName name="AntiguaL" localSheetId="17">Table2[BarbadosL]</definedName>
    <definedName name="AntiguaL" localSheetId="16">Table2[BarbadosL]</definedName>
    <definedName name="AntiguaL" localSheetId="24">Table2[BarbadosL]</definedName>
    <definedName name="AntiguaL" localSheetId="12">#REF!</definedName>
    <definedName name="AntiguaL" localSheetId="26">Table2[BarbadosL]</definedName>
    <definedName name="AntiguaL" localSheetId="25">Table2[BarbadosL]</definedName>
    <definedName name="AntiguaL" localSheetId="21">Table2[BarbadosL]</definedName>
    <definedName name="AntiguaL" localSheetId="3">Table2[BarbadosL]</definedName>
    <definedName name="AntiguaL" localSheetId="27">Table2[BarbadosL]</definedName>
    <definedName name="AntiguaL" localSheetId="11">Table2[BarbadosL]</definedName>
    <definedName name="AntiguaL" localSheetId="19">#REF!</definedName>
    <definedName name="AntiguaL" localSheetId="28">Table2[BarbadosL]</definedName>
    <definedName name="AntiguaL">#REF!</definedName>
    <definedName name="AntiguaRules" localSheetId="12">#REF!</definedName>
    <definedName name="AntiguaRules" localSheetId="19">Survey_Pricing!$AJ$8</definedName>
    <definedName name="AntSS" localSheetId="5">#REF!</definedName>
    <definedName name="AntSS" localSheetId="19">#REF!</definedName>
    <definedName name="AntSS">Data!$E$2:$E$3</definedName>
    <definedName name="Aruba" localSheetId="5">#REF!</definedName>
    <definedName name="Aruba" localSheetId="19">#REF!</definedName>
    <definedName name="Aruba">Data!$AV$67:$AV$89</definedName>
    <definedName name="ArubaConfig" localSheetId="5">#REF!</definedName>
    <definedName name="ArubaConfig" localSheetId="19">#REF!</definedName>
    <definedName name="ArubaConfig">Table25[ArubaConfig]</definedName>
    <definedName name="ArubaEH" localSheetId="18">Table23[[#This Row],[Aruba Express Hinge]]</definedName>
    <definedName name="ArubaEH" localSheetId="5">#REF!</definedName>
    <definedName name="ArubaEH" localSheetId="19">#REF!</definedName>
    <definedName name="ArubaEH">Table23[[#This Row],[Aruba Express Hinge]]</definedName>
    <definedName name="ArubaExpress" localSheetId="5">#REF!</definedName>
    <definedName name="ArubaExpress" localSheetId="19">#REF!</definedName>
    <definedName name="ArubaExpress">Data!$BD$27</definedName>
    <definedName name="ArubaExpressL" localSheetId="5">#REF!</definedName>
    <definedName name="ArubaExpressL" localSheetId="19">#REF!</definedName>
    <definedName name="ArubaExpressL">Data!$BE$27:$BE$30</definedName>
    <definedName name="ArubaExpressTilt" localSheetId="5">#REF!</definedName>
    <definedName name="ArubaExpressTilt" localSheetId="19">#REF!</definedName>
    <definedName name="ArubaExpressTilt">Data!$BF$27:$BF$30</definedName>
    <definedName name="ArubaH">Data!$AU$27:$AU$28</definedName>
    <definedName name="ArubaL">Data!$AS$27:$AS$30</definedName>
    <definedName name="ArubaTilt" localSheetId="5">#REF!</definedName>
    <definedName name="ArubaTilt" localSheetId="19">#REF!</definedName>
    <definedName name="ArubaTilt">Data!$AT$27:$AT$32</definedName>
    <definedName name="AutoClose" localSheetId="5">#REF!</definedName>
    <definedName name="AutoClose" localSheetId="12">#REF!</definedName>
    <definedName name="AutoClose" localSheetId="19">#REF!</definedName>
    <definedName name="AutoClose">Data!$AO$14</definedName>
    <definedName name="Barbados" localSheetId="5">#REF!</definedName>
    <definedName name="Barbados" localSheetId="0">Data!$E$2:$E$10</definedName>
    <definedName name="Barbados">Data!$E$2:$E$10</definedName>
    <definedName name="BarbadosH" localSheetId="0">Data!$AF$2:$AF$16</definedName>
    <definedName name="BarbadosH">Data!$AF$2:$AF$16</definedName>
    <definedName name="BarbadosL" localSheetId="18">Table2[BarbadosL]</definedName>
    <definedName name="BarbadosL" localSheetId="5">#REF!</definedName>
    <definedName name="BarbadosL" localSheetId="8">Table2[BarbadosL]</definedName>
    <definedName name="BarbadosL" localSheetId="13">Table2[BarbadosL]</definedName>
    <definedName name="BarbadosL" localSheetId="0">Table2[BarbadosL]</definedName>
    <definedName name="BarbadosL" localSheetId="7">Table2[BarbadosL]</definedName>
    <definedName name="BarbadosL">Table2[BarbadosL]</definedName>
    <definedName name="BarbadosPrice">Matrix2!$L$3:$Z$3</definedName>
    <definedName name="BarbadosRules">Pricing!$AJ$8</definedName>
    <definedName name="Belize" localSheetId="5">#REF!</definedName>
    <definedName name="Belize" localSheetId="19">#REF!</definedName>
    <definedName name="Belize">Data!$AV$27:$AV$46</definedName>
    <definedName name="BelizeH">Data!$AY$27:$AY$35</definedName>
    <definedName name="BelizeL">Data!$AW$27:$AW$30</definedName>
    <definedName name="BelizeTilt">Data!$AX$27:$AX$30</definedName>
    <definedName name="Bermuda" localSheetId="23">Table1[Bermuda]</definedName>
    <definedName name="Bermuda" localSheetId="5">#REF!</definedName>
    <definedName name="Bermuda" localSheetId="24">Table1[Bermuda]</definedName>
    <definedName name="Bermuda" localSheetId="26">Table1[Bermuda]</definedName>
    <definedName name="Bermuda" localSheetId="25">Table1[Bermuda]</definedName>
    <definedName name="Bermuda" localSheetId="0">Data!$I$2:$I$11</definedName>
    <definedName name="Bermuda" localSheetId="27">Table1[Bermuda]</definedName>
    <definedName name="Bermuda" localSheetId="19">#REF!</definedName>
    <definedName name="Bermuda">Data!$I$2:$I$11</definedName>
    <definedName name="BermudaH" localSheetId="0">Data!$AJ$2:$AJ$17</definedName>
    <definedName name="BermudaH" localSheetId="19">#REF!</definedName>
    <definedName name="BermudaH">Data!$AJ$2:$AJ$17</definedName>
    <definedName name="BermudaL" localSheetId="22">Table2[BermudaL]</definedName>
    <definedName name="BermudaL" localSheetId="30">Table2[BermudaL]</definedName>
    <definedName name="BermudaL" localSheetId="23">Table2[BermudaL]</definedName>
    <definedName name="BermudaL" localSheetId="17">Table2[BermudaL]</definedName>
    <definedName name="BermudaL" localSheetId="18">Table2[BermudaL]</definedName>
    <definedName name="BermudaL" localSheetId="5">#REF!</definedName>
    <definedName name="BermudaL" localSheetId="16">Table2[BermudaL]</definedName>
    <definedName name="BermudaL" localSheetId="24">Table2[BermudaL]</definedName>
    <definedName name="BermudaL" localSheetId="12">#REF!</definedName>
    <definedName name="BermudaL" localSheetId="8">Table2[BermudaL]</definedName>
    <definedName name="BermudaL" localSheetId="26">Table2[BermudaL]</definedName>
    <definedName name="BermudaL" localSheetId="25">Table2[BermudaL]</definedName>
    <definedName name="BermudaL" localSheetId="21">Table2[BermudaL]</definedName>
    <definedName name="BermudaL" localSheetId="13">Table2[BermudaL]</definedName>
    <definedName name="BermudaL" localSheetId="3">Table2[BermudaL]</definedName>
    <definedName name="BermudaL" localSheetId="0">Table2[BermudaL]</definedName>
    <definedName name="BermudaL" localSheetId="27">Table2[BermudaL]</definedName>
    <definedName name="BermudaL" localSheetId="11">Table2[BermudaL]</definedName>
    <definedName name="BermudaL" localSheetId="7">Table2[BermudaL]</definedName>
    <definedName name="BermudaL" localSheetId="19">#REF!</definedName>
    <definedName name="BermudaL" localSheetId="28">Table2[BermudaL]</definedName>
    <definedName name="BermudaL">Table2[BermudaL]</definedName>
    <definedName name="BermudaPrice">Matrix2!$L$4:$Z$4</definedName>
    <definedName name="BermudaRules" localSheetId="12">#REF!</definedName>
    <definedName name="BermudaRules" localSheetId="19">Survey_Pricing!$AJ$11</definedName>
    <definedName name="BermudaRules">Pricing!$AJ$11</definedName>
    <definedName name="Bolt" localSheetId="5">#REF!</definedName>
    <definedName name="Bolt" localSheetId="12">#REF!</definedName>
    <definedName name="Bolt" localSheetId="19">#REF!</definedName>
    <definedName name="Bolt">Data!$AO$19</definedName>
    <definedName name="Capri" localSheetId="5">#REF!</definedName>
    <definedName name="Capri" localSheetId="19">#REF!</definedName>
    <definedName name="Capri">Data!$AZ$67:$AZ$117</definedName>
    <definedName name="CapriH">Data!$BC$27:$BC$35</definedName>
    <definedName name="CapriL">Data!$BA$27:$BA$30</definedName>
    <definedName name="CapriTilt" localSheetId="5">#REF!</definedName>
    <definedName name="CapriTilt" localSheetId="19">#REF!</definedName>
    <definedName name="CapriTilt">Data!$BB$27:$BB$32</definedName>
    <definedName name="ConcealedHinge" localSheetId="5">#REF!</definedName>
    <definedName name="ConcealedHinge" localSheetId="12">#REF!</definedName>
    <definedName name="ConcealedHinge" localSheetId="19">#REF!</definedName>
    <definedName name="ConcealedHinge">Data!$AO$15</definedName>
    <definedName name="Config" localSheetId="22">Table14[Config]</definedName>
    <definedName name="Config" localSheetId="30">Table14[Config]</definedName>
    <definedName name="Config" localSheetId="23">Table14[Config]</definedName>
    <definedName name="Config" localSheetId="17">Table14[Config]</definedName>
    <definedName name="Config" localSheetId="18">Table14[Config]</definedName>
    <definedName name="Config" localSheetId="5">#REF!</definedName>
    <definedName name="Config" localSheetId="16">Table14[Config]</definedName>
    <definedName name="Config" localSheetId="24">Table14[Config]</definedName>
    <definedName name="Config" localSheetId="12">#REF!</definedName>
    <definedName name="Config" localSheetId="8">Table14[Config]</definedName>
    <definedName name="Config" localSheetId="26">Table14[Config]</definedName>
    <definedName name="Config" localSheetId="25">Table14[Config]</definedName>
    <definedName name="Config" localSheetId="21">Table14[Config]</definedName>
    <definedName name="Config" localSheetId="13">Table14[Config]</definedName>
    <definedName name="Config" localSheetId="3">Table14[Config]</definedName>
    <definedName name="Config" localSheetId="0">Table14[Config]</definedName>
    <definedName name="Config" localSheetId="27">Table14[Config]</definedName>
    <definedName name="Config" localSheetId="11">Table14[Config]</definedName>
    <definedName name="Config" localSheetId="7">Table14[Config]</definedName>
    <definedName name="Config" localSheetId="19">#REF!</definedName>
    <definedName name="Config" localSheetId="28">Table14[Config]</definedName>
    <definedName name="Config">Table14[Config]</definedName>
    <definedName name="Config1" localSheetId="30">Table14[Config]</definedName>
    <definedName name="Config1" localSheetId="17">Table14[Config]</definedName>
    <definedName name="Config1" localSheetId="18">Table14[Config]</definedName>
    <definedName name="Config1" localSheetId="5">#REF!</definedName>
    <definedName name="Config1" localSheetId="11">Table14[Config]</definedName>
    <definedName name="Config1" localSheetId="19">#REF!</definedName>
    <definedName name="Config1">Table14[Config]</definedName>
    <definedName name="Cuba" localSheetId="23">Table1[Cuba]</definedName>
    <definedName name="Cuba" localSheetId="5">#REF!</definedName>
    <definedName name="Cuba" localSheetId="24">Table1[Cuba]</definedName>
    <definedName name="Cuba" localSheetId="26">Table1[Cuba]</definedName>
    <definedName name="Cuba" localSheetId="25">Table1[Cuba]</definedName>
    <definedName name="Cuba" localSheetId="0">Data!$F$2:$F$25</definedName>
    <definedName name="Cuba" localSheetId="27">Table1[Cuba]</definedName>
    <definedName name="Cuba" localSheetId="19">#REF!</definedName>
    <definedName name="Cuba">Data!$F$2:$F$25</definedName>
    <definedName name="CubaH" localSheetId="0">Data!$AG$2:$AG$17</definedName>
    <definedName name="CubaH" localSheetId="19">#REF!</definedName>
    <definedName name="CubaH">Data!$AG$2:$AG$17</definedName>
    <definedName name="CubaL" localSheetId="22">Table2[CubaL]</definedName>
    <definedName name="CubaL" localSheetId="30">Table2[CubaL]</definedName>
    <definedName name="CubaL" localSheetId="23">Table2[CubaL]</definedName>
    <definedName name="CubaL" localSheetId="17">Table2[CubaL]</definedName>
    <definedName name="CubaL" localSheetId="18">Table2[CubaL]</definedName>
    <definedName name="CubaL" localSheetId="5">#REF!</definedName>
    <definedName name="CubaL" localSheetId="16">Table2[CubaL]</definedName>
    <definedName name="CubaL" localSheetId="24">Table2[CubaL]</definedName>
    <definedName name="CubaL" localSheetId="12">#REF!</definedName>
    <definedName name="CubaL" localSheetId="8">Table2[CubaL]</definedName>
    <definedName name="CubaL" localSheetId="26">Table2[CubaL]</definedName>
    <definedName name="CubaL" localSheetId="25">Table2[CubaL]</definedName>
    <definedName name="CubaL" localSheetId="21">Table2[CubaL]</definedName>
    <definedName name="CubaL" localSheetId="13">Table2[CubaL]</definedName>
    <definedName name="CubaL" localSheetId="3">Table2[CubaL]</definedName>
    <definedName name="CubaL" localSheetId="0">Table2[CubaL]</definedName>
    <definedName name="CubaL" localSheetId="27">Table2[CubaL]</definedName>
    <definedName name="CubaL" localSheetId="11">Table2[CubaL]</definedName>
    <definedName name="CubaL" localSheetId="7">Table2[CubaL]</definedName>
    <definedName name="CubaL" localSheetId="19">#REF!</definedName>
    <definedName name="CubaL" localSheetId="28">Table2[CubaL]</definedName>
    <definedName name="CubaL">Table2[CubaL]</definedName>
    <definedName name="CubaPrice">Matrix2!$L$5:$Z$5</definedName>
    <definedName name="CubaRules" localSheetId="12">#REF!</definedName>
    <definedName name="CubaRules" localSheetId="19">Survey_Pricing!$AJ$14</definedName>
    <definedName name="CubaRules">Pricing!$AJ$14</definedName>
    <definedName name="Discount" localSheetId="18">Data!$AA$10:$AA$14</definedName>
    <definedName name="Discount">Data!$AA$10:$AA$14</definedName>
    <definedName name="Discounts" localSheetId="22">Data!$AA$10:$AA$14</definedName>
    <definedName name="Discounts" localSheetId="30">Data!$AA$10:$AA$14</definedName>
    <definedName name="Discounts" localSheetId="23">Data!$AA$10:$AA$14</definedName>
    <definedName name="Discounts" localSheetId="17">Data!$AA$10:$AA$14</definedName>
    <definedName name="Discounts" localSheetId="18">Data!$AA$10:$AA$14</definedName>
    <definedName name="Discounts" localSheetId="16">Data!$AA$10:$AA$14</definedName>
    <definedName name="Discounts" localSheetId="24">Data!$AA$10:$AA$14</definedName>
    <definedName name="Discounts" localSheetId="12">#REF!</definedName>
    <definedName name="Discounts" localSheetId="8">Data!$AA$10:$AA$14</definedName>
    <definedName name="Discounts" localSheetId="26">Data!$AA$10:$AA$14</definedName>
    <definedName name="Discounts" localSheetId="25">Data!$AA$10:$AA$14</definedName>
    <definedName name="Discounts" localSheetId="21">Data!$AA$10:$AA$14</definedName>
    <definedName name="Discounts" localSheetId="13">Data!$AA$10:$AA$14</definedName>
    <definedName name="Discounts" localSheetId="3">Data!$AA$10:$AA$14</definedName>
    <definedName name="Discounts" localSheetId="0">Data!$AA$10:$AA$14</definedName>
    <definedName name="Discounts" localSheetId="27">Data!$AA$10:$AA$14</definedName>
    <definedName name="Discounts" localSheetId="11">Data!$AA$10:$AA$14</definedName>
    <definedName name="Discounts" localSheetId="7">Data!$AA$10:$AA$14</definedName>
    <definedName name="Discounts" localSheetId="19">#REF!</definedName>
    <definedName name="Discounts" localSheetId="28">Data!$AA$10:$AA$14</definedName>
    <definedName name="Discounts">Data!$AA$10:$AA$14</definedName>
    <definedName name="DiscountsFin" localSheetId="5">#REF!</definedName>
    <definedName name="DiscountsFin" localSheetId="19">#REF!</definedName>
    <definedName name="DiscountsFin">Data!$AA$10:$AA$13</definedName>
    <definedName name="Fiji" localSheetId="22">Table1[Fiji]</definedName>
    <definedName name="Fiji" localSheetId="30">Table1[Fiji]</definedName>
    <definedName name="Fiji" localSheetId="23">Table1[Fiji]</definedName>
    <definedName name="Fiji" localSheetId="17">Table1[Fiji]</definedName>
    <definedName name="Fiji" localSheetId="18">Table1[Fiji]</definedName>
    <definedName name="Fiji" localSheetId="5">#REF!</definedName>
    <definedName name="Fiji" localSheetId="16">Table1[Fiji]</definedName>
    <definedName name="Fiji" localSheetId="24">Table1[Fiji]</definedName>
    <definedName name="Fiji" localSheetId="12">#REF!</definedName>
    <definedName name="Fiji" localSheetId="8">Table1[Fiji]</definedName>
    <definedName name="Fiji" localSheetId="26">Table1[Fiji]</definedName>
    <definedName name="Fiji" localSheetId="25">Table1[Fiji]</definedName>
    <definedName name="Fiji" localSheetId="21">Table1[Fiji]</definedName>
    <definedName name="Fiji" localSheetId="13">Table1[Fiji]</definedName>
    <definedName name="Fiji" localSheetId="3">Table1[Fiji]</definedName>
    <definedName name="Fiji" localSheetId="0">Table1[Fiji]</definedName>
    <definedName name="Fiji" localSheetId="27">Table1[Fiji]</definedName>
    <definedName name="Fiji" localSheetId="11">Table1[Fiji]</definedName>
    <definedName name="Fiji" localSheetId="7">Table1[Fiji]</definedName>
    <definedName name="Fiji" localSheetId="19">#REF!</definedName>
    <definedName name="Fiji" localSheetId="28">Table1[Fiji]</definedName>
    <definedName name="Fiji">Table1[Fiji]</definedName>
    <definedName name="FijiH" localSheetId="0">Data!$AI$2:$AI$17</definedName>
    <definedName name="FijiH" localSheetId="19">#REF!</definedName>
    <definedName name="FijiH">Data!$AI$2:$AI$17</definedName>
    <definedName name="FijiL" localSheetId="22">Table2[FijiL]</definedName>
    <definedName name="FijiL" localSheetId="30">Table2[FijiL]</definedName>
    <definedName name="FijiL" localSheetId="23">Table2[FijiL]</definedName>
    <definedName name="FijiL" localSheetId="17">Table2[FijiL]</definedName>
    <definedName name="FijiL" localSheetId="18">Table2[FijiL]</definedName>
    <definedName name="FijiL" localSheetId="5">#REF!</definedName>
    <definedName name="FijiL" localSheetId="16">Table2[FijiL]</definedName>
    <definedName name="FijiL" localSheetId="24">Table2[FijiL]</definedName>
    <definedName name="FijiL" localSheetId="12">#REF!</definedName>
    <definedName name="FijiL" localSheetId="8">Table2[FijiL]</definedName>
    <definedName name="FijiL" localSheetId="26">Table2[FijiL]</definedName>
    <definedName name="FijiL" localSheetId="25">Table2[FijiL]</definedName>
    <definedName name="FijiL" localSheetId="21">Table2[FijiL]</definedName>
    <definedName name="FijiL" localSheetId="13">Table2[FijiL]</definedName>
    <definedName name="FijiL" localSheetId="3">Table2[FijiL]</definedName>
    <definedName name="FijiL" localSheetId="0">Table2[FijiL]</definedName>
    <definedName name="FijiL" localSheetId="27">Table2[FijiL]</definedName>
    <definedName name="FijiL" localSheetId="11">Table2[FijiL]</definedName>
    <definedName name="FijiL" localSheetId="7">Table2[FijiL]</definedName>
    <definedName name="FijiL" localSheetId="19">#REF!</definedName>
    <definedName name="FijiL" localSheetId="28">Table2[FijiL]</definedName>
    <definedName name="FijiL">Table2[FijiL]</definedName>
    <definedName name="FijiPrice">Matrix2!$L$7:$Z$7</definedName>
    <definedName name="FijiRules" localSheetId="12">#REF!</definedName>
    <definedName name="FijiRules" localSheetId="19">Survey_Pricing!$AJ$20</definedName>
    <definedName name="FijiRules">Pricing!$AJ$20</definedName>
    <definedName name="FinanceOptions" localSheetId="5">#REF!</definedName>
    <definedName name="FinanceOptions" localSheetId="19">#REF!</definedName>
    <definedName name="FinanceOptions">Data!$AT$11:$AT$17</definedName>
    <definedName name="FinanceOptions2" localSheetId="5">#REF!</definedName>
    <definedName name="FinanceOptions2" localSheetId="19">#REF!</definedName>
    <definedName name="FinanceOptions2">Data!$AT$13:$AT$16</definedName>
    <definedName name="Frame" localSheetId="22">Table3[Frames]</definedName>
    <definedName name="Frame" localSheetId="30">Table3[Frames]</definedName>
    <definedName name="Frame" localSheetId="23">Table3[Frames]</definedName>
    <definedName name="Frame" localSheetId="17">Table3[Frames]</definedName>
    <definedName name="Frame" localSheetId="18">Table3[Frames]</definedName>
    <definedName name="Frame" localSheetId="5">#REF!</definedName>
    <definedName name="Frame" localSheetId="16">Table3[Frames]</definedName>
    <definedName name="Frame" localSheetId="24">Table3[Frames]</definedName>
    <definedName name="Frame" localSheetId="12">#REF!</definedName>
    <definedName name="Frame" localSheetId="8">Table3[Frames]</definedName>
    <definedName name="Frame" localSheetId="26">Table3[Frames]</definedName>
    <definedName name="Frame" localSheetId="25">Table3[Frames]</definedName>
    <definedName name="Frame" localSheetId="21">Table3[Frames]</definedName>
    <definedName name="Frame" localSheetId="13">Table3[Frames]</definedName>
    <definedName name="Frame" localSheetId="3">Table3[Frames]</definedName>
    <definedName name="Frame" localSheetId="0">Table3[Frames]</definedName>
    <definedName name="Frame" localSheetId="27">Table3[Frames]</definedName>
    <definedName name="Frame" localSheetId="11">Table3[Frames]</definedName>
    <definedName name="Frame" localSheetId="7">Table3[Frames]</definedName>
    <definedName name="Frame" localSheetId="19">#REF!</definedName>
    <definedName name="Frame" localSheetId="28">Table3[Frames]</definedName>
    <definedName name="Frame">Table3[Frames]</definedName>
    <definedName name="Hampton">Data!$K$2:$K$3</definedName>
    <definedName name="Hamptonf" localSheetId="5">#REF!</definedName>
    <definedName name="Hamptonf" localSheetId="19">#REF!</definedName>
    <definedName name="Hamptonf">Data!$U$8:$U$11</definedName>
    <definedName name="HamptonL" localSheetId="30">Table21[HamptonL]</definedName>
    <definedName name="HamptonL" localSheetId="18">Table21[HamptonL]</definedName>
    <definedName name="HamptonL" localSheetId="5">#REF!</definedName>
    <definedName name="HamptonL" localSheetId="19">#REF!</definedName>
    <definedName name="HamptonL">Table21[HamptonL]</definedName>
    <definedName name="HamptonStyle" localSheetId="30">Table22[HamptonStyle]</definedName>
    <definedName name="HamptonStyle" localSheetId="18">Table22[HamptonStyle]</definedName>
    <definedName name="HamptonStyle" localSheetId="5">#REF!</definedName>
    <definedName name="HamptonStyle" localSheetId="19">#REF!</definedName>
    <definedName name="HamptonStyle">Table22[HamptonStyle]</definedName>
    <definedName name="HamptonT">Data!$U$19</definedName>
    <definedName name="HamptonTilt" localSheetId="30">Table24[HamptonTilt]</definedName>
    <definedName name="HamptonTilt" localSheetId="18">Table24[HamptonTilt]</definedName>
    <definedName name="HamptonTilt" localSheetId="5">#REF!</definedName>
    <definedName name="HamptonTilt" localSheetId="19">#REF!</definedName>
    <definedName name="HamptonTilt">Table24[HamptonTilt]</definedName>
    <definedName name="HorizontalPost" localSheetId="22">Table6[HorizontalPost]</definedName>
    <definedName name="HorizontalPost" localSheetId="30">Table6[HorizontalPost]</definedName>
    <definedName name="HorizontalPost" localSheetId="23">Table6[HorizontalPost]</definedName>
    <definedName name="HorizontalPost" localSheetId="17">Table6[HorizontalPost]</definedName>
    <definedName name="HorizontalPost" localSheetId="18">Table6[HorizontalPost]</definedName>
    <definedName name="HorizontalPost" localSheetId="5">#REF!</definedName>
    <definedName name="HorizontalPost" localSheetId="16">Table6[HorizontalPost]</definedName>
    <definedName name="HorizontalPost" localSheetId="24">Table6[HorizontalPost]</definedName>
    <definedName name="HorizontalPost" localSheetId="12">#REF!</definedName>
    <definedName name="HorizontalPost" localSheetId="8">Table6[HorizontalPost]</definedName>
    <definedName name="HorizontalPost" localSheetId="26">Table6[HorizontalPost]</definedName>
    <definedName name="HorizontalPost" localSheetId="25">Table6[HorizontalPost]</definedName>
    <definedName name="HorizontalPost" localSheetId="21">Table6[HorizontalPost]</definedName>
    <definedName name="HorizontalPost" localSheetId="13">Table6[HorizontalPost]</definedName>
    <definedName name="HorizontalPost" localSheetId="3">Table6[HorizontalPost]</definedName>
    <definedName name="HorizontalPost" localSheetId="0">Table6[HorizontalPost]</definedName>
    <definedName name="HorizontalPost" localSheetId="27">Table6[HorizontalPost]</definedName>
    <definedName name="HorizontalPost" localSheetId="11">Table6[HorizontalPost]</definedName>
    <definedName name="HorizontalPost" localSheetId="7">Table6[HorizontalPost]</definedName>
    <definedName name="HorizontalPost" localSheetId="19">#REF!</definedName>
    <definedName name="HorizontalPost" localSheetId="28">Table6[HorizontalPost]</definedName>
    <definedName name="HorizontalPost">Table6[HorizontalPost]</definedName>
    <definedName name="Java" localSheetId="23">Table1[Java]</definedName>
    <definedName name="Java" localSheetId="5">#REF!</definedName>
    <definedName name="Java" localSheetId="24">Table1[Java]</definedName>
    <definedName name="Java" localSheetId="26">Table1[Java]</definedName>
    <definedName name="Java" localSheetId="25">Table1[Java]</definedName>
    <definedName name="Java" localSheetId="0">Data!$G$2:$G$13</definedName>
    <definedName name="Java" localSheetId="27">Table1[Java]</definedName>
    <definedName name="Java" localSheetId="19">#REF!</definedName>
    <definedName name="Java">Data!$G$2:$G$13</definedName>
    <definedName name="JavaH" localSheetId="0">Data!$AH$2</definedName>
    <definedName name="JavaH" localSheetId="19">#REF!</definedName>
    <definedName name="JavaH">Data!$AH$2</definedName>
    <definedName name="JavaL" localSheetId="22">Table2[JavaL]</definedName>
    <definedName name="JavaL" localSheetId="30">Table2[JavaL]</definedName>
    <definedName name="JavaL" localSheetId="23">Table2[JavaL]</definedName>
    <definedName name="JavaL" localSheetId="17">Table2[JavaL]</definedName>
    <definedName name="JavaL" localSheetId="18">Table2[JavaL]</definedName>
    <definedName name="JavaL" localSheetId="5">#REF!</definedName>
    <definedName name="JavaL" localSheetId="16">Table2[JavaL]</definedName>
    <definedName name="JavaL" localSheetId="24">Table2[JavaL]</definedName>
    <definedName name="JavaL" localSheetId="12">#REF!</definedName>
    <definedName name="JavaL" localSheetId="8">Table2[JavaL]</definedName>
    <definedName name="JavaL" localSheetId="26">Table2[JavaL]</definedName>
    <definedName name="JavaL" localSheetId="25">Table2[JavaL]</definedName>
    <definedName name="JavaL" localSheetId="21">Table2[JavaL]</definedName>
    <definedName name="JavaL" localSheetId="13">Table2[JavaL]</definedName>
    <definedName name="JavaL" localSheetId="3">Table2[JavaL]</definedName>
    <definedName name="JavaL" localSheetId="0">Table2[JavaL]</definedName>
    <definedName name="JavaL" localSheetId="27">Table2[JavaL]</definedName>
    <definedName name="JavaL" localSheetId="11">Table2[JavaL]</definedName>
    <definedName name="JavaL" localSheetId="7">Table2[JavaL]</definedName>
    <definedName name="JavaL" localSheetId="19">#REF!</definedName>
    <definedName name="JavaL" localSheetId="28">Table2[JavaL]</definedName>
    <definedName name="JavaL">Table2[JavaL]</definedName>
    <definedName name="JavaPrice">Matrix2!$L$6:$Z$6</definedName>
    <definedName name="JavaRules" localSheetId="12">#REF!</definedName>
    <definedName name="JavaRules" localSheetId="19">Survey_Pricing!$AJ$17</definedName>
    <definedName name="JavaRules">Pricing!$AJ$17</definedName>
    <definedName name="LifestyleColour" localSheetId="18">Table23[Lifetime]</definedName>
    <definedName name="LifestyleColour" localSheetId="5">#REF!</definedName>
    <definedName name="LifestyleColour" localSheetId="19">#REF!</definedName>
    <definedName name="LifestyleColour">Table23[Lifetime]</definedName>
    <definedName name="Materials" localSheetId="5">#REF!</definedName>
    <definedName name="Materials" localSheetId="19">#REF!</definedName>
    <definedName name="Materials">Matrix2!$G$26:$G$36</definedName>
    <definedName name="Matorder" localSheetId="5">#REF!</definedName>
    <definedName name="Matorder" localSheetId="19">#REF!</definedName>
    <definedName name="Matorder">Matrix2!$G$53:$G$63</definedName>
    <definedName name="Maui" localSheetId="5">#REF!</definedName>
    <definedName name="Maui" localSheetId="19">#REF!</definedName>
    <definedName name="Maui">Data!$AN$27:$AN$42</definedName>
    <definedName name="MauiH">Data!$AQ$27:$AQ$35</definedName>
    <definedName name="MauiL">Data!$AO$27:$AO$29</definedName>
    <definedName name="MauiShade" localSheetId="5">#REF!</definedName>
    <definedName name="MauiShade" localSheetId="19">#REF!</definedName>
    <definedName name="MauiShade">Data!$AP$38:$AP$43</definedName>
    <definedName name="MauiTilt" localSheetId="18">Table23[[#This Row],[Maui Tilt Options]]</definedName>
    <definedName name="MauiTilt" localSheetId="5">#REF!</definedName>
    <definedName name="MauiTilt" localSheetId="19">#REF!</definedName>
    <definedName name="MauiTilt">Data!$AP$27</definedName>
    <definedName name="MMaterial" localSheetId="22">Data!$D$2:$D$6</definedName>
    <definedName name="MMaterial" localSheetId="23">Table1[Material]</definedName>
    <definedName name="MMaterial" localSheetId="16">Data!$D$2:$D$6</definedName>
    <definedName name="MMaterial" localSheetId="24">Table1[Material]</definedName>
    <definedName name="MMaterial" localSheetId="8">Data!$D$2:$D$6</definedName>
    <definedName name="MMaterial" localSheetId="26">Table1[Material]</definedName>
    <definedName name="MMaterial" localSheetId="25">Table1[Material]</definedName>
    <definedName name="MMaterial" localSheetId="20">#REF!</definedName>
    <definedName name="MMaterial" localSheetId="21">Data!$D$2:$D$6</definedName>
    <definedName name="MMaterial" localSheetId="13">Data!$D$2:$D$12</definedName>
    <definedName name="MMaterial" localSheetId="3">Data!$D$2:$D$8</definedName>
    <definedName name="MMaterial" localSheetId="0">Data!$D$2:$D$12</definedName>
    <definedName name="MMaterial" localSheetId="27">Table1[Material]</definedName>
    <definedName name="MMaterial" localSheetId="11">Data!$D$2:$D$6</definedName>
    <definedName name="MMaterial" localSheetId="7">Data!$D$2:$D$8</definedName>
    <definedName name="MMaterial" localSheetId="19">#REF!</definedName>
    <definedName name="MMaterial" localSheetId="28">Data!$D$2:$D$8</definedName>
    <definedName name="MMaterial">Data!$D$2:$D$12</definedName>
    <definedName name="MRail2" localSheetId="5">#REF!</definedName>
    <definedName name="MRail2" localSheetId="19">#REF!</definedName>
    <definedName name="MRail2">Data!$N$30:$N$31</definedName>
    <definedName name="NickelKnobA" localSheetId="5">#REF!</definedName>
    <definedName name="NickelKnobA" localSheetId="12">#REF!</definedName>
    <definedName name="NickelKnobA" localSheetId="19">#REF!</definedName>
    <definedName name="NickelKnobA">Data!$AN$23</definedName>
    <definedName name="NickelKnobB" localSheetId="5">#REF!</definedName>
    <definedName name="NickelKnobB" localSheetId="12">#REF!</definedName>
    <definedName name="NickelKnobB" localSheetId="19">#REF!</definedName>
    <definedName name="NickelKnobB">Data!$AN$24</definedName>
    <definedName name="NoneStdShape" localSheetId="5">#REF!</definedName>
    <definedName name="NoneStdShape" localSheetId="12">#REF!</definedName>
    <definedName name="NoneStdShape" localSheetId="19">#REF!</definedName>
    <definedName name="NoneStdShape">Data!$AO$17</definedName>
    <definedName name="PowerMotion" localSheetId="5">#REF!</definedName>
    <definedName name="PowerMotion" localSheetId="12">#REF!</definedName>
    <definedName name="PowerMotion" localSheetId="19">#REF!</definedName>
    <definedName name="PowerMotion">Data!$AO$21</definedName>
    <definedName name="PowerMotionRemote" localSheetId="5">#REF!</definedName>
    <definedName name="PowerMotionRemote" localSheetId="12">#REF!</definedName>
    <definedName name="PowerMotionRemote" localSheetId="19">#REF!</definedName>
    <definedName name="PowerMotionRemote">Data!$AO$22</definedName>
    <definedName name="_xlnm.Print_Area" localSheetId="17">'Blind Survey'!$A$1:$Q$33</definedName>
    <definedName name="_xlnm.Print_Area" localSheetId="2">Comparison!$A$1:$O$28</definedName>
    <definedName name="_xlnm.Print_Area" localSheetId="18">'Comparison (2)'!$A$1:$N$28</definedName>
    <definedName name="_xlnm.Print_Area" localSheetId="5">Confirmation!$A$1:$J$46</definedName>
    <definedName name="_xlnm.Print_Area" localSheetId="12">'Delivery Note'!$B$2:$AI$51</definedName>
    <definedName name="_xlnm.Print_Area" localSheetId="9">'Issue Report'!$A$1:$K$51</definedName>
    <definedName name="_xlnm.Print_Area" localSheetId="20">'Job Sheet'!$A$1:$W$57</definedName>
    <definedName name="_xlnm.Print_Area" localSheetId="3">'OLD Pro Quote'!$A$1:$L$54</definedName>
    <definedName name="_xlnm.Print_Area" localSheetId="0">Pricing!$A$1:$AG$90</definedName>
    <definedName name="_xlnm.Print_Area" localSheetId="4">'Pro Quote'!$A$1:$J$45</definedName>
    <definedName name="_xlnm.Print_Area" localSheetId="11">'Signoff Sheet'!$A$1:$AB$41</definedName>
    <definedName name="_xlnm.Print_Area" localSheetId="19">Survey_Pricing!$A$1:$AG$90</definedName>
    <definedName name="Reps">Data!$AD$9:$AD$15</definedName>
    <definedName name="RingPull" localSheetId="5">#REF!</definedName>
    <definedName name="RingPull" localSheetId="12">#REF!</definedName>
    <definedName name="RingPull" localSheetId="19">#REF!</definedName>
    <definedName name="RingPull">Data!$AO$18</definedName>
    <definedName name="RoomLoc" localSheetId="22">Data!$B$5:$B$18</definedName>
    <definedName name="RoomLoc" localSheetId="23">Table1[Room2]</definedName>
    <definedName name="RoomLoc" localSheetId="16">Data!$B$2:$B$24</definedName>
    <definedName name="RoomLoc" localSheetId="24">Table1[Room2]</definedName>
    <definedName name="RoomLoc" localSheetId="8">Data!$B$2:$B$24</definedName>
    <definedName name="RoomLoc" localSheetId="26">Table1[Room2]</definedName>
    <definedName name="RoomLoc" localSheetId="25">Table1[Room2]</definedName>
    <definedName name="RoomLoc" localSheetId="20">#REF!</definedName>
    <definedName name="RoomLoc" localSheetId="21">Data!$B$5:$B$18</definedName>
    <definedName name="RoomLoc" localSheetId="13">Data!$B$2:$B$20</definedName>
    <definedName name="RoomLoc" localSheetId="3">Data!$B$2:$B$24</definedName>
    <definedName name="RoomLoc" localSheetId="0">Data!$B$2:$B$24</definedName>
    <definedName name="RoomLoc" localSheetId="27">Table1[Room2]</definedName>
    <definedName name="RoomLoc" localSheetId="11">Data!$B$2:$B$24</definedName>
    <definedName name="RoomLoc" localSheetId="7">Data!$B$2:$B$24</definedName>
    <definedName name="RoomLoc" localSheetId="19">#REF!</definedName>
    <definedName name="RoomLoc" localSheetId="28">Data!$B$2:$B$24</definedName>
    <definedName name="RoomLoc">Data!$B$2:$B$24</definedName>
    <definedName name="rooms" localSheetId="22">Data!$A$2:$A$9</definedName>
    <definedName name="rooms" localSheetId="23">Table1[Rooms]</definedName>
    <definedName name="rooms" localSheetId="5">#REF!</definedName>
    <definedName name="rooms" localSheetId="16">Data!$A$2:$A$9</definedName>
    <definedName name="rooms" localSheetId="24">Table1[Rooms]</definedName>
    <definedName name="rooms" localSheetId="12">#REF!</definedName>
    <definedName name="rooms" localSheetId="8">Data!$A$2:$A$14</definedName>
    <definedName name="rooms" localSheetId="26">Table1[Rooms]</definedName>
    <definedName name="rooms" localSheetId="25">Table1[Rooms]</definedName>
    <definedName name="rooms" localSheetId="20">#REF!</definedName>
    <definedName name="rooms" localSheetId="21">Data!$A$2:$A$9</definedName>
    <definedName name="rooms" localSheetId="13">Data!$A$2:$A$9</definedName>
    <definedName name="rooms" localSheetId="3">Data!$A$2:$A$14</definedName>
    <definedName name="rooms" localSheetId="0">Data!$A$2:$A$14</definedName>
    <definedName name="rooms" localSheetId="27">Table1[Rooms]</definedName>
    <definedName name="rooms" localSheetId="11">Data!$A$2:$A$9</definedName>
    <definedName name="rooms" localSheetId="7">Data!$A$2:$A$14</definedName>
    <definedName name="rooms" localSheetId="19">#REF!</definedName>
    <definedName name="rooms" localSheetId="28">Data!$A$2:$A$14</definedName>
    <definedName name="rooms">Data!$A$2:$A$14</definedName>
    <definedName name="SalesTeam" localSheetId="5">#REF!</definedName>
    <definedName name="SalesTeam" localSheetId="12">#REF!</definedName>
    <definedName name="SalesTeam" localSheetId="19">#REF!</definedName>
    <definedName name="SalesTeam">Data!$AD$9:$AD$15</definedName>
    <definedName name="Samoa" localSheetId="22">Table1[Samoa]</definedName>
    <definedName name="Samoa" localSheetId="30">Table1[Samoa]</definedName>
    <definedName name="Samoa" localSheetId="23">Table1[Samoa]</definedName>
    <definedName name="Samoa" localSheetId="17">Table1[Samoa]</definedName>
    <definedName name="Samoa" localSheetId="18">Table1[Samoa]</definedName>
    <definedName name="Samoa" localSheetId="5">#REF!</definedName>
    <definedName name="Samoa" localSheetId="16">Table1[Samoa]</definedName>
    <definedName name="Samoa" localSheetId="24">Table1[Samoa]</definedName>
    <definedName name="Samoa" localSheetId="12">#REF!</definedName>
    <definedName name="Samoa" localSheetId="8">Table1[Samoa]</definedName>
    <definedName name="Samoa" localSheetId="26">Table1[Samoa]</definedName>
    <definedName name="Samoa" localSheetId="25">Table1[Samoa]</definedName>
    <definedName name="Samoa" localSheetId="21">Table1[Samoa]</definedName>
    <definedName name="Samoa" localSheetId="13">Table1[Samoa]</definedName>
    <definedName name="Samoa" localSheetId="3">Table1[Samoa]</definedName>
    <definedName name="Samoa" localSheetId="0">Table1[Samoa]</definedName>
    <definedName name="Samoa" localSheetId="27">Table1[Samoa]</definedName>
    <definedName name="Samoa" localSheetId="11">Table1[Samoa]</definedName>
    <definedName name="Samoa" localSheetId="7">Table1[Samoa]</definedName>
    <definedName name="Samoa" localSheetId="19">#REF!</definedName>
    <definedName name="Samoa" localSheetId="28">Table1[Samoa]</definedName>
    <definedName name="Samoa">Table1[Samoa]</definedName>
    <definedName name="SamoaH" localSheetId="22">Table13[SamoaH]</definedName>
    <definedName name="SamoaH" localSheetId="30">Table13[SamoaH]</definedName>
    <definedName name="SamoaH" localSheetId="23">Table13[SamoaH]</definedName>
    <definedName name="SamoaH" localSheetId="17">Table13[SamoaH]</definedName>
    <definedName name="SamoaH" localSheetId="18">Table13[SamoaH]</definedName>
    <definedName name="SamoaH" localSheetId="5">#REF!</definedName>
    <definedName name="SamoaH" localSheetId="16">Table13[SamoaH]</definedName>
    <definedName name="SamoaH" localSheetId="24">Table13[SamoaH]</definedName>
    <definedName name="SamoaH" localSheetId="12">#REF!</definedName>
    <definedName name="SamoaH" localSheetId="8">Table13[SamoaH]</definedName>
    <definedName name="SamoaH" localSheetId="26">Table13[SamoaH]</definedName>
    <definedName name="SamoaH" localSheetId="25">Table13[SamoaH]</definedName>
    <definedName name="SamoaH" localSheetId="21">Table13[SamoaH]</definedName>
    <definedName name="SamoaH" localSheetId="13">Table13[SamoaH]</definedName>
    <definedName name="SamoaH" localSheetId="3">Table13[SamoaH]</definedName>
    <definedName name="SamoaH" localSheetId="0">Table13[SamoaH]</definedName>
    <definedName name="SamoaH" localSheetId="27">Table13[SamoaH]</definedName>
    <definedName name="SamoaH" localSheetId="11">Table13[SamoaH]</definedName>
    <definedName name="SamoaH" localSheetId="7">Table13[SamoaH]</definedName>
    <definedName name="SamoaH" localSheetId="19">#REF!</definedName>
    <definedName name="SamoaH" localSheetId="28">Table13[SamoaH]</definedName>
    <definedName name="SamoaH">Table13[SamoaH]</definedName>
    <definedName name="SamoaL" localSheetId="22">Table2[ArubaL]</definedName>
    <definedName name="SamoaL" localSheetId="23">Table2[ArubaL]</definedName>
    <definedName name="SamoaL" localSheetId="17">Table2[ArubaL]</definedName>
    <definedName name="SamoaL" localSheetId="18">Table2[ArubaL]</definedName>
    <definedName name="SamoaL" localSheetId="5">#REF!</definedName>
    <definedName name="SamoaL" localSheetId="16">Table2[ArubaL]</definedName>
    <definedName name="SamoaL" localSheetId="24">Table2[ArubaL]</definedName>
    <definedName name="SamoaL" localSheetId="12">#REF!</definedName>
    <definedName name="SamoaL" localSheetId="8">Table2[ArubaL]</definedName>
    <definedName name="SamoaL" localSheetId="26">Table2[ArubaL]</definedName>
    <definedName name="SamoaL" localSheetId="25">Table2[ArubaL]</definedName>
    <definedName name="SamoaL" localSheetId="21">Table2[ArubaL]</definedName>
    <definedName name="SamoaL" localSheetId="13">Table2[ArubaL]</definedName>
    <definedName name="SamoaL" localSheetId="3">Table2[ArubaL]</definedName>
    <definedName name="SamoaL" localSheetId="0">Table2[ArubaL]</definedName>
    <definedName name="SamoaL" localSheetId="27">Table2[ArubaL]</definedName>
    <definedName name="SamoaL" localSheetId="11">Table2[ArubaL]</definedName>
    <definedName name="SamoaL" localSheetId="7">Table2[ArubaL]</definedName>
    <definedName name="SamoaL" localSheetId="19">#REF!</definedName>
    <definedName name="SamoaL" localSheetId="28">Table2[ArubaL]</definedName>
    <definedName name="SamoaL">Table2[ArubaL]</definedName>
    <definedName name="SamoaPrice">Matrix2!$L$8:$Z$8</definedName>
    <definedName name="Shapes" localSheetId="5">#REF!</definedName>
    <definedName name="Shapes" localSheetId="12">#REF!</definedName>
    <definedName name="Shapes" localSheetId="19">#REF!</definedName>
    <definedName name="Shapes">Data!$D$15:$D$20</definedName>
    <definedName name="Shapestyle" localSheetId="5">#REF!</definedName>
    <definedName name="Shapestyle" localSheetId="19">#REF!</definedName>
    <definedName name="Shapestyle">Table15[SDhapeStyle]</definedName>
    <definedName name="Shuttype" localSheetId="5">#REF!</definedName>
    <definedName name="Shuttype" localSheetId="19">#REF!</definedName>
    <definedName name="Shuttype">Data!$C$2:$C$9</definedName>
    <definedName name="Sides" localSheetId="22">Table16[Sides]</definedName>
    <definedName name="Sides" localSheetId="30">Table16[Sides]</definedName>
    <definedName name="Sides" localSheetId="23">Table16[Sides]</definedName>
    <definedName name="Sides" localSheetId="17">Table16[Sides]</definedName>
    <definedName name="Sides" localSheetId="18">Table16[Sides]</definedName>
    <definedName name="Sides" localSheetId="5">#REF!</definedName>
    <definedName name="Sides" localSheetId="16">Table16[Sides]</definedName>
    <definedName name="Sides" localSheetId="24">Table16[Sides]</definedName>
    <definedName name="Sides" localSheetId="12">#REF!</definedName>
    <definedName name="Sides" localSheetId="8">Table16[Sides]</definedName>
    <definedName name="Sides" localSheetId="26">Table16[Sides]</definedName>
    <definedName name="Sides" localSheetId="25">Table16[Sides]</definedName>
    <definedName name="Sides" localSheetId="21">Table16[Sides]</definedName>
    <definedName name="Sides" localSheetId="13">Table16[Sides]</definedName>
    <definedName name="Sides" localSheetId="3">Table16[Sides]</definedName>
    <definedName name="Sides" localSheetId="0">Table16[Sides]</definedName>
    <definedName name="Sides" localSheetId="27">Table16[Sides]</definedName>
    <definedName name="Sides" localSheetId="11">Table16[Sides]</definedName>
    <definedName name="Sides" localSheetId="7">Table16[Sides]</definedName>
    <definedName name="Sides" localSheetId="19">#REF!</definedName>
    <definedName name="Sides" localSheetId="28">Table16[Sides]</definedName>
    <definedName name="Sides">Table16[Sides]</definedName>
    <definedName name="SSFrame" localSheetId="5">#REF!</definedName>
    <definedName name="SSFrame" localSheetId="12">#REF!</definedName>
    <definedName name="SSFrame" localSheetId="19">#REF!</definedName>
    <definedName name="SSFrame">Data!$N$24</definedName>
    <definedName name="Style" localSheetId="22">Table4[Style]</definedName>
    <definedName name="Style" localSheetId="30">Table4[Style]</definedName>
    <definedName name="Style" localSheetId="23">Table4[Style]</definedName>
    <definedName name="Style" localSheetId="17">Table4[Style]</definedName>
    <definedName name="Style" localSheetId="18">Table4[Style]</definedName>
    <definedName name="Style" localSheetId="5">#REF!</definedName>
    <definedName name="Style" localSheetId="16">Table4[Style]</definedName>
    <definedName name="Style" localSheetId="24">Table4[Style]</definedName>
    <definedName name="Style" localSheetId="12">#REF!</definedName>
    <definedName name="Style" localSheetId="8">Table4[Style]</definedName>
    <definedName name="Style" localSheetId="26">Table4[Style]</definedName>
    <definedName name="Style" localSheetId="25">Table4[Style]</definedName>
    <definedName name="Style" localSheetId="21">Table4[Style]</definedName>
    <definedName name="Style" localSheetId="13">Table4[Style]</definedName>
    <definedName name="Style" localSheetId="3">Table4[Style]</definedName>
    <definedName name="Style" localSheetId="0">Table4[Style]</definedName>
    <definedName name="Style" localSheetId="27">Table4[Style]</definedName>
    <definedName name="Style" localSheetId="11">Table4[Style]</definedName>
    <definedName name="Style" localSheetId="7">Table4[Style]</definedName>
    <definedName name="Style" localSheetId="19">#REF!</definedName>
    <definedName name="Style" localSheetId="28">Table4[Style]</definedName>
    <definedName name="Style">Table4[Style]</definedName>
    <definedName name="Surveyors" localSheetId="22">Table17[Surveyors]</definedName>
    <definedName name="Surveyors" localSheetId="30">Table17[Surveyors]</definedName>
    <definedName name="Surveyors" localSheetId="23">Table17[Surveyors]</definedName>
    <definedName name="Surveyors" localSheetId="17">Table17[Surveyors]</definedName>
    <definedName name="Surveyors" localSheetId="18">Table17[Surveyors]</definedName>
    <definedName name="Surveyors" localSheetId="5">#REF!</definedName>
    <definedName name="Surveyors" localSheetId="16">Table17[Surveyors]</definedName>
    <definedName name="Surveyors" localSheetId="24">Table17[Surveyors]</definedName>
    <definedName name="Surveyors" localSheetId="12">#REF!</definedName>
    <definedName name="Surveyors" localSheetId="8">Table17[Surveyors]</definedName>
    <definedName name="Surveyors" localSheetId="26">Table17[Surveyors]</definedName>
    <definedName name="Surveyors" localSheetId="25">Table17[Surveyors]</definedName>
    <definedName name="Surveyors" localSheetId="21">Table17[Surveyors]</definedName>
    <definedName name="Surveyors" localSheetId="13">Table17[Surveyors]</definedName>
    <definedName name="Surveyors" localSheetId="3">Table17[Surveyors]</definedName>
    <definedName name="Surveyors" localSheetId="0">Table17[Surveyors]</definedName>
    <definedName name="Surveyors" localSheetId="27">Table17[Surveyors]</definedName>
    <definedName name="Surveyors" localSheetId="11">Table17[Surveyors]</definedName>
    <definedName name="Surveyors" localSheetId="7">Table17[Surveyors]</definedName>
    <definedName name="Surveyors" localSheetId="19">#REF!</definedName>
    <definedName name="Surveyors" localSheetId="28">Table17[Surveyors]</definedName>
    <definedName name="Surveyors">Table17[Surveyors]</definedName>
    <definedName name="Tahiti" localSheetId="5">#REF!</definedName>
    <definedName name="Tahiti" localSheetId="19">#REF!</definedName>
    <definedName name="Tahiti">Data!$AZ$67:$AZ$117</definedName>
    <definedName name="TahitiH">Data!$AM$27:$AM$35</definedName>
    <definedName name="TahitiL">Data!$AK$27:$AK$33</definedName>
    <definedName name="TahitiTilt" localSheetId="5">#REF!</definedName>
    <definedName name="TahitiTilt" localSheetId="19">#REF!</definedName>
    <definedName name="TahitiTilt">Data!$AL$27:$AL$30</definedName>
    <definedName name="TelescopicWand" localSheetId="5">#REF!</definedName>
    <definedName name="TelescopicWand" localSheetId="12">#REF!</definedName>
    <definedName name="TelescopicWand" localSheetId="19">#REF!</definedName>
    <definedName name="TelescopicWand">Data!$AO$16</definedName>
    <definedName name="TFrame" localSheetId="30">Table19[Tframes]</definedName>
    <definedName name="TFrame" localSheetId="17">Table19[Tframes]</definedName>
    <definedName name="TFrame" localSheetId="18">Table19[Tframes]</definedName>
    <definedName name="TFrame" localSheetId="5">#REF!</definedName>
    <definedName name="TFrame" localSheetId="11">Table19[Tframes]</definedName>
    <definedName name="TFrame" localSheetId="19">#REF!</definedName>
    <definedName name="TFrame">Table19[Tframes]</definedName>
    <definedName name="TFrames" localSheetId="22">Table19[Tframes]</definedName>
    <definedName name="TFrames" localSheetId="30">Table19[Tframes]</definedName>
    <definedName name="TFrames" localSheetId="23">Table19[Tframes]</definedName>
    <definedName name="TFrames" localSheetId="17">Table19[Tframes]</definedName>
    <definedName name="TFrames" localSheetId="18">Table19[Tframes]</definedName>
    <definedName name="TFrames" localSheetId="5">#REF!</definedName>
    <definedName name="TFrames" localSheetId="16">Table19[Tframes]</definedName>
    <definedName name="TFrames" localSheetId="24">Table19[Tframes]</definedName>
    <definedName name="TFrames" localSheetId="12">#REF!</definedName>
    <definedName name="TFrames" localSheetId="8">Table19[Tframes]</definedName>
    <definedName name="TFrames" localSheetId="26">Table19[Tframes]</definedName>
    <definedName name="TFrames" localSheetId="25">Table19[Tframes]</definedName>
    <definedName name="TFrames" localSheetId="21">Table19[Tframes]</definedName>
    <definedName name="TFrames" localSheetId="13">Table19[Tframes]</definedName>
    <definedName name="TFrames" localSheetId="3">Table19[Tframes]</definedName>
    <definedName name="TFrames" localSheetId="0">Table19[Tframes]</definedName>
    <definedName name="TFrames" localSheetId="27">Table19[Tframes]</definedName>
    <definedName name="TFrames" localSheetId="11">Table19[Tframes]</definedName>
    <definedName name="TFrames" localSheetId="7">Table19[Tframes]</definedName>
    <definedName name="TFrames" localSheetId="19">#REF!</definedName>
    <definedName name="TFrames" localSheetId="28">Table19[Tframes]</definedName>
    <definedName name="TFrames">Table19[Tframes]</definedName>
    <definedName name="TiltRod" localSheetId="22">Table5[TiltRod]</definedName>
    <definedName name="TiltRod" localSheetId="30">Table5[TiltRod]</definedName>
    <definedName name="TiltRod" localSheetId="23">Table5[TiltRod]</definedName>
    <definedName name="TiltRod" localSheetId="17">Table5[TiltRod]</definedName>
    <definedName name="TiltRod" localSheetId="18">Table5[TiltRod]</definedName>
    <definedName name="TiltRod" localSheetId="5">#REF!</definedName>
    <definedName name="TiltRod" localSheetId="16">Table5[TiltRod]</definedName>
    <definedName name="TiltRod" localSheetId="24">Table5[TiltRod]</definedName>
    <definedName name="TiltRod" localSheetId="12">#REF!</definedName>
    <definedName name="TiltRod" localSheetId="8">Table5[TiltRod]</definedName>
    <definedName name="TiltRod" localSheetId="26">Table5[TiltRod]</definedName>
    <definedName name="TiltRod" localSheetId="25">Table5[TiltRod]</definedName>
    <definedName name="TiltRod" localSheetId="21">Table5[TiltRod]</definedName>
    <definedName name="TiltRod" localSheetId="13">Data!$AB$2:$AB$5</definedName>
    <definedName name="TiltRod" localSheetId="3">Table5[TiltRod]</definedName>
    <definedName name="TiltRod" localSheetId="0">Table5[TiltRod]</definedName>
    <definedName name="TiltRod" localSheetId="27">Table5[TiltRod]</definedName>
    <definedName name="TiltRod" localSheetId="11">Table5[TiltRod]</definedName>
    <definedName name="TiltRod" localSheetId="7">Table5[TiltRod]</definedName>
    <definedName name="TiltRod" localSheetId="19">#REF!</definedName>
    <definedName name="TiltRod" localSheetId="28">Table5[TiltRod]</definedName>
    <definedName name="TiltRod">Table5[TiltRod]</definedName>
    <definedName name="TOT">Data!$N$26:$N$28</definedName>
    <definedName name="Type" localSheetId="22">Data!$C$2:$C$7</definedName>
    <definedName name="Type" localSheetId="23">Table1[Type]</definedName>
    <definedName name="Type" localSheetId="16">Data!$C$2:$C$7</definedName>
    <definedName name="Type" localSheetId="24">Table1[Type]</definedName>
    <definedName name="Type" localSheetId="8">Data!$C$2:$C$7</definedName>
    <definedName name="Type" localSheetId="26">Table1[Type]</definedName>
    <definedName name="Type" localSheetId="25">Table1[Type]</definedName>
    <definedName name="Type" localSheetId="20">#REF!</definedName>
    <definedName name="Type" localSheetId="21">Data!$C$2:$C$7</definedName>
    <definedName name="Type" localSheetId="13">Data!$C$2:$C$7</definedName>
    <definedName name="Type" localSheetId="3">Data!$C$2:$C$7</definedName>
    <definedName name="Type" localSheetId="0">Data!$C$2:$C$7</definedName>
    <definedName name="Type" localSheetId="27">Table1[Type]</definedName>
    <definedName name="Type" localSheetId="11">Data!$C$2:$C$7</definedName>
    <definedName name="Type" localSheetId="7">Data!$C$2:$C$7</definedName>
    <definedName name="Type" localSheetId="19">#REF!</definedName>
    <definedName name="Type" localSheetId="28">Data!$C$2:$C$7</definedName>
    <definedName name="Type">Data!$C$2:$C$7</definedName>
    <definedName name="UrbanTilt">Data!$U$19</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15" i="3" l="1"/>
  <c r="AC52" i="36"/>
  <c r="AC49" i="36"/>
  <c r="AC46" i="36"/>
  <c r="AC43" i="36"/>
  <c r="AC40" i="36"/>
  <c r="AC37" i="36"/>
  <c r="AC34" i="36"/>
  <c r="AC31" i="36"/>
  <c r="AC28" i="36"/>
  <c r="AC25" i="36"/>
  <c r="AC22" i="36"/>
  <c r="AC19" i="36"/>
  <c r="AC16" i="36"/>
  <c r="AC13" i="36"/>
  <c r="AC50" i="36"/>
  <c r="AC47" i="36"/>
  <c r="AC44" i="36"/>
  <c r="AC41" i="36"/>
  <c r="AC38" i="36"/>
  <c r="AC35" i="36"/>
  <c r="AC32" i="36"/>
  <c r="AC29" i="36"/>
  <c r="AC26" i="36"/>
  <c r="AC23" i="36"/>
  <c r="AC20" i="36"/>
  <c r="AC17" i="36"/>
  <c r="AC14" i="36"/>
  <c r="AC11" i="36"/>
  <c r="AC8" i="36"/>
  <c r="AC10" i="36" l="1"/>
  <c r="N26" i="36"/>
  <c r="K26" i="36"/>
  <c r="Q75" i="36"/>
  <c r="P75" i="36"/>
  <c r="N75" i="36"/>
  <c r="Q74" i="36"/>
  <c r="N74" i="36"/>
  <c r="S73" i="36"/>
  <c r="Q64" i="36"/>
  <c r="O64" i="36"/>
  <c r="N64" i="36"/>
  <c r="P64" i="36" s="1"/>
  <c r="Q63" i="36"/>
  <c r="O63" i="36"/>
  <c r="N63" i="36"/>
  <c r="P63" i="36" s="1"/>
  <c r="Q62" i="36"/>
  <c r="O62" i="36"/>
  <c r="N62" i="36"/>
  <c r="P62" i="36" s="1"/>
  <c r="Q61" i="36"/>
  <c r="O61" i="36"/>
  <c r="N61" i="36"/>
  <c r="P61" i="36" s="1"/>
  <c r="AI52" i="36"/>
  <c r="G52" i="36"/>
  <c r="C52" i="36"/>
  <c r="AA51" i="36"/>
  <c r="Z51" i="36"/>
  <c r="Y51" i="36"/>
  <c r="X51" i="36"/>
  <c r="W51" i="36"/>
  <c r="V51" i="36"/>
  <c r="U51" i="36"/>
  <c r="T51" i="36"/>
  <c r="S51" i="36"/>
  <c r="R51" i="36"/>
  <c r="C51" i="36"/>
  <c r="AB50" i="36"/>
  <c r="AA50" i="36"/>
  <c r="Z50" i="36"/>
  <c r="Y50" i="36"/>
  <c r="X50" i="36"/>
  <c r="W50" i="36"/>
  <c r="V50" i="36"/>
  <c r="U50" i="36"/>
  <c r="T50" i="36"/>
  <c r="S50" i="36"/>
  <c r="R50" i="36"/>
  <c r="O50" i="36"/>
  <c r="G49" i="36"/>
  <c r="C49" i="36"/>
  <c r="AA48" i="36"/>
  <c r="Z48" i="36"/>
  <c r="Y48" i="36"/>
  <c r="X48" i="36"/>
  <c r="W48" i="36"/>
  <c r="V48" i="36"/>
  <c r="U48" i="36"/>
  <c r="T48" i="36"/>
  <c r="S48" i="36"/>
  <c r="R48" i="36"/>
  <c r="C48" i="36"/>
  <c r="AB47" i="36"/>
  <c r="AA47" i="36"/>
  <c r="Z47" i="36"/>
  <c r="Y47" i="36"/>
  <c r="X47" i="36"/>
  <c r="W47" i="36"/>
  <c r="V47" i="36"/>
  <c r="U47" i="36"/>
  <c r="T47" i="36"/>
  <c r="S47" i="36"/>
  <c r="R47" i="36"/>
  <c r="O47" i="36"/>
  <c r="N47" i="36"/>
  <c r="K47" i="36"/>
  <c r="J47" i="36"/>
  <c r="I47" i="36"/>
  <c r="H47" i="36"/>
  <c r="F47" i="36"/>
  <c r="D47" i="36"/>
  <c r="C47" i="36"/>
  <c r="G46" i="36"/>
  <c r="C46" i="36"/>
  <c r="AA45" i="36"/>
  <c r="Z45" i="36"/>
  <c r="Y45" i="36"/>
  <c r="X45" i="36"/>
  <c r="W45" i="36"/>
  <c r="V45" i="36"/>
  <c r="U45" i="36"/>
  <c r="T45" i="36"/>
  <c r="S45" i="36"/>
  <c r="R45" i="36"/>
  <c r="C45" i="36"/>
  <c r="AB44" i="36"/>
  <c r="AA44" i="36"/>
  <c r="Z44" i="36"/>
  <c r="Y44" i="36"/>
  <c r="X44" i="36"/>
  <c r="W44" i="36"/>
  <c r="V44" i="36"/>
  <c r="U44" i="36"/>
  <c r="T44" i="36"/>
  <c r="S44" i="36"/>
  <c r="R44" i="36"/>
  <c r="O44" i="36"/>
  <c r="N44" i="36"/>
  <c r="K44" i="36"/>
  <c r="J44" i="36"/>
  <c r="I44" i="36"/>
  <c r="H44" i="36"/>
  <c r="F44" i="36"/>
  <c r="D44" i="36"/>
  <c r="C44" i="36"/>
  <c r="G43" i="36"/>
  <c r="C43" i="36"/>
  <c r="AA42" i="36"/>
  <c r="Z42" i="36"/>
  <c r="Y42" i="36"/>
  <c r="X42" i="36"/>
  <c r="W42" i="36"/>
  <c r="V42" i="36"/>
  <c r="U42" i="36"/>
  <c r="T42" i="36"/>
  <c r="S42" i="36"/>
  <c r="R42" i="36"/>
  <c r="C42" i="36"/>
  <c r="AB41" i="36"/>
  <c r="AA41" i="36"/>
  <c r="Z41" i="36"/>
  <c r="Y41" i="36"/>
  <c r="X41" i="36"/>
  <c r="W41" i="36"/>
  <c r="V41" i="36"/>
  <c r="U41" i="36"/>
  <c r="T41" i="36"/>
  <c r="S41" i="36"/>
  <c r="R41" i="36"/>
  <c r="O41" i="36"/>
  <c r="N41" i="36"/>
  <c r="K41" i="36"/>
  <c r="J41" i="36"/>
  <c r="AH43" i="36" s="1"/>
  <c r="I41" i="36"/>
  <c r="H41" i="36"/>
  <c r="F41" i="36"/>
  <c r="D41" i="36"/>
  <c r="C41" i="36"/>
  <c r="G40" i="36"/>
  <c r="C40" i="36"/>
  <c r="AA39" i="36"/>
  <c r="Z39" i="36"/>
  <c r="Y39" i="36"/>
  <c r="X39" i="36"/>
  <c r="W39" i="36"/>
  <c r="V39" i="36"/>
  <c r="U39" i="36"/>
  <c r="T39" i="36"/>
  <c r="S39" i="36"/>
  <c r="R39" i="36"/>
  <c r="C39" i="36"/>
  <c r="AB38" i="36"/>
  <c r="AA38" i="36"/>
  <c r="Z38" i="36"/>
  <c r="Y38" i="36"/>
  <c r="X38" i="36"/>
  <c r="W38" i="36"/>
  <c r="V38" i="36"/>
  <c r="U38" i="36"/>
  <c r="T38" i="36"/>
  <c r="S38" i="36"/>
  <c r="R38" i="36"/>
  <c r="O38" i="36"/>
  <c r="N38" i="36"/>
  <c r="K38" i="36"/>
  <c r="J38" i="36"/>
  <c r="I38" i="36"/>
  <c r="H38" i="36"/>
  <c r="F38" i="36"/>
  <c r="D38" i="36"/>
  <c r="C38" i="36"/>
  <c r="G37" i="36"/>
  <c r="C37" i="36"/>
  <c r="AA36" i="36"/>
  <c r="Z36" i="36"/>
  <c r="Y36" i="36"/>
  <c r="X36" i="36"/>
  <c r="W36" i="36"/>
  <c r="V36" i="36"/>
  <c r="U36" i="36"/>
  <c r="T36" i="36"/>
  <c r="S36" i="36"/>
  <c r="R36" i="36"/>
  <c r="C36" i="36"/>
  <c r="AB35" i="36"/>
  <c r="AA35" i="36"/>
  <c r="Z35" i="36"/>
  <c r="Y35" i="36"/>
  <c r="X35" i="36"/>
  <c r="W35" i="36"/>
  <c r="V35" i="36"/>
  <c r="U35" i="36"/>
  <c r="T35" i="36"/>
  <c r="S35" i="36"/>
  <c r="R35" i="36"/>
  <c r="O35" i="36"/>
  <c r="N35" i="36"/>
  <c r="J35" i="36"/>
  <c r="I35" i="36"/>
  <c r="H35" i="36"/>
  <c r="F35" i="36"/>
  <c r="D35" i="36"/>
  <c r="C35" i="36"/>
  <c r="G34" i="36"/>
  <c r="C34" i="36"/>
  <c r="AA33" i="36"/>
  <c r="Z33" i="36"/>
  <c r="Y33" i="36"/>
  <c r="X33" i="36"/>
  <c r="W33" i="36"/>
  <c r="V33" i="36"/>
  <c r="U33" i="36"/>
  <c r="T33" i="36"/>
  <c r="S33" i="36"/>
  <c r="R33" i="36"/>
  <c r="C33" i="36"/>
  <c r="AB32" i="36"/>
  <c r="AA32" i="36"/>
  <c r="Z32" i="36"/>
  <c r="Y32" i="36"/>
  <c r="X32" i="36"/>
  <c r="W32" i="36"/>
  <c r="V32" i="36"/>
  <c r="U32" i="36"/>
  <c r="T32" i="36"/>
  <c r="S32" i="36"/>
  <c r="R32" i="36"/>
  <c r="O32" i="36"/>
  <c r="N32" i="36"/>
  <c r="K32" i="36"/>
  <c r="J32" i="36"/>
  <c r="I32" i="36"/>
  <c r="H32" i="36"/>
  <c r="F32" i="36"/>
  <c r="D32" i="36"/>
  <c r="C32" i="36"/>
  <c r="G31" i="36"/>
  <c r="C31" i="36"/>
  <c r="AA30" i="36"/>
  <c r="Z30" i="36"/>
  <c r="Y30" i="36"/>
  <c r="X30" i="36"/>
  <c r="W30" i="36"/>
  <c r="V30" i="36"/>
  <c r="U30" i="36"/>
  <c r="T30" i="36"/>
  <c r="S30" i="36"/>
  <c r="R30" i="36"/>
  <c r="C30" i="36"/>
  <c r="AB29" i="36"/>
  <c r="AA29" i="36"/>
  <c r="Z29" i="36"/>
  <c r="Y29" i="36"/>
  <c r="X29" i="36"/>
  <c r="W29" i="36"/>
  <c r="V29" i="36"/>
  <c r="U29" i="36"/>
  <c r="T29" i="36"/>
  <c r="S29" i="36"/>
  <c r="R29" i="36"/>
  <c r="O29" i="36"/>
  <c r="N29" i="36"/>
  <c r="K29" i="36"/>
  <c r="J29" i="36"/>
  <c r="I29" i="36"/>
  <c r="H29" i="36"/>
  <c r="F29" i="36"/>
  <c r="D29" i="36"/>
  <c r="C29" i="36"/>
  <c r="G28" i="36"/>
  <c r="C28" i="36"/>
  <c r="AA27" i="36"/>
  <c r="Z27" i="36"/>
  <c r="Y27" i="36"/>
  <c r="X27" i="36"/>
  <c r="W27" i="36"/>
  <c r="V27" i="36"/>
  <c r="U27" i="36"/>
  <c r="T27" i="36"/>
  <c r="S27" i="36"/>
  <c r="R27" i="36"/>
  <c r="C27" i="36"/>
  <c r="AB26" i="36"/>
  <c r="AA26" i="36"/>
  <c r="Y26" i="36"/>
  <c r="X26" i="36"/>
  <c r="W26" i="36"/>
  <c r="V26" i="36"/>
  <c r="U26" i="36"/>
  <c r="T26" i="36"/>
  <c r="S26" i="36"/>
  <c r="R26" i="36"/>
  <c r="O26" i="36"/>
  <c r="J26" i="36"/>
  <c r="AH28" i="36" s="1"/>
  <c r="I26" i="36"/>
  <c r="H26" i="36"/>
  <c r="F26" i="36"/>
  <c r="D26" i="36"/>
  <c r="C26" i="36"/>
  <c r="G25" i="36"/>
  <c r="C25" i="36"/>
  <c r="AA24" i="36"/>
  <c r="Z24" i="36"/>
  <c r="Y24" i="36"/>
  <c r="X24" i="36"/>
  <c r="W24" i="36"/>
  <c r="V24" i="36"/>
  <c r="U24" i="36"/>
  <c r="T24" i="36"/>
  <c r="S24" i="36"/>
  <c r="R24" i="36"/>
  <c r="C24" i="36"/>
  <c r="AB23" i="36"/>
  <c r="AA23" i="36"/>
  <c r="Z23" i="36"/>
  <c r="Y23" i="36"/>
  <c r="X23" i="36"/>
  <c r="V23" i="36"/>
  <c r="U23" i="36"/>
  <c r="T23" i="36"/>
  <c r="S23" i="36"/>
  <c r="R23" i="36"/>
  <c r="O23" i="36"/>
  <c r="N23" i="36"/>
  <c r="K23" i="36"/>
  <c r="M23" i="36" s="1"/>
  <c r="J23" i="36"/>
  <c r="I23" i="36"/>
  <c r="H23" i="36"/>
  <c r="F23" i="36"/>
  <c r="D23" i="36"/>
  <c r="C23" i="36"/>
  <c r="G22" i="36"/>
  <c r="C22" i="36"/>
  <c r="AA21" i="36"/>
  <c r="Z21" i="36"/>
  <c r="Y21" i="36"/>
  <c r="X21" i="36"/>
  <c r="W21" i="36"/>
  <c r="V21" i="36"/>
  <c r="U21" i="36"/>
  <c r="T21" i="36"/>
  <c r="S21" i="36"/>
  <c r="R21" i="36"/>
  <c r="C21" i="36"/>
  <c r="AB20" i="36"/>
  <c r="AA20" i="36"/>
  <c r="Z20" i="36"/>
  <c r="Y20" i="36"/>
  <c r="X20" i="36"/>
  <c r="W20" i="36"/>
  <c r="V20" i="36"/>
  <c r="U20" i="36"/>
  <c r="S20" i="36"/>
  <c r="R20" i="36"/>
  <c r="O20" i="36"/>
  <c r="N20" i="36"/>
  <c r="K20" i="36"/>
  <c r="J20" i="36"/>
  <c r="I20" i="36"/>
  <c r="H20" i="36"/>
  <c r="F20" i="36"/>
  <c r="D20" i="36"/>
  <c r="C20" i="36"/>
  <c r="C19" i="36"/>
  <c r="AA18" i="36"/>
  <c r="Z18" i="36"/>
  <c r="Y18" i="36"/>
  <c r="X18" i="36"/>
  <c r="W18" i="36"/>
  <c r="V18" i="36"/>
  <c r="U18" i="36"/>
  <c r="T18" i="36"/>
  <c r="S18" i="36"/>
  <c r="R18" i="36"/>
  <c r="AB17" i="36"/>
  <c r="AA17" i="36"/>
  <c r="Z17" i="36"/>
  <c r="Y17" i="36"/>
  <c r="X17" i="36"/>
  <c r="W17" i="36"/>
  <c r="O17" i="36"/>
  <c r="C16" i="36"/>
  <c r="AA15" i="36"/>
  <c r="Z15" i="36"/>
  <c r="Y15" i="36"/>
  <c r="X15" i="36"/>
  <c r="W15" i="36"/>
  <c r="V15" i="36"/>
  <c r="U15" i="36"/>
  <c r="T15" i="36"/>
  <c r="S15" i="36"/>
  <c r="R15" i="36"/>
  <c r="C15" i="36"/>
  <c r="AB14" i="36"/>
  <c r="AA14" i="36"/>
  <c r="Z14" i="36"/>
  <c r="Y14" i="36"/>
  <c r="O14" i="36"/>
  <c r="C13" i="36"/>
  <c r="AA12" i="36"/>
  <c r="Z12" i="36"/>
  <c r="Y12" i="36"/>
  <c r="X12" i="36"/>
  <c r="W12" i="36"/>
  <c r="V12" i="36"/>
  <c r="U12" i="36"/>
  <c r="T12" i="36"/>
  <c r="S12" i="36"/>
  <c r="R12" i="36"/>
  <c r="C12" i="36"/>
  <c r="AB11" i="36"/>
  <c r="AA11" i="36"/>
  <c r="Z11" i="36"/>
  <c r="Y11" i="36"/>
  <c r="X11" i="36"/>
  <c r="W11" i="36"/>
  <c r="V11" i="36"/>
  <c r="U11" i="36"/>
  <c r="T11" i="36"/>
  <c r="S11" i="36"/>
  <c r="O11" i="36"/>
  <c r="E11" i="36"/>
  <c r="C10" i="36"/>
  <c r="AA9" i="36"/>
  <c r="Z9" i="36"/>
  <c r="Y9" i="36"/>
  <c r="X9" i="36"/>
  <c r="W9" i="36"/>
  <c r="V9" i="36"/>
  <c r="U9" i="36"/>
  <c r="T9" i="36"/>
  <c r="S9" i="36"/>
  <c r="R9" i="36"/>
  <c r="C9" i="36"/>
  <c r="AB8" i="36"/>
  <c r="AA8" i="36"/>
  <c r="Z8" i="36"/>
  <c r="Y8" i="36"/>
  <c r="X8" i="36"/>
  <c r="W8" i="36"/>
  <c r="V8" i="36"/>
  <c r="O8" i="36"/>
  <c r="K35" i="36"/>
  <c r="S71" i="36"/>
  <c r="J71" i="36"/>
  <c r="AF54" i="36"/>
  <c r="AD53" i="36"/>
  <c r="AD54" i="36" s="1"/>
  <c r="AH49" i="36"/>
  <c r="M47" i="36"/>
  <c r="AH46" i="36"/>
  <c r="M44" i="36"/>
  <c r="M41" i="36"/>
  <c r="AD43" i="36" s="1"/>
  <c r="M38" i="36"/>
  <c r="AD40" i="36" s="1"/>
  <c r="AH40" i="36"/>
  <c r="M35" i="36"/>
  <c r="AH37" i="36"/>
  <c r="M32" i="36"/>
  <c r="AD34" i="36" s="1"/>
  <c r="M29" i="36"/>
  <c r="AD31" i="36" s="1"/>
  <c r="AH31" i="36"/>
  <c r="M26" i="36"/>
  <c r="AD28" i="36" s="1"/>
  <c r="M20" i="36"/>
  <c r="AD22" i="36" s="1"/>
  <c r="AH22" i="36"/>
  <c r="C27" i="35"/>
  <c r="G24" i="35"/>
  <c r="F24" i="35"/>
  <c r="E24" i="35"/>
  <c r="D24" i="35"/>
  <c r="C24" i="35"/>
  <c r="B24" i="35"/>
  <c r="A24" i="35"/>
  <c r="G23" i="35"/>
  <c r="F23" i="35"/>
  <c r="E23" i="35"/>
  <c r="D23" i="35"/>
  <c r="C23" i="35"/>
  <c r="B23" i="35"/>
  <c r="A23" i="35"/>
  <c r="G22" i="35"/>
  <c r="F22" i="35"/>
  <c r="E22" i="35"/>
  <c r="D22" i="35"/>
  <c r="C22" i="35"/>
  <c r="B22" i="35"/>
  <c r="A22" i="35"/>
  <c r="G21" i="35"/>
  <c r="F21" i="35"/>
  <c r="E21" i="35"/>
  <c r="D21" i="35"/>
  <c r="C21" i="35"/>
  <c r="B21" i="35"/>
  <c r="A21" i="35"/>
  <c r="G20" i="35"/>
  <c r="F20" i="35"/>
  <c r="E20" i="35"/>
  <c r="D20" i="35"/>
  <c r="C20" i="35"/>
  <c r="B20" i="35"/>
  <c r="A20" i="35"/>
  <c r="G19" i="35"/>
  <c r="F19" i="35"/>
  <c r="E19" i="35"/>
  <c r="D19" i="35"/>
  <c r="C19" i="35"/>
  <c r="B19" i="35"/>
  <c r="A19" i="35"/>
  <c r="G18" i="35"/>
  <c r="F18" i="35"/>
  <c r="E18" i="35"/>
  <c r="D18" i="35"/>
  <c r="C18" i="35"/>
  <c r="B18" i="35"/>
  <c r="A18" i="35"/>
  <c r="G17" i="35"/>
  <c r="F17" i="35"/>
  <c r="E17" i="35"/>
  <c r="D17" i="35"/>
  <c r="C17" i="35"/>
  <c r="B17" i="35"/>
  <c r="A17" i="35"/>
  <c r="G16" i="35"/>
  <c r="F16" i="35"/>
  <c r="E16" i="35"/>
  <c r="D16" i="35"/>
  <c r="C16" i="35"/>
  <c r="B16" i="35"/>
  <c r="A16" i="35"/>
  <c r="G15" i="35"/>
  <c r="F15" i="35"/>
  <c r="E15" i="35"/>
  <c r="D15" i="35"/>
  <c r="C15" i="35"/>
  <c r="B15" i="35"/>
  <c r="A15" i="35"/>
  <c r="G14" i="35"/>
  <c r="F14" i="35"/>
  <c r="E14" i="35"/>
  <c r="D14" i="35"/>
  <c r="C14" i="35"/>
  <c r="B14" i="35"/>
  <c r="A14" i="35"/>
  <c r="G13" i="35"/>
  <c r="F13" i="35"/>
  <c r="E13" i="35"/>
  <c r="D13" i="35"/>
  <c r="C13" i="35"/>
  <c r="B13" i="35"/>
  <c r="A13" i="35"/>
  <c r="G12" i="35"/>
  <c r="F12" i="35"/>
  <c r="E12" i="35"/>
  <c r="D12" i="35"/>
  <c r="C12" i="35"/>
  <c r="B12" i="35"/>
  <c r="A12" i="35"/>
  <c r="G11" i="35"/>
  <c r="F11" i="35"/>
  <c r="E11" i="35"/>
  <c r="D11" i="35"/>
  <c r="C11" i="35"/>
  <c r="B11" i="35"/>
  <c r="A11" i="35"/>
  <c r="G10" i="35"/>
  <c r="F10" i="35"/>
  <c r="E10" i="35"/>
  <c r="D10" i="35"/>
  <c r="C10" i="35"/>
  <c r="B10" i="35"/>
  <c r="A10" i="35"/>
  <c r="C6" i="35"/>
  <c r="H5" i="35"/>
  <c r="C5" i="35"/>
  <c r="H4" i="35"/>
  <c r="C4" i="35"/>
  <c r="R61" i="36" l="1"/>
  <c r="R63" i="36"/>
  <c r="R62" i="36"/>
  <c r="R64" i="36"/>
  <c r="AD25" i="36"/>
  <c r="AD37" i="36"/>
  <c r="AD46" i="36"/>
  <c r="AD49" i="36"/>
  <c r="AH25" i="36"/>
  <c r="AH34" i="36"/>
  <c r="AF53" i="36"/>
  <c r="F36" i="2" l="1"/>
  <c r="C15" i="3"/>
  <c r="C11" i="36" s="1"/>
  <c r="D15" i="3"/>
  <c r="D11" i="36" s="1"/>
  <c r="F12" i="36" s="1"/>
  <c r="I15" i="3"/>
  <c r="I11" i="36" s="1"/>
  <c r="H15" i="3"/>
  <c r="H11" i="36" s="1"/>
  <c r="L15" i="3"/>
  <c r="J11" i="36" s="1"/>
  <c r="N15" i="3"/>
  <c r="N11" i="36" s="1"/>
  <c r="S15" i="3"/>
  <c r="R11" i="36" s="1"/>
  <c r="T15" i="3"/>
  <c r="C12" i="3"/>
  <c r="C8" i="36" s="1"/>
  <c r="D12" i="3"/>
  <c r="D8" i="36" s="1"/>
  <c r="E12" i="3"/>
  <c r="E8" i="36" s="1"/>
  <c r="F12" i="3"/>
  <c r="F8" i="36" s="1"/>
  <c r="AP82" i="25" a="1"/>
  <c r="AP82" i="25" s="1"/>
  <c r="Y82" i="25"/>
  <c r="X82" i="25"/>
  <c r="U82" i="25"/>
  <c r="Y81" i="25"/>
  <c r="X81" i="25"/>
  <c r="U81" i="25"/>
  <c r="Y80" i="25"/>
  <c r="X80" i="25"/>
  <c r="U80" i="25" a="1"/>
  <c r="U80" i="25" s="1"/>
  <c r="Y79" i="25"/>
  <c r="X79" i="25"/>
  <c r="U79" i="25"/>
  <c r="Y78" i="25"/>
  <c r="X78" i="25"/>
  <c r="U78" i="25"/>
  <c r="Y77" i="25"/>
  <c r="X77" i="25"/>
  <c r="U77" i="25"/>
  <c r="Y76" i="25"/>
  <c r="X76" i="25"/>
  <c r="U76" i="25"/>
  <c r="Y75" i="25"/>
  <c r="X75" i="25"/>
  <c r="U75" i="25"/>
  <c r="Y74" i="25"/>
  <c r="X74" i="25"/>
  <c r="U74" i="25"/>
  <c r="Y73" i="25"/>
  <c r="X73" i="25"/>
  <c r="U73" i="25"/>
  <c r="Y70" i="25"/>
  <c r="X70" i="25"/>
  <c r="AP35" i="25" a="1"/>
  <c r="AP35" i="25" s="1"/>
  <c r="X35" i="25"/>
  <c r="AP34" i="25" a="1"/>
  <c r="AP34" i="25" s="1"/>
  <c r="X34" i="25"/>
  <c r="U34" i="25"/>
  <c r="AP33" i="25" a="1"/>
  <c r="AP33" i="25" s="1"/>
  <c r="X33" i="25"/>
  <c r="U33" i="25"/>
  <c r="AP32" i="25" a="1"/>
  <c r="AP32" i="25" s="1"/>
  <c r="X32" i="25"/>
  <c r="U32" i="25"/>
  <c r="AP31" i="25" a="1"/>
  <c r="AP31" i="25" s="1"/>
  <c r="X31" i="25"/>
  <c r="U31" i="25"/>
  <c r="AP30" i="25" a="1"/>
  <c r="AP30" i="25" s="1"/>
  <c r="X30" i="25"/>
  <c r="U30" i="25"/>
  <c r="AP29" i="25" a="1"/>
  <c r="AP29" i="25" s="1"/>
  <c r="X29" i="25"/>
  <c r="U29" i="25"/>
  <c r="AP28" i="25" a="1"/>
  <c r="AP28" i="25" s="1"/>
  <c r="X28" i="25"/>
  <c r="U28" i="25"/>
  <c r="AP27" i="25" a="1"/>
  <c r="AP27" i="25" s="1"/>
  <c r="X27" i="25"/>
  <c r="U27" i="25"/>
  <c r="AP26" i="25" a="1"/>
  <c r="AP26" i="25" s="1"/>
  <c r="X26" i="25"/>
  <c r="U26" i="25"/>
  <c r="AP25" i="25" a="1"/>
  <c r="AP25" i="25" s="1"/>
  <c r="X25" i="25"/>
  <c r="U25" i="25"/>
  <c r="AP24" i="25" a="1"/>
  <c r="AP24" i="25" s="1"/>
  <c r="AP23" i="25" a="1"/>
  <c r="AP23" i="25" s="1"/>
  <c r="AP22" i="25" a="1"/>
  <c r="AP22" i="25" s="1"/>
  <c r="X22" i="25"/>
  <c r="AE49" i="2"/>
  <c r="I23" i="35" s="1"/>
  <c r="AE46" i="2"/>
  <c r="I22" i="35" s="1"/>
  <c r="AE43" i="2"/>
  <c r="I21" i="35" s="1"/>
  <c r="AE40" i="2"/>
  <c r="I20" i="35" s="1"/>
  <c r="AE37" i="2"/>
  <c r="I19" i="35" s="1"/>
  <c r="AE34" i="2"/>
  <c r="I18" i="35" s="1"/>
  <c r="AE31" i="2"/>
  <c r="I17" i="35" s="1"/>
  <c r="AE28" i="2"/>
  <c r="I16" i="35" s="1"/>
  <c r="AE25" i="2"/>
  <c r="I15" i="35" s="1"/>
  <c r="AE22" i="2"/>
  <c r="I14" i="35" s="1"/>
  <c r="O47" i="6"/>
  <c r="O46" i="6"/>
  <c r="O45" i="6"/>
  <c r="O44" i="6"/>
  <c r="O43" i="6"/>
  <c r="O42" i="6"/>
  <c r="O41" i="6"/>
  <c r="O40" i="6"/>
  <c r="O39" i="6"/>
  <c r="O38" i="6"/>
  <c r="O37" i="6"/>
  <c r="O36" i="6"/>
  <c r="O35" i="6"/>
  <c r="AE16" i="2" s="1"/>
  <c r="I12" i="35" s="1"/>
  <c r="W45" i="6"/>
  <c r="W42" i="6"/>
  <c r="W41" i="6"/>
  <c r="W40" i="6"/>
  <c r="D21" i="34"/>
  <c r="X33" i="6"/>
  <c r="Y47" i="6"/>
  <c r="Y46" i="6"/>
  <c r="Y45" i="6"/>
  <c r="Y44" i="6"/>
  <c r="Y43" i="6"/>
  <c r="Y42" i="6"/>
  <c r="Y41" i="6"/>
  <c r="Y40" i="6"/>
  <c r="Y39" i="6"/>
  <c r="Y38" i="6"/>
  <c r="Y37" i="6"/>
  <c r="Y36" i="6"/>
  <c r="Y35" i="6"/>
  <c r="Y34" i="6"/>
  <c r="Y33" i="6"/>
  <c r="M26" i="2"/>
  <c r="M50" i="2"/>
  <c r="U35" i="25" s="1"/>
  <c r="M47" i="2"/>
  <c r="M44" i="2"/>
  <c r="M41" i="2"/>
  <c r="M38" i="2"/>
  <c r="M35" i="2"/>
  <c r="M32" i="2"/>
  <c r="M29" i="2"/>
  <c r="M23" i="2"/>
  <c r="M20" i="2"/>
  <c r="Q33" i="6"/>
  <c r="F48" i="2"/>
  <c r="O105" i="6"/>
  <c r="O103" i="6"/>
  <c r="O101" i="6"/>
  <c r="O98" i="6"/>
  <c r="O96" i="6"/>
  <c r="O94" i="6"/>
  <c r="O92" i="6"/>
  <c r="O68" i="36" l="1"/>
  <c r="P68" i="36" s="1"/>
  <c r="R68" i="36" s="1"/>
  <c r="N68" i="36"/>
  <c r="L98" i="6"/>
  <c r="M98" i="6" s="1"/>
  <c r="AA106" i="6"/>
  <c r="AA105" i="6"/>
  <c r="AA104" i="6"/>
  <c r="AA103" i="6"/>
  <c r="AA102" i="6"/>
  <c r="AA101" i="6"/>
  <c r="AA100" i="6"/>
  <c r="AA99" i="6"/>
  <c r="AA98" i="6"/>
  <c r="AA97" i="6"/>
  <c r="AA96" i="6"/>
  <c r="AA95" i="6"/>
  <c r="AA94" i="6"/>
  <c r="AA93" i="6"/>
  <c r="AA92" i="6"/>
  <c r="AA47" i="6"/>
  <c r="AA46" i="6"/>
  <c r="AA45" i="6"/>
  <c r="AA44" i="6"/>
  <c r="AA43" i="6"/>
  <c r="AA42" i="6"/>
  <c r="AA41" i="6"/>
  <c r="AA40" i="6"/>
  <c r="AA39" i="6"/>
  <c r="AA38" i="6"/>
  <c r="AA37" i="6"/>
  <c r="AA36" i="6"/>
  <c r="AA35" i="6"/>
  <c r="AA34" i="6"/>
  <c r="AA33" i="6"/>
  <c r="F51" i="2"/>
  <c r="F45" i="2"/>
  <c r="F42" i="2"/>
  <c r="F39" i="2"/>
  <c r="F33" i="2"/>
  <c r="F30" i="2"/>
  <c r="F27" i="2"/>
  <c r="F24" i="2"/>
  <c r="F21" i="2"/>
  <c r="F18" i="2"/>
  <c r="F15" i="2"/>
  <c r="F12" i="2"/>
  <c r="F9" i="2"/>
  <c r="G24" i="34"/>
  <c r="F24" i="34"/>
  <c r="E24" i="34"/>
  <c r="D24" i="34"/>
  <c r="C24" i="34"/>
  <c r="B24" i="34"/>
  <c r="A24" i="34"/>
  <c r="G23" i="34"/>
  <c r="F23" i="34"/>
  <c r="E23" i="34"/>
  <c r="D23" i="34"/>
  <c r="C23" i="34"/>
  <c r="B23" i="34"/>
  <c r="A23" i="34"/>
  <c r="G22" i="34"/>
  <c r="F22" i="34"/>
  <c r="E22" i="34"/>
  <c r="D22" i="34"/>
  <c r="C22" i="34"/>
  <c r="B22" i="34"/>
  <c r="A22" i="34"/>
  <c r="G21" i="34"/>
  <c r="F21" i="34"/>
  <c r="E21" i="34"/>
  <c r="C21" i="34"/>
  <c r="B21" i="34"/>
  <c r="A21" i="34"/>
  <c r="G20" i="34"/>
  <c r="F20" i="34"/>
  <c r="E20" i="34"/>
  <c r="D20" i="34"/>
  <c r="C20" i="34"/>
  <c r="B20" i="34"/>
  <c r="A20" i="34"/>
  <c r="G19" i="34"/>
  <c r="F19" i="34"/>
  <c r="E19" i="34"/>
  <c r="D19" i="34"/>
  <c r="C19" i="34"/>
  <c r="B19" i="34"/>
  <c r="A19" i="34"/>
  <c r="G18" i="34"/>
  <c r="F18" i="34"/>
  <c r="E18" i="34"/>
  <c r="D18" i="34"/>
  <c r="C18" i="34"/>
  <c r="B18" i="34"/>
  <c r="A18" i="34"/>
  <c r="G17" i="34"/>
  <c r="F17" i="34"/>
  <c r="E17" i="34"/>
  <c r="D17" i="34"/>
  <c r="C17" i="34"/>
  <c r="B17" i="34"/>
  <c r="G16" i="34"/>
  <c r="F16" i="34"/>
  <c r="E16" i="34"/>
  <c r="D16" i="34"/>
  <c r="C16" i="34"/>
  <c r="B16" i="34"/>
  <c r="A16" i="34"/>
  <c r="A17" i="34"/>
  <c r="G15" i="34"/>
  <c r="F15" i="34"/>
  <c r="E15" i="34"/>
  <c r="D15" i="34"/>
  <c r="C15" i="34"/>
  <c r="B15" i="34"/>
  <c r="A15" i="34"/>
  <c r="G14" i="34"/>
  <c r="F14" i="34"/>
  <c r="E14" i="34"/>
  <c r="D14" i="34"/>
  <c r="C14" i="34"/>
  <c r="B14" i="34"/>
  <c r="A14" i="34"/>
  <c r="G13" i="34"/>
  <c r="F13" i="34"/>
  <c r="E13" i="34"/>
  <c r="D13" i="34"/>
  <c r="C13" i="34"/>
  <c r="B13" i="34"/>
  <c r="A13" i="34"/>
  <c r="G12" i="34"/>
  <c r="F12" i="34"/>
  <c r="E12" i="34"/>
  <c r="D12" i="34"/>
  <c r="C12" i="34"/>
  <c r="B12" i="34"/>
  <c r="A12" i="34"/>
  <c r="G11" i="34"/>
  <c r="F11" i="34"/>
  <c r="E11" i="34"/>
  <c r="D11" i="34"/>
  <c r="C11" i="34"/>
  <c r="B11" i="34"/>
  <c r="A11" i="34"/>
  <c r="G10" i="34"/>
  <c r="F10" i="34"/>
  <c r="E10" i="34"/>
  <c r="D10" i="34"/>
  <c r="C10" i="34"/>
  <c r="B10" i="34"/>
  <c r="A10" i="34"/>
  <c r="H4" i="34"/>
  <c r="M15" i="3" l="1"/>
  <c r="C6" i="34"/>
  <c r="H5" i="34"/>
  <c r="C5" i="34"/>
  <c r="C4" i="34"/>
  <c r="N75" i="2"/>
  <c r="Q74" i="2" s="1"/>
  <c r="N94" i="6"/>
  <c r="U94" i="6"/>
  <c r="U70" i="25" l="1"/>
  <c r="K11" i="36"/>
  <c r="M11" i="36" s="1"/>
  <c r="N106" i="6"/>
  <c r="N105" i="6"/>
  <c r="U105" i="6" s="1"/>
  <c r="N104" i="6"/>
  <c r="N103" i="6"/>
  <c r="U103" i="6" s="1"/>
  <c r="N102" i="6"/>
  <c r="N101" i="6"/>
  <c r="U101" i="6" s="1"/>
  <c r="N100" i="6"/>
  <c r="N99" i="6"/>
  <c r="N98" i="6"/>
  <c r="U98" i="6" s="1"/>
  <c r="N97" i="6"/>
  <c r="N96" i="6"/>
  <c r="U96" i="6" s="1"/>
  <c r="N95" i="6"/>
  <c r="N93" i="6"/>
  <c r="N92" i="6"/>
  <c r="AD13" i="36" l="1"/>
  <c r="AH13" i="36" s="1"/>
  <c r="AE13" i="36"/>
  <c r="Q59" i="36"/>
  <c r="U104" i="6"/>
  <c r="O104" i="6" s="1"/>
  <c r="U102" i="6"/>
  <c r="O102" i="6"/>
  <c r="U100" i="6"/>
  <c r="O100" i="6"/>
  <c r="U99" i="6"/>
  <c r="O99" i="6"/>
  <c r="U97" i="6"/>
  <c r="O97" i="6"/>
  <c r="U95" i="6"/>
  <c r="O95" i="6" s="1"/>
  <c r="U93" i="6"/>
  <c r="O93" i="6"/>
  <c r="U106" i="6"/>
  <c r="O106" i="6" s="1"/>
  <c r="L142" i="6"/>
  <c r="L158" i="6" s="1"/>
  <c r="Y5" i="20"/>
  <c r="I12" i="3"/>
  <c r="I8" i="36" s="1"/>
  <c r="W184" i="6"/>
  <c r="E70" i="25"/>
  <c r="F15" i="3"/>
  <c r="L284" i="6"/>
  <c r="Q75" i="2"/>
  <c r="Z271" i="6"/>
  <c r="Y271" i="6"/>
  <c r="X271" i="6"/>
  <c r="W271" i="6"/>
  <c r="V271" i="6"/>
  <c r="U271" i="6"/>
  <c r="T271" i="6"/>
  <c r="S271" i="6"/>
  <c r="R271" i="6"/>
  <c r="Q271" i="6"/>
  <c r="P271" i="6"/>
  <c r="O271" i="6"/>
  <c r="N271" i="6"/>
  <c r="Z264" i="6"/>
  <c r="Y264" i="6"/>
  <c r="X264" i="6"/>
  <c r="W264" i="6"/>
  <c r="V264" i="6"/>
  <c r="U264" i="6"/>
  <c r="T264" i="6"/>
  <c r="S264" i="6"/>
  <c r="R264" i="6"/>
  <c r="Q264" i="6"/>
  <c r="P264" i="6"/>
  <c r="O264" i="6"/>
  <c r="N264" i="6"/>
  <c r="M264" i="6"/>
  <c r="L264" i="6"/>
  <c r="Y284" i="6"/>
  <c r="X284" i="6"/>
  <c r="W284" i="6"/>
  <c r="V284" i="6"/>
  <c r="U279" i="6"/>
  <c r="T284" i="6"/>
  <c r="S284" i="6"/>
  <c r="R284" i="6"/>
  <c r="Q284" i="6"/>
  <c r="P284" i="6"/>
  <c r="O284" i="6"/>
  <c r="N279" i="6"/>
  <c r="M284" i="6"/>
  <c r="N33" i="6"/>
  <c r="O33" i="6" s="1"/>
  <c r="N34" i="6"/>
  <c r="V93" i="6"/>
  <c r="D22" i="25"/>
  <c r="K22" i="25"/>
  <c r="J22" i="25"/>
  <c r="M22" i="25"/>
  <c r="L22" i="25"/>
  <c r="D21" i="25"/>
  <c r="K21" i="25"/>
  <c r="J21" i="25"/>
  <c r="M21" i="25"/>
  <c r="L21" i="25"/>
  <c r="AE21" i="25" s="1"/>
  <c r="P33" i="6"/>
  <c r="V92" i="6"/>
  <c r="N134" i="6"/>
  <c r="N150" i="6" s="1"/>
  <c r="N35" i="6"/>
  <c r="N36" i="6"/>
  <c r="L118" i="6"/>
  <c r="M118" i="6"/>
  <c r="N118" i="6"/>
  <c r="O118" i="6"/>
  <c r="M120" i="6"/>
  <c r="N120" i="6"/>
  <c r="O120" i="6"/>
  <c r="L122" i="6"/>
  <c r="M122" i="6"/>
  <c r="N122" i="6"/>
  <c r="O122" i="6"/>
  <c r="L123" i="6"/>
  <c r="M123" i="6"/>
  <c r="N123" i="6"/>
  <c r="O123" i="6"/>
  <c r="L124" i="6"/>
  <c r="M124" i="6"/>
  <c r="N124" i="6"/>
  <c r="O124" i="6"/>
  <c r="L125" i="6"/>
  <c r="M125" i="6"/>
  <c r="N125" i="6"/>
  <c r="O125" i="6"/>
  <c r="N126" i="6"/>
  <c r="O126" i="6"/>
  <c r="L60" i="2" a="1"/>
  <c r="L60" i="2" s="1"/>
  <c r="N62" i="2"/>
  <c r="P62" i="2" s="1"/>
  <c r="N63" i="2"/>
  <c r="P63" i="2" s="1"/>
  <c r="X34" i="6"/>
  <c r="X35" i="6"/>
  <c r="X36" i="6"/>
  <c r="S118" i="6"/>
  <c r="V118" i="6"/>
  <c r="Y118" i="6"/>
  <c r="S120" i="6"/>
  <c r="V120" i="6"/>
  <c r="Y120" i="6"/>
  <c r="V121" i="6"/>
  <c r="S122" i="6"/>
  <c r="V122" i="6"/>
  <c r="Y122" i="6"/>
  <c r="S123" i="6"/>
  <c r="V123" i="6"/>
  <c r="Y123" i="6"/>
  <c r="S124" i="6"/>
  <c r="V124" i="6"/>
  <c r="Y124" i="6"/>
  <c r="S125" i="6"/>
  <c r="V125" i="6"/>
  <c r="Y125" i="6"/>
  <c r="S126" i="6"/>
  <c r="V126" i="6"/>
  <c r="Y126" i="6"/>
  <c r="X40" i="6"/>
  <c r="X43" i="6"/>
  <c r="X46" i="6"/>
  <c r="D28" i="25"/>
  <c r="K28" i="25"/>
  <c r="J28" i="25"/>
  <c r="M28" i="25"/>
  <c r="L28" i="25"/>
  <c r="AD29" i="6"/>
  <c r="D31" i="25"/>
  <c r="K31" i="25"/>
  <c r="J31" i="25"/>
  <c r="M31" i="25"/>
  <c r="L31" i="25"/>
  <c r="D34" i="25"/>
  <c r="K34" i="25"/>
  <c r="J34" i="25"/>
  <c r="M34" i="25"/>
  <c r="L34" i="25"/>
  <c r="N40" i="6"/>
  <c r="N43" i="6"/>
  <c r="V17" i="6" s="1"/>
  <c r="N46" i="6"/>
  <c r="Y17" i="6" s="1"/>
  <c r="D24" i="25"/>
  <c r="K24" i="25"/>
  <c r="J24" i="25"/>
  <c r="M24" i="25"/>
  <c r="L24" i="25"/>
  <c r="AB13" i="1"/>
  <c r="P74" i="2" s="1"/>
  <c r="P74" i="36" s="1"/>
  <c r="AB14" i="1"/>
  <c r="D35" i="25"/>
  <c r="K35" i="25"/>
  <c r="J35" i="25"/>
  <c r="M35" i="25"/>
  <c r="L35" i="25"/>
  <c r="N47" i="6"/>
  <c r="Z17" i="6" s="1"/>
  <c r="D33" i="25"/>
  <c r="K33" i="25"/>
  <c r="J33" i="25"/>
  <c r="M33" i="25"/>
  <c r="L33" i="25"/>
  <c r="N45" i="6"/>
  <c r="D32" i="25"/>
  <c r="K32" i="25"/>
  <c r="J32" i="25"/>
  <c r="M32" i="25"/>
  <c r="L32" i="25"/>
  <c r="N44" i="6"/>
  <c r="W17" i="6" s="1"/>
  <c r="Q43" i="6"/>
  <c r="P43" i="6" s="1"/>
  <c r="D30" i="25"/>
  <c r="K30" i="25"/>
  <c r="J30" i="25"/>
  <c r="M30" i="25"/>
  <c r="L30" i="25"/>
  <c r="N42" i="6"/>
  <c r="U17" i="6" s="1"/>
  <c r="D29" i="25"/>
  <c r="K29" i="25"/>
  <c r="J29" i="25"/>
  <c r="M29" i="25"/>
  <c r="L29" i="25"/>
  <c r="N41" i="6"/>
  <c r="T17" i="6" s="1"/>
  <c r="D26" i="25"/>
  <c r="K26" i="25"/>
  <c r="J26" i="25"/>
  <c r="M26" i="25"/>
  <c r="L26" i="25"/>
  <c r="N38" i="6"/>
  <c r="D25" i="25"/>
  <c r="K25" i="25"/>
  <c r="J25" i="25"/>
  <c r="M25" i="25"/>
  <c r="L25" i="25"/>
  <c r="D27" i="25"/>
  <c r="K27" i="25"/>
  <c r="J27" i="25"/>
  <c r="M27" i="25"/>
  <c r="L27" i="25"/>
  <c r="N39" i="6"/>
  <c r="N37" i="6"/>
  <c r="P17" i="6" s="1"/>
  <c r="Q36" i="6"/>
  <c r="P36" i="6" s="1"/>
  <c r="Q34" i="6"/>
  <c r="P34" i="6" s="1"/>
  <c r="D23" i="25"/>
  <c r="K23" i="25"/>
  <c r="J23" i="25"/>
  <c r="M23" i="25"/>
  <c r="L23" i="25"/>
  <c r="P134" i="6"/>
  <c r="Q138" i="6"/>
  <c r="Q154" i="6" s="1"/>
  <c r="R99" i="6"/>
  <c r="T99" i="6" s="1"/>
  <c r="R100" i="6"/>
  <c r="T100" i="6" s="1"/>
  <c r="Z101" i="6"/>
  <c r="Z102" i="6"/>
  <c r="W134" i="6"/>
  <c r="W150" i="6" s="1"/>
  <c r="Z104" i="6"/>
  <c r="Y134" i="6"/>
  <c r="Y150" i="6" s="1"/>
  <c r="Q62" i="2"/>
  <c r="R95" i="6"/>
  <c r="T95" i="6" s="1"/>
  <c r="R97" i="6"/>
  <c r="T97" i="6" s="1"/>
  <c r="R106" i="6"/>
  <c r="T106" i="6" s="1"/>
  <c r="Y92" i="6"/>
  <c r="Y93" i="6"/>
  <c r="Y94" i="6"/>
  <c r="Y95" i="6"/>
  <c r="Y96" i="6"/>
  <c r="Y97" i="6"/>
  <c r="Y98" i="6"/>
  <c r="Y99" i="6"/>
  <c r="Y100" i="6"/>
  <c r="Y101" i="6"/>
  <c r="Y102" i="6"/>
  <c r="Y103" i="6"/>
  <c r="Y104" i="6"/>
  <c r="Y105" i="6"/>
  <c r="Y106" i="6"/>
  <c r="X92" i="6"/>
  <c r="X93" i="6"/>
  <c r="X94" i="6"/>
  <c r="X95" i="6"/>
  <c r="X96" i="6"/>
  <c r="X97" i="6"/>
  <c r="X98" i="6"/>
  <c r="X99" i="6"/>
  <c r="X100" i="6"/>
  <c r="X101" i="6"/>
  <c r="X102" i="6"/>
  <c r="X103" i="6"/>
  <c r="X104" i="6"/>
  <c r="X105" i="6"/>
  <c r="X106" i="6"/>
  <c r="V94" i="6"/>
  <c r="V95" i="6"/>
  <c r="V96" i="6"/>
  <c r="V97" i="6"/>
  <c r="V98" i="6"/>
  <c r="V99" i="6"/>
  <c r="V100" i="6"/>
  <c r="V101" i="6"/>
  <c r="V102" i="6"/>
  <c r="V103" i="6"/>
  <c r="V104" i="6"/>
  <c r="V105" i="6"/>
  <c r="V106" i="6"/>
  <c r="L92" i="6"/>
  <c r="M92" i="6" s="1"/>
  <c r="L93" i="6"/>
  <c r="M93" i="6" s="1"/>
  <c r="L94" i="6"/>
  <c r="M94" i="6" s="1"/>
  <c r="L95" i="6"/>
  <c r="M95" i="6" s="1"/>
  <c r="L96" i="6"/>
  <c r="M96" i="6" s="1"/>
  <c r="L97" i="6"/>
  <c r="M97" i="6" s="1"/>
  <c r="L99" i="6"/>
  <c r="M99" i="6" s="1"/>
  <c r="L100" i="6"/>
  <c r="M100" i="6" s="1"/>
  <c r="L101" i="6"/>
  <c r="M101" i="6" s="1"/>
  <c r="L102" i="6"/>
  <c r="M102" i="6" s="1"/>
  <c r="L103" i="6"/>
  <c r="M103" i="6" s="1"/>
  <c r="L104" i="6"/>
  <c r="M104" i="6" s="1"/>
  <c r="L105" i="6"/>
  <c r="M105" i="6" s="1"/>
  <c r="L106" i="6"/>
  <c r="M106" i="6" s="1"/>
  <c r="AD23" i="6"/>
  <c r="W34" i="6" s="1"/>
  <c r="AD24" i="6"/>
  <c r="AD25" i="6"/>
  <c r="W36" i="6" s="1"/>
  <c r="AD26" i="6"/>
  <c r="W37" i="6" s="1"/>
  <c r="AD28" i="6"/>
  <c r="W39" i="6" s="1"/>
  <c r="AD22" i="6"/>
  <c r="W33" i="6" s="1"/>
  <c r="AD31" i="6"/>
  <c r="AD32" i="6"/>
  <c r="AD34" i="6"/>
  <c r="AD35" i="6"/>
  <c r="AD27" i="6"/>
  <c r="W38" i="6" s="1"/>
  <c r="AD30" i="6"/>
  <c r="AD33" i="6"/>
  <c r="L44" i="6" s="1"/>
  <c r="AD36" i="6"/>
  <c r="X37" i="6"/>
  <c r="X39" i="6"/>
  <c r="X38" i="6"/>
  <c r="X41" i="6"/>
  <c r="X42" i="6"/>
  <c r="X44" i="6"/>
  <c r="X45" i="6"/>
  <c r="X47" i="6"/>
  <c r="O63" i="2"/>
  <c r="O64" i="2"/>
  <c r="O62" i="2"/>
  <c r="P117" i="6"/>
  <c r="X117" i="6"/>
  <c r="P118" i="6"/>
  <c r="R118" i="6"/>
  <c r="Q118" i="6"/>
  <c r="T118" i="6"/>
  <c r="U118" i="6"/>
  <c r="W118" i="6"/>
  <c r="X118" i="6"/>
  <c r="Z118" i="6"/>
  <c r="W119" i="6"/>
  <c r="P120" i="6"/>
  <c r="R120" i="6"/>
  <c r="Q120" i="6"/>
  <c r="T120" i="6"/>
  <c r="U120" i="6"/>
  <c r="W120" i="6"/>
  <c r="X120" i="6"/>
  <c r="Z120" i="6"/>
  <c r="P122" i="6"/>
  <c r="R122" i="6"/>
  <c r="Q122" i="6"/>
  <c r="T122" i="6"/>
  <c r="U122" i="6"/>
  <c r="W122" i="6"/>
  <c r="X122" i="6"/>
  <c r="Z122" i="6"/>
  <c r="P123" i="6"/>
  <c r="R123" i="6"/>
  <c r="Q123" i="6"/>
  <c r="T123" i="6"/>
  <c r="U123" i="6"/>
  <c r="W123" i="6"/>
  <c r="X123" i="6"/>
  <c r="Z123" i="6"/>
  <c r="P124" i="6"/>
  <c r="R124" i="6"/>
  <c r="Q124" i="6"/>
  <c r="T124" i="6"/>
  <c r="U124" i="6"/>
  <c r="W124" i="6"/>
  <c r="X124" i="6"/>
  <c r="Z124" i="6"/>
  <c r="P125" i="6"/>
  <c r="R125" i="6"/>
  <c r="Q125" i="6"/>
  <c r="T125" i="6"/>
  <c r="U125" i="6"/>
  <c r="W125" i="6"/>
  <c r="X125" i="6"/>
  <c r="Z125" i="6"/>
  <c r="P126" i="6"/>
  <c r="R126" i="6"/>
  <c r="Q126" i="6"/>
  <c r="T126" i="6"/>
  <c r="U126" i="6"/>
  <c r="W126" i="6"/>
  <c r="X126" i="6"/>
  <c r="Z126" i="6"/>
  <c r="N29" i="6"/>
  <c r="H27" i="6"/>
  <c r="AI52" i="2"/>
  <c r="C40" i="6"/>
  <c r="C39" i="6"/>
  <c r="C38" i="6"/>
  <c r="C37" i="6"/>
  <c r="C35" i="6"/>
  <c r="C34" i="6"/>
  <c r="H69" i="25"/>
  <c r="L12" i="3"/>
  <c r="E57" i="3"/>
  <c r="AR35" i="25"/>
  <c r="AR34" i="25"/>
  <c r="AR33" i="25"/>
  <c r="AR32" i="25"/>
  <c r="AR31" i="25"/>
  <c r="AR30" i="25"/>
  <c r="AR29" i="25"/>
  <c r="AR28" i="25"/>
  <c r="AR27" i="25"/>
  <c r="AR26" i="25"/>
  <c r="AR25" i="25"/>
  <c r="AR24" i="25"/>
  <c r="AR23" i="25"/>
  <c r="AR22" i="25"/>
  <c r="AR21" i="25"/>
  <c r="C35" i="25"/>
  <c r="E35" i="25"/>
  <c r="F35" i="25"/>
  <c r="Y35" i="25" s="1"/>
  <c r="G35" i="25"/>
  <c r="H35" i="25"/>
  <c r="I35" i="25"/>
  <c r="AL35" i="25"/>
  <c r="I22" i="25"/>
  <c r="E22" i="25"/>
  <c r="I21" i="25"/>
  <c r="E21" i="25"/>
  <c r="I23" i="25"/>
  <c r="E23" i="25"/>
  <c r="I24" i="25"/>
  <c r="E24" i="25"/>
  <c r="I25" i="25"/>
  <c r="E25" i="25"/>
  <c r="I26" i="25"/>
  <c r="E26" i="25"/>
  <c r="I27" i="25"/>
  <c r="E27" i="25"/>
  <c r="I28" i="25"/>
  <c r="E28" i="25"/>
  <c r="I29" i="25"/>
  <c r="E29" i="25"/>
  <c r="I30" i="25"/>
  <c r="E30" i="25"/>
  <c r="I31" i="25"/>
  <c r="E31" i="25"/>
  <c r="I32" i="25"/>
  <c r="E32" i="25"/>
  <c r="I33" i="25"/>
  <c r="E33" i="25"/>
  <c r="I34" i="25"/>
  <c r="E34" i="25"/>
  <c r="C34" i="25"/>
  <c r="F34" i="25"/>
  <c r="Y34" i="25" s="1"/>
  <c r="G34" i="25"/>
  <c r="H34" i="25"/>
  <c r="AL34" i="25"/>
  <c r="AL33" i="25"/>
  <c r="F33" i="25"/>
  <c r="Y33" i="25" s="1"/>
  <c r="C33" i="25"/>
  <c r="G33" i="25"/>
  <c r="H33" i="25"/>
  <c r="AL32" i="25"/>
  <c r="C32" i="25"/>
  <c r="G32" i="25"/>
  <c r="F32" i="25"/>
  <c r="Y32" i="25" s="1"/>
  <c r="H32" i="25"/>
  <c r="AL31" i="25"/>
  <c r="F31" i="25"/>
  <c r="Y31" i="25" s="1"/>
  <c r="C31" i="25"/>
  <c r="G31" i="25"/>
  <c r="H31" i="25"/>
  <c r="AL30" i="25"/>
  <c r="F30" i="25"/>
  <c r="Y30" i="25" s="1"/>
  <c r="H30" i="25"/>
  <c r="G30" i="25"/>
  <c r="C30" i="25"/>
  <c r="C29" i="25"/>
  <c r="F29" i="25"/>
  <c r="Y29" i="25" s="1"/>
  <c r="G29" i="25"/>
  <c r="H29" i="25"/>
  <c r="AL29" i="25"/>
  <c r="C28" i="25"/>
  <c r="F28" i="25"/>
  <c r="Y28" i="25" s="1"/>
  <c r="G28" i="25"/>
  <c r="H28" i="25"/>
  <c r="AL28" i="25"/>
  <c r="AK2" i="6"/>
  <c r="AK3" i="6"/>
  <c r="AK4" i="6"/>
  <c r="AK5" i="6"/>
  <c r="AK6" i="6"/>
  <c r="AK7" i="6"/>
  <c r="AK8" i="6"/>
  <c r="AK9" i="6"/>
  <c r="AK10" i="6"/>
  <c r="AK11" i="6"/>
  <c r="AK12" i="6"/>
  <c r="AK13" i="6"/>
  <c r="AK14" i="6"/>
  <c r="AK15" i="6"/>
  <c r="AK16" i="6"/>
  <c r="AK17" i="6"/>
  <c r="AK18" i="6"/>
  <c r="C27" i="25"/>
  <c r="F27" i="25"/>
  <c r="Y27" i="25" s="1"/>
  <c r="G27" i="25"/>
  <c r="H27" i="25"/>
  <c r="AL27" i="25"/>
  <c r="AJ2" i="6"/>
  <c r="AJ3" i="6"/>
  <c r="AJ4" i="6"/>
  <c r="AJ5" i="6"/>
  <c r="AJ6" i="6"/>
  <c r="AJ7" i="6"/>
  <c r="AJ8" i="6"/>
  <c r="AJ9" i="6"/>
  <c r="AJ10" i="6"/>
  <c r="AJ11" i="6"/>
  <c r="AJ12" i="6"/>
  <c r="AJ13" i="6"/>
  <c r="AJ14" i="6"/>
  <c r="AJ15" i="6"/>
  <c r="AJ16" i="6"/>
  <c r="AJ17" i="6"/>
  <c r="AJ18" i="6"/>
  <c r="AL26" i="25"/>
  <c r="H26" i="25"/>
  <c r="G26" i="25"/>
  <c r="F26" i="25"/>
  <c r="Y26" i="25" s="1"/>
  <c r="C26" i="25"/>
  <c r="AL25" i="25"/>
  <c r="H25" i="25"/>
  <c r="G25" i="25"/>
  <c r="F25" i="25"/>
  <c r="Y25" i="25" s="1"/>
  <c r="C25" i="25"/>
  <c r="AL24" i="25"/>
  <c r="H24" i="25"/>
  <c r="G24" i="25"/>
  <c r="F24" i="25"/>
  <c r="C24" i="25"/>
  <c r="AL23" i="25"/>
  <c r="H23" i="25"/>
  <c r="G23" i="25"/>
  <c r="F23" i="25"/>
  <c r="C23" i="25"/>
  <c r="AL22" i="25"/>
  <c r="H22" i="25"/>
  <c r="G22" i="25"/>
  <c r="F22" i="25"/>
  <c r="Y22" i="25" s="1"/>
  <c r="C22" i="25"/>
  <c r="AL21" i="25"/>
  <c r="AG21" i="25"/>
  <c r="AF21" i="25"/>
  <c r="H21" i="25"/>
  <c r="G21" i="25"/>
  <c r="F21" i="25"/>
  <c r="C21" i="25"/>
  <c r="H26" i="6"/>
  <c r="AU16" i="1"/>
  <c r="AU15" i="1"/>
  <c r="AU14" i="1"/>
  <c r="AB12" i="1"/>
  <c r="P24" i="3"/>
  <c r="P12" i="3"/>
  <c r="P54" i="3"/>
  <c r="P51" i="3"/>
  <c r="P48" i="3"/>
  <c r="P45" i="3"/>
  <c r="P42" i="3"/>
  <c r="P39" i="3"/>
  <c r="P36" i="3"/>
  <c r="P33" i="3"/>
  <c r="P30" i="3"/>
  <c r="P27" i="3"/>
  <c r="P21" i="3"/>
  <c r="P18" i="3"/>
  <c r="P15" i="3"/>
  <c r="O54" i="3"/>
  <c r="O51" i="3"/>
  <c r="O48" i="3"/>
  <c r="O45" i="3"/>
  <c r="O42" i="3"/>
  <c r="O39" i="3"/>
  <c r="O36" i="3"/>
  <c r="O33" i="3"/>
  <c r="O30" i="3"/>
  <c r="O27" i="3"/>
  <c r="O24" i="3"/>
  <c r="O21" i="3"/>
  <c r="O18" i="3"/>
  <c r="O15" i="3"/>
  <c r="O12" i="3"/>
  <c r="AD12" i="3"/>
  <c r="AA183" i="6" s="1"/>
  <c r="E18" i="3"/>
  <c r="E21" i="3"/>
  <c r="E17" i="36" s="1"/>
  <c r="M21" i="3"/>
  <c r="N21" i="3"/>
  <c r="AD21" i="3"/>
  <c r="AA186" i="6" s="1"/>
  <c r="V72" i="25"/>
  <c r="H28" i="20"/>
  <c r="I28" i="20"/>
  <c r="H29" i="20"/>
  <c r="I29" i="20"/>
  <c r="M12" i="3"/>
  <c r="K8" i="36" s="1"/>
  <c r="M8" i="36" s="1"/>
  <c r="AD54" i="3"/>
  <c r="AD51" i="3"/>
  <c r="AA196" i="6" s="1"/>
  <c r="AD48" i="3"/>
  <c r="AD45" i="3"/>
  <c r="AA194" i="6" s="1"/>
  <c r="AD42" i="3"/>
  <c r="AD39" i="3"/>
  <c r="AA192" i="6" s="1"/>
  <c r="AD36" i="3"/>
  <c r="AA191" i="6" s="1"/>
  <c r="AD33" i="3"/>
  <c r="AA190" i="6" s="1"/>
  <c r="AD30" i="3"/>
  <c r="R46" i="9" s="1"/>
  <c r="AD27" i="3"/>
  <c r="Q46" i="9" s="1"/>
  <c r="AD24" i="3"/>
  <c r="AA187" i="6" s="1"/>
  <c r="AD18" i="3"/>
  <c r="N46" i="9" s="1"/>
  <c r="AD15" i="3"/>
  <c r="T83" i="25"/>
  <c r="T82" i="25"/>
  <c r="T81" i="25"/>
  <c r="T80" i="25"/>
  <c r="T79" i="25"/>
  <c r="T78" i="25"/>
  <c r="T77" i="25"/>
  <c r="T76" i="25"/>
  <c r="T75" i="25"/>
  <c r="T74" i="25"/>
  <c r="T73" i="25"/>
  <c r="T72" i="25"/>
  <c r="T71" i="25"/>
  <c r="T70" i="25"/>
  <c r="T69" i="25"/>
  <c r="S83" i="25"/>
  <c r="S82" i="25"/>
  <c r="S81" i="25"/>
  <c r="S80" i="25"/>
  <c r="S79" i="25"/>
  <c r="S78" i="25"/>
  <c r="S77" i="25"/>
  <c r="S76" i="25"/>
  <c r="S75" i="25"/>
  <c r="S74" i="25"/>
  <c r="S73" i="25"/>
  <c r="S72" i="25"/>
  <c r="S71" i="25"/>
  <c r="S70" i="25"/>
  <c r="S69" i="25"/>
  <c r="E72" i="25"/>
  <c r="F72" i="25"/>
  <c r="G72" i="25"/>
  <c r="I72" i="25"/>
  <c r="J72" i="25"/>
  <c r="K72" i="25"/>
  <c r="L72" i="25"/>
  <c r="M72" i="25"/>
  <c r="W83" i="25"/>
  <c r="W82" i="25"/>
  <c r="W81" i="25"/>
  <c r="W80" i="25"/>
  <c r="W79" i="25"/>
  <c r="W78" i="25"/>
  <c r="W77" i="25"/>
  <c r="W76" i="25"/>
  <c r="W75" i="25"/>
  <c r="W74" i="25"/>
  <c r="W73" i="25"/>
  <c r="W72" i="25"/>
  <c r="W71" i="25"/>
  <c r="W70" i="25"/>
  <c r="AG69" i="25"/>
  <c r="AF69" i="25"/>
  <c r="W69" i="25"/>
  <c r="AO72" i="25"/>
  <c r="W106" i="6"/>
  <c r="W105" i="6"/>
  <c r="W102" i="6"/>
  <c r="W101" i="6"/>
  <c r="W100" i="6"/>
  <c r="W99" i="6"/>
  <c r="W98" i="6"/>
  <c r="W97" i="6"/>
  <c r="W95" i="6"/>
  <c r="W94" i="6"/>
  <c r="G9" i="3"/>
  <c r="N12" i="3"/>
  <c r="N8" i="36" s="1"/>
  <c r="T18" i="3"/>
  <c r="S14" i="36" s="1"/>
  <c r="U18" i="3"/>
  <c r="T14" i="36" s="1"/>
  <c r="V18" i="3"/>
  <c r="U14" i="36" s="1"/>
  <c r="W18" i="3"/>
  <c r="V14" i="36" s="1"/>
  <c r="X18" i="3"/>
  <c r="W14" i="36" s="1"/>
  <c r="Y18" i="3"/>
  <c r="X14" i="36" s="1"/>
  <c r="Z18" i="3"/>
  <c r="AA18" i="3"/>
  <c r="AB18" i="3"/>
  <c r="AC18" i="3"/>
  <c r="S18" i="3"/>
  <c r="R14" i="36" s="1"/>
  <c r="U15" i="3"/>
  <c r="V15" i="3"/>
  <c r="W15" i="3"/>
  <c r="X15" i="3"/>
  <c r="Y15" i="3"/>
  <c r="Z15" i="3"/>
  <c r="AA15" i="3"/>
  <c r="AB15" i="3"/>
  <c r="AC15" i="3"/>
  <c r="N54" i="3"/>
  <c r="N51" i="3"/>
  <c r="X18" i="20" s="1"/>
  <c r="N48" i="3"/>
  <c r="X17" i="20" s="1"/>
  <c r="N45" i="3"/>
  <c r="N42" i="3"/>
  <c r="N39" i="3"/>
  <c r="N36" i="3"/>
  <c r="X13" i="20" s="1"/>
  <c r="N33" i="3"/>
  <c r="X12" i="20" s="1"/>
  <c r="N30" i="3"/>
  <c r="N27" i="3"/>
  <c r="M27" i="3"/>
  <c r="H44" i="9" s="1"/>
  <c r="N24" i="3"/>
  <c r="N18" i="3"/>
  <c r="N14" i="36" s="1"/>
  <c r="M54" i="3"/>
  <c r="M51" i="3"/>
  <c r="M48" i="3"/>
  <c r="W17" i="20" s="1"/>
  <c r="M45" i="3"/>
  <c r="V80" i="25" s="1"/>
  <c r="M42" i="3"/>
  <c r="V79" i="25" s="1"/>
  <c r="M39" i="3"/>
  <c r="V78" i="25" s="1"/>
  <c r="M36" i="3"/>
  <c r="V77" i="25" s="1"/>
  <c r="M33" i="3"/>
  <c r="V76" i="25" s="1"/>
  <c r="M30" i="3"/>
  <c r="V75" i="25" s="1"/>
  <c r="M24" i="3"/>
  <c r="M18" i="3"/>
  <c r="L54" i="3"/>
  <c r="J50" i="36" s="1"/>
  <c r="AH52" i="36" s="1"/>
  <c r="E54" i="3"/>
  <c r="L51" i="3"/>
  <c r="E51" i="3"/>
  <c r="L48" i="3"/>
  <c r="E48" i="3"/>
  <c r="E44" i="36" s="1"/>
  <c r="AE46" i="36" s="1"/>
  <c r="L45" i="3"/>
  <c r="L42" i="3"/>
  <c r="E42" i="3"/>
  <c r="L39" i="3"/>
  <c r="L36" i="3"/>
  <c r="L33" i="3"/>
  <c r="L30" i="3"/>
  <c r="L27" i="3"/>
  <c r="L24" i="3"/>
  <c r="L21" i="3"/>
  <c r="L18" i="3"/>
  <c r="J14" i="36" s="1"/>
  <c r="AH16" i="36" s="1"/>
  <c r="I54" i="3"/>
  <c r="I50" i="36" s="1"/>
  <c r="I51" i="3"/>
  <c r="I48" i="3"/>
  <c r="I45" i="3"/>
  <c r="I42" i="3"/>
  <c r="I39" i="3"/>
  <c r="I36" i="3"/>
  <c r="I33" i="3"/>
  <c r="W45" i="9" s="1"/>
  <c r="I30" i="3"/>
  <c r="I27" i="3"/>
  <c r="I24" i="3"/>
  <c r="I21" i="3"/>
  <c r="I17" i="36" s="1"/>
  <c r="I18" i="3"/>
  <c r="I14" i="36" s="1"/>
  <c r="H54" i="3"/>
  <c r="H50" i="36" s="1"/>
  <c r="H51" i="3"/>
  <c r="H48" i="3"/>
  <c r="H45" i="3"/>
  <c r="H42" i="3"/>
  <c r="H39" i="3"/>
  <c r="H36" i="3"/>
  <c r="H33" i="3"/>
  <c r="H30" i="3"/>
  <c r="H27" i="3"/>
  <c r="H24" i="3"/>
  <c r="H21" i="3"/>
  <c r="H17" i="36" s="1"/>
  <c r="H18" i="3"/>
  <c r="H14" i="36" s="1"/>
  <c r="H12" i="3"/>
  <c r="E45" i="3"/>
  <c r="E39" i="3"/>
  <c r="E36" i="3"/>
  <c r="E33" i="3"/>
  <c r="E30" i="3"/>
  <c r="E27" i="3"/>
  <c r="E24" i="3"/>
  <c r="D54" i="3"/>
  <c r="D51" i="3"/>
  <c r="AR82" i="25" s="1"/>
  <c r="D48" i="3"/>
  <c r="W195" i="6" s="1"/>
  <c r="D45" i="3"/>
  <c r="Y16" i="20" s="1"/>
  <c r="D42" i="3"/>
  <c r="AR79" i="25" s="1"/>
  <c r="D39" i="3"/>
  <c r="D36" i="3"/>
  <c r="D33" i="3"/>
  <c r="AR76" i="25" s="1"/>
  <c r="D30" i="3"/>
  <c r="AR75" i="25" s="1"/>
  <c r="D27" i="3"/>
  <c r="D24" i="3"/>
  <c r="AR73" i="25" s="1"/>
  <c r="D21" i="3"/>
  <c r="D17" i="36" s="1"/>
  <c r="D18" i="3"/>
  <c r="C56" i="3"/>
  <c r="C55" i="3"/>
  <c r="C54" i="3"/>
  <c r="C50" i="36" s="1"/>
  <c r="C53" i="3"/>
  <c r="C52" i="3"/>
  <c r="C51" i="3"/>
  <c r="C50" i="3"/>
  <c r="C49" i="3"/>
  <c r="C48" i="3"/>
  <c r="C47" i="3"/>
  <c r="C46" i="3"/>
  <c r="C45" i="3"/>
  <c r="C44" i="3"/>
  <c r="C43" i="3"/>
  <c r="C42" i="3"/>
  <c r="C41" i="3"/>
  <c r="C40" i="3"/>
  <c r="C39" i="3"/>
  <c r="C38" i="3"/>
  <c r="C37" i="3"/>
  <c r="C36" i="3"/>
  <c r="C35" i="3"/>
  <c r="C34" i="3"/>
  <c r="C33" i="3"/>
  <c r="C32" i="3"/>
  <c r="C31" i="3"/>
  <c r="C30" i="3"/>
  <c r="C29" i="3"/>
  <c r="C28" i="3"/>
  <c r="C27" i="3"/>
  <c r="C26" i="3"/>
  <c r="C25" i="3"/>
  <c r="C24" i="3"/>
  <c r="C23" i="3"/>
  <c r="C22" i="3"/>
  <c r="C18" i="36" s="1"/>
  <c r="C21" i="3"/>
  <c r="C17" i="36" s="1"/>
  <c r="C20" i="3"/>
  <c r="C19" i="3"/>
  <c r="C18" i="3"/>
  <c r="C14" i="36" s="1"/>
  <c r="C17" i="3"/>
  <c r="C16" i="3"/>
  <c r="C14" i="3"/>
  <c r="C13" i="3"/>
  <c r="G14" i="3"/>
  <c r="G10" i="36" s="1"/>
  <c r="G17" i="3"/>
  <c r="G13" i="36" s="1"/>
  <c r="F18" i="3"/>
  <c r="G20" i="3"/>
  <c r="G16" i="36" s="1"/>
  <c r="F21" i="3"/>
  <c r="T54" i="3"/>
  <c r="U54" i="3"/>
  <c r="V54" i="3"/>
  <c r="W54" i="3"/>
  <c r="X54" i="3"/>
  <c r="Y54" i="3"/>
  <c r="Z54" i="3"/>
  <c r="AA54" i="3"/>
  <c r="AR54" i="6" s="1"/>
  <c r="AB54" i="3"/>
  <c r="AC54" i="3"/>
  <c r="T51" i="3"/>
  <c r="U51" i="3"/>
  <c r="V51" i="3"/>
  <c r="W51" i="3"/>
  <c r="X51" i="3"/>
  <c r="Y51" i="3"/>
  <c r="AQ50" i="6" s="1"/>
  <c r="Z51" i="3"/>
  <c r="AA51" i="3"/>
  <c r="AB51" i="3"/>
  <c r="AC51" i="3"/>
  <c r="T48" i="3"/>
  <c r="U48" i="3"/>
  <c r="V48" i="3"/>
  <c r="W48" i="3"/>
  <c r="X48" i="3"/>
  <c r="Y48" i="3"/>
  <c r="Z48" i="3"/>
  <c r="AA48" i="3"/>
  <c r="AB48" i="3"/>
  <c r="AC48" i="3"/>
  <c r="T45" i="3"/>
  <c r="U45" i="3"/>
  <c r="AO43" i="6" s="1"/>
  <c r="V45" i="3"/>
  <c r="W45" i="3"/>
  <c r="X45" i="3"/>
  <c r="Y45" i="3"/>
  <c r="Z45" i="3"/>
  <c r="AA45" i="3"/>
  <c r="AB45" i="3"/>
  <c r="AC45" i="3"/>
  <c r="T42" i="3"/>
  <c r="U42" i="3"/>
  <c r="V42" i="3"/>
  <c r="W42" i="3"/>
  <c r="X42" i="3"/>
  <c r="Y42" i="3"/>
  <c r="Z42" i="3"/>
  <c r="AA42" i="3"/>
  <c r="AN41" i="6" s="1"/>
  <c r="AB42" i="3"/>
  <c r="AC42" i="3"/>
  <c r="T39" i="3"/>
  <c r="U39" i="3"/>
  <c r="V39" i="3"/>
  <c r="W39" i="3"/>
  <c r="X39" i="3"/>
  <c r="Y39" i="3"/>
  <c r="AM41" i="6" s="1"/>
  <c r="Z39" i="3"/>
  <c r="AA39" i="3"/>
  <c r="AB39" i="3"/>
  <c r="AC39" i="3"/>
  <c r="T36" i="3"/>
  <c r="U36" i="3"/>
  <c r="V36" i="3"/>
  <c r="W36" i="3"/>
  <c r="X36" i="3"/>
  <c r="Y36" i="3"/>
  <c r="Z36" i="3"/>
  <c r="AA36" i="3"/>
  <c r="AB36" i="3"/>
  <c r="AC36" i="3"/>
  <c r="T33" i="3"/>
  <c r="U33" i="3"/>
  <c r="AK60" i="6" s="1"/>
  <c r="V33" i="3"/>
  <c r="W33" i="3"/>
  <c r="X33" i="3"/>
  <c r="Y33" i="3"/>
  <c r="Z33" i="3"/>
  <c r="AA33" i="3"/>
  <c r="AB33" i="3"/>
  <c r="AC33" i="3"/>
  <c r="T30" i="3"/>
  <c r="U30" i="3"/>
  <c r="V30" i="3"/>
  <c r="W30" i="3"/>
  <c r="X30" i="3"/>
  <c r="Y30" i="3"/>
  <c r="Z30" i="3"/>
  <c r="AA30" i="3"/>
  <c r="Z26" i="36" s="1"/>
  <c r="AB30" i="3"/>
  <c r="AC30" i="3"/>
  <c r="T27" i="3"/>
  <c r="U27" i="3"/>
  <c r="V27" i="3"/>
  <c r="W27" i="3"/>
  <c r="X27" i="3"/>
  <c r="W23" i="36" s="1"/>
  <c r="Y27" i="3"/>
  <c r="Z27" i="3"/>
  <c r="AA27" i="3"/>
  <c r="AB27" i="3"/>
  <c r="AC27" i="3"/>
  <c r="T21" i="3"/>
  <c r="S17" i="36" s="1"/>
  <c r="U21" i="3"/>
  <c r="T17" i="36" s="1"/>
  <c r="V21" i="3"/>
  <c r="U17" i="36" s="1"/>
  <c r="W21" i="3"/>
  <c r="V17" i="36" s="1"/>
  <c r="X21" i="3"/>
  <c r="Y21" i="3"/>
  <c r="Z21" i="3"/>
  <c r="AA21" i="3"/>
  <c r="AB21" i="3"/>
  <c r="AC21" i="3"/>
  <c r="Z284" i="6"/>
  <c r="K263" i="6"/>
  <c r="K264" i="6"/>
  <c r="K265" i="6"/>
  <c r="M265" i="6"/>
  <c r="K266" i="6"/>
  <c r="K267" i="6"/>
  <c r="M267" i="6"/>
  <c r="K268" i="6"/>
  <c r="K269" i="6"/>
  <c r="K270" i="6"/>
  <c r="K271" i="6"/>
  <c r="AV72" i="1"/>
  <c r="AV71" i="1"/>
  <c r="AV70" i="1"/>
  <c r="J71" i="2"/>
  <c r="Z279" i="6"/>
  <c r="AR18" i="6"/>
  <c r="AR17" i="6"/>
  <c r="AR16" i="6"/>
  <c r="AR15" i="6"/>
  <c r="AR14" i="6"/>
  <c r="AR13" i="6"/>
  <c r="AR12" i="6"/>
  <c r="AR11" i="6"/>
  <c r="AR10" i="6"/>
  <c r="AR9" i="6"/>
  <c r="AR8" i="6"/>
  <c r="AR7" i="6"/>
  <c r="AR6" i="6"/>
  <c r="AR5" i="6"/>
  <c r="AR4" i="6"/>
  <c r="AR3" i="6"/>
  <c r="AR2" i="6"/>
  <c r="AQ18" i="6"/>
  <c r="AQ17" i="6"/>
  <c r="AQ16" i="6"/>
  <c r="AQ15" i="6"/>
  <c r="AQ14" i="6"/>
  <c r="AQ13" i="6"/>
  <c r="AQ12" i="6"/>
  <c r="AQ11" i="6"/>
  <c r="AQ10" i="6"/>
  <c r="AQ9" i="6"/>
  <c r="AQ8" i="6"/>
  <c r="AQ7" i="6"/>
  <c r="AQ6" i="6"/>
  <c r="AQ5" i="6"/>
  <c r="AQ4" i="6"/>
  <c r="AQ3" i="6"/>
  <c r="AQ2" i="6"/>
  <c r="U47" i="6"/>
  <c r="U46" i="6"/>
  <c r="U45" i="6"/>
  <c r="U44" i="6"/>
  <c r="U43" i="6"/>
  <c r="U42" i="6"/>
  <c r="U41" i="6"/>
  <c r="U40" i="6"/>
  <c r="U39" i="6"/>
  <c r="U38" i="6"/>
  <c r="U37" i="6"/>
  <c r="U36" i="6"/>
  <c r="U35" i="6"/>
  <c r="U34" i="6"/>
  <c r="U33" i="6"/>
  <c r="R16" i="25"/>
  <c r="R15" i="25"/>
  <c r="R14" i="25"/>
  <c r="R13" i="25"/>
  <c r="R12" i="25"/>
  <c r="R11" i="25"/>
  <c r="R10" i="25"/>
  <c r="R9" i="25"/>
  <c r="R8" i="25"/>
  <c r="R7" i="25"/>
  <c r="R6" i="25"/>
  <c r="R5" i="25"/>
  <c r="R4" i="25"/>
  <c r="R3" i="25"/>
  <c r="R2" i="25"/>
  <c r="S16" i="25"/>
  <c r="S15" i="25"/>
  <c r="S14" i="25"/>
  <c r="S13" i="25"/>
  <c r="S12" i="25"/>
  <c r="S11" i="25"/>
  <c r="S10" i="25"/>
  <c r="S9" i="25"/>
  <c r="S8" i="25"/>
  <c r="S7" i="25"/>
  <c r="S6" i="25"/>
  <c r="S5" i="25"/>
  <c r="S4" i="25"/>
  <c r="S3" i="25"/>
  <c r="S2" i="25"/>
  <c r="B17" i="25"/>
  <c r="B16" i="25"/>
  <c r="B15" i="25"/>
  <c r="B14" i="25"/>
  <c r="B13" i="25"/>
  <c r="B12" i="25"/>
  <c r="B11" i="25"/>
  <c r="B10" i="25"/>
  <c r="B9" i="25"/>
  <c r="B8" i="25"/>
  <c r="B7" i="25"/>
  <c r="B6" i="25"/>
  <c r="B5" i="25"/>
  <c r="B4" i="25"/>
  <c r="B3" i="25"/>
  <c r="Q16" i="25"/>
  <c r="Q15" i="25"/>
  <c r="Q14" i="25"/>
  <c r="Q13" i="25"/>
  <c r="Q12" i="25"/>
  <c r="Q11" i="25"/>
  <c r="Q10" i="25"/>
  <c r="Q9" i="25"/>
  <c r="Q8" i="25"/>
  <c r="Q7" i="25"/>
  <c r="Q6" i="25"/>
  <c r="Q5" i="25"/>
  <c r="Q4" i="25"/>
  <c r="Q3" i="25"/>
  <c r="Q2" i="25"/>
  <c r="P16" i="25"/>
  <c r="P15" i="25"/>
  <c r="P14" i="25"/>
  <c r="P13" i="25"/>
  <c r="P12" i="25"/>
  <c r="P11" i="25"/>
  <c r="P10" i="25"/>
  <c r="P9" i="25"/>
  <c r="P8" i="25"/>
  <c r="P7" i="25"/>
  <c r="P6" i="25"/>
  <c r="P5" i="25"/>
  <c r="P4" i="25"/>
  <c r="P3" i="25"/>
  <c r="P2" i="25"/>
  <c r="K2" i="25" a="1"/>
  <c r="K2" i="25" s="1"/>
  <c r="J9" i="25"/>
  <c r="J10" i="25"/>
  <c r="J11" i="25"/>
  <c r="J12" i="25"/>
  <c r="J3" i="25"/>
  <c r="J4" i="25"/>
  <c r="J5" i="25"/>
  <c r="J6" i="25"/>
  <c r="J7" i="25"/>
  <c r="J8" i="25"/>
  <c r="J2" i="25"/>
  <c r="I16" i="30"/>
  <c r="I20" i="30"/>
  <c r="F20" i="30"/>
  <c r="D9" i="30"/>
  <c r="H6" i="30"/>
  <c r="C7" i="30"/>
  <c r="C6" i="30"/>
  <c r="P150" i="6"/>
  <c r="K15" i="6"/>
  <c r="H36" i="6"/>
  <c r="H35" i="6"/>
  <c r="H34" i="6"/>
  <c r="H33" i="6"/>
  <c r="H32" i="6"/>
  <c r="H31" i="6"/>
  <c r="H30" i="6"/>
  <c r="H28" i="6"/>
  <c r="K246" i="6"/>
  <c r="K247" i="6"/>
  <c r="K248" i="6"/>
  <c r="K249" i="6"/>
  <c r="K250" i="6"/>
  <c r="K251" i="6"/>
  <c r="K252" i="6"/>
  <c r="K253" i="6"/>
  <c r="K254" i="6"/>
  <c r="K228" i="6"/>
  <c r="K229" i="6"/>
  <c r="K230" i="6"/>
  <c r="K231" i="6"/>
  <c r="K232" i="6"/>
  <c r="K233" i="6"/>
  <c r="K234" i="6"/>
  <c r="K235" i="6"/>
  <c r="K236" i="6"/>
  <c r="K207" i="6"/>
  <c r="K208" i="6"/>
  <c r="K209" i="6"/>
  <c r="K210" i="6"/>
  <c r="K211" i="6"/>
  <c r="K212" i="6"/>
  <c r="K213" i="6"/>
  <c r="K214" i="6"/>
  <c r="K215" i="6"/>
  <c r="K169" i="6"/>
  <c r="K170" i="6"/>
  <c r="K171" i="6"/>
  <c r="K172" i="6"/>
  <c r="K173" i="6"/>
  <c r="K174" i="6"/>
  <c r="K175" i="6"/>
  <c r="K176" i="6"/>
  <c r="K177" i="6"/>
  <c r="K151" i="6"/>
  <c r="K152" i="6"/>
  <c r="K153" i="6"/>
  <c r="K154" i="6"/>
  <c r="K155" i="6"/>
  <c r="K156" i="6"/>
  <c r="K157" i="6"/>
  <c r="K158" i="6"/>
  <c r="K159" i="6"/>
  <c r="K135" i="6"/>
  <c r="K136" i="6"/>
  <c r="Q63" i="2" s="1"/>
  <c r="K137" i="6"/>
  <c r="K138" i="6"/>
  <c r="K139" i="6"/>
  <c r="K140" i="6"/>
  <c r="K141" i="6"/>
  <c r="K142" i="6"/>
  <c r="K143" i="6"/>
  <c r="K118" i="6"/>
  <c r="K119" i="6"/>
  <c r="N64" i="2" s="1"/>
  <c r="P64" i="2" s="1"/>
  <c r="K120" i="6"/>
  <c r="K121" i="6"/>
  <c r="K122" i="6"/>
  <c r="K123" i="6"/>
  <c r="K124" i="6"/>
  <c r="K125" i="6"/>
  <c r="K126" i="6"/>
  <c r="K77" i="6"/>
  <c r="K78" i="6"/>
  <c r="K79" i="6"/>
  <c r="K80" i="6"/>
  <c r="K81" i="6"/>
  <c r="K82" i="6"/>
  <c r="K83" i="6"/>
  <c r="K84" i="6"/>
  <c r="K85" i="6"/>
  <c r="K59" i="6"/>
  <c r="K60" i="6"/>
  <c r="K61" i="6"/>
  <c r="K62" i="6"/>
  <c r="K63" i="6"/>
  <c r="K64" i="6"/>
  <c r="K65" i="6"/>
  <c r="K66" i="6"/>
  <c r="K67" i="6"/>
  <c r="K19" i="6"/>
  <c r="K21" i="6"/>
  <c r="K22" i="6"/>
  <c r="K23" i="6"/>
  <c r="K24" i="6"/>
  <c r="K25" i="6"/>
  <c r="K26" i="6"/>
  <c r="K27" i="6"/>
  <c r="K13" i="6"/>
  <c r="K5" i="6"/>
  <c r="K6" i="6"/>
  <c r="K7" i="6"/>
  <c r="K8" i="6"/>
  <c r="K9" i="6"/>
  <c r="K10" i="6"/>
  <c r="K11" i="6"/>
  <c r="K12" i="6"/>
  <c r="M5" i="20"/>
  <c r="E40" i="20"/>
  <c r="R6" i="7"/>
  <c r="F23" i="7" s="1"/>
  <c r="B14" i="7"/>
  <c r="B11" i="7"/>
  <c r="B6" i="7"/>
  <c r="A6" i="7"/>
  <c r="D17" i="25"/>
  <c r="D16" i="25"/>
  <c r="D15" i="25"/>
  <c r="D14" i="25"/>
  <c r="D13" i="25"/>
  <c r="D12" i="25"/>
  <c r="D11" i="25"/>
  <c r="D10" i="25"/>
  <c r="D9" i="25"/>
  <c r="D8" i="25"/>
  <c r="D7" i="25"/>
  <c r="D6" i="25"/>
  <c r="D5" i="25"/>
  <c r="D4" i="25"/>
  <c r="C17" i="25"/>
  <c r="C16" i="25"/>
  <c r="C15" i="25"/>
  <c r="C14" i="25"/>
  <c r="C13" i="25"/>
  <c r="C12" i="25"/>
  <c r="C11" i="25"/>
  <c r="C10" i="25"/>
  <c r="C9" i="25"/>
  <c r="C8" i="25"/>
  <c r="C7" i="25"/>
  <c r="C6" i="25"/>
  <c r="C5" i="25"/>
  <c r="C4" i="25"/>
  <c r="D3" i="25"/>
  <c r="C3" i="25"/>
  <c r="S13" i="3"/>
  <c r="T13" i="3"/>
  <c r="Q3" i="24"/>
  <c r="L3" i="24"/>
  <c r="D3" i="24"/>
  <c r="AA185" i="6"/>
  <c r="U13" i="3"/>
  <c r="V13" i="3"/>
  <c r="W13" i="3"/>
  <c r="X13" i="3"/>
  <c r="Y13" i="3"/>
  <c r="Z13" i="3"/>
  <c r="AA13" i="3"/>
  <c r="AB13" i="3"/>
  <c r="M13" i="23"/>
  <c r="M14" i="23"/>
  <c r="M15" i="23"/>
  <c r="M16" i="23"/>
  <c r="M17" i="23"/>
  <c r="M18" i="23"/>
  <c r="M19" i="23"/>
  <c r="M20" i="23"/>
  <c r="M21" i="23"/>
  <c r="M22" i="23"/>
  <c r="M23" i="23"/>
  <c r="M24" i="23"/>
  <c r="M25" i="23"/>
  <c r="M12" i="23"/>
  <c r="L13" i="23"/>
  <c r="L14" i="23"/>
  <c r="L15" i="23"/>
  <c r="L16" i="23"/>
  <c r="L17" i="23"/>
  <c r="L18" i="23"/>
  <c r="L19" i="23"/>
  <c r="L20" i="23"/>
  <c r="L21" i="23"/>
  <c r="L22" i="23"/>
  <c r="L23" i="23"/>
  <c r="L24" i="23"/>
  <c r="L25" i="23"/>
  <c r="L12" i="23"/>
  <c r="K13" i="23"/>
  <c r="K14" i="23"/>
  <c r="K15" i="23"/>
  <c r="K16" i="23"/>
  <c r="K17" i="23"/>
  <c r="K18" i="23"/>
  <c r="K19" i="23"/>
  <c r="K20" i="23"/>
  <c r="K21" i="23"/>
  <c r="K22" i="23"/>
  <c r="K23" i="23"/>
  <c r="K24" i="23"/>
  <c r="K25" i="23"/>
  <c r="K12" i="23"/>
  <c r="G13" i="23"/>
  <c r="G14" i="23"/>
  <c r="G15" i="23"/>
  <c r="G16" i="23"/>
  <c r="G17" i="23"/>
  <c r="G18" i="23"/>
  <c r="G19" i="23"/>
  <c r="G20" i="23"/>
  <c r="G21" i="23"/>
  <c r="G22" i="23"/>
  <c r="G23" i="23"/>
  <c r="G24" i="23"/>
  <c r="G25" i="23"/>
  <c r="G12" i="23"/>
  <c r="F13" i="23"/>
  <c r="F14" i="23"/>
  <c r="F15" i="23"/>
  <c r="F16" i="23"/>
  <c r="F17" i="23"/>
  <c r="F18" i="23"/>
  <c r="F19" i="23"/>
  <c r="F20" i="23"/>
  <c r="F21" i="23"/>
  <c r="F22" i="23"/>
  <c r="F23" i="23"/>
  <c r="F24" i="23"/>
  <c r="F25" i="23"/>
  <c r="F12" i="23"/>
  <c r="E13" i="23"/>
  <c r="E14" i="23"/>
  <c r="E15" i="23"/>
  <c r="E16" i="23"/>
  <c r="E17" i="23"/>
  <c r="E18" i="23"/>
  <c r="E19" i="23"/>
  <c r="E20" i="23"/>
  <c r="E21" i="23"/>
  <c r="E22" i="23"/>
  <c r="E23" i="23"/>
  <c r="E24" i="23"/>
  <c r="E25" i="23"/>
  <c r="E12" i="23"/>
  <c r="D13" i="23"/>
  <c r="D14" i="23"/>
  <c r="D15" i="23"/>
  <c r="D16" i="23"/>
  <c r="D17" i="23"/>
  <c r="D18" i="23"/>
  <c r="D19" i="23"/>
  <c r="D20" i="23"/>
  <c r="D21" i="23"/>
  <c r="D22" i="23"/>
  <c r="D23" i="23"/>
  <c r="D24" i="23"/>
  <c r="D25" i="23"/>
  <c r="D12" i="23"/>
  <c r="C14" i="23"/>
  <c r="C15" i="23"/>
  <c r="C16" i="23"/>
  <c r="C17" i="23"/>
  <c r="C18" i="23"/>
  <c r="C19" i="23"/>
  <c r="C20" i="23"/>
  <c r="C21" i="23"/>
  <c r="C22" i="23"/>
  <c r="C23" i="23"/>
  <c r="C24" i="23"/>
  <c r="C25" i="23"/>
  <c r="C13" i="23"/>
  <c r="C12" i="23"/>
  <c r="B25" i="23"/>
  <c r="B24" i="23"/>
  <c r="B23" i="23"/>
  <c r="B22" i="23"/>
  <c r="B21" i="23"/>
  <c r="B20" i="23"/>
  <c r="B19" i="23"/>
  <c r="B18" i="23"/>
  <c r="B17" i="23"/>
  <c r="B16" i="23"/>
  <c r="B15" i="23"/>
  <c r="B14" i="23"/>
  <c r="B13" i="23"/>
  <c r="B12" i="23"/>
  <c r="L9" i="23"/>
  <c r="C9" i="23"/>
  <c r="L8" i="23"/>
  <c r="C8" i="23"/>
  <c r="L7" i="23"/>
  <c r="C7" i="23"/>
  <c r="Y6" i="22"/>
  <c r="H8" i="22"/>
  <c r="H6" i="22"/>
  <c r="R32" i="22"/>
  <c r="A26" i="7"/>
  <c r="A20" i="7"/>
  <c r="AD18" i="6"/>
  <c r="AD17" i="6"/>
  <c r="AD16" i="6"/>
  <c r="AD15" i="6"/>
  <c r="AD14" i="6"/>
  <c r="AD13" i="6"/>
  <c r="AD12" i="6"/>
  <c r="AD11" i="6"/>
  <c r="AD10" i="6"/>
  <c r="AD9" i="6"/>
  <c r="AD8" i="6"/>
  <c r="AD7" i="6"/>
  <c r="AD6" i="6"/>
  <c r="AD5" i="6"/>
  <c r="AD4" i="6"/>
  <c r="AD3" i="6"/>
  <c r="AD2" i="6"/>
  <c r="L9" i="19"/>
  <c r="L8" i="19"/>
  <c r="K165" i="6"/>
  <c r="K4" i="21"/>
  <c r="D7" i="7"/>
  <c r="Q47" i="6"/>
  <c r="P47" i="6" s="1"/>
  <c r="Q46" i="6"/>
  <c r="P46" i="6" s="1"/>
  <c r="Q45" i="6"/>
  <c r="P45" i="6" s="1"/>
  <c r="Q44" i="6"/>
  <c r="P44" i="6" s="1"/>
  <c r="Q42" i="6"/>
  <c r="P42" i="6" s="1"/>
  <c r="Q41" i="6"/>
  <c r="P41" i="6" s="1"/>
  <c r="AD53" i="2"/>
  <c r="AF54" i="2" s="1"/>
  <c r="L7" i="19"/>
  <c r="C9" i="19"/>
  <c r="C8" i="19"/>
  <c r="C7" i="19"/>
  <c r="J6" i="3"/>
  <c r="E6" i="3"/>
  <c r="T22" i="3"/>
  <c r="U22" i="3"/>
  <c r="V22" i="3"/>
  <c r="W22" i="3"/>
  <c r="X22" i="3"/>
  <c r="Y22" i="3"/>
  <c r="Z22" i="3"/>
  <c r="AA22" i="3"/>
  <c r="AB22" i="3"/>
  <c r="S22" i="3"/>
  <c r="T19" i="3"/>
  <c r="U19" i="3"/>
  <c r="V19" i="3"/>
  <c r="W19" i="3"/>
  <c r="X19" i="3"/>
  <c r="Y19" i="3"/>
  <c r="Z19" i="3"/>
  <c r="AA19" i="3"/>
  <c r="AB19" i="3"/>
  <c r="S19" i="3"/>
  <c r="T16" i="3"/>
  <c r="U16" i="3"/>
  <c r="V16" i="3"/>
  <c r="W16" i="3"/>
  <c r="X16" i="3"/>
  <c r="Y16" i="3"/>
  <c r="Z16" i="3"/>
  <c r="AA16" i="3"/>
  <c r="AB16" i="3"/>
  <c r="S16" i="3"/>
  <c r="H25" i="4"/>
  <c r="H48" i="4"/>
  <c r="AA48" i="4"/>
  <c r="AA25" i="4"/>
  <c r="AA2" i="4"/>
  <c r="H2" i="4"/>
  <c r="Q3" i="8"/>
  <c r="AG8" i="6"/>
  <c r="AH8" i="6"/>
  <c r="AI8" i="6"/>
  <c r="AL8" i="6"/>
  <c r="AM8" i="6"/>
  <c r="AN8" i="6"/>
  <c r="AO8" i="6"/>
  <c r="AP8" i="6"/>
  <c r="AG9" i="6"/>
  <c r="AH9" i="6"/>
  <c r="AI9" i="6"/>
  <c r="AL9" i="6"/>
  <c r="AM9" i="6"/>
  <c r="AN9" i="6"/>
  <c r="AO9" i="6"/>
  <c r="AP9" i="6"/>
  <c r="AG10" i="6"/>
  <c r="AH10" i="6"/>
  <c r="AI10" i="6"/>
  <c r="AL10" i="6"/>
  <c r="AM10" i="6"/>
  <c r="AN10" i="6"/>
  <c r="AO10" i="6"/>
  <c r="AP10" i="6"/>
  <c r="AG11" i="6"/>
  <c r="AH11" i="6"/>
  <c r="AI11" i="6"/>
  <c r="AL11" i="6"/>
  <c r="AM11" i="6"/>
  <c r="AN11" i="6"/>
  <c r="AO11" i="6"/>
  <c r="AP11" i="6"/>
  <c r="AG12" i="6"/>
  <c r="AH12" i="6"/>
  <c r="AI12" i="6"/>
  <c r="AL12" i="6"/>
  <c r="AM12" i="6"/>
  <c r="AN12" i="6"/>
  <c r="AO12" i="6"/>
  <c r="AP12" i="6"/>
  <c r="AG13" i="6"/>
  <c r="AH13" i="6"/>
  <c r="AI13" i="6"/>
  <c r="AL13" i="6"/>
  <c r="AM13" i="6"/>
  <c r="AN13" i="6"/>
  <c r="AO13" i="6"/>
  <c r="AP13" i="6"/>
  <c r="AG14" i="6"/>
  <c r="AH14" i="6"/>
  <c r="AI14" i="6"/>
  <c r="AL14" i="6"/>
  <c r="AM14" i="6"/>
  <c r="AN14" i="6"/>
  <c r="AO14" i="6"/>
  <c r="AP14" i="6"/>
  <c r="AG15" i="6"/>
  <c r="AH15" i="6"/>
  <c r="AI15" i="6"/>
  <c r="AL15" i="6"/>
  <c r="AM15" i="6"/>
  <c r="AN15" i="6"/>
  <c r="AO15" i="6"/>
  <c r="AP15" i="6"/>
  <c r="AG16" i="6"/>
  <c r="AH16" i="6"/>
  <c r="AI16" i="6"/>
  <c r="AL16" i="6"/>
  <c r="AM16" i="6"/>
  <c r="AN16" i="6"/>
  <c r="AO16" i="6"/>
  <c r="AP16" i="6"/>
  <c r="AG17" i="6"/>
  <c r="AH17" i="6"/>
  <c r="AI17" i="6"/>
  <c r="AL17" i="6"/>
  <c r="AM17" i="6"/>
  <c r="AN17" i="6"/>
  <c r="AO17" i="6"/>
  <c r="AP17" i="6"/>
  <c r="AG18" i="6"/>
  <c r="AH18" i="6"/>
  <c r="AI18" i="6"/>
  <c r="AL18" i="6"/>
  <c r="AM18" i="6"/>
  <c r="AN18" i="6"/>
  <c r="AO18" i="6"/>
  <c r="AP18" i="6"/>
  <c r="AF8" i="6"/>
  <c r="AF9" i="6"/>
  <c r="AF10" i="6"/>
  <c r="AF11" i="6"/>
  <c r="AF12" i="6"/>
  <c r="AF13" i="6"/>
  <c r="AF14" i="6"/>
  <c r="AF15" i="6"/>
  <c r="AF16" i="6"/>
  <c r="AF17" i="6"/>
  <c r="AF18" i="6"/>
  <c r="AE8" i="6"/>
  <c r="AE9" i="6"/>
  <c r="AE10" i="6"/>
  <c r="AE11" i="6"/>
  <c r="AE12" i="6"/>
  <c r="AE13" i="6"/>
  <c r="AE14" i="6"/>
  <c r="AE15" i="6"/>
  <c r="AE16" i="6"/>
  <c r="AE17" i="6"/>
  <c r="AE18" i="6"/>
  <c r="AB55" i="3"/>
  <c r="AA55" i="3"/>
  <c r="Z55" i="3"/>
  <c r="Y55" i="3"/>
  <c r="X55" i="3"/>
  <c r="W55" i="3"/>
  <c r="V55" i="3"/>
  <c r="U55" i="3"/>
  <c r="T55" i="3"/>
  <c r="S55" i="3"/>
  <c r="AB52" i="3"/>
  <c r="AA52" i="3"/>
  <c r="Z52" i="3"/>
  <c r="Y52" i="3"/>
  <c r="X52" i="3"/>
  <c r="W52" i="3"/>
  <c r="V52" i="3"/>
  <c r="U52" i="3"/>
  <c r="T52" i="3"/>
  <c r="S52" i="3"/>
  <c r="AB49" i="3"/>
  <c r="AA49" i="3"/>
  <c r="Z49" i="3"/>
  <c r="Y49" i="3"/>
  <c r="X49" i="3"/>
  <c r="W49" i="3"/>
  <c r="V49" i="3"/>
  <c r="U49" i="3"/>
  <c r="T49" i="3"/>
  <c r="S49" i="3"/>
  <c r="AB46" i="3"/>
  <c r="AA46" i="3"/>
  <c r="Z46" i="3"/>
  <c r="Y46" i="3"/>
  <c r="X46" i="3"/>
  <c r="W46" i="3"/>
  <c r="V46" i="3"/>
  <c r="U46" i="3"/>
  <c r="T46" i="3"/>
  <c r="S46" i="3"/>
  <c r="AB43" i="3"/>
  <c r="AA43" i="3"/>
  <c r="Z43" i="3"/>
  <c r="Y43" i="3"/>
  <c r="X43" i="3"/>
  <c r="W43" i="3"/>
  <c r="V43" i="3"/>
  <c r="U43" i="3"/>
  <c r="T43" i="3"/>
  <c r="S43" i="3"/>
  <c r="AB40" i="3"/>
  <c r="AA40" i="3"/>
  <c r="Z40" i="3"/>
  <c r="Y40" i="3"/>
  <c r="X40" i="3"/>
  <c r="W40" i="3"/>
  <c r="V40" i="3"/>
  <c r="U40" i="3"/>
  <c r="T40" i="3"/>
  <c r="S40" i="3"/>
  <c r="AB37" i="3"/>
  <c r="AA37" i="3"/>
  <c r="Z37" i="3"/>
  <c r="Y37" i="3"/>
  <c r="X37" i="3"/>
  <c r="W37" i="3"/>
  <c r="V37" i="3"/>
  <c r="U37" i="3"/>
  <c r="T37" i="3"/>
  <c r="S37" i="3"/>
  <c r="AB34" i="3"/>
  <c r="AA34" i="3"/>
  <c r="Z34" i="3"/>
  <c r="Y34" i="3"/>
  <c r="X34" i="3"/>
  <c r="W34" i="3"/>
  <c r="V34" i="3"/>
  <c r="U34" i="3"/>
  <c r="T34" i="3"/>
  <c r="S34" i="3"/>
  <c r="AB31" i="3"/>
  <c r="AA31" i="3"/>
  <c r="Z31" i="3"/>
  <c r="Y31" i="3"/>
  <c r="X31" i="3"/>
  <c r="W31" i="3"/>
  <c r="V31" i="3"/>
  <c r="U31" i="3"/>
  <c r="T31" i="3"/>
  <c r="S31" i="3"/>
  <c r="AB28" i="3"/>
  <c r="AA28" i="3"/>
  <c r="Z28" i="3"/>
  <c r="Y28" i="3"/>
  <c r="X28" i="3"/>
  <c r="W28" i="3"/>
  <c r="V28" i="3"/>
  <c r="U28" i="3"/>
  <c r="T28" i="3"/>
  <c r="S28" i="3"/>
  <c r="AB25" i="3"/>
  <c r="AA25" i="3"/>
  <c r="Z25" i="3"/>
  <c r="Y25" i="3"/>
  <c r="X25" i="3"/>
  <c r="W25" i="3"/>
  <c r="V25" i="3"/>
  <c r="U25" i="3"/>
  <c r="T25" i="3"/>
  <c r="S25" i="3"/>
  <c r="BB10" i="4"/>
  <c r="BA10" i="4"/>
  <c r="AZ10" i="4"/>
  <c r="AY10" i="4"/>
  <c r="AX10" i="4"/>
  <c r="AW10" i="4"/>
  <c r="BG5" i="4"/>
  <c r="BF5" i="4"/>
  <c r="BE5" i="4"/>
  <c r="BD5" i="4"/>
  <c r="BC5" i="4"/>
  <c r="BB5" i="4"/>
  <c r="BA5" i="4"/>
  <c r="AZ5" i="4"/>
  <c r="AY5" i="4"/>
  <c r="AW5" i="4"/>
  <c r="S12" i="3"/>
  <c r="R8" i="36" s="1"/>
  <c r="AX5" i="4"/>
  <c r="O8" i="7"/>
  <c r="AP7" i="6"/>
  <c r="AO7" i="6"/>
  <c r="AN7" i="6"/>
  <c r="AM7" i="6"/>
  <c r="AL7" i="6"/>
  <c r="AP6" i="6"/>
  <c r="AO6" i="6"/>
  <c r="AN6" i="6"/>
  <c r="AM6" i="6"/>
  <c r="AL6" i="6"/>
  <c r="AP4" i="6"/>
  <c r="AO4" i="6"/>
  <c r="AN4" i="6"/>
  <c r="AM4" i="6"/>
  <c r="AL4" i="6"/>
  <c r="AP5" i="6"/>
  <c r="AO5" i="6"/>
  <c r="AN5" i="6"/>
  <c r="AM5" i="6"/>
  <c r="AL5" i="6"/>
  <c r="AV30" i="4"/>
  <c r="AV25" i="4"/>
  <c r="AV20" i="4"/>
  <c r="AV15" i="4"/>
  <c r="AV10" i="4"/>
  <c r="AV5" i="4"/>
  <c r="AW30" i="4"/>
  <c r="AX30" i="4"/>
  <c r="AY30" i="4"/>
  <c r="AZ30" i="4"/>
  <c r="BA30" i="4"/>
  <c r="BB30" i="4"/>
  <c r="BC30" i="4"/>
  <c r="BD30" i="4"/>
  <c r="BE30" i="4"/>
  <c r="BF30" i="4"/>
  <c r="BG30" i="4"/>
  <c r="AW20" i="4"/>
  <c r="AW25" i="4"/>
  <c r="AX25" i="4"/>
  <c r="AY25" i="4"/>
  <c r="AZ25" i="4"/>
  <c r="BA25" i="4"/>
  <c r="BB25" i="4"/>
  <c r="BC25" i="4"/>
  <c r="BD25" i="4"/>
  <c r="BE25" i="4"/>
  <c r="BF25" i="4"/>
  <c r="BG25" i="4"/>
  <c r="AX20" i="4"/>
  <c r="AY20" i="4"/>
  <c r="AZ20" i="4"/>
  <c r="BA20" i="4"/>
  <c r="BB20" i="4"/>
  <c r="BC20" i="4"/>
  <c r="BD20" i="4"/>
  <c r="BE20" i="4"/>
  <c r="BF20" i="4"/>
  <c r="BG20" i="4"/>
  <c r="AW15" i="4"/>
  <c r="AX15" i="4"/>
  <c r="AY15" i="4"/>
  <c r="AZ15" i="4"/>
  <c r="BA15" i="4"/>
  <c r="BB15" i="4"/>
  <c r="BC15" i="4"/>
  <c r="BD15" i="4"/>
  <c r="BE15" i="4"/>
  <c r="BF15" i="4"/>
  <c r="BG15" i="4"/>
  <c r="BC10" i="4"/>
  <c r="BD10" i="4"/>
  <c r="BE10" i="4"/>
  <c r="BF10" i="4"/>
  <c r="BG10" i="4"/>
  <c r="AX31" i="4"/>
  <c r="AX32" i="4"/>
  <c r="AY31" i="4"/>
  <c r="AY32" i="4"/>
  <c r="AZ31" i="4"/>
  <c r="AZ32" i="4"/>
  <c r="BA31" i="4"/>
  <c r="BA32" i="4"/>
  <c r="BB31" i="4"/>
  <c r="BB32" i="4"/>
  <c r="BC31" i="4"/>
  <c r="BC32" i="4"/>
  <c r="BD31" i="4"/>
  <c r="BD32" i="4"/>
  <c r="BE31" i="4"/>
  <c r="BE32" i="4"/>
  <c r="BF31" i="4"/>
  <c r="BF32" i="4"/>
  <c r="BG31" i="4"/>
  <c r="BG32" i="4"/>
  <c r="AW31" i="4"/>
  <c r="AW32" i="4"/>
  <c r="AX26" i="4"/>
  <c r="AX27" i="4"/>
  <c r="AY26" i="4"/>
  <c r="AY27" i="4"/>
  <c r="AZ26" i="4"/>
  <c r="AZ27" i="4"/>
  <c r="BA26" i="4"/>
  <c r="BA27" i="4"/>
  <c r="BB26" i="4"/>
  <c r="BB27" i="4"/>
  <c r="BC26" i="4"/>
  <c r="BC27" i="4"/>
  <c r="BD26" i="4"/>
  <c r="BD27" i="4"/>
  <c r="BE26" i="4"/>
  <c r="BE27" i="4"/>
  <c r="BF26" i="4"/>
  <c r="BF27" i="4"/>
  <c r="BG26" i="4"/>
  <c r="BG27" i="4"/>
  <c r="AW26" i="4"/>
  <c r="AW27" i="4"/>
  <c r="AX21" i="4"/>
  <c r="AX22" i="4"/>
  <c r="AY21" i="4"/>
  <c r="AY22" i="4"/>
  <c r="AZ21" i="4"/>
  <c r="BA21" i="4"/>
  <c r="BA22" i="4"/>
  <c r="BB21" i="4"/>
  <c r="BB22" i="4"/>
  <c r="BC21" i="4"/>
  <c r="BC22" i="4"/>
  <c r="BD21" i="4"/>
  <c r="BE21" i="4"/>
  <c r="BE22" i="4"/>
  <c r="BF21" i="4"/>
  <c r="BF22" i="4"/>
  <c r="BG21" i="4"/>
  <c r="BG22" i="4"/>
  <c r="AW21" i="4"/>
  <c r="AW22" i="4"/>
  <c r="AX16" i="4"/>
  <c r="AX17" i="4"/>
  <c r="AY16" i="4"/>
  <c r="AY17" i="4"/>
  <c r="AZ16" i="4"/>
  <c r="AZ17" i="4"/>
  <c r="BA16" i="4"/>
  <c r="BB16" i="4"/>
  <c r="BB17" i="4"/>
  <c r="BC16" i="4"/>
  <c r="BC17" i="4"/>
  <c r="BD16" i="4"/>
  <c r="BD17" i="4"/>
  <c r="BE16" i="4"/>
  <c r="BF16" i="4"/>
  <c r="BF17" i="4"/>
  <c r="BG16" i="4"/>
  <c r="AW16" i="4"/>
  <c r="AW17" i="4"/>
  <c r="R20" i="7"/>
  <c r="F37" i="7" s="1"/>
  <c r="R19" i="7"/>
  <c r="F36" i="7" s="1"/>
  <c r="R18" i="7"/>
  <c r="F35" i="7" s="1"/>
  <c r="R17" i="7"/>
  <c r="F34" i="7" s="1"/>
  <c r="R16" i="7"/>
  <c r="F33" i="7" s="1"/>
  <c r="R15" i="7"/>
  <c r="F32" i="7" s="1"/>
  <c r="R14" i="7"/>
  <c r="F31" i="7" s="1"/>
  <c r="R13" i="7"/>
  <c r="F30" i="7" s="1"/>
  <c r="R12" i="7"/>
  <c r="F29" i="7" s="1"/>
  <c r="R11" i="7"/>
  <c r="F28" i="7" s="1"/>
  <c r="R10" i="7"/>
  <c r="F27" i="7" s="1"/>
  <c r="R9" i="7"/>
  <c r="F26" i="7" s="1"/>
  <c r="R8" i="7"/>
  <c r="F25" i="7" s="1"/>
  <c r="R7" i="7"/>
  <c r="F24" i="7" s="1"/>
  <c r="A32" i="7"/>
  <c r="A29" i="7"/>
  <c r="A23" i="7"/>
  <c r="X167" i="6"/>
  <c r="U75" i="6"/>
  <c r="R75" i="6"/>
  <c r="O75" i="6"/>
  <c r="N75" i="6"/>
  <c r="P106" i="6"/>
  <c r="P105" i="6"/>
  <c r="P104" i="6"/>
  <c r="P103" i="6"/>
  <c r="P102" i="6"/>
  <c r="P101" i="6"/>
  <c r="P100" i="6"/>
  <c r="P99" i="6"/>
  <c r="P98" i="6"/>
  <c r="P97" i="6"/>
  <c r="P96" i="6"/>
  <c r="P95" i="6"/>
  <c r="P94" i="6"/>
  <c r="AO24" i="1"/>
  <c r="AO23" i="1"/>
  <c r="AP22" i="1"/>
  <c r="AP21" i="1"/>
  <c r="AP20" i="1"/>
  <c r="AP19" i="1"/>
  <c r="AP18" i="1"/>
  <c r="AP17" i="1"/>
  <c r="AP16" i="1"/>
  <c r="AP15" i="1"/>
  <c r="AP14" i="1"/>
  <c r="O17" i="7"/>
  <c r="D9" i="7" s="1"/>
  <c r="O15" i="7"/>
  <c r="O6" i="7"/>
  <c r="O4" i="7"/>
  <c r="A9" i="7" s="1"/>
  <c r="A45" i="7"/>
  <c r="A44" i="7"/>
  <c r="A43" i="7"/>
  <c r="AV4" i="6"/>
  <c r="AW4" i="6"/>
  <c r="AX4" i="6"/>
  <c r="AY4" i="6"/>
  <c r="AZ4" i="6"/>
  <c r="BA4" i="6"/>
  <c r="BB4" i="6"/>
  <c r="BC4" i="6"/>
  <c r="BD4" i="6"/>
  <c r="AU4" i="6"/>
  <c r="AV3" i="6"/>
  <c r="AW3" i="6"/>
  <c r="AX3" i="6"/>
  <c r="AY3" i="6"/>
  <c r="AZ3" i="6"/>
  <c r="BA3" i="6"/>
  <c r="BB3" i="6"/>
  <c r="BC3" i="6"/>
  <c r="BD3" i="6"/>
  <c r="AU3" i="6"/>
  <c r="Q92" i="6"/>
  <c r="P92" i="6" s="1"/>
  <c r="Q37" i="6"/>
  <c r="P37" i="6" s="1"/>
  <c r="Q106" i="6"/>
  <c r="Q105" i="6"/>
  <c r="Q104" i="6"/>
  <c r="Q103" i="6"/>
  <c r="Q102" i="6"/>
  <c r="Q101" i="6"/>
  <c r="Q100" i="6"/>
  <c r="Q99" i="6"/>
  <c r="Q98" i="6"/>
  <c r="Q97" i="6"/>
  <c r="Q96" i="6"/>
  <c r="Q95" i="6"/>
  <c r="Q94" i="6"/>
  <c r="Q93" i="6"/>
  <c r="P93" i="6" s="1"/>
  <c r="Q40" i="6"/>
  <c r="P40" i="6" s="1"/>
  <c r="Q39" i="6"/>
  <c r="P39" i="6" s="1"/>
  <c r="Q38" i="6"/>
  <c r="P38" i="6" s="1"/>
  <c r="Q35" i="6"/>
  <c r="P35" i="6" s="1"/>
  <c r="K18" i="5" a="1"/>
  <c r="K18" i="5"/>
  <c r="K19" i="5" a="1"/>
  <c r="K19" i="5"/>
  <c r="K20" i="5" a="1"/>
  <c r="K20" i="5"/>
  <c r="K21" i="5" a="1"/>
  <c r="K21" i="5"/>
  <c r="K17" i="5" a="1"/>
  <c r="K17" i="5"/>
  <c r="H18" i="5" a="1"/>
  <c r="H18" i="5"/>
  <c r="H19" i="5" a="1"/>
  <c r="H19" i="5"/>
  <c r="H20" i="5" a="1"/>
  <c r="H20" i="5"/>
  <c r="H21" i="5" a="1"/>
  <c r="H21" i="5"/>
  <c r="H17" i="5" a="1"/>
  <c r="H17" i="5"/>
  <c r="G18" i="5" a="1"/>
  <c r="G18" i="5"/>
  <c r="G19" i="5" a="1"/>
  <c r="G19" i="5"/>
  <c r="G20" i="5" a="1"/>
  <c r="G20" i="5"/>
  <c r="G21" i="5" a="1"/>
  <c r="G21" i="5"/>
  <c r="G17" i="5" a="1"/>
  <c r="G17" i="5"/>
  <c r="E18" i="5" a="1"/>
  <c r="E18" i="5"/>
  <c r="E19" i="5" a="1"/>
  <c r="E19" i="5"/>
  <c r="E20" i="5" a="1"/>
  <c r="E20" i="5"/>
  <c r="E21" i="5" a="1"/>
  <c r="E21" i="5"/>
  <c r="E17" i="5" a="1"/>
  <c r="E17" i="5"/>
  <c r="C18" i="5" a="1"/>
  <c r="C18" i="5"/>
  <c r="C19" i="5" a="1"/>
  <c r="C19" i="5"/>
  <c r="C20" i="5" a="1"/>
  <c r="C20" i="5"/>
  <c r="C21" i="5" a="1"/>
  <c r="C21" i="5"/>
  <c r="C17" i="5" a="1"/>
  <c r="C17" i="5"/>
  <c r="B17" i="5" a="1"/>
  <c r="B17" i="5"/>
  <c r="O6" i="5" a="1"/>
  <c r="O10" i="5"/>
  <c r="N6" i="5" a="1"/>
  <c r="N8" i="5"/>
  <c r="M6" i="5" a="1"/>
  <c r="M9" i="5"/>
  <c r="L6" i="5" a="1"/>
  <c r="L8" i="5"/>
  <c r="K6" i="5" a="1"/>
  <c r="K10" i="5"/>
  <c r="J6" i="5" a="1"/>
  <c r="J8" i="5"/>
  <c r="I6" i="5" a="1"/>
  <c r="I10" i="5"/>
  <c r="H6" i="5" a="1"/>
  <c r="H8" i="5"/>
  <c r="G6" i="5" a="1"/>
  <c r="G8" i="5"/>
  <c r="F6" i="5" a="1"/>
  <c r="F8" i="5"/>
  <c r="E6" i="5" a="1"/>
  <c r="E10" i="5"/>
  <c r="D6" i="5" a="1"/>
  <c r="D8" i="5"/>
  <c r="B6" i="5" a="1"/>
  <c r="B9" i="5"/>
  <c r="Z76" i="9"/>
  <c r="Y76" i="9"/>
  <c r="X76" i="9"/>
  <c r="W76" i="9"/>
  <c r="V76" i="9"/>
  <c r="U76" i="9"/>
  <c r="T76" i="9"/>
  <c r="S76" i="9"/>
  <c r="R76" i="9"/>
  <c r="Q76" i="9"/>
  <c r="I53" i="9"/>
  <c r="H53" i="9"/>
  <c r="G53" i="9"/>
  <c r="F53" i="9"/>
  <c r="E53" i="9"/>
  <c r="Z40" i="9"/>
  <c r="I52" i="9"/>
  <c r="H52" i="9"/>
  <c r="G52" i="9"/>
  <c r="F52" i="9"/>
  <c r="E52" i="9"/>
  <c r="Y42" i="9"/>
  <c r="I51" i="9"/>
  <c r="H51" i="9"/>
  <c r="G51" i="9"/>
  <c r="F51" i="9"/>
  <c r="E51" i="9"/>
  <c r="X41" i="9"/>
  <c r="I50" i="9"/>
  <c r="H50" i="9"/>
  <c r="G50" i="9"/>
  <c r="F50" i="9"/>
  <c r="E50" i="9"/>
  <c r="W39" i="9"/>
  <c r="I49" i="9"/>
  <c r="H49" i="9"/>
  <c r="G49" i="9"/>
  <c r="F49" i="9"/>
  <c r="E49" i="9"/>
  <c r="V40" i="9"/>
  <c r="I48" i="9"/>
  <c r="H48" i="9"/>
  <c r="G48" i="9"/>
  <c r="F48" i="9"/>
  <c r="E48" i="9"/>
  <c r="U43" i="9"/>
  <c r="I47" i="9"/>
  <c r="H47" i="9"/>
  <c r="G47" i="9"/>
  <c r="F47" i="9"/>
  <c r="E47" i="9"/>
  <c r="T44" i="9"/>
  <c r="Z46" i="9"/>
  <c r="Y46" i="9"/>
  <c r="X46" i="9"/>
  <c r="W46" i="9"/>
  <c r="T46" i="9"/>
  <c r="Y45" i="9"/>
  <c r="X45" i="9"/>
  <c r="AF25" i="9"/>
  <c r="AF24" i="9"/>
  <c r="AF23" i="9"/>
  <c r="AF22" i="9"/>
  <c r="AF21" i="9"/>
  <c r="AF20" i="9"/>
  <c r="AF19" i="9"/>
  <c r="C47" i="9"/>
  <c r="D47" i="9"/>
  <c r="AT11" i="9"/>
  <c r="AU11" i="9"/>
  <c r="AP24" i="9"/>
  <c r="AP22" i="9"/>
  <c r="AP20" i="9"/>
  <c r="AP18" i="9"/>
  <c r="AP16" i="9"/>
  <c r="AP14" i="9"/>
  <c r="AP12" i="9"/>
  <c r="Z85" i="9"/>
  <c r="Y85" i="9"/>
  <c r="X85" i="9"/>
  <c r="W85" i="9"/>
  <c r="V85" i="9"/>
  <c r="T85" i="9"/>
  <c r="S85" i="9"/>
  <c r="R85" i="9"/>
  <c r="Q85" i="9"/>
  <c r="P85" i="9"/>
  <c r="O85" i="9"/>
  <c r="N85" i="9"/>
  <c r="M85" i="9"/>
  <c r="Z84" i="9"/>
  <c r="X84" i="9"/>
  <c r="W84" i="9"/>
  <c r="V84" i="9"/>
  <c r="U84" i="9"/>
  <c r="T84" i="9"/>
  <c r="R84" i="9"/>
  <c r="Q84" i="9"/>
  <c r="P84" i="9"/>
  <c r="O84" i="9"/>
  <c r="Z83" i="9"/>
  <c r="Y83" i="9"/>
  <c r="X83" i="9"/>
  <c r="W83" i="9"/>
  <c r="V83" i="9"/>
  <c r="T83" i="9"/>
  <c r="S83" i="9"/>
  <c r="R83" i="9"/>
  <c r="Q83" i="9"/>
  <c r="P83" i="9"/>
  <c r="O83" i="9"/>
  <c r="N83" i="9"/>
  <c r="M83" i="9"/>
  <c r="Z82" i="9"/>
  <c r="W82" i="9"/>
  <c r="U82" i="9"/>
  <c r="S82" i="9"/>
  <c r="O82" i="9"/>
  <c r="O81" i="9"/>
  <c r="Z74" i="9"/>
  <c r="Y74" i="9"/>
  <c r="X74" i="9"/>
  <c r="W74" i="9"/>
  <c r="V74" i="9"/>
  <c r="U74" i="9"/>
  <c r="T74" i="9"/>
  <c r="S74" i="9"/>
  <c r="R74" i="9"/>
  <c r="Q74" i="9"/>
  <c r="P74" i="9"/>
  <c r="O74" i="9"/>
  <c r="N74" i="9"/>
  <c r="M74" i="9"/>
  <c r="L74" i="9"/>
  <c r="Z73" i="9"/>
  <c r="Y73" i="9"/>
  <c r="X73" i="9"/>
  <c r="W73" i="9"/>
  <c r="V73" i="9"/>
  <c r="U73" i="9"/>
  <c r="T73" i="9"/>
  <c r="S73" i="9"/>
  <c r="R73" i="9"/>
  <c r="Q73" i="9"/>
  <c r="P73" i="9"/>
  <c r="O73" i="9"/>
  <c r="N73" i="9"/>
  <c r="L73" i="9"/>
  <c r="Z72" i="9"/>
  <c r="Y72" i="9"/>
  <c r="X72" i="9"/>
  <c r="W72" i="9"/>
  <c r="V72" i="9"/>
  <c r="U72" i="9"/>
  <c r="T72" i="9"/>
  <c r="S72" i="9"/>
  <c r="R72" i="9"/>
  <c r="Q72" i="9"/>
  <c r="P72" i="9"/>
  <c r="O72" i="9"/>
  <c r="N72" i="9"/>
  <c r="M72" i="9"/>
  <c r="L72" i="9"/>
  <c r="Z71" i="9"/>
  <c r="Y71" i="9"/>
  <c r="X71" i="9"/>
  <c r="W71" i="9"/>
  <c r="V71" i="9"/>
  <c r="U71" i="9"/>
  <c r="T71" i="9"/>
  <c r="S71" i="9"/>
  <c r="R71" i="9"/>
  <c r="Q71" i="9"/>
  <c r="P71" i="9"/>
  <c r="O71" i="9"/>
  <c r="N71" i="9"/>
  <c r="M71" i="9"/>
  <c r="L71" i="9"/>
  <c r="Z70" i="9"/>
  <c r="Y70" i="9"/>
  <c r="X70" i="9"/>
  <c r="W70" i="9"/>
  <c r="V70" i="9"/>
  <c r="U70" i="9"/>
  <c r="T70" i="9"/>
  <c r="S70" i="9"/>
  <c r="R70" i="9"/>
  <c r="Q70" i="9"/>
  <c r="P70" i="9"/>
  <c r="O70" i="9"/>
  <c r="N70" i="9"/>
  <c r="H100" i="9"/>
  <c r="G100" i="9"/>
  <c r="F100" i="9"/>
  <c r="E100" i="9"/>
  <c r="I100" i="9" s="1"/>
  <c r="H99" i="9"/>
  <c r="G99" i="9"/>
  <c r="F99" i="9"/>
  <c r="E99" i="9"/>
  <c r="I99" i="9" s="1"/>
  <c r="H98" i="9"/>
  <c r="G98" i="9"/>
  <c r="F98" i="9"/>
  <c r="E98" i="9"/>
  <c r="I98" i="9" s="1"/>
  <c r="H97" i="9"/>
  <c r="G97" i="9"/>
  <c r="F97" i="9"/>
  <c r="E97" i="9"/>
  <c r="I97" i="9" s="1"/>
  <c r="H96" i="9"/>
  <c r="G96" i="9"/>
  <c r="F96" i="9"/>
  <c r="E96" i="9"/>
  <c r="I96" i="9" s="1"/>
  <c r="H95" i="9"/>
  <c r="G95" i="9"/>
  <c r="F95" i="9"/>
  <c r="E95" i="9"/>
  <c r="I95" i="9" s="1"/>
  <c r="H94" i="9"/>
  <c r="G94" i="9"/>
  <c r="F94" i="9"/>
  <c r="E94" i="9"/>
  <c r="I94" i="9" s="1"/>
  <c r="H93" i="9"/>
  <c r="G93" i="9"/>
  <c r="F93" i="9"/>
  <c r="E93" i="9"/>
  <c r="I93" i="9" s="1"/>
  <c r="H92" i="9"/>
  <c r="G92" i="9"/>
  <c r="F92" i="9"/>
  <c r="E92" i="9"/>
  <c r="I92" i="9" s="1"/>
  <c r="H91" i="9"/>
  <c r="G91" i="9"/>
  <c r="F91" i="9"/>
  <c r="E91" i="9"/>
  <c r="I91" i="9" s="1"/>
  <c r="H90" i="9"/>
  <c r="G90" i="9"/>
  <c r="F90" i="9"/>
  <c r="E90" i="9"/>
  <c r="I90" i="9" s="1"/>
  <c r="H89" i="9"/>
  <c r="G89" i="9"/>
  <c r="F89" i="9"/>
  <c r="E89" i="9"/>
  <c r="I89" i="9"/>
  <c r="H88" i="9"/>
  <c r="G88" i="9"/>
  <c r="F88" i="9"/>
  <c r="E88" i="9"/>
  <c r="I88" i="9" s="1"/>
  <c r="I87" i="9"/>
  <c r="H87" i="9"/>
  <c r="F87" i="9"/>
  <c r="E87" i="9"/>
  <c r="G87" i="9" s="1"/>
  <c r="H86" i="9"/>
  <c r="F86" i="9"/>
  <c r="E86" i="9"/>
  <c r="I86" i="9" s="1"/>
  <c r="G83" i="9"/>
  <c r="E83" i="9"/>
  <c r="F83" i="9" s="1"/>
  <c r="G82" i="9"/>
  <c r="E82" i="9"/>
  <c r="F82" i="9" s="1"/>
  <c r="G81" i="9"/>
  <c r="E81" i="9"/>
  <c r="F81" i="9" s="1"/>
  <c r="G80" i="9"/>
  <c r="E80" i="9"/>
  <c r="F80" i="9" s="1"/>
  <c r="G79" i="9"/>
  <c r="E79" i="9"/>
  <c r="F79" i="9" s="1"/>
  <c r="G78" i="9"/>
  <c r="E78" i="9"/>
  <c r="F78" i="9" s="1"/>
  <c r="G77" i="9"/>
  <c r="E77" i="9"/>
  <c r="F77" i="9" s="1"/>
  <c r="G76" i="9"/>
  <c r="E76" i="9"/>
  <c r="F76" i="9" s="1"/>
  <c r="G75" i="9"/>
  <c r="E75" i="9"/>
  <c r="F75" i="9" s="1"/>
  <c r="G74" i="9"/>
  <c r="E74" i="9"/>
  <c r="F74" i="9" s="1"/>
  <c r="G73" i="9"/>
  <c r="E73" i="9"/>
  <c r="F73" i="9" s="1"/>
  <c r="G72" i="9"/>
  <c r="E72" i="9"/>
  <c r="F72" i="9" s="1"/>
  <c r="AF33" i="9"/>
  <c r="C72" i="9" s="1"/>
  <c r="D72" i="9" s="1"/>
  <c r="E71" i="9"/>
  <c r="F71" i="9" s="1"/>
  <c r="E70" i="9"/>
  <c r="F70" i="9" s="1"/>
  <c r="E69" i="9"/>
  <c r="F69" i="9" s="1"/>
  <c r="AF30" i="9"/>
  <c r="C69" i="9" s="1"/>
  <c r="D69" i="9" s="1"/>
  <c r="Z55" i="9"/>
  <c r="Y55" i="9"/>
  <c r="X55" i="9"/>
  <c r="W55" i="9"/>
  <c r="V55" i="9"/>
  <c r="U55" i="9"/>
  <c r="T55" i="9"/>
  <c r="S55" i="9"/>
  <c r="R55" i="9"/>
  <c r="Q55" i="9"/>
  <c r="P55" i="9"/>
  <c r="O55" i="9"/>
  <c r="N55" i="9"/>
  <c r="M55" i="9"/>
  <c r="L55" i="9"/>
  <c r="Z54" i="9"/>
  <c r="Y54" i="9"/>
  <c r="X54" i="9"/>
  <c r="W54" i="9"/>
  <c r="V54" i="9"/>
  <c r="U54" i="9"/>
  <c r="T54" i="9"/>
  <c r="S54" i="9"/>
  <c r="R54" i="9"/>
  <c r="Q54" i="9"/>
  <c r="P54" i="9"/>
  <c r="O54" i="9"/>
  <c r="N54" i="9"/>
  <c r="M54" i="9"/>
  <c r="L54" i="9"/>
  <c r="Z53" i="9"/>
  <c r="Y53" i="9"/>
  <c r="X53" i="9"/>
  <c r="W53" i="9"/>
  <c r="V53" i="9"/>
  <c r="U53" i="9"/>
  <c r="T53" i="9"/>
  <c r="S53" i="9"/>
  <c r="R53" i="9"/>
  <c r="Q53" i="9"/>
  <c r="P53" i="9"/>
  <c r="O53" i="9"/>
  <c r="N53" i="9"/>
  <c r="M53" i="9"/>
  <c r="L53" i="9"/>
  <c r="Z52" i="9"/>
  <c r="Y52" i="9"/>
  <c r="X52" i="9"/>
  <c r="W52" i="9"/>
  <c r="V52" i="9"/>
  <c r="U52" i="9"/>
  <c r="T52" i="9"/>
  <c r="S52" i="9"/>
  <c r="R52" i="9"/>
  <c r="Q52" i="9"/>
  <c r="P52" i="9"/>
  <c r="O52" i="9"/>
  <c r="N52" i="9"/>
  <c r="M52" i="9"/>
  <c r="L52" i="9"/>
  <c r="Z51" i="9"/>
  <c r="Y51" i="9"/>
  <c r="X51" i="9"/>
  <c r="W51" i="9"/>
  <c r="V51" i="9"/>
  <c r="U51" i="9"/>
  <c r="T51" i="9"/>
  <c r="S51" i="9"/>
  <c r="R51" i="9"/>
  <c r="Q51" i="9"/>
  <c r="P51" i="9"/>
  <c r="O51" i="9"/>
  <c r="N51" i="9"/>
  <c r="M51" i="9"/>
  <c r="L51" i="9"/>
  <c r="Z50" i="9"/>
  <c r="Y50" i="9"/>
  <c r="X50" i="9"/>
  <c r="W50" i="9"/>
  <c r="V50" i="9"/>
  <c r="U50" i="9"/>
  <c r="T50" i="9"/>
  <c r="S50" i="9"/>
  <c r="R50" i="9"/>
  <c r="Q50" i="9"/>
  <c r="P50" i="9"/>
  <c r="O50" i="9"/>
  <c r="N50" i="9"/>
  <c r="M50" i="9"/>
  <c r="L50" i="9"/>
  <c r="AF44" i="9"/>
  <c r="C83" i="9" s="1"/>
  <c r="D83" i="9" s="1"/>
  <c r="AF43" i="9"/>
  <c r="C82" i="9" s="1"/>
  <c r="D82" i="9" s="1"/>
  <c r="AF42" i="9"/>
  <c r="C81" i="9" s="1"/>
  <c r="D81" i="9" s="1"/>
  <c r="AF41" i="9"/>
  <c r="C80" i="9" s="1"/>
  <c r="D80" i="9" s="1"/>
  <c r="AF37" i="9"/>
  <c r="C76" i="9" s="1"/>
  <c r="D76" i="9" s="1"/>
  <c r="AF36" i="9"/>
  <c r="C75" i="9" s="1"/>
  <c r="D75" i="9" s="1"/>
  <c r="AF35" i="9"/>
  <c r="C53" i="9" s="1"/>
  <c r="D53" i="9" s="1"/>
  <c r="AF34" i="9"/>
  <c r="C52" i="9" s="1"/>
  <c r="D52" i="9" s="1"/>
  <c r="AF32" i="9"/>
  <c r="C50" i="9" s="1"/>
  <c r="D50" i="9" s="1"/>
  <c r="AF31" i="9"/>
  <c r="C70" i="9" s="1"/>
  <c r="D70" i="9" s="1"/>
  <c r="H35" i="9"/>
  <c r="H83" i="9" s="1"/>
  <c r="G35" i="9"/>
  <c r="E35" i="9"/>
  <c r="I35" i="9" s="1"/>
  <c r="C35" i="9"/>
  <c r="D35" i="9" s="1"/>
  <c r="H34" i="9"/>
  <c r="H82" i="9" s="1"/>
  <c r="G34" i="9"/>
  <c r="E34" i="9"/>
  <c r="I34" i="9" s="1"/>
  <c r="C34" i="9"/>
  <c r="D34" i="9" s="1"/>
  <c r="H33" i="9"/>
  <c r="H81" i="9" s="1"/>
  <c r="G33" i="9"/>
  <c r="F33" i="9"/>
  <c r="E33" i="9"/>
  <c r="C33" i="9"/>
  <c r="D33" i="9" s="1"/>
  <c r="H32" i="9"/>
  <c r="H80" i="9" s="1"/>
  <c r="G32" i="9"/>
  <c r="E32" i="9"/>
  <c r="I32" i="9" s="1"/>
  <c r="F32" i="9"/>
  <c r="C32" i="9"/>
  <c r="D32" i="9" s="1"/>
  <c r="H31" i="9"/>
  <c r="H79" i="9" s="1"/>
  <c r="G31" i="9"/>
  <c r="E31" i="9"/>
  <c r="I31" i="9" s="1"/>
  <c r="C31" i="9"/>
  <c r="D31" i="9" s="1"/>
  <c r="H30" i="9"/>
  <c r="H78" i="9" s="1"/>
  <c r="G30" i="9"/>
  <c r="E30" i="9"/>
  <c r="I30" i="9" s="1"/>
  <c r="I78" i="9" s="1"/>
  <c r="F30" i="9"/>
  <c r="C30" i="9"/>
  <c r="D30" i="9" s="1"/>
  <c r="H29" i="9"/>
  <c r="H77" i="9" s="1"/>
  <c r="G29" i="9"/>
  <c r="E29" i="9"/>
  <c r="C29" i="9"/>
  <c r="D29" i="9" s="1"/>
  <c r="H28" i="9"/>
  <c r="H76" i="9" s="1"/>
  <c r="G28" i="9"/>
  <c r="E28" i="9"/>
  <c r="I28" i="9" s="1"/>
  <c r="K28" i="9" s="1"/>
  <c r="C28" i="9"/>
  <c r="D28" i="9" s="1"/>
  <c r="H27" i="9"/>
  <c r="H75" i="9" s="1"/>
  <c r="G27" i="9"/>
  <c r="E27" i="9"/>
  <c r="F27" i="9" s="1"/>
  <c r="C27" i="9"/>
  <c r="D27" i="9" s="1"/>
  <c r="E26" i="9"/>
  <c r="I26" i="9" s="1"/>
  <c r="H26" i="9"/>
  <c r="H74" i="9" s="1"/>
  <c r="G26" i="9"/>
  <c r="C26" i="9"/>
  <c r="D26" i="9" s="1"/>
  <c r="H25" i="9"/>
  <c r="H73" i="9" s="1"/>
  <c r="G25" i="9"/>
  <c r="E25" i="9"/>
  <c r="I25" i="9" s="1"/>
  <c r="C25" i="9"/>
  <c r="D25" i="9" s="1"/>
  <c r="H24" i="9"/>
  <c r="H72" i="9" s="1"/>
  <c r="G24" i="9"/>
  <c r="E24" i="9"/>
  <c r="I24" i="9" s="1"/>
  <c r="I72" i="9" s="1"/>
  <c r="C24" i="9"/>
  <c r="D24" i="9" s="1"/>
  <c r="H23" i="9"/>
  <c r="H71" i="9" s="1"/>
  <c r="G71" i="9"/>
  <c r="G23" i="9"/>
  <c r="E23" i="9"/>
  <c r="I23" i="9" s="1"/>
  <c r="C23" i="9"/>
  <c r="D23" i="9" s="1"/>
  <c r="H22" i="9"/>
  <c r="H70" i="9" s="1"/>
  <c r="G70" i="9" s="1"/>
  <c r="G22" i="9"/>
  <c r="E22" i="9"/>
  <c r="F22" i="9" s="1"/>
  <c r="C22" i="9"/>
  <c r="D22" i="9" s="1"/>
  <c r="H21" i="9"/>
  <c r="H69" i="9" s="1"/>
  <c r="G69" i="9" s="1"/>
  <c r="E21" i="9"/>
  <c r="L80" i="9" s="1"/>
  <c r="C21" i="9"/>
  <c r="D21" i="9" s="1"/>
  <c r="AJ8" i="9"/>
  <c r="AI8" i="9"/>
  <c r="AH8" i="9"/>
  <c r="AG8" i="9"/>
  <c r="AF8" i="9"/>
  <c r="AE8" i="9"/>
  <c r="AD8" i="9"/>
  <c r="AC8" i="9"/>
  <c r="AJ7" i="9"/>
  <c r="AI7" i="9"/>
  <c r="AH7" i="9"/>
  <c r="AG7" i="9"/>
  <c r="AF7" i="9"/>
  <c r="AE7" i="9"/>
  <c r="AD7" i="9"/>
  <c r="AC7" i="9"/>
  <c r="AJ6" i="9"/>
  <c r="AI6" i="9"/>
  <c r="AH6" i="9"/>
  <c r="AG6" i="9"/>
  <c r="AF6" i="9"/>
  <c r="AE6" i="9"/>
  <c r="AD6" i="9"/>
  <c r="AC6" i="9"/>
  <c r="AJ5" i="9"/>
  <c r="AI5" i="9"/>
  <c r="AH5" i="9"/>
  <c r="AG5" i="9"/>
  <c r="AF5" i="9"/>
  <c r="AE5" i="9"/>
  <c r="AD5" i="9"/>
  <c r="AC5" i="9"/>
  <c r="AJ4" i="9"/>
  <c r="AI4" i="9"/>
  <c r="AI3" i="9"/>
  <c r="AH4" i="9"/>
  <c r="AG4" i="9"/>
  <c r="AF4" i="9"/>
  <c r="AE4" i="9"/>
  <c r="AD4" i="9"/>
  <c r="AC4" i="9"/>
  <c r="AJ3" i="9"/>
  <c r="AH3" i="9"/>
  <c r="AG3" i="9"/>
  <c r="AF3" i="9"/>
  <c r="AE3" i="9"/>
  <c r="AD3" i="9"/>
  <c r="AC3" i="9"/>
  <c r="F2" i="5"/>
  <c r="L3" i="8"/>
  <c r="D3" i="8"/>
  <c r="O11" i="25"/>
  <c r="N11" i="25" s="1"/>
  <c r="AI2" i="6"/>
  <c r="AI3" i="6"/>
  <c r="AI4" i="6"/>
  <c r="AI5" i="6"/>
  <c r="AI6" i="6"/>
  <c r="AI7" i="6"/>
  <c r="AH2" i="6"/>
  <c r="AH3" i="6"/>
  <c r="AH4" i="6"/>
  <c r="AH5" i="6"/>
  <c r="AH6" i="6"/>
  <c r="AH7" i="6"/>
  <c r="AF2" i="6"/>
  <c r="AF3" i="6"/>
  <c r="AF4" i="6"/>
  <c r="AF5" i="6"/>
  <c r="AF6" i="6"/>
  <c r="AF7" i="6"/>
  <c r="AE2" i="6"/>
  <c r="AE3" i="6"/>
  <c r="AE4" i="6"/>
  <c r="AE5" i="6"/>
  <c r="AE6" i="6"/>
  <c r="AE7" i="6"/>
  <c r="AG7" i="6"/>
  <c r="AG6" i="6"/>
  <c r="AG5" i="6"/>
  <c r="AG4" i="6"/>
  <c r="AP3" i="6"/>
  <c r="AO3" i="6"/>
  <c r="AN3" i="6"/>
  <c r="AM3" i="6"/>
  <c r="AL3" i="6"/>
  <c r="AG3" i="6"/>
  <c r="AP2" i="6"/>
  <c r="AO2" i="6"/>
  <c r="AN2" i="6"/>
  <c r="AM2" i="6"/>
  <c r="AL2" i="6"/>
  <c r="AG2" i="6"/>
  <c r="G56" i="3"/>
  <c r="F54" i="3"/>
  <c r="G53" i="3"/>
  <c r="F51" i="3"/>
  <c r="G50" i="3"/>
  <c r="F48" i="3"/>
  <c r="AP81" i="25" s="1" a="1"/>
  <c r="AP81" i="25" s="1"/>
  <c r="G47" i="3"/>
  <c r="F45" i="3"/>
  <c r="AP80" i="25" s="1" a="1"/>
  <c r="AP80" i="25" s="1"/>
  <c r="G44" i="3"/>
  <c r="F42" i="3"/>
  <c r="AP79" i="25" s="1" a="1"/>
  <c r="AP79" i="25" s="1"/>
  <c r="G41" i="3"/>
  <c r="F39" i="3"/>
  <c r="AP78" i="25" s="1" a="1"/>
  <c r="AP78" i="25" s="1"/>
  <c r="G38" i="3"/>
  <c r="F36" i="3"/>
  <c r="AP77" i="25" s="1" a="1"/>
  <c r="AP77" i="25" s="1"/>
  <c r="G35" i="3"/>
  <c r="F33" i="3"/>
  <c r="AP76" i="25" s="1" a="1"/>
  <c r="AP76" i="25" s="1"/>
  <c r="G32" i="3"/>
  <c r="F30" i="3"/>
  <c r="AP75" i="25" s="1" a="1"/>
  <c r="AP75" i="25" s="1"/>
  <c r="G29" i="3"/>
  <c r="F27" i="3"/>
  <c r="AP74" i="25" s="1" a="1"/>
  <c r="AP74" i="25" s="1"/>
  <c r="G26" i="3"/>
  <c r="F24" i="3"/>
  <c r="AP73" i="25" s="1" a="1"/>
  <c r="AP73" i="25" s="1"/>
  <c r="G23" i="3"/>
  <c r="G19" i="36" s="1"/>
  <c r="U7" i="16"/>
  <c r="P7" i="16"/>
  <c r="J5" i="16"/>
  <c r="C37" i="9"/>
  <c r="AT23" i="9"/>
  <c r="AU23" i="9"/>
  <c r="AT21" i="9"/>
  <c r="AU21" i="9"/>
  <c r="AV21" i="9"/>
  <c r="AT19" i="9"/>
  <c r="AU19" i="9"/>
  <c r="AV19" i="9"/>
  <c r="AW19" i="9"/>
  <c r="AX19" i="9"/>
  <c r="AT17" i="9"/>
  <c r="AU17" i="9"/>
  <c r="AV17" i="9"/>
  <c r="AT15" i="9"/>
  <c r="AU15" i="9"/>
  <c r="AV15" i="9"/>
  <c r="AT13" i="9"/>
  <c r="AU13" i="9"/>
  <c r="I11" i="9"/>
  <c r="X9" i="9"/>
  <c r="W9" i="9"/>
  <c r="V9" i="9"/>
  <c r="U9" i="9"/>
  <c r="T9" i="9"/>
  <c r="S9" i="9"/>
  <c r="R9" i="9"/>
  <c r="Q9" i="9"/>
  <c r="P9" i="9"/>
  <c r="O9" i="9"/>
  <c r="N9" i="9"/>
  <c r="M9" i="9"/>
  <c r="L9" i="9"/>
  <c r="K9" i="9"/>
  <c r="J9" i="9"/>
  <c r="X8" i="9"/>
  <c r="W8" i="9"/>
  <c r="V8" i="9"/>
  <c r="U8" i="9"/>
  <c r="T8" i="9"/>
  <c r="S8" i="9"/>
  <c r="R8" i="9"/>
  <c r="Q8" i="9"/>
  <c r="P8" i="9"/>
  <c r="O8" i="9"/>
  <c r="N8" i="9"/>
  <c r="M8" i="9"/>
  <c r="L8" i="9"/>
  <c r="K8" i="9"/>
  <c r="M73" i="9"/>
  <c r="J8" i="9"/>
  <c r="X7" i="9"/>
  <c r="W7" i="9"/>
  <c r="V7" i="9"/>
  <c r="U7" i="9"/>
  <c r="T7" i="9"/>
  <c r="S7" i="9"/>
  <c r="R7" i="9"/>
  <c r="Q7" i="9"/>
  <c r="P7" i="9"/>
  <c r="O7" i="9"/>
  <c r="N7" i="9"/>
  <c r="M7" i="9"/>
  <c r="L7" i="9"/>
  <c r="K7" i="9"/>
  <c r="J7" i="9"/>
  <c r="X6" i="9"/>
  <c r="W6" i="9"/>
  <c r="V6" i="9"/>
  <c r="U6" i="9"/>
  <c r="T6" i="9"/>
  <c r="S6" i="9"/>
  <c r="R6" i="9"/>
  <c r="Q6" i="9"/>
  <c r="P6" i="9"/>
  <c r="O6" i="9"/>
  <c r="N6" i="9"/>
  <c r="M6" i="9"/>
  <c r="L6" i="9"/>
  <c r="K6" i="9"/>
  <c r="J6" i="9"/>
  <c r="X5" i="9"/>
  <c r="W5" i="9"/>
  <c r="V5" i="9"/>
  <c r="U5" i="9"/>
  <c r="T5" i="9"/>
  <c r="S5" i="9"/>
  <c r="R5" i="9"/>
  <c r="Q5" i="9"/>
  <c r="P5" i="9"/>
  <c r="O5" i="9"/>
  <c r="N5" i="9"/>
  <c r="M5" i="9"/>
  <c r="L5" i="9"/>
  <c r="K5" i="9"/>
  <c r="M70" i="9"/>
  <c r="J5" i="9"/>
  <c r="L70" i="9"/>
  <c r="X4" i="9"/>
  <c r="Z69" i="9"/>
  <c r="W4" i="9"/>
  <c r="Y69" i="9"/>
  <c r="Y75" i="9"/>
  <c r="V4" i="9"/>
  <c r="X69" i="9"/>
  <c r="X75" i="9"/>
  <c r="U4" i="9"/>
  <c r="W69" i="9"/>
  <c r="W75" i="9"/>
  <c r="T4" i="9"/>
  <c r="V69" i="9"/>
  <c r="S4" i="9"/>
  <c r="U69" i="9"/>
  <c r="U75" i="9"/>
  <c r="R4" i="9"/>
  <c r="T69" i="9"/>
  <c r="Q4" i="9"/>
  <c r="S69" i="9"/>
  <c r="S75" i="9"/>
  <c r="P4" i="9"/>
  <c r="R69" i="9"/>
  <c r="O4" i="9"/>
  <c r="Q69" i="9"/>
  <c r="Q75" i="9"/>
  <c r="N4" i="9"/>
  <c r="P69" i="9"/>
  <c r="M4" i="9"/>
  <c r="O69" i="9"/>
  <c r="L4" i="9"/>
  <c r="N69" i="9"/>
  <c r="N75" i="9"/>
  <c r="K4" i="9"/>
  <c r="M69" i="9"/>
  <c r="M75" i="9" s="1"/>
  <c r="J4" i="9"/>
  <c r="L69" i="9"/>
  <c r="A18" i="7"/>
  <c r="BD22" i="4"/>
  <c r="AZ22" i="4"/>
  <c r="BG17" i="4"/>
  <c r="BE17" i="4"/>
  <c r="BA17" i="4"/>
  <c r="BG11" i="4"/>
  <c r="BG12" i="4"/>
  <c r="BF11" i="4"/>
  <c r="BF12" i="4"/>
  <c r="BE11" i="4"/>
  <c r="BE12" i="4"/>
  <c r="BD11" i="4"/>
  <c r="BD12" i="4"/>
  <c r="BC11" i="4"/>
  <c r="BC12" i="4"/>
  <c r="BB11" i="4"/>
  <c r="BB12" i="4"/>
  <c r="BA11" i="4"/>
  <c r="BA12" i="4"/>
  <c r="AZ11" i="4"/>
  <c r="AZ12" i="4"/>
  <c r="AY11" i="4"/>
  <c r="AY12" i="4"/>
  <c r="AX11" i="4"/>
  <c r="AX12" i="4"/>
  <c r="AW11" i="4"/>
  <c r="AW12" i="4"/>
  <c r="BG6" i="4"/>
  <c r="BG7" i="4"/>
  <c r="BF6" i="4"/>
  <c r="BF7" i="4"/>
  <c r="BE6" i="4"/>
  <c r="BE7" i="4"/>
  <c r="BD6" i="4"/>
  <c r="BD7" i="4"/>
  <c r="BC6" i="4"/>
  <c r="BC7" i="4"/>
  <c r="BB6" i="4"/>
  <c r="BB7" i="4"/>
  <c r="BA6" i="4"/>
  <c r="BA7" i="4"/>
  <c r="AZ6" i="4"/>
  <c r="AZ7" i="4"/>
  <c r="AY6" i="4"/>
  <c r="AY7" i="4"/>
  <c r="AX6" i="4"/>
  <c r="AX7" i="4"/>
  <c r="AW6" i="4"/>
  <c r="AW7" i="4"/>
  <c r="S38" i="1"/>
  <c r="S37" i="1"/>
  <c r="S36" i="1"/>
  <c r="S35" i="1"/>
  <c r="S34" i="1"/>
  <c r="S33" i="1"/>
  <c r="S32" i="1"/>
  <c r="S31" i="1"/>
  <c r="S30" i="1"/>
  <c r="S29" i="1"/>
  <c r="S28" i="1"/>
  <c r="S27" i="1"/>
  <c r="S26" i="1"/>
  <c r="S25" i="1"/>
  <c r="S24" i="1"/>
  <c r="S23" i="1"/>
  <c r="S22" i="1"/>
  <c r="S21" i="1"/>
  <c r="S20" i="1"/>
  <c r="S19" i="1"/>
  <c r="S18" i="1"/>
  <c r="S17" i="1"/>
  <c r="S16" i="1"/>
  <c r="S15" i="1"/>
  <c r="S14" i="1"/>
  <c r="S13" i="1"/>
  <c r="S12" i="1"/>
  <c r="S11" i="1"/>
  <c r="S10" i="1"/>
  <c r="Y81" i="9"/>
  <c r="X81" i="9"/>
  <c r="R81" i="9"/>
  <c r="P81" i="9"/>
  <c r="AS11" i="9"/>
  <c r="S81" i="9"/>
  <c r="L85" i="9"/>
  <c r="U81" i="9"/>
  <c r="V81" i="9"/>
  <c r="F23" i="9"/>
  <c r="N84" i="9"/>
  <c r="L81" i="9"/>
  <c r="L84" i="9"/>
  <c r="AA13" i="9"/>
  <c r="S27" i="3"/>
  <c r="S33" i="3"/>
  <c r="S48" i="3"/>
  <c r="S45" i="3"/>
  <c r="S39" i="3"/>
  <c r="S30" i="3"/>
  <c r="S54" i="3"/>
  <c r="S51" i="3"/>
  <c r="S42" i="3"/>
  <c r="S36" i="3"/>
  <c r="S21" i="3"/>
  <c r="R17" i="36" s="1"/>
  <c r="Z41" i="9"/>
  <c r="V44" i="9"/>
  <c r="T39" i="9"/>
  <c r="V39" i="9"/>
  <c r="X42" i="9"/>
  <c r="M8" i="5"/>
  <c r="E6" i="5"/>
  <c r="M7" i="5"/>
  <c r="I9" i="5"/>
  <c r="E8" i="5"/>
  <c r="I7" i="5"/>
  <c r="Z81" i="9"/>
  <c r="I6" i="5"/>
  <c r="E9" i="5"/>
  <c r="I8" i="5"/>
  <c r="E7" i="5"/>
  <c r="W43" i="9"/>
  <c r="T81" i="9"/>
  <c r="U83" i="9"/>
  <c r="X44" i="9"/>
  <c r="N7" i="5"/>
  <c r="J10" i="5"/>
  <c r="N10" i="5"/>
  <c r="N6" i="5"/>
  <c r="F10" i="5"/>
  <c r="F7" i="5"/>
  <c r="F6" i="5"/>
  <c r="B18" i="5"/>
  <c r="D6" i="5"/>
  <c r="H6" i="5"/>
  <c r="N81" i="9"/>
  <c r="U85" i="9"/>
  <c r="F9" i="5"/>
  <c r="N9" i="5"/>
  <c r="T43" i="9"/>
  <c r="X40" i="9"/>
  <c r="Y82" i="9"/>
  <c r="X39" i="9"/>
  <c r="X43" i="9"/>
  <c r="P82" i="9"/>
  <c r="T40" i="9"/>
  <c r="T42" i="9"/>
  <c r="J7" i="5"/>
  <c r="J9" i="5"/>
  <c r="J6" i="5"/>
  <c r="T41" i="9"/>
  <c r="X82" i="9"/>
  <c r="W41" i="9"/>
  <c r="M10" i="5"/>
  <c r="M6" i="5"/>
  <c r="Z43" i="9"/>
  <c r="T82" i="9"/>
  <c r="W81" i="9"/>
  <c r="Y84" i="9"/>
  <c r="L82" i="9"/>
  <c r="M84" i="9"/>
  <c r="Q81" i="9"/>
  <c r="Q82" i="9"/>
  <c r="V82" i="9"/>
  <c r="R82" i="9"/>
  <c r="S84" i="9"/>
  <c r="N82" i="9"/>
  <c r="M82" i="9"/>
  <c r="G6" i="5"/>
  <c r="H9" i="5"/>
  <c r="H10" i="5"/>
  <c r="L7" i="5"/>
  <c r="B19" i="5"/>
  <c r="D10" i="5"/>
  <c r="Z42" i="9"/>
  <c r="Y39" i="9"/>
  <c r="K6" i="5"/>
  <c r="G10" i="5"/>
  <c r="D9" i="5"/>
  <c r="L9" i="5"/>
  <c r="B20" i="5"/>
  <c r="O6" i="5"/>
  <c r="H7" i="5"/>
  <c r="Z44" i="9"/>
  <c r="B7" i="5"/>
  <c r="L10" i="5"/>
  <c r="D7" i="5"/>
  <c r="L6" i="5"/>
  <c r="B21" i="5"/>
  <c r="O8" i="5"/>
  <c r="K7" i="5"/>
  <c r="U40" i="9"/>
  <c r="Y44" i="9"/>
  <c r="V42" i="9"/>
  <c r="V41" i="9"/>
  <c r="Z39" i="9"/>
  <c r="V43" i="9"/>
  <c r="B10" i="5"/>
  <c r="K8" i="5"/>
  <c r="O9" i="5"/>
  <c r="G7" i="5"/>
  <c r="U44" i="9"/>
  <c r="Y5" i="9"/>
  <c r="Y6" i="9"/>
  <c r="Y7" i="9"/>
  <c r="Y8" i="9"/>
  <c r="Y9" i="9"/>
  <c r="G9" i="5"/>
  <c r="B6" i="5"/>
  <c r="K9" i="5"/>
  <c r="O7" i="5"/>
  <c r="B8" i="5"/>
  <c r="Y43" i="9"/>
  <c r="Y40" i="9"/>
  <c r="AV13" i="9"/>
  <c r="AW13" i="9"/>
  <c r="AX13" i="9"/>
  <c r="Y4" i="9"/>
  <c r="AY19" i="9"/>
  <c r="AW21" i="9"/>
  <c r="AW17" i="9"/>
  <c r="AW15" i="9"/>
  <c r="W42" i="9"/>
  <c r="U39" i="9"/>
  <c r="U42" i="9"/>
  <c r="U41" i="9"/>
  <c r="W44" i="9"/>
  <c r="Y41" i="9"/>
  <c r="W40" i="9"/>
  <c r="T12" i="3"/>
  <c r="S8" i="36" s="1"/>
  <c r="T24" i="3"/>
  <c r="W12" i="3"/>
  <c r="W24" i="3"/>
  <c r="AA12" i="3"/>
  <c r="AA24" i="3"/>
  <c r="X12" i="3"/>
  <c r="X24" i="3"/>
  <c r="AB12" i="3"/>
  <c r="AB24" i="3"/>
  <c r="S24" i="3"/>
  <c r="U12" i="3"/>
  <c r="T8" i="36" s="1"/>
  <c r="U24" i="3"/>
  <c r="T20" i="36" s="1"/>
  <c r="Y12" i="3"/>
  <c r="Y24" i="3"/>
  <c r="AC12" i="3"/>
  <c r="AC24" i="3"/>
  <c r="V12" i="3"/>
  <c r="U8" i="36" s="1"/>
  <c r="V24" i="3"/>
  <c r="Z12" i="3"/>
  <c r="Z24" i="3"/>
  <c r="BJ5" i="4"/>
  <c r="BI5" i="4"/>
  <c r="AV11" i="9"/>
  <c r="AW11" i="9"/>
  <c r="AV23" i="9"/>
  <c r="AW23" i="9"/>
  <c r="Z75" i="9"/>
  <c r="T75" i="9"/>
  <c r="R75" i="9"/>
  <c r="P75" i="9"/>
  <c r="V75" i="9"/>
  <c r="O75" i="9"/>
  <c r="O16" i="25"/>
  <c r="N16" i="25" s="1"/>
  <c r="O12" i="25"/>
  <c r="N12" i="25" s="1"/>
  <c r="U137" i="6"/>
  <c r="U153" i="6" s="1"/>
  <c r="U141" i="6"/>
  <c r="U157" i="6" s="1"/>
  <c r="U142" i="6"/>
  <c r="U158" i="6" s="1"/>
  <c r="U136" i="6"/>
  <c r="U152" i="6" s="1"/>
  <c r="X142" i="6"/>
  <c r="X158" i="6" s="1"/>
  <c r="X135" i="6"/>
  <c r="X151" i="6" s="1"/>
  <c r="X140" i="6"/>
  <c r="X156" i="6" s="1"/>
  <c r="X133" i="6"/>
  <c r="X149" i="6" s="1"/>
  <c r="Y141" i="6"/>
  <c r="Y157" i="6" s="1"/>
  <c r="Y142" i="6"/>
  <c r="Y158" i="6" s="1"/>
  <c r="P141" i="6"/>
  <c r="P157" i="6" s="1"/>
  <c r="AN55" i="6"/>
  <c r="M81" i="9"/>
  <c r="O76" i="9"/>
  <c r="AY13" i="9"/>
  <c r="AZ19" i="9"/>
  <c r="BA19" i="9"/>
  <c r="AX15" i="9"/>
  <c r="AX21" i="9"/>
  <c r="AY21" i="9"/>
  <c r="AZ21" i="9"/>
  <c r="AX17" i="9"/>
  <c r="AX23" i="9"/>
  <c r="AX11" i="9"/>
  <c r="AY11" i="9"/>
  <c r="X279" i="6"/>
  <c r="R279" i="6"/>
  <c r="AD89" i="6"/>
  <c r="AE89" i="6" s="1"/>
  <c r="BA21" i="9"/>
  <c r="AZ13" i="9"/>
  <c r="BA13" i="9"/>
  <c r="AY17" i="9"/>
  <c r="AZ17" i="9"/>
  <c r="BB19" i="9"/>
  <c r="BC19" i="9"/>
  <c r="AY15" i="9"/>
  <c r="AZ11" i="9"/>
  <c r="AY23" i="9"/>
  <c r="AZ23" i="9"/>
  <c r="BD19" i="9"/>
  <c r="BB13" i="9"/>
  <c r="BC13" i="9"/>
  <c r="AZ15" i="9"/>
  <c r="BA17" i="9"/>
  <c r="BB21" i="9"/>
  <c r="BC21" i="9"/>
  <c r="L267" i="6"/>
  <c r="L270" i="6"/>
  <c r="BA23" i="9"/>
  <c r="BB23" i="9"/>
  <c r="BC23" i="9"/>
  <c r="BD23" i="9"/>
  <c r="BA11" i="9"/>
  <c r="BB11" i="9"/>
  <c r="BA15" i="9"/>
  <c r="BB15" i="9"/>
  <c r="BB17" i="9"/>
  <c r="BD21" i="9"/>
  <c r="BD13" i="9"/>
  <c r="BC11" i="9"/>
  <c r="BD11" i="9"/>
  <c r="BC15" i="9"/>
  <c r="BD15" i="9"/>
  <c r="BC17" i="9"/>
  <c r="BD17" i="9"/>
  <c r="L263" i="6"/>
  <c r="M268" i="6"/>
  <c r="M270" i="6"/>
  <c r="M263" i="6"/>
  <c r="M269" i="6"/>
  <c r="Q142" i="6"/>
  <c r="Q158" i="6" s="1"/>
  <c r="Q143" i="6"/>
  <c r="Q159" i="6" s="1"/>
  <c r="Q140" i="6"/>
  <c r="Q156" i="6" s="1"/>
  <c r="Q137" i="6"/>
  <c r="Q153" i="6" s="1"/>
  <c r="Q136" i="6"/>
  <c r="Q152" i="6" s="1"/>
  <c r="V73" i="25" a="1"/>
  <c r="V73" i="25" s="1"/>
  <c r="T140" i="6"/>
  <c r="T156" i="6" s="1"/>
  <c r="X143" i="6"/>
  <c r="X159" i="6" s="1"/>
  <c r="X137" i="6"/>
  <c r="X153" i="6" s="1"/>
  <c r="X136" i="6"/>
  <c r="X152" i="6" s="1"/>
  <c r="X139" i="6"/>
  <c r="X155" i="6" s="1"/>
  <c r="X141" i="6"/>
  <c r="X157" i="6" s="1"/>
  <c r="T136" i="6"/>
  <c r="T152" i="6" s="1"/>
  <c r="O9" i="25"/>
  <c r="N9" i="25" s="1"/>
  <c r="V233" i="6"/>
  <c r="AP72" i="25" l="1" a="1"/>
  <c r="AP72" i="25" s="1"/>
  <c r="F17" i="36"/>
  <c r="Y24" i="25"/>
  <c r="X24" i="25"/>
  <c r="N72" i="25"/>
  <c r="J17" i="36"/>
  <c r="AH19" i="36" s="1"/>
  <c r="N17" i="36"/>
  <c r="Y72" i="25"/>
  <c r="X72" i="25"/>
  <c r="K17" i="36"/>
  <c r="M17" i="36" s="1"/>
  <c r="AD19" i="36" s="1"/>
  <c r="U72" i="25"/>
  <c r="AE19" i="36"/>
  <c r="AP71" i="25" a="1"/>
  <c r="AP71" i="25" s="1"/>
  <c r="F14" i="36"/>
  <c r="Y23" i="25"/>
  <c r="X23" i="25"/>
  <c r="Y7" i="20"/>
  <c r="D14" i="36"/>
  <c r="O4" i="25"/>
  <c r="N4" i="25" s="1"/>
  <c r="W35" i="6"/>
  <c r="V71" i="25"/>
  <c r="K14" i="36"/>
  <c r="M14" i="36" s="1"/>
  <c r="U71" i="25"/>
  <c r="AD16" i="36"/>
  <c r="O66" i="36"/>
  <c r="P66" i="36" s="1"/>
  <c r="R66" i="36" s="1"/>
  <c r="M17" i="6"/>
  <c r="O34" i="6"/>
  <c r="P65" i="36"/>
  <c r="AP70" i="25" a="1"/>
  <c r="AP70" i="25" s="1"/>
  <c r="F11" i="36"/>
  <c r="X19" i="20"/>
  <c r="N50" i="36"/>
  <c r="Y83" i="25"/>
  <c r="X83" i="25"/>
  <c r="V83" i="25"/>
  <c r="K50" i="36"/>
  <c r="M50" i="36" s="1"/>
  <c r="AD52" i="36" s="1"/>
  <c r="AE54" i="36" s="1"/>
  <c r="L75" i="36" s="1"/>
  <c r="U83" i="25"/>
  <c r="AP83" i="25" a="1"/>
  <c r="AP83" i="25" s="1"/>
  <c r="F50" i="36"/>
  <c r="Q69" i="36"/>
  <c r="Y19" i="20"/>
  <c r="D50" i="36"/>
  <c r="N66" i="36" s="1"/>
  <c r="AD10" i="36"/>
  <c r="P6" i="8"/>
  <c r="J8" i="36"/>
  <c r="AK31" i="25"/>
  <c r="E83" i="25"/>
  <c r="E50" i="36"/>
  <c r="M82" i="25"/>
  <c r="E47" i="36"/>
  <c r="AE49" i="36" s="1"/>
  <c r="X119" i="6"/>
  <c r="X17" i="6"/>
  <c r="X24" i="6" s="1"/>
  <c r="G80" i="25"/>
  <c r="E41" i="36"/>
  <c r="AE43" i="36" s="1"/>
  <c r="D79" i="25"/>
  <c r="E38" i="36"/>
  <c r="AE40" i="36" s="1"/>
  <c r="F78" i="25"/>
  <c r="E35" i="36"/>
  <c r="AE37" i="36" s="1"/>
  <c r="Q65" i="36"/>
  <c r="L77" i="25"/>
  <c r="E32" i="36"/>
  <c r="AE34" i="36" s="1"/>
  <c r="S119" i="6"/>
  <c r="S17" i="6"/>
  <c r="I76" i="25"/>
  <c r="E29" i="36"/>
  <c r="AE31" i="36" s="1"/>
  <c r="R119" i="6"/>
  <c r="R17" i="6"/>
  <c r="R21" i="6" s="1"/>
  <c r="C75" i="25"/>
  <c r="E26" i="36"/>
  <c r="AE28" i="36" s="1"/>
  <c r="G74" i="25"/>
  <c r="E23" i="36"/>
  <c r="AE25" i="36" s="1"/>
  <c r="Q70" i="36"/>
  <c r="Q119" i="6"/>
  <c r="Q17" i="6"/>
  <c r="I73" i="25"/>
  <c r="E20" i="36"/>
  <c r="AE22" i="36" s="1"/>
  <c r="O119" i="6"/>
  <c r="O17" i="6"/>
  <c r="Q71" i="36"/>
  <c r="L71" i="25"/>
  <c r="E14" i="36"/>
  <c r="N119" i="6"/>
  <c r="N17" i="6"/>
  <c r="Q68" i="36"/>
  <c r="O65" i="36"/>
  <c r="R65" i="36" s="1"/>
  <c r="N65" i="36"/>
  <c r="Q66" i="36"/>
  <c r="L126" i="6"/>
  <c r="L17" i="6"/>
  <c r="L26" i="6" s="1"/>
  <c r="J6" i="8"/>
  <c r="H8" i="36"/>
  <c r="AJ35" i="25"/>
  <c r="Z35" i="25"/>
  <c r="AO35" i="25"/>
  <c r="AI35" i="25"/>
  <c r="AI34" i="25"/>
  <c r="Z34" i="25"/>
  <c r="AJ34" i="25"/>
  <c r="Z33" i="25"/>
  <c r="AJ33" i="25"/>
  <c r="AI33" i="25"/>
  <c r="Z32" i="25"/>
  <c r="AJ32" i="25"/>
  <c r="AO32" i="25"/>
  <c r="AI32" i="25"/>
  <c r="AO31" i="25"/>
  <c r="AI31" i="25"/>
  <c r="Z31" i="25"/>
  <c r="AJ31" i="25"/>
  <c r="AO30" i="25"/>
  <c r="AI30" i="25"/>
  <c r="AJ30" i="25"/>
  <c r="Z30" i="25"/>
  <c r="AJ29" i="25"/>
  <c r="Z29" i="25"/>
  <c r="AO29" i="25"/>
  <c r="AI29" i="25"/>
  <c r="AJ28" i="25"/>
  <c r="Z28" i="25"/>
  <c r="AO28" i="25"/>
  <c r="AI28" i="25"/>
  <c r="AO27" i="25"/>
  <c r="AI27" i="25"/>
  <c r="AJ27" i="25"/>
  <c r="Z27" i="25"/>
  <c r="AJ26" i="25"/>
  <c r="Z26" i="25"/>
  <c r="AO26" i="25"/>
  <c r="AI26" i="25"/>
  <c r="AJ25" i="25"/>
  <c r="Z25" i="25"/>
  <c r="AO25" i="25"/>
  <c r="AI25" i="25"/>
  <c r="AJ24" i="25"/>
  <c r="Z24" i="25"/>
  <c r="AI24" i="25"/>
  <c r="X7" i="20"/>
  <c r="Y71" i="25"/>
  <c r="X71" i="25"/>
  <c r="AO23" i="25"/>
  <c r="AI23" i="25"/>
  <c r="Z23" i="25"/>
  <c r="AJ23" i="25"/>
  <c r="AF53" i="2"/>
  <c r="P119" i="6"/>
  <c r="Q64" i="2"/>
  <c r="M119" i="6"/>
  <c r="Z119" i="6"/>
  <c r="L119" i="6"/>
  <c r="R247" i="6"/>
  <c r="Q247" i="6"/>
  <c r="X247" i="6"/>
  <c r="P247" i="6"/>
  <c r="O247" i="6"/>
  <c r="N247" i="6"/>
  <c r="M247" i="6"/>
  <c r="T247" i="6"/>
  <c r="U247" i="6"/>
  <c r="L247" i="6"/>
  <c r="S247" i="6"/>
  <c r="U119" i="6"/>
  <c r="Y119" i="6"/>
  <c r="T119" i="6"/>
  <c r="V119" i="6"/>
  <c r="AP21" i="25" a="1"/>
  <c r="AP21" i="25" s="1"/>
  <c r="Y21" i="25"/>
  <c r="X21" i="25"/>
  <c r="AJ22" i="25"/>
  <c r="Z22" i="25"/>
  <c r="AO22" i="25"/>
  <c r="AI22" i="25"/>
  <c r="X5" i="20"/>
  <c r="X69" i="25"/>
  <c r="Y69" i="25"/>
  <c r="H39" i="9"/>
  <c r="U69" i="25"/>
  <c r="AJ21" i="25"/>
  <c r="Z21" i="25"/>
  <c r="AO21" i="25"/>
  <c r="AI21" i="25"/>
  <c r="N30" i="25"/>
  <c r="T121" i="6"/>
  <c r="R121" i="6"/>
  <c r="C72" i="25"/>
  <c r="H72" i="25"/>
  <c r="AQ72" i="25" s="1"/>
  <c r="O24" i="6"/>
  <c r="N21" i="6"/>
  <c r="Z228" i="6"/>
  <c r="Z27" i="6"/>
  <c r="Y27" i="6"/>
  <c r="W24" i="6"/>
  <c r="V21" i="6"/>
  <c r="U22" i="6"/>
  <c r="T19" i="6"/>
  <c r="S24" i="6"/>
  <c r="Q19" i="6"/>
  <c r="P21" i="6"/>
  <c r="M27" i="6"/>
  <c r="L120" i="6"/>
  <c r="AA120" i="6" s="1"/>
  <c r="AD90" i="6" s="1"/>
  <c r="AE90" i="6" s="1"/>
  <c r="AD54" i="2"/>
  <c r="P76" i="9"/>
  <c r="L76" i="9"/>
  <c r="Y121" i="6"/>
  <c r="F31" i="9"/>
  <c r="V64" i="9" s="1"/>
  <c r="F24" i="9"/>
  <c r="O62" i="9" s="1"/>
  <c r="X116" i="6"/>
  <c r="T233" i="6"/>
  <c r="R116" i="6"/>
  <c r="AF49" i="6"/>
  <c r="W16" i="20"/>
  <c r="Z121" i="6"/>
  <c r="S121" i="6"/>
  <c r="Q121" i="6"/>
  <c r="P121" i="6"/>
  <c r="X121" i="6"/>
  <c r="U121" i="6"/>
  <c r="O121" i="6"/>
  <c r="N121" i="6"/>
  <c r="W121" i="6"/>
  <c r="AI44" i="6"/>
  <c r="M121" i="6"/>
  <c r="AJ33" i="6"/>
  <c r="AM58" i="6"/>
  <c r="AK51" i="6"/>
  <c r="AL57" i="6"/>
  <c r="AN43" i="6"/>
  <c r="V17" i="20"/>
  <c r="S17" i="20" s="1"/>
  <c r="AQ58" i="6"/>
  <c r="AJ36" i="6"/>
  <c r="AN54" i="6"/>
  <c r="AF41" i="6"/>
  <c r="AO40" i="6"/>
  <c r="AU11" i="6" a="1"/>
  <c r="AU11" i="6" s="1"/>
  <c r="AV11" i="6" s="1" a="1"/>
  <c r="AV11" i="6" s="1"/>
  <c r="AW11" i="6" s="1" a="1"/>
  <c r="AW11" i="6" s="1"/>
  <c r="AX11" i="6" s="1" a="1"/>
  <c r="AX11" i="6" s="1"/>
  <c r="AY11" i="6" s="1" a="1"/>
  <c r="AY11" i="6" s="1"/>
  <c r="AZ11" i="6" s="1" a="1"/>
  <c r="AZ11" i="6" s="1"/>
  <c r="BA11" i="6" s="1" a="1"/>
  <c r="BA11" i="6" s="1"/>
  <c r="BB11" i="6" s="1" a="1"/>
  <c r="BB11" i="6" s="1"/>
  <c r="BC11" i="6" s="1" a="1"/>
  <c r="BC11" i="6" s="1"/>
  <c r="BD11" i="6" s="1" a="1"/>
  <c r="BD11" i="6" s="1"/>
  <c r="AN42" i="6"/>
  <c r="AR44" i="6"/>
  <c r="AR59" i="6"/>
  <c r="AR41" i="6"/>
  <c r="AQ55" i="6"/>
  <c r="AN57" i="6"/>
  <c r="AJ32" i="6"/>
  <c r="AQ48" i="6"/>
  <c r="AQ44" i="6"/>
  <c r="AF57" i="6"/>
  <c r="AJ24" i="6"/>
  <c r="AF18" i="3"/>
  <c r="AF47" i="6"/>
  <c r="X193" i="6"/>
  <c r="W13" i="20"/>
  <c r="AJ31" i="6"/>
  <c r="AO58" i="6"/>
  <c r="AN53" i="6"/>
  <c r="AM42" i="6"/>
  <c r="AR60" i="6"/>
  <c r="AQ47" i="6"/>
  <c r="AF52" i="6"/>
  <c r="AO55" i="6"/>
  <c r="AA193" i="6"/>
  <c r="AL49" i="6"/>
  <c r="V14" i="20"/>
  <c r="S14" i="20" s="1"/>
  <c r="AG42" i="3"/>
  <c r="AR51" i="6"/>
  <c r="AR45" i="6"/>
  <c r="AO48" i="6"/>
  <c r="AF44" i="6"/>
  <c r="AN47" i="6"/>
  <c r="AM46" i="6"/>
  <c r="AQ60" i="6"/>
  <c r="AG51" i="3"/>
  <c r="AF53" i="6"/>
  <c r="AG18" i="3"/>
  <c r="AM43" i="6"/>
  <c r="AQ52" i="6"/>
  <c r="AO59" i="6"/>
  <c r="AF59" i="6"/>
  <c r="AN46" i="6"/>
  <c r="AM56" i="6"/>
  <c r="AJ35" i="6"/>
  <c r="AF50" i="6"/>
  <c r="AM45" i="6"/>
  <c r="AN50" i="6"/>
  <c r="V13" i="20"/>
  <c r="T13" i="20" s="1"/>
  <c r="V18" i="20"/>
  <c r="T18" i="20" s="1"/>
  <c r="AR50" i="6"/>
  <c r="AO47" i="6"/>
  <c r="AF55" i="6"/>
  <c r="AO50" i="6"/>
  <c r="AO46" i="6"/>
  <c r="R15" i="9"/>
  <c r="V16" i="20"/>
  <c r="T16" i="20" s="1"/>
  <c r="AO41" i="6"/>
  <c r="AO54" i="6"/>
  <c r="AR43" i="6"/>
  <c r="AE53" i="6"/>
  <c r="L46" i="6"/>
  <c r="O15" i="25"/>
  <c r="N15" i="25" s="1"/>
  <c r="X244" i="6"/>
  <c r="L45" i="6"/>
  <c r="L43" i="6"/>
  <c r="U249" i="6"/>
  <c r="L42" i="6"/>
  <c r="L41" i="6"/>
  <c r="M41" i="6" s="1"/>
  <c r="L40" i="6"/>
  <c r="L35" i="6"/>
  <c r="M35" i="6" s="1"/>
  <c r="L254" i="6"/>
  <c r="L33" i="6"/>
  <c r="M213" i="6"/>
  <c r="L34" i="6"/>
  <c r="U195" i="6"/>
  <c r="O34" i="25"/>
  <c r="AB34" i="25" s="1"/>
  <c r="R254" i="6"/>
  <c r="L39" i="6"/>
  <c r="L38" i="6"/>
  <c r="M38" i="6" s="1"/>
  <c r="L37" i="6"/>
  <c r="L36" i="6"/>
  <c r="AA195" i="6"/>
  <c r="L195" i="6"/>
  <c r="N76" i="9"/>
  <c r="X195" i="6"/>
  <c r="M44" i="6"/>
  <c r="X187" i="6"/>
  <c r="P46" i="9"/>
  <c r="AR19" i="6"/>
  <c r="AP47" i="6"/>
  <c r="AP58" i="6"/>
  <c r="AP52" i="6"/>
  <c r="AP56" i="6"/>
  <c r="AP60" i="6"/>
  <c r="AJ34" i="6"/>
  <c r="AP51" i="6"/>
  <c r="AP54" i="6"/>
  <c r="AP48" i="6"/>
  <c r="X236" i="6"/>
  <c r="AA32" i="25"/>
  <c r="AM53" i="6"/>
  <c r="AM55" i="6"/>
  <c r="AM48" i="6"/>
  <c r="AM50" i="6"/>
  <c r="AM60" i="6"/>
  <c r="AM51" i="6"/>
  <c r="AL55" i="6"/>
  <c r="O10" i="25"/>
  <c r="N10" i="25" s="1"/>
  <c r="AL44" i="6"/>
  <c r="AF36" i="3"/>
  <c r="AL46" i="6"/>
  <c r="AL41" i="6"/>
  <c r="AL45" i="6"/>
  <c r="Y191" i="6"/>
  <c r="AJ60" i="6"/>
  <c r="AH55" i="6"/>
  <c r="V8" i="20"/>
  <c r="T8" i="20" s="1"/>
  <c r="AE19" i="3"/>
  <c r="E41" i="9"/>
  <c r="N41" i="9" s="1"/>
  <c r="W7" i="20"/>
  <c r="H41" i="9"/>
  <c r="AE9" i="9"/>
  <c r="V279" i="6"/>
  <c r="V235" i="6"/>
  <c r="X227" i="6"/>
  <c r="X231" i="6"/>
  <c r="X228" i="6"/>
  <c r="X232" i="6"/>
  <c r="X226" i="6"/>
  <c r="X229" i="6"/>
  <c r="X230" i="6"/>
  <c r="X235" i="6"/>
  <c r="Z45" i="6"/>
  <c r="X234" i="6"/>
  <c r="X233" i="6"/>
  <c r="S230" i="6"/>
  <c r="S236" i="6"/>
  <c r="F35" i="9"/>
  <c r="Z63" i="9" s="1"/>
  <c r="X197" i="6"/>
  <c r="Z117" i="6"/>
  <c r="L196" i="6"/>
  <c r="X196" i="6"/>
  <c r="F34" i="9"/>
  <c r="Y60" i="9" s="1"/>
  <c r="Y231" i="6"/>
  <c r="Y117" i="6"/>
  <c r="X75" i="6"/>
  <c r="W234" i="6"/>
  <c r="W233" i="6"/>
  <c r="Z44" i="6"/>
  <c r="W235" i="6"/>
  <c r="W231" i="6"/>
  <c r="M76" i="9"/>
  <c r="W236" i="6"/>
  <c r="X194" i="6"/>
  <c r="N194" i="6"/>
  <c r="Z194" i="6" s="1"/>
  <c r="W117" i="6"/>
  <c r="V117" i="6"/>
  <c r="V191" i="6"/>
  <c r="X192" i="6"/>
  <c r="U192" i="6"/>
  <c r="AD37" i="2"/>
  <c r="AH37" i="2" s="1"/>
  <c r="U230" i="6"/>
  <c r="U229" i="6"/>
  <c r="U78" i="6"/>
  <c r="U80" i="6"/>
  <c r="U84" i="6"/>
  <c r="U76" i="6"/>
  <c r="U77" i="6"/>
  <c r="U82" i="6"/>
  <c r="U79" i="6"/>
  <c r="U83" i="6"/>
  <c r="U81" i="6"/>
  <c r="U284" i="6"/>
  <c r="F29" i="9"/>
  <c r="T117" i="6"/>
  <c r="T279" i="6"/>
  <c r="N189" i="6"/>
  <c r="Z189" i="6" s="1"/>
  <c r="L189" i="6"/>
  <c r="S46" i="9"/>
  <c r="F28" i="9"/>
  <c r="S62" i="9" s="1"/>
  <c r="X190" i="6"/>
  <c r="S117" i="6"/>
  <c r="AJ59" i="6"/>
  <c r="AJ51" i="6"/>
  <c r="AJ44" i="6"/>
  <c r="V11" i="20"/>
  <c r="T11" i="20" s="1"/>
  <c r="AJ52" i="6"/>
  <c r="AJ48" i="6"/>
  <c r="AJ46" i="6"/>
  <c r="AJ47" i="6"/>
  <c r="AJ28" i="6"/>
  <c r="AJ50" i="6"/>
  <c r="AJ58" i="6"/>
  <c r="AJ56" i="6"/>
  <c r="AA189" i="6"/>
  <c r="X189" i="6"/>
  <c r="AD28" i="2"/>
  <c r="AH28" i="2" s="1"/>
  <c r="R79" i="6"/>
  <c r="R76" i="6"/>
  <c r="R80" i="6"/>
  <c r="R82" i="6"/>
  <c r="R77" i="6"/>
  <c r="R78" i="6"/>
  <c r="R81" i="6"/>
  <c r="R84" i="6"/>
  <c r="R83" i="6"/>
  <c r="AA188" i="6"/>
  <c r="X188" i="6"/>
  <c r="AH48" i="6"/>
  <c r="P116" i="6"/>
  <c r="F25" i="9"/>
  <c r="P65" i="9" s="1"/>
  <c r="F26" i="9"/>
  <c r="Q62" i="9" s="1"/>
  <c r="O7" i="25"/>
  <c r="N7" i="25" s="1"/>
  <c r="L188" i="6"/>
  <c r="Q230" i="6"/>
  <c r="Q116" i="6"/>
  <c r="V10" i="20"/>
  <c r="S10" i="20" s="1"/>
  <c r="AI51" i="6"/>
  <c r="AI57" i="6"/>
  <c r="AI49" i="6"/>
  <c r="AI56" i="6"/>
  <c r="AI59" i="6"/>
  <c r="AI55" i="6"/>
  <c r="AI40" i="6"/>
  <c r="AI47" i="6"/>
  <c r="P230" i="6"/>
  <c r="P232" i="6"/>
  <c r="P231" i="6"/>
  <c r="U187" i="6"/>
  <c r="E43" i="9"/>
  <c r="P44" i="9" s="1"/>
  <c r="AH44" i="6"/>
  <c r="AH47" i="6"/>
  <c r="AH56" i="6"/>
  <c r="P228" i="6"/>
  <c r="AH50" i="6"/>
  <c r="AG9" i="9"/>
  <c r="AF15" i="9"/>
  <c r="C43" i="9" s="1"/>
  <c r="D43" i="9" s="1"/>
  <c r="AH43" i="6"/>
  <c r="AH60" i="6"/>
  <c r="AH42" i="6"/>
  <c r="X185" i="6"/>
  <c r="L185" i="6"/>
  <c r="AA24" i="25"/>
  <c r="O46" i="9"/>
  <c r="E42" i="9"/>
  <c r="O41" i="9" s="1"/>
  <c r="H42" i="9"/>
  <c r="AD19" i="2"/>
  <c r="AH19" i="2" s="1"/>
  <c r="AG58" i="6"/>
  <c r="AG56" i="6"/>
  <c r="AF9" i="9"/>
  <c r="O84" i="6"/>
  <c r="O77" i="6"/>
  <c r="O83" i="6"/>
  <c r="O79" i="6"/>
  <c r="O78" i="6"/>
  <c r="O82" i="6"/>
  <c r="O80" i="6"/>
  <c r="O76" i="6"/>
  <c r="O81" i="6"/>
  <c r="AG53" i="6"/>
  <c r="AG44" i="6"/>
  <c r="AG59" i="6"/>
  <c r="AG40" i="6"/>
  <c r="AG46" i="6"/>
  <c r="AG52" i="6"/>
  <c r="AG45" i="6"/>
  <c r="O5" i="25"/>
  <c r="N5" i="25" s="1"/>
  <c r="L186" i="6"/>
  <c r="AD16" i="2"/>
  <c r="AH16" i="2" s="1"/>
  <c r="N284" i="6"/>
  <c r="N81" i="6"/>
  <c r="N77" i="6"/>
  <c r="N76" i="6"/>
  <c r="N78" i="6"/>
  <c r="N80" i="6"/>
  <c r="N84" i="6"/>
  <c r="N83" i="6"/>
  <c r="N82" i="6"/>
  <c r="N79" i="6"/>
  <c r="N85" i="6"/>
  <c r="O85" i="6"/>
  <c r="U85" i="6"/>
  <c r="R85" i="6"/>
  <c r="O65" i="2"/>
  <c r="M232" i="6"/>
  <c r="M75" i="6"/>
  <c r="L75" i="6"/>
  <c r="L117" i="6"/>
  <c r="L121" i="6"/>
  <c r="AD9" i="9"/>
  <c r="V6" i="20"/>
  <c r="T6" i="20" s="1"/>
  <c r="O3" i="25"/>
  <c r="N3" i="25" s="1"/>
  <c r="C49" i="9"/>
  <c r="D49" i="9" s="1"/>
  <c r="Q66" i="2"/>
  <c r="W11" i="20"/>
  <c r="AE55" i="6"/>
  <c r="L75" i="9"/>
  <c r="AA75" i="9" s="1"/>
  <c r="AE40" i="6"/>
  <c r="AE45" i="6"/>
  <c r="H46" i="9"/>
  <c r="X10" i="20"/>
  <c r="AE57" i="6"/>
  <c r="AE59" i="6"/>
  <c r="AE54" i="6"/>
  <c r="AE60" i="6"/>
  <c r="AE51" i="6"/>
  <c r="AE47" i="6"/>
  <c r="AJ23" i="6"/>
  <c r="AF12" i="9"/>
  <c r="C40" i="9" s="1"/>
  <c r="D40" i="9" s="1"/>
  <c r="AE49" i="3"/>
  <c r="AF15" i="3"/>
  <c r="H45" i="9"/>
  <c r="S71" i="2"/>
  <c r="G21" i="9"/>
  <c r="AI53" i="6"/>
  <c r="AI45" i="6"/>
  <c r="AI54" i="6"/>
  <c r="AI58" i="6"/>
  <c r="AF16" i="9"/>
  <c r="C44" i="9" s="1"/>
  <c r="D44" i="9" s="1"/>
  <c r="AI42" i="6"/>
  <c r="AI41" i="6"/>
  <c r="AI43" i="6"/>
  <c r="AF27" i="3"/>
  <c r="AI50" i="6"/>
  <c r="AI46" i="6"/>
  <c r="AG27" i="3"/>
  <c r="AI52" i="6"/>
  <c r="AI48" i="6"/>
  <c r="AJ27" i="6"/>
  <c r="AI60" i="6"/>
  <c r="AF17" i="9"/>
  <c r="C45" i="9" s="1"/>
  <c r="D45" i="9" s="1"/>
  <c r="AF30" i="3"/>
  <c r="AJ40" i="6"/>
  <c r="AJ49" i="6"/>
  <c r="AJ43" i="6"/>
  <c r="AJ57" i="6"/>
  <c r="AJ54" i="6"/>
  <c r="AJ41" i="6"/>
  <c r="AJ53" i="6"/>
  <c r="AG30" i="3"/>
  <c r="AJ45" i="6"/>
  <c r="AJ55" i="6"/>
  <c r="AJ42" i="6"/>
  <c r="AK57" i="6"/>
  <c r="AK44" i="6"/>
  <c r="AL51" i="6"/>
  <c r="AL42" i="6"/>
  <c r="AL60" i="6"/>
  <c r="AL58" i="6"/>
  <c r="AL59" i="6"/>
  <c r="AM52" i="6"/>
  <c r="AF39" i="3"/>
  <c r="AM44" i="6"/>
  <c r="AM49" i="6"/>
  <c r="AM57" i="6"/>
  <c r="AM54" i="6"/>
  <c r="AN40" i="6"/>
  <c r="AN49" i="6"/>
  <c r="AN58" i="6"/>
  <c r="AN45" i="6"/>
  <c r="AN51" i="6"/>
  <c r="AN52" i="6"/>
  <c r="AF42" i="3"/>
  <c r="AN44" i="6"/>
  <c r="AN59" i="6"/>
  <c r="AN48" i="6"/>
  <c r="AN56" i="6"/>
  <c r="C73" i="9"/>
  <c r="D73" i="9" s="1"/>
  <c r="L64" i="9" s="1"/>
  <c r="AH59" i="6"/>
  <c r="S16" i="20"/>
  <c r="AH53" i="6"/>
  <c r="AF24" i="3"/>
  <c r="AG24" i="3"/>
  <c r="AH49" i="6"/>
  <c r="AR46" i="6"/>
  <c r="AP40" i="6"/>
  <c r="AG48" i="6"/>
  <c r="AP46" i="6"/>
  <c r="AG47" i="6"/>
  <c r="AR58" i="6"/>
  <c r="AF21" i="3"/>
  <c r="AQ53" i="6"/>
  <c r="AQ40" i="6"/>
  <c r="AQ59" i="6"/>
  <c r="AQ41" i="6"/>
  <c r="AQ42" i="6"/>
  <c r="AQ56" i="6"/>
  <c r="AQ49" i="6"/>
  <c r="AQ43" i="6"/>
  <c r="AF51" i="3"/>
  <c r="AQ46" i="6"/>
  <c r="AQ54" i="6"/>
  <c r="AQ45" i="6"/>
  <c r="AQ57" i="6"/>
  <c r="AO44" i="6"/>
  <c r="AO51" i="6"/>
  <c r="AO57" i="6"/>
  <c r="AO45" i="6"/>
  <c r="AO60" i="6"/>
  <c r="AF45" i="3"/>
  <c r="AO49" i="6"/>
  <c r="AO52" i="6"/>
  <c r="AO56" i="6"/>
  <c r="L194" i="6"/>
  <c r="M194" i="6" s="1"/>
  <c r="AO53" i="6"/>
  <c r="AG45" i="3"/>
  <c r="AO42" i="6"/>
  <c r="AE19" i="6"/>
  <c r="AJ22" i="6"/>
  <c r="AU8" i="6" s="1"/>
  <c r="AK19" i="6"/>
  <c r="R28" i="25" s="1"/>
  <c r="AG43" i="6"/>
  <c r="AG51" i="6"/>
  <c r="AG60" i="6"/>
  <c r="AG57" i="6"/>
  <c r="AG55" i="6"/>
  <c r="V19" i="20"/>
  <c r="T19" i="20" s="1"/>
  <c r="AR57" i="6"/>
  <c r="AR47" i="6"/>
  <c r="AG54" i="3"/>
  <c r="AR55" i="6"/>
  <c r="AR53" i="6"/>
  <c r="AF54" i="3"/>
  <c r="AR40" i="6"/>
  <c r="AR52" i="6"/>
  <c r="AR48" i="6"/>
  <c r="AR56" i="6"/>
  <c r="AR49" i="6"/>
  <c r="AR42" i="6"/>
  <c r="X16" i="20"/>
  <c r="AE46" i="3"/>
  <c r="AE44" i="6"/>
  <c r="AE58" i="6"/>
  <c r="AE43" i="6"/>
  <c r="AE42" i="6"/>
  <c r="AG15" i="3"/>
  <c r="AE46" i="6"/>
  <c r="AE56" i="6"/>
  <c r="AE48" i="6"/>
  <c r="AE52" i="6"/>
  <c r="AE41" i="6"/>
  <c r="AE49" i="6"/>
  <c r="AE50" i="6"/>
  <c r="V7" i="20"/>
  <c r="AF54" i="6"/>
  <c r="AF40" i="6"/>
  <c r="AF13" i="9"/>
  <c r="C41" i="9" s="1"/>
  <c r="D41" i="9" s="1"/>
  <c r="AF51" i="6"/>
  <c r="AF45" i="6"/>
  <c r="AF46" i="6"/>
  <c r="AF58" i="6"/>
  <c r="AF43" i="6"/>
  <c r="AF48" i="6"/>
  <c r="AF56" i="6"/>
  <c r="AF60" i="6"/>
  <c r="AF42" i="6"/>
  <c r="L193" i="6"/>
  <c r="AA197" i="6"/>
  <c r="L197" i="6"/>
  <c r="AL40" i="6"/>
  <c r="V12" i="20"/>
  <c r="S12" i="20" s="1"/>
  <c r="AG19" i="6"/>
  <c r="R24" i="25" s="1"/>
  <c r="AO19" i="6"/>
  <c r="R80" i="25" s="1"/>
  <c r="AH19" i="6"/>
  <c r="T25" i="25" s="1"/>
  <c r="U189" i="6"/>
  <c r="U197" i="6"/>
  <c r="AA31" i="25"/>
  <c r="L187" i="6"/>
  <c r="V15" i="20"/>
  <c r="T15" i="20" s="1"/>
  <c r="AM59" i="6"/>
  <c r="AL19" i="6"/>
  <c r="S29" i="25" s="1"/>
  <c r="AN19" i="6"/>
  <c r="T31" i="25" s="1"/>
  <c r="AF19" i="6"/>
  <c r="AQ19" i="6"/>
  <c r="R34" i="25" s="1"/>
  <c r="U193" i="6"/>
  <c r="AA23" i="25"/>
  <c r="AJ19" i="6"/>
  <c r="R27" i="25" s="1"/>
  <c r="L47" i="6"/>
  <c r="M47" i="6" s="1"/>
  <c r="U92" i="6"/>
  <c r="U196" i="6"/>
  <c r="Y135" i="6"/>
  <c r="Y151" i="6" s="1"/>
  <c r="Y140" i="6"/>
  <c r="Y156" i="6" s="1"/>
  <c r="V81" i="25"/>
  <c r="N33" i="25"/>
  <c r="AL81" i="25"/>
  <c r="V236" i="6"/>
  <c r="X15" i="20"/>
  <c r="V231" i="6"/>
  <c r="N31" i="25"/>
  <c r="Z42" i="6"/>
  <c r="U235" i="6"/>
  <c r="U143" i="6"/>
  <c r="U159" i="6" s="1"/>
  <c r="N192" i="6"/>
  <c r="Z192" i="6" s="1"/>
  <c r="U167" i="6"/>
  <c r="U234" i="6"/>
  <c r="U133" i="6"/>
  <c r="U149" i="6" s="1"/>
  <c r="U139" i="6"/>
  <c r="U155" i="6" s="1"/>
  <c r="U135" i="6"/>
  <c r="U151" i="6" s="1"/>
  <c r="S279" i="6"/>
  <c r="S142" i="6"/>
  <c r="S158" i="6" s="1"/>
  <c r="N190" i="6"/>
  <c r="Z190" i="6" s="1"/>
  <c r="AE34" i="3"/>
  <c r="E46" i="9"/>
  <c r="S44" i="9" s="1"/>
  <c r="AL74" i="25"/>
  <c r="Q227" i="6"/>
  <c r="Q228" i="6"/>
  <c r="Q226" i="6"/>
  <c r="Q139" i="6"/>
  <c r="Q155" i="6" s="1"/>
  <c r="Q141" i="6"/>
  <c r="Q157" i="6" s="1"/>
  <c r="Q133" i="6"/>
  <c r="Q149" i="6" s="1"/>
  <c r="Q135" i="6"/>
  <c r="Q151" i="6" s="1"/>
  <c r="O279" i="6"/>
  <c r="O230" i="6"/>
  <c r="O227" i="6"/>
  <c r="W8" i="20"/>
  <c r="O228" i="6"/>
  <c r="O232" i="6"/>
  <c r="AK23" i="25"/>
  <c r="H40" i="9"/>
  <c r="Y186" i="6"/>
  <c r="R105" i="6"/>
  <c r="T105" i="6" s="1"/>
  <c r="Z97" i="6"/>
  <c r="R104" i="6"/>
  <c r="T104" i="6" s="1"/>
  <c r="R103" i="6"/>
  <c r="T103" i="6" s="1"/>
  <c r="R101" i="6"/>
  <c r="T101" i="6" s="1"/>
  <c r="T134" i="6"/>
  <c r="T150" i="6" s="1"/>
  <c r="R96" i="6"/>
  <c r="T96" i="6" s="1"/>
  <c r="R102" i="6"/>
  <c r="T102" i="6" s="1"/>
  <c r="S234" i="6"/>
  <c r="S232" i="6"/>
  <c r="S226" i="6"/>
  <c r="S228" i="6"/>
  <c r="R229" i="6"/>
  <c r="R231" i="6"/>
  <c r="Q236" i="6"/>
  <c r="Q235" i="6"/>
  <c r="Q232" i="6"/>
  <c r="Q117" i="6"/>
  <c r="Q231" i="6"/>
  <c r="Q229" i="6"/>
  <c r="Q234" i="6"/>
  <c r="Q233" i="6"/>
  <c r="Z38" i="6"/>
  <c r="K73" i="25"/>
  <c r="AO73" i="25" s="1"/>
  <c r="N23" i="25"/>
  <c r="P279" i="6"/>
  <c r="G39" i="9"/>
  <c r="AD57" i="6"/>
  <c r="AJ20" i="2"/>
  <c r="F21" i="9"/>
  <c r="G86" i="9"/>
  <c r="AD45" i="6"/>
  <c r="C71" i="9"/>
  <c r="D71" i="9" s="1"/>
  <c r="L62" i="9" s="1"/>
  <c r="AD46" i="6"/>
  <c r="AD44" i="6"/>
  <c r="AD40" i="6"/>
  <c r="AG12" i="3"/>
  <c r="AD52" i="6"/>
  <c r="AD50" i="6"/>
  <c r="AE13" i="3"/>
  <c r="E39" i="9"/>
  <c r="L39" i="9" s="1"/>
  <c r="AR69" i="25"/>
  <c r="V183" i="6"/>
  <c r="B6" i="24"/>
  <c r="B6" i="8"/>
  <c r="M126" i="6"/>
  <c r="J6" i="24"/>
  <c r="R236" i="6"/>
  <c r="E44" i="9"/>
  <c r="Q42" i="9" s="1"/>
  <c r="O233" i="6"/>
  <c r="R234" i="6"/>
  <c r="U185" i="6"/>
  <c r="Z46" i="6"/>
  <c r="S135" i="6"/>
  <c r="S151" i="6" s="1"/>
  <c r="AE37" i="3"/>
  <c r="AE43" i="3"/>
  <c r="AE55" i="3"/>
  <c r="W19" i="20"/>
  <c r="W15" i="20"/>
  <c r="F11" i="25"/>
  <c r="F15" i="25"/>
  <c r="N34" i="25"/>
  <c r="Z105" i="6"/>
  <c r="AD33" i="25"/>
  <c r="S16" i="9"/>
  <c r="U140" i="6"/>
  <c r="U156" i="6" s="1"/>
  <c r="C78" i="25"/>
  <c r="S141" i="6"/>
  <c r="S157" i="6" s="1"/>
  <c r="Z99" i="6"/>
  <c r="Q14" i="9"/>
  <c r="O28" i="25"/>
  <c r="AB28" i="25" s="1"/>
  <c r="R230" i="6"/>
  <c r="R232" i="6"/>
  <c r="R227" i="6"/>
  <c r="R226" i="6"/>
  <c r="R228" i="6"/>
  <c r="Y189" i="6"/>
  <c r="J75" i="25"/>
  <c r="O27" i="25"/>
  <c r="AB27" i="25" s="1"/>
  <c r="Z39" i="6"/>
  <c r="R233" i="6"/>
  <c r="R235" i="6"/>
  <c r="F75" i="25"/>
  <c r="O229" i="6"/>
  <c r="L63" i="9"/>
  <c r="O236" i="6"/>
  <c r="O235" i="6"/>
  <c r="O226" i="6"/>
  <c r="O234" i="6"/>
  <c r="O231" i="6"/>
  <c r="O23" i="25"/>
  <c r="AB23" i="25" s="1"/>
  <c r="G44" i="9"/>
  <c r="S19" i="20"/>
  <c r="X17" i="9"/>
  <c r="X16" i="9"/>
  <c r="X18" i="9"/>
  <c r="X15" i="9"/>
  <c r="X14" i="9"/>
  <c r="S35" i="25"/>
  <c r="R83" i="25"/>
  <c r="R35" i="25"/>
  <c r="T35" i="25"/>
  <c r="AQ51" i="6"/>
  <c r="O14" i="25"/>
  <c r="N14" i="25" s="1"/>
  <c r="AP49" i="6"/>
  <c r="AP50" i="6"/>
  <c r="AP41" i="6"/>
  <c r="AP19" i="6"/>
  <c r="S33" i="25" s="1"/>
  <c r="AP59" i="6"/>
  <c r="AP44" i="6"/>
  <c r="AP42" i="6"/>
  <c r="AP45" i="6"/>
  <c r="AG48" i="3"/>
  <c r="AP57" i="6"/>
  <c r="AF48" i="3"/>
  <c r="AP53" i="6"/>
  <c r="AP43" i="6"/>
  <c r="AP55" i="6"/>
  <c r="W104" i="6"/>
  <c r="O13" i="25"/>
  <c r="N13" i="25" s="1"/>
  <c r="W103" i="6"/>
  <c r="T14" i="9"/>
  <c r="T18" i="9"/>
  <c r="T16" i="9"/>
  <c r="T17" i="9"/>
  <c r="T13" i="9"/>
  <c r="V80" i="9" s="1"/>
  <c r="T15" i="9"/>
  <c r="T14" i="20"/>
  <c r="AM19" i="6"/>
  <c r="S30" i="25" s="1"/>
  <c r="AL48" i="6"/>
  <c r="AL43" i="6"/>
  <c r="AJ30" i="6"/>
  <c r="AL52" i="6"/>
  <c r="AL47" i="6"/>
  <c r="L191" i="6"/>
  <c r="AL53" i="6"/>
  <c r="AL54" i="6"/>
  <c r="AL50" i="6"/>
  <c r="AG36" i="3"/>
  <c r="AK46" i="6"/>
  <c r="AK50" i="6"/>
  <c r="AK59" i="6"/>
  <c r="AK53" i="6"/>
  <c r="AJ9" i="9"/>
  <c r="AK42" i="6"/>
  <c r="AK49" i="6"/>
  <c r="AF33" i="3"/>
  <c r="AK52" i="6"/>
  <c r="AK41" i="6"/>
  <c r="AJ29" i="6"/>
  <c r="L190" i="6"/>
  <c r="M190" i="6" s="1"/>
  <c r="AK40" i="6"/>
  <c r="AK55" i="6"/>
  <c r="AK56" i="6"/>
  <c r="AK43" i="6"/>
  <c r="AF18" i="9"/>
  <c r="C46" i="9" s="1"/>
  <c r="D46" i="9" s="1"/>
  <c r="AK48" i="6"/>
  <c r="AK54" i="6"/>
  <c r="O8" i="25"/>
  <c r="N8" i="25" s="1"/>
  <c r="AI9" i="9"/>
  <c r="C74" i="9"/>
  <c r="D74" i="9" s="1"/>
  <c r="L65" i="9" s="1"/>
  <c r="AH9" i="9"/>
  <c r="AI19" i="6"/>
  <c r="S26" i="25" s="1"/>
  <c r="AH57" i="6"/>
  <c r="AH54" i="6"/>
  <c r="AH58" i="6"/>
  <c r="AH51" i="6"/>
  <c r="AH46" i="6"/>
  <c r="AH41" i="6"/>
  <c r="AJ26" i="6"/>
  <c r="O6" i="25"/>
  <c r="N6" i="25" s="1"/>
  <c r="W96" i="6"/>
  <c r="V9" i="20"/>
  <c r="T9" i="20" s="1"/>
  <c r="AH45" i="6"/>
  <c r="AH52" i="6"/>
  <c r="AH40" i="6"/>
  <c r="AG54" i="6"/>
  <c r="AF14" i="9"/>
  <c r="C42" i="9" s="1"/>
  <c r="D42" i="9" s="1"/>
  <c r="AJ25" i="6"/>
  <c r="AG42" i="6"/>
  <c r="AG21" i="3"/>
  <c r="AG41" i="6"/>
  <c r="AG50" i="6"/>
  <c r="AG49" i="6"/>
  <c r="W93" i="6"/>
  <c r="AD60" i="6"/>
  <c r="AD55" i="6"/>
  <c r="AD58" i="6"/>
  <c r="AD54" i="6"/>
  <c r="AD41" i="6"/>
  <c r="AD49" i="6"/>
  <c r="AD42" i="6"/>
  <c r="AD47" i="6"/>
  <c r="AD43" i="6"/>
  <c r="AF11" i="9"/>
  <c r="AJ11" i="9" s="1"/>
  <c r="V5" i="20"/>
  <c r="T5" i="20" s="1"/>
  <c r="AD59" i="6"/>
  <c r="AD53" i="6"/>
  <c r="AD48" i="6"/>
  <c r="AD51" i="6"/>
  <c r="AD56" i="6"/>
  <c r="AF12" i="3"/>
  <c r="C48" i="9"/>
  <c r="D48" i="9" s="1"/>
  <c r="AD19" i="6"/>
  <c r="O2" i="25"/>
  <c r="W92" i="6"/>
  <c r="AC9" i="9"/>
  <c r="J21" i="9" s="1"/>
  <c r="X252" i="6"/>
  <c r="X207" i="6"/>
  <c r="R81" i="25"/>
  <c r="V33" i="25"/>
  <c r="T17" i="20"/>
  <c r="T32" i="25"/>
  <c r="R32" i="25"/>
  <c r="S32" i="25"/>
  <c r="R16" i="20"/>
  <c r="V194" i="6"/>
  <c r="AN60" i="6"/>
  <c r="AA79" i="25"/>
  <c r="T30" i="25"/>
  <c r="AM40" i="6"/>
  <c r="AM47" i="6"/>
  <c r="AG39" i="3"/>
  <c r="S13" i="20"/>
  <c r="AL56" i="6"/>
  <c r="AA29" i="25"/>
  <c r="AK45" i="6"/>
  <c r="AK58" i="6"/>
  <c r="AG33" i="3"/>
  <c r="Q17" i="9"/>
  <c r="AK47" i="6"/>
  <c r="P15" i="9"/>
  <c r="AA26" i="25"/>
  <c r="M18" i="9"/>
  <c r="M15" i="9"/>
  <c r="M16" i="9"/>
  <c r="M14" i="9"/>
  <c r="C51" i="9"/>
  <c r="D51" i="9" s="1"/>
  <c r="N244" i="6"/>
  <c r="L184" i="6"/>
  <c r="K18" i="9"/>
  <c r="L61" i="9"/>
  <c r="AA21" i="25"/>
  <c r="Q190" i="6"/>
  <c r="P190" i="6" s="1"/>
  <c r="I46" i="9"/>
  <c r="V190" i="6"/>
  <c r="M279" i="6"/>
  <c r="Z233" i="6"/>
  <c r="O35" i="25"/>
  <c r="AB35" i="25" s="1"/>
  <c r="Z230" i="6"/>
  <c r="H83" i="25"/>
  <c r="W35" i="25"/>
  <c r="Z116" i="6"/>
  <c r="K82" i="25"/>
  <c r="AO82" i="25" s="1"/>
  <c r="U14" i="9"/>
  <c r="W141" i="6"/>
  <c r="W157" i="6" s="1"/>
  <c r="W140" i="6"/>
  <c r="W156" i="6" s="1"/>
  <c r="W142" i="6"/>
  <c r="W158" i="6" s="1"/>
  <c r="U16" i="9"/>
  <c r="W136" i="6"/>
  <c r="W152" i="6" s="1"/>
  <c r="W143" i="6"/>
  <c r="W159" i="6" s="1"/>
  <c r="M80" i="25"/>
  <c r="W32" i="25"/>
  <c r="O32" i="25"/>
  <c r="AB32" i="25" s="1"/>
  <c r="V228" i="6"/>
  <c r="V229" i="6"/>
  <c r="Z43" i="6"/>
  <c r="V232" i="6"/>
  <c r="V234" i="6"/>
  <c r="J79" i="25"/>
  <c r="O31" i="25"/>
  <c r="AB31" i="25" s="1"/>
  <c r="V227" i="6"/>
  <c r="V230" i="6"/>
  <c r="V226" i="6"/>
  <c r="W31" i="25"/>
  <c r="U227" i="6"/>
  <c r="S15" i="9"/>
  <c r="S13" i="9"/>
  <c r="U80" i="9" s="1"/>
  <c r="S17" i="9"/>
  <c r="U226" i="6"/>
  <c r="U232" i="6"/>
  <c r="V30" i="25"/>
  <c r="S18" i="9"/>
  <c r="U236" i="6"/>
  <c r="S14" i="9"/>
  <c r="U231" i="6"/>
  <c r="U233" i="6"/>
  <c r="U228" i="6"/>
  <c r="I78" i="25"/>
  <c r="W30" i="25"/>
  <c r="U116" i="6"/>
  <c r="U134" i="6"/>
  <c r="U150" i="6" s="1"/>
  <c r="T236" i="6"/>
  <c r="T229" i="6"/>
  <c r="T116" i="6"/>
  <c r="AA28" i="25"/>
  <c r="Q15" i="9"/>
  <c r="S233" i="6"/>
  <c r="S235" i="6"/>
  <c r="S231" i="6"/>
  <c r="Q18" i="9"/>
  <c r="Q13" i="9"/>
  <c r="S80" i="9" s="1"/>
  <c r="S140" i="6"/>
  <c r="S156" i="6" s="1"/>
  <c r="S143" i="6"/>
  <c r="S159" i="6" s="1"/>
  <c r="S138" i="6"/>
  <c r="S154" i="6" s="1"/>
  <c r="S133" i="6"/>
  <c r="S149" i="6" s="1"/>
  <c r="S227" i="6"/>
  <c r="S229" i="6"/>
  <c r="Z40" i="6"/>
  <c r="Q16" i="9"/>
  <c r="S136" i="6"/>
  <c r="S152" i="6" s="1"/>
  <c r="S137" i="6"/>
  <c r="S153" i="6" s="1"/>
  <c r="S139" i="6"/>
  <c r="S155" i="6" s="1"/>
  <c r="M75" i="25"/>
  <c r="I75" i="25"/>
  <c r="E75" i="25"/>
  <c r="L75" i="25"/>
  <c r="H75" i="25"/>
  <c r="D75" i="25"/>
  <c r="K75" i="25"/>
  <c r="AO75" i="25" s="1"/>
  <c r="G75" i="25"/>
  <c r="N27" i="25"/>
  <c r="O26" i="25"/>
  <c r="AB26" i="25" s="1"/>
  <c r="N25" i="25"/>
  <c r="G71" i="25"/>
  <c r="D71" i="25"/>
  <c r="C71" i="25"/>
  <c r="U138" i="6"/>
  <c r="U154" i="6" s="1"/>
  <c r="Q134" i="6"/>
  <c r="Q150" i="6" s="1"/>
  <c r="W5" i="20"/>
  <c r="Z236" i="6"/>
  <c r="Z226" i="6"/>
  <c r="Z232" i="6"/>
  <c r="Z229" i="6"/>
  <c r="Z227" i="6"/>
  <c r="Z47" i="6"/>
  <c r="Z231" i="6"/>
  <c r="Z235" i="6"/>
  <c r="V35" i="25"/>
  <c r="Y197" i="6"/>
  <c r="Z234" i="6"/>
  <c r="N35" i="25"/>
  <c r="N196" i="6"/>
  <c r="Z196" i="6" s="1"/>
  <c r="G82" i="25"/>
  <c r="H82" i="25"/>
  <c r="Y196" i="6"/>
  <c r="Y136" i="6"/>
  <c r="Y152" i="6" s="1"/>
  <c r="Y143" i="6"/>
  <c r="Y159" i="6" s="1"/>
  <c r="Y137" i="6"/>
  <c r="Y153" i="6" s="1"/>
  <c r="C82" i="25"/>
  <c r="I82" i="25"/>
  <c r="Y229" i="6"/>
  <c r="Y139" i="6"/>
  <c r="Y155" i="6" s="1"/>
  <c r="Y133" i="6"/>
  <c r="Y149" i="6" s="1"/>
  <c r="J82" i="25"/>
  <c r="L82" i="25"/>
  <c r="Y279" i="6"/>
  <c r="Y18" i="20"/>
  <c r="O33" i="25"/>
  <c r="AB33" i="25" s="1"/>
  <c r="W138" i="6"/>
  <c r="W154" i="6" s="1"/>
  <c r="W137" i="6"/>
  <c r="W153" i="6" s="1"/>
  <c r="W133" i="6"/>
  <c r="W149" i="6" s="1"/>
  <c r="W139" i="6"/>
  <c r="W155" i="6" s="1"/>
  <c r="W135" i="6"/>
  <c r="W151" i="6" s="1"/>
  <c r="E80" i="25"/>
  <c r="V32" i="25"/>
  <c r="U117" i="6"/>
  <c r="U244" i="6"/>
  <c r="O30" i="25"/>
  <c r="AB30" i="25" s="1"/>
  <c r="T234" i="6"/>
  <c r="T230" i="6"/>
  <c r="T226" i="6"/>
  <c r="T231" i="6"/>
  <c r="T227" i="6"/>
  <c r="AC29" i="25"/>
  <c r="T228" i="6"/>
  <c r="Z41" i="6"/>
  <c r="T235" i="6"/>
  <c r="T232" i="6"/>
  <c r="O29" i="25"/>
  <c r="AB29" i="25" s="1"/>
  <c r="R117" i="6"/>
  <c r="O17" i="9"/>
  <c r="Q279" i="6"/>
  <c r="Z37" i="6"/>
  <c r="P227" i="6"/>
  <c r="P233" i="6"/>
  <c r="O25" i="25"/>
  <c r="AB25" i="25" s="1"/>
  <c r="J73" i="25"/>
  <c r="AA25" i="25"/>
  <c r="P229" i="6"/>
  <c r="P234" i="6"/>
  <c r="P235" i="6"/>
  <c r="P236" i="6"/>
  <c r="P226" i="6"/>
  <c r="G73" i="25"/>
  <c r="N187" i="6"/>
  <c r="O24" i="25"/>
  <c r="AB24" i="25" s="1"/>
  <c r="D72" i="25"/>
  <c r="AC72" i="25" s="1"/>
  <c r="Q24" i="25"/>
  <c r="P24" i="25" s="1"/>
  <c r="N24" i="25"/>
  <c r="AQ24" i="25"/>
  <c r="O117" i="6"/>
  <c r="V23" i="25"/>
  <c r="N117" i="6"/>
  <c r="W183" i="6"/>
  <c r="K69" i="25"/>
  <c r="AO69" i="25" s="1"/>
  <c r="AA184" i="6"/>
  <c r="L46" i="9"/>
  <c r="L183" i="6"/>
  <c r="L136" i="6"/>
  <c r="L152" i="6" s="1"/>
  <c r="L141" i="6"/>
  <c r="L157" i="6" s="1"/>
  <c r="X184" i="6"/>
  <c r="X183" i="6"/>
  <c r="L143" i="6"/>
  <c r="L159" i="6" s="1"/>
  <c r="I22" i="9"/>
  <c r="M65" i="9" s="1"/>
  <c r="M138" i="6"/>
  <c r="M154" i="6" s="1"/>
  <c r="R93" i="6"/>
  <c r="T93" i="6" s="1"/>
  <c r="M117" i="6"/>
  <c r="N22" i="25"/>
  <c r="K17" i="9"/>
  <c r="K15" i="9"/>
  <c r="O22" i="25"/>
  <c r="AB22" i="25" s="1"/>
  <c r="L137" i="6"/>
  <c r="L153" i="6" s="1"/>
  <c r="L133" i="6"/>
  <c r="L149" i="6" s="1"/>
  <c r="R92" i="6"/>
  <c r="T92" i="6" s="1"/>
  <c r="L140" i="6"/>
  <c r="L156" i="6" s="1"/>
  <c r="Z92" i="6"/>
  <c r="I21" i="9"/>
  <c r="K21" i="9" s="1"/>
  <c r="J18" i="9"/>
  <c r="N183" i="6"/>
  <c r="L170" i="6" s="1"/>
  <c r="E69" i="25"/>
  <c r="T45" i="9"/>
  <c r="Y17" i="20"/>
  <c r="W279" i="6"/>
  <c r="AR77" i="25"/>
  <c r="Q188" i="6"/>
  <c r="W197" i="6"/>
  <c r="AL75" i="25"/>
  <c r="L279" i="6"/>
  <c r="AD10" i="2"/>
  <c r="L232" i="6"/>
  <c r="L226" i="6"/>
  <c r="L227" i="6"/>
  <c r="O21" i="25"/>
  <c r="AB21" i="25" s="1"/>
  <c r="L235" i="6"/>
  <c r="L230" i="6"/>
  <c r="L236" i="6"/>
  <c r="L233" i="6"/>
  <c r="L229" i="6"/>
  <c r="L234" i="6"/>
  <c r="L228" i="6"/>
  <c r="L231" i="6"/>
  <c r="AK21" i="25"/>
  <c r="L116" i="6"/>
  <c r="AL80" i="25"/>
  <c r="Q194" i="6"/>
  <c r="P194" i="6" s="1"/>
  <c r="F46" i="3"/>
  <c r="F42" i="36" s="1"/>
  <c r="W194" i="6"/>
  <c r="F14" i="25"/>
  <c r="AR80" i="25"/>
  <c r="F10" i="25"/>
  <c r="N66" i="2"/>
  <c r="O206" i="6"/>
  <c r="P6" i="24"/>
  <c r="U183" i="6"/>
  <c r="F3" i="25"/>
  <c r="AD52" i="2"/>
  <c r="AH52" i="2" s="1"/>
  <c r="X134" i="6"/>
  <c r="X150" i="6" s="1"/>
  <c r="AD46" i="2"/>
  <c r="Z103" i="6"/>
  <c r="Y138" i="6"/>
  <c r="Y154" i="6" s="1"/>
  <c r="Z33" i="6"/>
  <c r="U188" i="6"/>
  <c r="U194" i="6"/>
  <c r="F12" i="25"/>
  <c r="X191" i="6"/>
  <c r="V6" i="24"/>
  <c r="Z143" i="6"/>
  <c r="Z159" i="6" s="1"/>
  <c r="Z135" i="6"/>
  <c r="Z151" i="6" s="1"/>
  <c r="X13" i="9"/>
  <c r="Z80" i="9" s="1"/>
  <c r="U15" i="9"/>
  <c r="U17" i="9"/>
  <c r="U13" i="9"/>
  <c r="W80" i="9" s="1"/>
  <c r="U18" i="9"/>
  <c r="V142" i="6"/>
  <c r="V158" i="6" s="1"/>
  <c r="C79" i="25"/>
  <c r="AQ31" i="25"/>
  <c r="L78" i="25"/>
  <c r="G78" i="25"/>
  <c r="M78" i="25"/>
  <c r="H78" i="25"/>
  <c r="K78" i="25"/>
  <c r="AO78" i="25" s="1"/>
  <c r="E78" i="25"/>
  <c r="J78" i="25"/>
  <c r="D78" i="25"/>
  <c r="Y192" i="6"/>
  <c r="K76" i="25"/>
  <c r="AO76" i="25" s="1"/>
  <c r="Y190" i="6"/>
  <c r="J76" i="25"/>
  <c r="D76" i="25"/>
  <c r="E76" i="25"/>
  <c r="P13" i="9"/>
  <c r="R80" i="9" s="1"/>
  <c r="AM23" i="25"/>
  <c r="AM21" i="25"/>
  <c r="AA69" i="9"/>
  <c r="N21" i="25"/>
  <c r="V33" i="6"/>
  <c r="J17" i="9"/>
  <c r="L60" i="9"/>
  <c r="AC21" i="25"/>
  <c r="J16" i="9"/>
  <c r="L83" i="9" s="1"/>
  <c r="AA83" i="9" s="1"/>
  <c r="AQ21" i="25"/>
  <c r="V196" i="6"/>
  <c r="W193" i="6"/>
  <c r="U212" i="6"/>
  <c r="F34" i="3"/>
  <c r="F30" i="36" s="1"/>
  <c r="W190" i="6"/>
  <c r="I76" i="9"/>
  <c r="G46" i="9"/>
  <c r="V189" i="6"/>
  <c r="W189" i="6"/>
  <c r="Q189" i="6"/>
  <c r="P189" i="6" s="1"/>
  <c r="F31" i="3"/>
  <c r="F27" i="36" s="1"/>
  <c r="R189" i="6"/>
  <c r="T189" i="6" s="1"/>
  <c r="G45" i="9"/>
  <c r="V185" i="6"/>
  <c r="AL69" i="25"/>
  <c r="N26" i="25"/>
  <c r="AD26" i="25"/>
  <c r="AD49" i="2"/>
  <c r="AH49" i="2" s="1"/>
  <c r="AC34" i="25"/>
  <c r="AO34" i="25"/>
  <c r="V40" i="6"/>
  <c r="AC28" i="25"/>
  <c r="Q28" i="25"/>
  <c r="P28" i="25" s="1"/>
  <c r="Y236" i="6"/>
  <c r="Y233" i="6"/>
  <c r="Q32" i="25"/>
  <c r="P32" i="25" s="1"/>
  <c r="AK35" i="25"/>
  <c r="G77" i="25"/>
  <c r="K77" i="25"/>
  <c r="AO77" i="25" s="1"/>
  <c r="P188" i="6"/>
  <c r="Y10" i="20"/>
  <c r="W188" i="6"/>
  <c r="V188" i="6"/>
  <c r="AR74" i="25"/>
  <c r="W192" i="6"/>
  <c r="F49" i="3"/>
  <c r="F45" i="36" s="1"/>
  <c r="V195" i="6"/>
  <c r="Q195" i="6"/>
  <c r="P195" i="6" s="1"/>
  <c r="AR81" i="25"/>
  <c r="M74" i="25"/>
  <c r="C74" i="25"/>
  <c r="X11" i="20"/>
  <c r="AK28" i="25"/>
  <c r="AC30" i="25"/>
  <c r="AC32" i="25"/>
  <c r="N32" i="25"/>
  <c r="Z138" i="6"/>
  <c r="Z154" i="6" s="1"/>
  <c r="Z136" i="6"/>
  <c r="Z152" i="6" s="1"/>
  <c r="Z133" i="6"/>
  <c r="Z149" i="6" s="1"/>
  <c r="Z141" i="6"/>
  <c r="Z157" i="6" s="1"/>
  <c r="Z134" i="6"/>
  <c r="Z150" i="6" s="1"/>
  <c r="Z140" i="6"/>
  <c r="Z156" i="6" s="1"/>
  <c r="Z137" i="6"/>
  <c r="Z153" i="6" s="1"/>
  <c r="Z142" i="6"/>
  <c r="Z158" i="6" s="1"/>
  <c r="Z106" i="6"/>
  <c r="Z139" i="6"/>
  <c r="Z155" i="6" s="1"/>
  <c r="V138" i="6"/>
  <c r="V154" i="6" s="1"/>
  <c r="V137" i="6"/>
  <c r="V153" i="6" s="1"/>
  <c r="V134" i="6"/>
  <c r="V150" i="6" s="1"/>
  <c r="V136" i="6"/>
  <c r="V152" i="6" s="1"/>
  <c r="V141" i="6"/>
  <c r="V157" i="6" s="1"/>
  <c r="V139" i="6"/>
  <c r="V155" i="6" s="1"/>
  <c r="V133" i="6"/>
  <c r="V149" i="6" s="1"/>
  <c r="V143" i="6"/>
  <c r="V159" i="6" s="1"/>
  <c r="V140" i="6"/>
  <c r="V156" i="6" s="1"/>
  <c r="V135" i="6"/>
  <c r="V151" i="6" s="1"/>
  <c r="R135" i="6"/>
  <c r="R151" i="6" s="1"/>
  <c r="R138" i="6"/>
  <c r="R154" i="6" s="1"/>
  <c r="R134" i="6"/>
  <c r="R150" i="6" s="1"/>
  <c r="V39" i="6"/>
  <c r="AK27" i="25"/>
  <c r="AD27" i="25"/>
  <c r="AM25" i="25"/>
  <c r="AD29" i="25"/>
  <c r="AK29" i="25"/>
  <c r="AQ33" i="25"/>
  <c r="AO33" i="25"/>
  <c r="V47" i="6"/>
  <c r="AA35" i="25"/>
  <c r="Y226" i="6"/>
  <c r="Y232" i="6"/>
  <c r="Y228" i="6"/>
  <c r="Y235" i="6"/>
  <c r="I27" i="9"/>
  <c r="I75" i="9" s="1"/>
  <c r="P16" i="9"/>
  <c r="P17" i="9"/>
  <c r="P14" i="9"/>
  <c r="P18" i="9"/>
  <c r="V15" i="9"/>
  <c r="V17" i="9"/>
  <c r="V18" i="9"/>
  <c r="M83" i="25"/>
  <c r="D83" i="25"/>
  <c r="AA83" i="25" s="1"/>
  <c r="J83" i="25"/>
  <c r="L83" i="25"/>
  <c r="N83" i="25" s="1"/>
  <c r="C83" i="25"/>
  <c r="K83" i="25"/>
  <c r="AO83" i="25" s="1"/>
  <c r="F83" i="25"/>
  <c r="I83" i="25"/>
  <c r="G83" i="25"/>
  <c r="N197" i="6"/>
  <c r="Z197" i="6" s="1"/>
  <c r="AE25" i="3"/>
  <c r="W9" i="20"/>
  <c r="H43" i="9"/>
  <c r="G43" i="9" s="1"/>
  <c r="W14" i="20"/>
  <c r="AE40" i="3"/>
  <c r="V82" i="25"/>
  <c r="W18" i="20"/>
  <c r="M77" i="25"/>
  <c r="H77" i="25"/>
  <c r="F77" i="25"/>
  <c r="I77" i="25"/>
  <c r="N191" i="6"/>
  <c r="Z191" i="6" s="1"/>
  <c r="E77" i="25"/>
  <c r="N77" i="25" s="1"/>
  <c r="D77" i="25"/>
  <c r="J77" i="25"/>
  <c r="C77" i="25"/>
  <c r="X14" i="20"/>
  <c r="AK32" i="25"/>
  <c r="AD28" i="25"/>
  <c r="N28" i="25"/>
  <c r="Y227" i="6"/>
  <c r="Y234" i="6"/>
  <c r="Y230" i="6"/>
  <c r="AE52" i="3"/>
  <c r="AE31" i="3"/>
  <c r="D81" i="25"/>
  <c r="N195" i="6"/>
  <c r="Z195" i="6" s="1"/>
  <c r="J81" i="25"/>
  <c r="N29" i="25"/>
  <c r="AL76" i="25"/>
  <c r="H80" i="25"/>
  <c r="J80" i="25"/>
  <c r="C76" i="25"/>
  <c r="F76" i="25"/>
  <c r="Q26" i="25"/>
  <c r="P26" i="25" s="1"/>
  <c r="X138" i="6"/>
  <c r="X154" i="6" s="1"/>
  <c r="T138" i="6"/>
  <c r="T154" i="6" s="1"/>
  <c r="P138" i="6"/>
  <c r="P154" i="6" s="1"/>
  <c r="S134" i="6"/>
  <c r="S150" i="6" s="1"/>
  <c r="AK33" i="25"/>
  <c r="AD34" i="25"/>
  <c r="AD25" i="25"/>
  <c r="V38" i="6"/>
  <c r="AC35" i="25"/>
  <c r="F13" i="25"/>
  <c r="L80" i="25"/>
  <c r="H76" i="25"/>
  <c r="G76" i="25"/>
  <c r="F82" i="25"/>
  <c r="AC31" i="25"/>
  <c r="AD32" i="25"/>
  <c r="AD35" i="25"/>
  <c r="Q30" i="25"/>
  <c r="P30" i="25" s="1"/>
  <c r="AD30" i="25"/>
  <c r="V43" i="6"/>
  <c r="O133" i="6"/>
  <c r="O149" i="6" s="1"/>
  <c r="O140" i="6"/>
  <c r="O156" i="6" s="1"/>
  <c r="O137" i="6"/>
  <c r="O153" i="6" s="1"/>
  <c r="O135" i="6"/>
  <c r="O151" i="6" s="1"/>
  <c r="F6" i="25"/>
  <c r="AK24" i="25"/>
  <c r="O211" i="6"/>
  <c r="M13" i="9"/>
  <c r="O80" i="9" s="1"/>
  <c r="AE22" i="3"/>
  <c r="Q72" i="25"/>
  <c r="P72" i="25" s="1"/>
  <c r="AM24" i="25"/>
  <c r="O138" i="6"/>
  <c r="O154" i="6" s="1"/>
  <c r="O134" i="6"/>
  <c r="O150" i="6" s="1"/>
  <c r="V36" i="6"/>
  <c r="M17" i="9"/>
  <c r="O142" i="6"/>
  <c r="O158" i="6" s="1"/>
  <c r="X186" i="6"/>
  <c r="U186" i="6"/>
  <c r="F42" i="9"/>
  <c r="O143" i="6"/>
  <c r="O159" i="6" s="1"/>
  <c r="O141" i="6"/>
  <c r="O157" i="6" s="1"/>
  <c r="O139" i="6"/>
  <c r="O155" i="6" s="1"/>
  <c r="O136" i="6"/>
  <c r="O152" i="6" s="1"/>
  <c r="Z95" i="6"/>
  <c r="V35" i="6"/>
  <c r="Q23" i="25"/>
  <c r="AQ23" i="25"/>
  <c r="F5" i="25"/>
  <c r="AD23" i="25"/>
  <c r="M140" i="6"/>
  <c r="M156" i="6" s="1"/>
  <c r="M137" i="6"/>
  <c r="M153" i="6" s="1"/>
  <c r="K14" i="9"/>
  <c r="M135" i="6"/>
  <c r="M151" i="6" s="1"/>
  <c r="AE16" i="3"/>
  <c r="M139" i="6"/>
  <c r="M155" i="6" s="1"/>
  <c r="M134" i="6"/>
  <c r="M150" i="6" s="1"/>
  <c r="M133" i="6"/>
  <c r="M149" i="6" s="1"/>
  <c r="W6" i="20"/>
  <c r="K16" i="9"/>
  <c r="M142" i="6"/>
  <c r="M158" i="6" s="1"/>
  <c r="K13" i="9"/>
  <c r="M80" i="9" s="1"/>
  <c r="M143" i="6"/>
  <c r="M159" i="6" s="1"/>
  <c r="M136" i="6"/>
  <c r="M152" i="6" s="1"/>
  <c r="M141" i="6"/>
  <c r="M157" i="6" s="1"/>
  <c r="Z93" i="6"/>
  <c r="V70" i="25"/>
  <c r="X6" i="20"/>
  <c r="E40" i="9"/>
  <c r="F40" i="9" s="1"/>
  <c r="F13" i="3"/>
  <c r="F9" i="36" s="1"/>
  <c r="J69" i="25"/>
  <c r="AH21" i="25"/>
  <c r="AH22" i="25" s="1"/>
  <c r="F69" i="25"/>
  <c r="I69" i="25"/>
  <c r="L138" i="6"/>
  <c r="L154" i="6" s="1"/>
  <c r="AD21" i="25"/>
  <c r="M69" i="25"/>
  <c r="V69" i="25" s="1"/>
  <c r="D69" i="25"/>
  <c r="L139" i="6"/>
  <c r="L155" i="6" s="1"/>
  <c r="Q21" i="25"/>
  <c r="P21" i="25" s="1"/>
  <c r="F6" i="24"/>
  <c r="G69" i="25"/>
  <c r="L134" i="6"/>
  <c r="L150" i="6" s="1"/>
  <c r="L69" i="25"/>
  <c r="AE69" i="25" s="1"/>
  <c r="C69" i="25"/>
  <c r="Y183" i="6"/>
  <c r="L135" i="6"/>
  <c r="L151" i="6" s="1"/>
  <c r="F6" i="8"/>
  <c r="V6" i="8"/>
  <c r="Q197" i="6"/>
  <c r="P197" i="6" s="1"/>
  <c r="AL83" i="25"/>
  <c r="V197" i="6"/>
  <c r="Y13" i="20"/>
  <c r="W191" i="6"/>
  <c r="Y11" i="20"/>
  <c r="F9" i="25"/>
  <c r="Q183" i="6"/>
  <c r="P183" i="6" s="1"/>
  <c r="Q187" i="6"/>
  <c r="P187" i="6" s="1"/>
  <c r="W187" i="6"/>
  <c r="Y9" i="20"/>
  <c r="AL73" i="25"/>
  <c r="V187" i="6"/>
  <c r="I43" i="9"/>
  <c r="AR72" i="25"/>
  <c r="W186" i="6"/>
  <c r="Y8" i="20"/>
  <c r="AL72" i="25"/>
  <c r="V186" i="6"/>
  <c r="F19" i="3"/>
  <c r="F15" i="36" s="1"/>
  <c r="AR70" i="25"/>
  <c r="AL70" i="25"/>
  <c r="Q184" i="6"/>
  <c r="P184" i="6" s="1"/>
  <c r="V184" i="6"/>
  <c r="Y6" i="20"/>
  <c r="G40" i="9"/>
  <c r="G42" i="9"/>
  <c r="I42" i="9"/>
  <c r="Q186" i="6"/>
  <c r="P186" i="6" s="1"/>
  <c r="O246" i="6"/>
  <c r="O249" i="6"/>
  <c r="O207" i="6"/>
  <c r="O248" i="6"/>
  <c r="K24" i="9"/>
  <c r="Q17" i="25"/>
  <c r="AL82" i="25"/>
  <c r="W196" i="6"/>
  <c r="Q196" i="6"/>
  <c r="P196" i="6" s="1"/>
  <c r="F52" i="3"/>
  <c r="F48" i="36" s="1"/>
  <c r="F16" i="25"/>
  <c r="I83" i="9"/>
  <c r="K35" i="9"/>
  <c r="F17" i="25"/>
  <c r="F55" i="3"/>
  <c r="F51" i="36" s="1"/>
  <c r="AM35" i="25"/>
  <c r="AQ35" i="25"/>
  <c r="Q35" i="25"/>
  <c r="P35" i="25" s="1"/>
  <c r="AR83" i="25"/>
  <c r="I82" i="9"/>
  <c r="K34" i="9"/>
  <c r="V46" i="6"/>
  <c r="Q34" i="25"/>
  <c r="P34" i="25" s="1"/>
  <c r="W16" i="9"/>
  <c r="W18" i="9"/>
  <c r="W15" i="9"/>
  <c r="W13" i="9"/>
  <c r="Y80" i="9" s="1"/>
  <c r="E82" i="25"/>
  <c r="D82" i="25"/>
  <c r="AK34" i="25"/>
  <c r="W14" i="9"/>
  <c r="W17" i="9"/>
  <c r="AM34" i="25"/>
  <c r="AQ34" i="25"/>
  <c r="AA34" i="25"/>
  <c r="Y116" i="6"/>
  <c r="I33" i="9"/>
  <c r="X62" i="9" s="1"/>
  <c r="Q33" i="25"/>
  <c r="P33" i="25" s="1"/>
  <c r="V14" i="9"/>
  <c r="I81" i="25"/>
  <c r="AA33" i="25"/>
  <c r="K81" i="25"/>
  <c r="M81" i="25"/>
  <c r="AM33" i="25"/>
  <c r="F81" i="25"/>
  <c r="V16" i="9"/>
  <c r="V13" i="9"/>
  <c r="X80" i="9" s="1"/>
  <c r="G81" i="25"/>
  <c r="Y195" i="6"/>
  <c r="C81" i="25"/>
  <c r="L81" i="25"/>
  <c r="AC33" i="25"/>
  <c r="V45" i="6"/>
  <c r="H81" i="25"/>
  <c r="E81" i="25"/>
  <c r="W65" i="9"/>
  <c r="W61" i="9"/>
  <c r="W60" i="9"/>
  <c r="I80" i="9"/>
  <c r="W64" i="9"/>
  <c r="W63" i="9"/>
  <c r="K32" i="9"/>
  <c r="W62" i="9"/>
  <c r="AD43" i="2"/>
  <c r="AH43" i="2" s="1"/>
  <c r="V44" i="6"/>
  <c r="W228" i="6"/>
  <c r="W232" i="6"/>
  <c r="W230" i="6"/>
  <c r="R194" i="6"/>
  <c r="T194" i="6" s="1"/>
  <c r="Y194" i="6"/>
  <c r="AA52" i="9"/>
  <c r="D80" i="25"/>
  <c r="AA80" i="25" s="1"/>
  <c r="I80" i="25"/>
  <c r="K80" i="25"/>
  <c r="F80" i="25"/>
  <c r="AM32" i="25"/>
  <c r="AQ32" i="25"/>
  <c r="W227" i="6"/>
  <c r="W226" i="6"/>
  <c r="W229" i="6"/>
  <c r="C80" i="25"/>
  <c r="W116" i="6"/>
  <c r="K31" i="9"/>
  <c r="I79" i="9"/>
  <c r="AD40" i="2"/>
  <c r="V116" i="6"/>
  <c r="I79" i="25"/>
  <c r="M79" i="25"/>
  <c r="AD31" i="25"/>
  <c r="Q31" i="25"/>
  <c r="P31" i="25" s="1"/>
  <c r="H79" i="25"/>
  <c r="AA73" i="9"/>
  <c r="L79" i="25"/>
  <c r="AM31" i="25"/>
  <c r="F79" i="25"/>
  <c r="Y193" i="6"/>
  <c r="N193" i="6"/>
  <c r="O193" i="6" s="1"/>
  <c r="K79" i="25"/>
  <c r="AO79" i="25" s="1"/>
  <c r="G79" i="25"/>
  <c r="E79" i="25"/>
  <c r="Y15" i="20"/>
  <c r="F43" i="3"/>
  <c r="F39" i="36" s="1"/>
  <c r="P17" i="25"/>
  <c r="AL79" i="25"/>
  <c r="Q193" i="6"/>
  <c r="P193" i="6" s="1"/>
  <c r="V193" i="6"/>
  <c r="Q69" i="2"/>
  <c r="AA30" i="25"/>
  <c r="R192" i="6"/>
  <c r="T192" i="6" s="1"/>
  <c r="AK30" i="25"/>
  <c r="V42" i="6"/>
  <c r="AM30" i="25"/>
  <c r="AQ30" i="25"/>
  <c r="Y14" i="20"/>
  <c r="R14" i="20" s="1"/>
  <c r="U65" i="9"/>
  <c r="Q192" i="6"/>
  <c r="P192" i="6" s="1"/>
  <c r="U211" i="6"/>
  <c r="U208" i="6"/>
  <c r="U60" i="9"/>
  <c r="U63" i="9"/>
  <c r="F40" i="3"/>
  <c r="F36" i="36" s="1"/>
  <c r="V192" i="6"/>
  <c r="U246" i="6"/>
  <c r="AL78" i="25"/>
  <c r="U62" i="9"/>
  <c r="U64" i="9"/>
  <c r="U61" i="9"/>
  <c r="K30" i="9"/>
  <c r="S17" i="25"/>
  <c r="AD34" i="2"/>
  <c r="AH34" i="2" s="1"/>
  <c r="U191" i="6"/>
  <c r="Q29" i="25"/>
  <c r="P29" i="25" s="1"/>
  <c r="AM29" i="25"/>
  <c r="AQ29" i="25"/>
  <c r="R17" i="9"/>
  <c r="R16" i="9"/>
  <c r="R18" i="9"/>
  <c r="R14" i="9"/>
  <c r="AA71" i="9"/>
  <c r="V41" i="6"/>
  <c r="T135" i="6"/>
  <c r="T151" i="6" s="1"/>
  <c r="R13" i="9"/>
  <c r="T80" i="9" s="1"/>
  <c r="T137" i="6"/>
  <c r="T153" i="6" s="1"/>
  <c r="I29" i="9"/>
  <c r="I77" i="9" s="1"/>
  <c r="Z100" i="6"/>
  <c r="T143" i="6"/>
  <c r="T159" i="6" s="1"/>
  <c r="T141" i="6"/>
  <c r="T157" i="6" s="1"/>
  <c r="T133" i="6"/>
  <c r="T149" i="6" s="1"/>
  <c r="T139" i="6"/>
  <c r="T155" i="6" s="1"/>
  <c r="T142" i="6"/>
  <c r="T158" i="6" s="1"/>
  <c r="AL77" i="25"/>
  <c r="Q191" i="6"/>
  <c r="P191" i="6" s="1"/>
  <c r="F37" i="3"/>
  <c r="F33" i="36" s="1"/>
  <c r="AR78" i="25"/>
  <c r="S39" i="9"/>
  <c r="S45" i="9" s="1"/>
  <c r="AD31" i="2"/>
  <c r="AH31" i="2" s="1"/>
  <c r="W12" i="20"/>
  <c r="S116" i="6"/>
  <c r="U190" i="6"/>
  <c r="F46" i="9"/>
  <c r="Z45" i="9"/>
  <c r="AA70" i="9"/>
  <c r="AM28" i="25"/>
  <c r="AQ28" i="25"/>
  <c r="L76" i="25"/>
  <c r="M76" i="25"/>
  <c r="Y12" i="20"/>
  <c r="R17" i="25"/>
  <c r="E45" i="9"/>
  <c r="R40" i="9" s="1"/>
  <c r="Q68" i="2"/>
  <c r="R64" i="2"/>
  <c r="Q27" i="25"/>
  <c r="P27" i="25" s="1"/>
  <c r="R167" i="6"/>
  <c r="R142" i="6"/>
  <c r="R158" i="6" s="1"/>
  <c r="AA27" i="25"/>
  <c r="AM27" i="25"/>
  <c r="AQ27" i="25"/>
  <c r="R98" i="6"/>
  <c r="T98" i="6" s="1"/>
  <c r="R137" i="6"/>
  <c r="R153" i="6" s="1"/>
  <c r="R140" i="6"/>
  <c r="R156" i="6" s="1"/>
  <c r="R139" i="6"/>
  <c r="R155" i="6" s="1"/>
  <c r="Z98" i="6"/>
  <c r="R143" i="6"/>
  <c r="R159" i="6" s="1"/>
  <c r="R133" i="6"/>
  <c r="R149" i="6" s="1"/>
  <c r="R141" i="6"/>
  <c r="R157" i="6" s="1"/>
  <c r="R136" i="6"/>
  <c r="R152" i="6" s="1"/>
  <c r="AC27" i="25"/>
  <c r="AE28" i="3"/>
  <c r="V74" i="25"/>
  <c r="W10" i="20"/>
  <c r="AD25" i="2"/>
  <c r="F8" i="25"/>
  <c r="F28" i="3"/>
  <c r="F24" i="36" s="1"/>
  <c r="K26" i="9"/>
  <c r="AK26" i="25"/>
  <c r="AM26" i="25"/>
  <c r="H74" i="25"/>
  <c r="K74" i="25"/>
  <c r="O18" i="9"/>
  <c r="L74" i="25"/>
  <c r="J74" i="25"/>
  <c r="AQ26" i="25"/>
  <c r="F74" i="25"/>
  <c r="AC26" i="25"/>
  <c r="O13" i="9"/>
  <c r="Q80" i="9" s="1"/>
  <c r="O16" i="9"/>
  <c r="D74" i="25"/>
  <c r="E74" i="25"/>
  <c r="I74" i="25"/>
  <c r="O15" i="9"/>
  <c r="N188" i="6"/>
  <c r="O188" i="6" s="1"/>
  <c r="O14" i="9"/>
  <c r="Y188" i="6"/>
  <c r="I74" i="9"/>
  <c r="X9" i="20"/>
  <c r="F7" i="25"/>
  <c r="I73" i="9"/>
  <c r="R187" i="6"/>
  <c r="T187" i="6" s="1"/>
  <c r="N18" i="9"/>
  <c r="D73" i="25"/>
  <c r="AK25" i="25"/>
  <c r="P137" i="6"/>
  <c r="P153" i="6" s="1"/>
  <c r="C73" i="25"/>
  <c r="L73" i="25"/>
  <c r="N16" i="9"/>
  <c r="AA81" i="9"/>
  <c r="P139" i="6"/>
  <c r="P155" i="6" s="1"/>
  <c r="Y187" i="6"/>
  <c r="AD22" i="2"/>
  <c r="AH22" i="2" s="1"/>
  <c r="Q25" i="25"/>
  <c r="P25" i="25" s="1"/>
  <c r="AQ25" i="25"/>
  <c r="P133" i="6"/>
  <c r="P149" i="6" s="1"/>
  <c r="E73" i="25"/>
  <c r="N17" i="9"/>
  <c r="P135" i="6"/>
  <c r="P151" i="6" s="1"/>
  <c r="Z96" i="6"/>
  <c r="V37" i="6"/>
  <c r="AC25" i="25"/>
  <c r="P140" i="6"/>
  <c r="P156" i="6" s="1"/>
  <c r="F25" i="3"/>
  <c r="F21" i="36" s="1"/>
  <c r="P142" i="6"/>
  <c r="P158" i="6" s="1"/>
  <c r="P143" i="6"/>
  <c r="P159" i="6" s="1"/>
  <c r="F73" i="25"/>
  <c r="M73" i="25"/>
  <c r="N14" i="9"/>
  <c r="N15" i="9"/>
  <c r="N13" i="9"/>
  <c r="P80" i="9" s="1"/>
  <c r="P136" i="6"/>
  <c r="P152" i="6" s="1"/>
  <c r="AA50" i="9"/>
  <c r="H73" i="25"/>
  <c r="K25" i="9"/>
  <c r="X8" i="20"/>
  <c r="Z36" i="6"/>
  <c r="O116" i="6"/>
  <c r="N65" i="2"/>
  <c r="AH72" i="25"/>
  <c r="X48" i="6"/>
  <c r="F22" i="3"/>
  <c r="F18" i="36" s="1"/>
  <c r="N186" i="6"/>
  <c r="O186" i="6" s="1"/>
  <c r="AD24" i="25"/>
  <c r="AC24" i="25"/>
  <c r="O45" i="9"/>
  <c r="AA53" i="9"/>
  <c r="AO24" i="25"/>
  <c r="AA72" i="9"/>
  <c r="L18" i="9"/>
  <c r="L16" i="9"/>
  <c r="N235" i="6"/>
  <c r="N228" i="6"/>
  <c r="N234" i="6"/>
  <c r="AA82" i="9"/>
  <c r="N65" i="9"/>
  <c r="AA51" i="9"/>
  <c r="AA55" i="9"/>
  <c r="AA85" i="9"/>
  <c r="Z35" i="6"/>
  <c r="AA125" i="6"/>
  <c r="AD95" i="6" s="1"/>
  <c r="AE95" i="6" s="1"/>
  <c r="AA124" i="6"/>
  <c r="AD94" i="6" s="1"/>
  <c r="AE94" i="6" s="1"/>
  <c r="AA123" i="6"/>
  <c r="AD93" i="6" s="1"/>
  <c r="AE93" i="6" s="1"/>
  <c r="N236" i="6"/>
  <c r="N231" i="6"/>
  <c r="N230" i="6"/>
  <c r="N227" i="6"/>
  <c r="N233" i="6"/>
  <c r="N116" i="6"/>
  <c r="AE54" i="2"/>
  <c r="N226" i="6"/>
  <c r="N229" i="6"/>
  <c r="N232" i="6"/>
  <c r="F41" i="9"/>
  <c r="K23" i="9"/>
  <c r="I71" i="9"/>
  <c r="N64" i="9"/>
  <c r="N62" i="9"/>
  <c r="J71" i="25"/>
  <c r="M71" i="25"/>
  <c r="F71" i="25"/>
  <c r="E71" i="25"/>
  <c r="N71" i="25" s="1"/>
  <c r="I71" i="25"/>
  <c r="Y185" i="6"/>
  <c r="AA84" i="9"/>
  <c r="N133" i="6"/>
  <c r="N149" i="6" s="1"/>
  <c r="N142" i="6"/>
  <c r="N158" i="6" s="1"/>
  <c r="N140" i="6"/>
  <c r="N156" i="6" s="1"/>
  <c r="N137" i="6"/>
  <c r="N153" i="6" s="1"/>
  <c r="N135" i="6"/>
  <c r="N151" i="6" s="1"/>
  <c r="Z94" i="6"/>
  <c r="N138" i="6"/>
  <c r="N154" i="6" s="1"/>
  <c r="N60" i="9"/>
  <c r="N61" i="9"/>
  <c r="L14" i="9"/>
  <c r="L15" i="9"/>
  <c r="N185" i="6"/>
  <c r="R185" i="6" s="1"/>
  <c r="T185" i="6" s="1"/>
  <c r="R94" i="6"/>
  <c r="T94" i="6" s="1"/>
  <c r="H71" i="25"/>
  <c r="K71" i="25"/>
  <c r="N63" i="9"/>
  <c r="AC23" i="25"/>
  <c r="L17" i="9"/>
  <c r="L13" i="9"/>
  <c r="N80" i="9" s="1"/>
  <c r="AA54" i="9"/>
  <c r="AA74" i="9"/>
  <c r="N143" i="6"/>
  <c r="N159" i="6" s="1"/>
  <c r="N141" i="6"/>
  <c r="N157" i="6" s="1"/>
  <c r="N139" i="6"/>
  <c r="N155" i="6" s="1"/>
  <c r="N136" i="6"/>
  <c r="N152" i="6" s="1"/>
  <c r="AR71" i="25"/>
  <c r="AL71" i="25"/>
  <c r="Q185" i="6"/>
  <c r="P185" i="6" s="1"/>
  <c r="Q70" i="2"/>
  <c r="W185" i="6"/>
  <c r="O66" i="2"/>
  <c r="P66" i="2" s="1"/>
  <c r="R66" i="2" s="1"/>
  <c r="G41" i="9"/>
  <c r="I41" i="9"/>
  <c r="I40" i="9"/>
  <c r="R62" i="2"/>
  <c r="U184" i="6"/>
  <c r="F4" i="25"/>
  <c r="AA22" i="25"/>
  <c r="AQ22" i="25"/>
  <c r="AK22" i="25"/>
  <c r="M116" i="6"/>
  <c r="M231" i="6"/>
  <c r="M233" i="6"/>
  <c r="M235" i="6"/>
  <c r="M228" i="6"/>
  <c r="AD13" i="2"/>
  <c r="AH13" i="2" s="1"/>
  <c r="M229" i="6"/>
  <c r="M29" i="6"/>
  <c r="O29" i="6" s="1"/>
  <c r="M234" i="6"/>
  <c r="Z34" i="6"/>
  <c r="M226" i="6"/>
  <c r="N184" i="6"/>
  <c r="O184" i="6" s="1"/>
  <c r="M227" i="6"/>
  <c r="F16" i="3"/>
  <c r="AD22" i="25"/>
  <c r="V34" i="6"/>
  <c r="B12" i="30"/>
  <c r="C70" i="25"/>
  <c r="H70" i="25"/>
  <c r="K70" i="25"/>
  <c r="I70" i="25"/>
  <c r="Y184" i="6"/>
  <c r="D70" i="25"/>
  <c r="G70" i="25"/>
  <c r="F70" i="25"/>
  <c r="L70" i="25"/>
  <c r="N70" i="25" s="1"/>
  <c r="J70" i="25"/>
  <c r="M236" i="6"/>
  <c r="AC22" i="25"/>
  <c r="M230" i="6"/>
  <c r="L29" i="6"/>
  <c r="M70" i="25"/>
  <c r="AM22" i="25"/>
  <c r="Q22" i="25"/>
  <c r="P22" i="25" s="1"/>
  <c r="R63" i="2"/>
  <c r="AA264" i="6"/>
  <c r="AA122" i="6"/>
  <c r="AD92" i="6" s="1"/>
  <c r="AE92" i="6" s="1"/>
  <c r="AA118" i="6"/>
  <c r="AD88" i="6" s="1"/>
  <c r="AE88" i="6" s="1"/>
  <c r="J13" i="9"/>
  <c r="J14" i="9"/>
  <c r="J15" i="9"/>
  <c r="P23" i="25" l="1"/>
  <c r="S23" i="25"/>
  <c r="R23" i="25"/>
  <c r="S22" i="25"/>
  <c r="U22" i="25"/>
  <c r="AE52" i="36"/>
  <c r="U21" i="25"/>
  <c r="AA126" i="6"/>
  <c r="AD96" i="6" s="1"/>
  <c r="AE96" i="6" s="1"/>
  <c r="AH10" i="36"/>
  <c r="AE10" i="36"/>
  <c r="Q67" i="36"/>
  <c r="AE16" i="36"/>
  <c r="L60" i="36" a="1"/>
  <c r="L60" i="36" s="1"/>
  <c r="Q72" i="36"/>
  <c r="X64" i="36"/>
  <c r="AB64" i="36" s="1"/>
  <c r="AE63" i="36" s="1"/>
  <c r="AJ20" i="36"/>
  <c r="AJ17" i="36"/>
  <c r="AE7" i="3"/>
  <c r="K104" i="36"/>
  <c r="AJ75" i="25"/>
  <c r="AI75" i="25"/>
  <c r="Z75" i="25"/>
  <c r="AA119" i="6"/>
  <c r="AP69" i="25" a="1"/>
  <c r="AP69" i="25" s="1"/>
  <c r="AI72" i="25"/>
  <c r="AJ72" i="25"/>
  <c r="Z72" i="25"/>
  <c r="AJ74" i="25"/>
  <c r="AI74" i="25"/>
  <c r="Z74" i="25"/>
  <c r="Z78" i="25"/>
  <c r="AJ78" i="25"/>
  <c r="AI78" i="25"/>
  <c r="AJ69" i="25"/>
  <c r="Z69" i="25"/>
  <c r="AI69" i="25"/>
  <c r="AJ81" i="25"/>
  <c r="AI81" i="25"/>
  <c r="Z81" i="25"/>
  <c r="AJ83" i="25"/>
  <c r="Z83" i="25"/>
  <c r="AI83" i="25"/>
  <c r="AJ80" i="25"/>
  <c r="AI80" i="25"/>
  <c r="Z80" i="25"/>
  <c r="AJ70" i="25"/>
  <c r="AI70" i="25"/>
  <c r="Z70" i="25"/>
  <c r="AJ76" i="25"/>
  <c r="AI76" i="25"/>
  <c r="Z76" i="25"/>
  <c r="AJ79" i="25"/>
  <c r="AI79" i="25"/>
  <c r="Z79" i="25"/>
  <c r="Z71" i="25"/>
  <c r="AJ71" i="25"/>
  <c r="AI71" i="25"/>
  <c r="AI73" i="25"/>
  <c r="Z73" i="25"/>
  <c r="AJ73" i="25"/>
  <c r="AJ77" i="25"/>
  <c r="AI77" i="25"/>
  <c r="Z77" i="25"/>
  <c r="AJ82" i="25"/>
  <c r="AI82" i="25"/>
  <c r="Z82" i="25"/>
  <c r="L258" i="6"/>
  <c r="I39" i="9"/>
  <c r="F39" i="9"/>
  <c r="O25" i="6"/>
  <c r="U24" i="6"/>
  <c r="V25" i="6"/>
  <c r="X20" i="6"/>
  <c r="W26" i="6"/>
  <c r="V61" i="9"/>
  <c r="V65" i="9"/>
  <c r="V62" i="9"/>
  <c r="V60" i="9"/>
  <c r="V63" i="9"/>
  <c r="U20" i="6"/>
  <c r="S19" i="6"/>
  <c r="S22" i="6"/>
  <c r="S20" i="6"/>
  <c r="P23" i="6"/>
  <c r="O26" i="6"/>
  <c r="Y25" i="6"/>
  <c r="Y24" i="6"/>
  <c r="W25" i="6"/>
  <c r="U21" i="6"/>
  <c r="S27" i="6"/>
  <c r="P25" i="6"/>
  <c r="P27" i="6"/>
  <c r="O27" i="6"/>
  <c r="O23" i="6"/>
  <c r="O19" i="6"/>
  <c r="Z20" i="6"/>
  <c r="Z21" i="6"/>
  <c r="Z25" i="6"/>
  <c r="Z23" i="6"/>
  <c r="Z24" i="6"/>
  <c r="Z26" i="6"/>
  <c r="Z19" i="6"/>
  <c r="Y23" i="6"/>
  <c r="Y20" i="6"/>
  <c r="Y19" i="6"/>
  <c r="Y26" i="6"/>
  <c r="Y22" i="6"/>
  <c r="Y21" i="6"/>
  <c r="X19" i="6"/>
  <c r="X26" i="6"/>
  <c r="X21" i="6"/>
  <c r="X27" i="6"/>
  <c r="X25" i="6"/>
  <c r="X23" i="6"/>
  <c r="W23" i="6"/>
  <c r="W19" i="6"/>
  <c r="W21" i="6"/>
  <c r="W27" i="6"/>
  <c r="W20" i="6"/>
  <c r="W22" i="6"/>
  <c r="X22" i="6"/>
  <c r="X266" i="6" s="1"/>
  <c r="V27" i="6"/>
  <c r="V24" i="6"/>
  <c r="V22" i="6"/>
  <c r="V19" i="6"/>
  <c r="V26" i="6"/>
  <c r="V20" i="6"/>
  <c r="V23" i="6"/>
  <c r="U25" i="6"/>
  <c r="U23" i="6"/>
  <c r="U26" i="6"/>
  <c r="U27" i="6"/>
  <c r="U19" i="6"/>
  <c r="T22" i="6"/>
  <c r="T27" i="6"/>
  <c r="T26" i="6"/>
  <c r="T21" i="6"/>
  <c r="T24" i="6"/>
  <c r="T25" i="6"/>
  <c r="T23" i="6"/>
  <c r="T20" i="6"/>
  <c r="S25" i="6"/>
  <c r="S26" i="6"/>
  <c r="S21" i="6"/>
  <c r="S23" i="6"/>
  <c r="R22" i="6"/>
  <c r="R266" i="6" s="1"/>
  <c r="R23" i="6"/>
  <c r="R25" i="6"/>
  <c r="R19" i="6"/>
  <c r="R20" i="6"/>
  <c r="R24" i="6"/>
  <c r="R27" i="6"/>
  <c r="Q21" i="6"/>
  <c r="Q26" i="6"/>
  <c r="R26" i="6"/>
  <c r="Q27" i="6"/>
  <c r="Q20" i="6"/>
  <c r="Q22" i="6"/>
  <c r="Q25" i="6"/>
  <c r="Q23" i="6"/>
  <c r="Q24" i="6"/>
  <c r="P22" i="6"/>
  <c r="P20" i="6"/>
  <c r="P19" i="6"/>
  <c r="P26" i="6"/>
  <c r="P24" i="6"/>
  <c r="O21" i="6"/>
  <c r="O20" i="6"/>
  <c r="O22" i="6"/>
  <c r="O266" i="6" s="1"/>
  <c r="N20" i="6"/>
  <c r="M18" i="6"/>
  <c r="N25" i="6"/>
  <c r="N27" i="6"/>
  <c r="N19" i="6"/>
  <c r="P65" i="2"/>
  <c r="N23" i="6"/>
  <c r="N24" i="6"/>
  <c r="N26" i="6"/>
  <c r="N22" i="6"/>
  <c r="N266" i="6" s="1"/>
  <c r="M25" i="6"/>
  <c r="M26" i="6"/>
  <c r="M23" i="6"/>
  <c r="M19" i="6"/>
  <c r="M20" i="6"/>
  <c r="M21" i="6"/>
  <c r="M22" i="6"/>
  <c r="M24" i="6"/>
  <c r="L21" i="6"/>
  <c r="L20" i="6"/>
  <c r="L23" i="6"/>
  <c r="L22" i="6"/>
  <c r="L27" i="6"/>
  <c r="L271" i="6" s="1"/>
  <c r="L19" i="6"/>
  <c r="L25" i="6"/>
  <c r="L24" i="6"/>
  <c r="Z22" i="6"/>
  <c r="R249" i="6"/>
  <c r="T18" i="6"/>
  <c r="U18" i="6"/>
  <c r="O61" i="9"/>
  <c r="O60" i="9"/>
  <c r="O65" i="9"/>
  <c r="O64" i="9"/>
  <c r="O63" i="9"/>
  <c r="S18" i="6"/>
  <c r="R18" i="6"/>
  <c r="Q18" i="6"/>
  <c r="P18" i="6"/>
  <c r="O250" i="6"/>
  <c r="O18" i="6"/>
  <c r="N18" i="6"/>
  <c r="S34" i="25"/>
  <c r="X18" i="6"/>
  <c r="R82" i="25"/>
  <c r="W34" i="25"/>
  <c r="Q60" i="9"/>
  <c r="Q61" i="9"/>
  <c r="Q64" i="9"/>
  <c r="X213" i="6"/>
  <c r="X208" i="6"/>
  <c r="X248" i="6"/>
  <c r="X215" i="6"/>
  <c r="X206" i="6"/>
  <c r="X210" i="6"/>
  <c r="X250" i="6"/>
  <c r="X245" i="6"/>
  <c r="X251" i="6"/>
  <c r="X212" i="6"/>
  <c r="X253" i="6"/>
  <c r="X205" i="6"/>
  <c r="X254" i="6"/>
  <c r="X211" i="6"/>
  <c r="X246" i="6"/>
  <c r="X214" i="6"/>
  <c r="X249" i="6"/>
  <c r="X209" i="6"/>
  <c r="U213" i="6"/>
  <c r="U206" i="6"/>
  <c r="U214" i="6"/>
  <c r="U215" i="6"/>
  <c r="U253" i="6"/>
  <c r="U248" i="6"/>
  <c r="U252" i="6"/>
  <c r="U254" i="6"/>
  <c r="U207" i="6"/>
  <c r="U209" i="6"/>
  <c r="U251" i="6"/>
  <c r="U245" i="6"/>
  <c r="U205" i="6"/>
  <c r="U250" i="6"/>
  <c r="U210" i="6"/>
  <c r="L244" i="6"/>
  <c r="L210" i="6"/>
  <c r="L207" i="6"/>
  <c r="R71" i="25"/>
  <c r="T23" i="25"/>
  <c r="W23" i="25"/>
  <c r="AA71" i="25"/>
  <c r="Q65" i="9"/>
  <c r="Q63" i="9"/>
  <c r="N81" i="25"/>
  <c r="AA121" i="6"/>
  <c r="AD91" i="6" s="1"/>
  <c r="AE91" i="6" s="1"/>
  <c r="R250" i="6"/>
  <c r="R205" i="6"/>
  <c r="R209" i="6"/>
  <c r="R207" i="6"/>
  <c r="R214" i="6"/>
  <c r="R213" i="6"/>
  <c r="R252" i="6"/>
  <c r="R208" i="6"/>
  <c r="R212" i="6"/>
  <c r="R246" i="6"/>
  <c r="R244" i="6"/>
  <c r="R248" i="6"/>
  <c r="R206" i="6"/>
  <c r="R253" i="6"/>
  <c r="R215" i="6"/>
  <c r="R251" i="6"/>
  <c r="R245" i="6"/>
  <c r="R211" i="6"/>
  <c r="R210" i="6"/>
  <c r="N44" i="9"/>
  <c r="N39" i="9"/>
  <c r="N45" i="9" s="1"/>
  <c r="N43" i="9"/>
  <c r="N40" i="9"/>
  <c r="N42" i="9"/>
  <c r="O253" i="6"/>
  <c r="R79" i="25"/>
  <c r="O210" i="6"/>
  <c r="O212" i="6"/>
  <c r="AA78" i="25"/>
  <c r="R30" i="25"/>
  <c r="R31" i="25"/>
  <c r="S31" i="25"/>
  <c r="O245" i="6"/>
  <c r="O209" i="6"/>
  <c r="O251" i="6"/>
  <c r="O214" i="6"/>
  <c r="O205" i="6"/>
  <c r="R78" i="25"/>
  <c r="O254" i="6"/>
  <c r="O213" i="6"/>
  <c r="V31" i="25"/>
  <c r="O208" i="6"/>
  <c r="O215" i="6"/>
  <c r="O244" i="6"/>
  <c r="S18" i="20"/>
  <c r="R18" i="20" s="1"/>
  <c r="M209" i="6"/>
  <c r="M253" i="6"/>
  <c r="L249" i="6"/>
  <c r="L252" i="6"/>
  <c r="L251" i="6"/>
  <c r="L246" i="6"/>
  <c r="L209" i="6"/>
  <c r="L214" i="6"/>
  <c r="L248" i="6"/>
  <c r="L211" i="6"/>
  <c r="L205" i="6"/>
  <c r="L206" i="6"/>
  <c r="L253" i="6"/>
  <c r="L215" i="6"/>
  <c r="L212" i="6"/>
  <c r="L245" i="6"/>
  <c r="L213" i="6"/>
  <c r="L208" i="6"/>
  <c r="L250" i="6"/>
  <c r="M208" i="6"/>
  <c r="M215" i="6"/>
  <c r="M266" i="6"/>
  <c r="M254" i="6"/>
  <c r="M245" i="6"/>
  <c r="M251" i="6"/>
  <c r="M249" i="6"/>
  <c r="M214" i="6"/>
  <c r="M250" i="6"/>
  <c r="M211" i="6"/>
  <c r="M210" i="6"/>
  <c r="M205" i="6"/>
  <c r="M212" i="6"/>
  <c r="M207" i="6"/>
  <c r="M246" i="6"/>
  <c r="M206" i="6"/>
  <c r="M244" i="6"/>
  <c r="M252" i="6"/>
  <c r="M248" i="6"/>
  <c r="R19" i="20"/>
  <c r="T34" i="25"/>
  <c r="V34" i="25"/>
  <c r="AO61" i="6"/>
  <c r="T12" i="20"/>
  <c r="R12" i="20" s="1"/>
  <c r="M188" i="6"/>
  <c r="Y65" i="9"/>
  <c r="Y61" i="9"/>
  <c r="O77" i="25"/>
  <c r="AB77" i="25" s="1"/>
  <c r="O252" i="6"/>
  <c r="M196" i="6"/>
  <c r="M195" i="6"/>
  <c r="M193" i="6"/>
  <c r="M191" i="6"/>
  <c r="O190" i="6"/>
  <c r="S60" i="9"/>
  <c r="S61" i="9"/>
  <c r="M187" i="6"/>
  <c r="M184" i="6"/>
  <c r="AA76" i="9"/>
  <c r="S8" i="20"/>
  <c r="R8" i="20" s="1"/>
  <c r="M197" i="6"/>
  <c r="Z61" i="9"/>
  <c r="AA81" i="25"/>
  <c r="AN61" i="6"/>
  <c r="S15" i="20"/>
  <c r="R15" i="20" s="1"/>
  <c r="R77" i="25"/>
  <c r="V29" i="25"/>
  <c r="R13" i="20"/>
  <c r="AA77" i="25"/>
  <c r="W29" i="25"/>
  <c r="T28" i="25"/>
  <c r="AA76" i="25"/>
  <c r="W28" i="25"/>
  <c r="V28" i="25"/>
  <c r="S28" i="25"/>
  <c r="M189" i="6"/>
  <c r="P42" i="9"/>
  <c r="M186" i="6"/>
  <c r="M185" i="6"/>
  <c r="AF61" i="6"/>
  <c r="R22" i="25"/>
  <c r="V22" i="25"/>
  <c r="S6" i="20"/>
  <c r="R6" i="20" s="1"/>
  <c r="AV12" i="6"/>
  <c r="M183" i="6"/>
  <c r="O40" i="9"/>
  <c r="O44" i="9"/>
  <c r="O39" i="9"/>
  <c r="O42" i="9"/>
  <c r="O43" i="9"/>
  <c r="L79" i="6"/>
  <c r="O194" i="6"/>
  <c r="Z64" i="9"/>
  <c r="Z65" i="9"/>
  <c r="Z60" i="9"/>
  <c r="Z62" i="9"/>
  <c r="AH75" i="25"/>
  <c r="AM75" i="25"/>
  <c r="O75" i="25"/>
  <c r="AB75" i="25" s="1"/>
  <c r="P41" i="9"/>
  <c r="P39" i="9"/>
  <c r="P45" i="9" s="1"/>
  <c r="M77" i="6"/>
  <c r="T45" i="6"/>
  <c r="R45" i="6" s="1"/>
  <c r="AH46" i="2"/>
  <c r="O195" i="6"/>
  <c r="O192" i="6"/>
  <c r="S63" i="9"/>
  <c r="S65" i="9"/>
  <c r="S64" i="9"/>
  <c r="O189" i="6"/>
  <c r="X261" i="6"/>
  <c r="X3" i="6" s="1"/>
  <c r="X4" i="6" s="1"/>
  <c r="Y261" i="6"/>
  <c r="W261" i="6"/>
  <c r="V261" i="6"/>
  <c r="U261" i="6"/>
  <c r="U3" i="6" s="1"/>
  <c r="Z261" i="6"/>
  <c r="O197" i="6"/>
  <c r="T47" i="6"/>
  <c r="R47" i="6" s="1"/>
  <c r="Y64" i="9"/>
  <c r="Y62" i="9"/>
  <c r="Y63" i="9"/>
  <c r="T46" i="6"/>
  <c r="R46" i="6" s="1"/>
  <c r="O196" i="6"/>
  <c r="X76" i="6"/>
  <c r="X78" i="6"/>
  <c r="X79" i="6"/>
  <c r="X81" i="6"/>
  <c r="X84" i="6"/>
  <c r="X77" i="6"/>
  <c r="X80" i="6"/>
  <c r="X82" i="6"/>
  <c r="X85" i="6"/>
  <c r="X83" i="6"/>
  <c r="T44" i="6"/>
  <c r="R44" i="6" s="1"/>
  <c r="T43" i="6"/>
  <c r="R43" i="6" s="1"/>
  <c r="AH40" i="2"/>
  <c r="T42" i="6"/>
  <c r="R42" i="6" s="1"/>
  <c r="U174" i="6"/>
  <c r="AA284" i="6"/>
  <c r="P261" i="6"/>
  <c r="P3" i="6" s="1"/>
  <c r="O261" i="6"/>
  <c r="N261" i="6"/>
  <c r="N3" i="6" s="1"/>
  <c r="T261" i="6"/>
  <c r="T3" i="6" s="1"/>
  <c r="S261" i="6"/>
  <c r="S3" i="6" s="1"/>
  <c r="R261" i="6"/>
  <c r="Q261" i="6"/>
  <c r="Q3" i="6" s="1"/>
  <c r="O191" i="6"/>
  <c r="T41" i="6"/>
  <c r="R41" i="6" s="1"/>
  <c r="T27" i="25"/>
  <c r="W27" i="25"/>
  <c r="S11" i="20"/>
  <c r="R11" i="20" s="1"/>
  <c r="T40" i="6"/>
  <c r="R40" i="6" s="1"/>
  <c r="AA75" i="25"/>
  <c r="F45" i="9"/>
  <c r="T39" i="6"/>
  <c r="R39" i="6" s="1"/>
  <c r="V27" i="25"/>
  <c r="S27" i="25"/>
  <c r="AJ61" i="6"/>
  <c r="AD75" i="25"/>
  <c r="R75" i="25"/>
  <c r="P62" i="9"/>
  <c r="P61" i="9"/>
  <c r="P63" i="9"/>
  <c r="P64" i="9"/>
  <c r="P60" i="9"/>
  <c r="S25" i="25"/>
  <c r="V25" i="25"/>
  <c r="R25" i="25"/>
  <c r="W25" i="25"/>
  <c r="R73" i="25"/>
  <c r="T38" i="6"/>
  <c r="R38" i="6" s="1"/>
  <c r="AH25" i="2"/>
  <c r="F44" i="9"/>
  <c r="R26" i="25"/>
  <c r="AA74" i="25"/>
  <c r="T10" i="20"/>
  <c r="P40" i="9"/>
  <c r="P43" i="9"/>
  <c r="F43" i="9"/>
  <c r="P167" i="6"/>
  <c r="P172" i="6" s="1"/>
  <c r="O187" i="6"/>
  <c r="T37" i="6"/>
  <c r="R37" i="6" s="1"/>
  <c r="V24" i="25"/>
  <c r="AA80" i="9"/>
  <c r="S24" i="25"/>
  <c r="W24" i="25"/>
  <c r="T36" i="6"/>
  <c r="R36" i="6" s="1"/>
  <c r="T24" i="25"/>
  <c r="AG61" i="6"/>
  <c r="T35" i="6"/>
  <c r="R35" i="6" s="1"/>
  <c r="O185" i="6"/>
  <c r="N215" i="6"/>
  <c r="N208" i="6"/>
  <c r="N212" i="6"/>
  <c r="N249" i="6"/>
  <c r="N206" i="6"/>
  <c r="N251" i="6"/>
  <c r="N209" i="6"/>
  <c r="L82" i="6"/>
  <c r="L84" i="6"/>
  <c r="L83" i="6"/>
  <c r="L77" i="6"/>
  <c r="M262" i="6"/>
  <c r="L85" i="6"/>
  <c r="L81" i="6"/>
  <c r="L78" i="6"/>
  <c r="L80" i="6"/>
  <c r="L76" i="6"/>
  <c r="M82" i="6"/>
  <c r="M85" i="6"/>
  <c r="M80" i="6"/>
  <c r="M78" i="6"/>
  <c r="M76" i="6"/>
  <c r="M83" i="6"/>
  <c r="M84" i="6"/>
  <c r="M81" i="6"/>
  <c r="M79" i="6"/>
  <c r="L265" i="6"/>
  <c r="L18" i="6"/>
  <c r="AH10" i="2"/>
  <c r="R70" i="25"/>
  <c r="T22" i="25"/>
  <c r="W22" i="25"/>
  <c r="AU15" i="6"/>
  <c r="T34" i="6"/>
  <c r="R34" i="6" s="1"/>
  <c r="AA69" i="25"/>
  <c r="AV8" i="6"/>
  <c r="AU7" i="6"/>
  <c r="AU12" i="6"/>
  <c r="AU5" i="6" s="1"/>
  <c r="AA70" i="25"/>
  <c r="L40" i="9"/>
  <c r="Z187" i="6"/>
  <c r="L42" i="9"/>
  <c r="L45" i="9" s="1"/>
  <c r="M261" i="6"/>
  <c r="M3" i="6" s="1"/>
  <c r="N80" i="25"/>
  <c r="T33" i="6"/>
  <c r="T33" i="25"/>
  <c r="R72" i="25"/>
  <c r="R76" i="25"/>
  <c r="T29" i="25"/>
  <c r="T7" i="20"/>
  <c r="S7" i="20"/>
  <c r="AR61" i="6"/>
  <c r="AE61" i="6"/>
  <c r="AI61" i="6"/>
  <c r="AD78" i="25"/>
  <c r="R29" i="25"/>
  <c r="AP61" i="6"/>
  <c r="AQ61" i="6"/>
  <c r="U173" i="6"/>
  <c r="U169" i="6"/>
  <c r="AH78" i="25"/>
  <c r="AQ78" i="25"/>
  <c r="U168" i="6"/>
  <c r="U170" i="6"/>
  <c r="U171" i="6"/>
  <c r="U172" i="6"/>
  <c r="R190" i="6"/>
  <c r="T190" i="6" s="1"/>
  <c r="S42" i="9"/>
  <c r="S40" i="9"/>
  <c r="S43" i="9"/>
  <c r="S41" i="9"/>
  <c r="AQ75" i="25"/>
  <c r="Q40" i="9"/>
  <c r="N73" i="25"/>
  <c r="L41" i="9"/>
  <c r="L44" i="9"/>
  <c r="R39" i="9"/>
  <c r="R45" i="9" s="1"/>
  <c r="Q44" i="9"/>
  <c r="Q43" i="9"/>
  <c r="I44" i="9"/>
  <c r="Q41" i="9" s="1"/>
  <c r="Q39" i="9"/>
  <c r="Q45" i="9" s="1"/>
  <c r="R191" i="6"/>
  <c r="T191" i="6" s="1"/>
  <c r="I45" i="9"/>
  <c r="R197" i="6"/>
  <c r="T197" i="6" s="1"/>
  <c r="R195" i="6"/>
  <c r="T195" i="6" s="1"/>
  <c r="R41" i="9"/>
  <c r="R196" i="6"/>
  <c r="T196" i="6" s="1"/>
  <c r="Q78" i="25"/>
  <c r="P78" i="25" s="1"/>
  <c r="AC75" i="25"/>
  <c r="AD72" i="25"/>
  <c r="Q67" i="2"/>
  <c r="L261" i="6"/>
  <c r="O183" i="6"/>
  <c r="R21" i="25"/>
  <c r="W21" i="25"/>
  <c r="S5" i="20"/>
  <c r="R5" i="20" s="1"/>
  <c r="V21" i="25"/>
  <c r="T21" i="25"/>
  <c r="C39" i="9"/>
  <c r="D39" i="9" s="1"/>
  <c r="AI11" i="9"/>
  <c r="AK11" i="9" s="1"/>
  <c r="AJ17" i="2"/>
  <c r="L43" i="9"/>
  <c r="N82" i="25"/>
  <c r="AQ82" i="25"/>
  <c r="N78" i="25"/>
  <c r="AC78" i="25"/>
  <c r="Q75" i="25"/>
  <c r="P75" i="25" s="1"/>
  <c r="N75" i="25"/>
  <c r="W33" i="25"/>
  <c r="R33" i="25"/>
  <c r="AM61" i="6"/>
  <c r="AL61" i="6"/>
  <c r="U46" i="9"/>
  <c r="U45" i="9"/>
  <c r="W26" i="25"/>
  <c r="R74" i="25"/>
  <c r="T26" i="25"/>
  <c r="V26" i="25"/>
  <c r="AA8" i="3"/>
  <c r="S9" i="20"/>
  <c r="R9" i="20" s="1"/>
  <c r="AH61" i="6"/>
  <c r="N210" i="6"/>
  <c r="N213" i="6"/>
  <c r="N254" i="6"/>
  <c r="N207" i="6"/>
  <c r="N248" i="6"/>
  <c r="N250" i="6"/>
  <c r="N211" i="6"/>
  <c r="N214" i="6"/>
  <c r="N253" i="6"/>
  <c r="N205" i="6"/>
  <c r="N245" i="6"/>
  <c r="N252" i="6"/>
  <c r="N246" i="6"/>
  <c r="S21" i="25"/>
  <c r="AD61" i="6"/>
  <c r="O17" i="25"/>
  <c r="N2" i="25"/>
  <c r="N17" i="25" s="1"/>
  <c r="R17" i="20"/>
  <c r="AK61" i="6"/>
  <c r="V46" i="9"/>
  <c r="V45" i="9"/>
  <c r="O83" i="25"/>
  <c r="AB83" i="25" s="1"/>
  <c r="O82" i="25"/>
  <c r="AB82" i="25" s="1"/>
  <c r="AH80" i="25"/>
  <c r="AQ77" i="25"/>
  <c r="AD76" i="25"/>
  <c r="O72" i="25"/>
  <c r="AB72" i="25" s="1"/>
  <c r="O71" i="25"/>
  <c r="AB71" i="25" s="1"/>
  <c r="X169" i="6"/>
  <c r="R62" i="9"/>
  <c r="R60" i="9"/>
  <c r="M62" i="9"/>
  <c r="M63" i="9"/>
  <c r="AQ83" i="25"/>
  <c r="X173" i="6"/>
  <c r="AH81" i="25"/>
  <c r="O81" i="25"/>
  <c r="AB81" i="25" s="1"/>
  <c r="O80" i="25"/>
  <c r="AB80" i="25" s="1"/>
  <c r="O79" i="25"/>
  <c r="AB79" i="25" s="1"/>
  <c r="N79" i="25"/>
  <c r="O78" i="25"/>
  <c r="AB78" i="25" s="1"/>
  <c r="AM78" i="25"/>
  <c r="AD77" i="25"/>
  <c r="Q77" i="25"/>
  <c r="P77" i="25" s="1"/>
  <c r="N76" i="25"/>
  <c r="O76" i="25"/>
  <c r="AB76" i="25" s="1"/>
  <c r="R64" i="9"/>
  <c r="K27" i="9"/>
  <c r="R63" i="9"/>
  <c r="R65" i="9"/>
  <c r="R61" i="9"/>
  <c r="O74" i="25"/>
  <c r="AB74" i="25" s="1"/>
  <c r="N74" i="25"/>
  <c r="AA73" i="25"/>
  <c r="O73" i="25"/>
  <c r="AB73" i="25" s="1"/>
  <c r="AM72" i="25"/>
  <c r="AA72" i="25"/>
  <c r="AA117" i="6"/>
  <c r="AD86" i="6" s="1"/>
  <c r="AE86" i="6" s="1"/>
  <c r="AA159" i="6"/>
  <c r="AA153" i="6"/>
  <c r="AA156" i="6"/>
  <c r="AA154" i="6"/>
  <c r="AA152" i="6"/>
  <c r="AA158" i="6"/>
  <c r="AA150" i="6"/>
  <c r="AA155" i="6"/>
  <c r="AA149" i="6"/>
  <c r="AA157" i="6"/>
  <c r="L268" i="6"/>
  <c r="AA151" i="6"/>
  <c r="I70" i="9"/>
  <c r="M61" i="9"/>
  <c r="M60" i="9"/>
  <c r="K22" i="9"/>
  <c r="M64" i="9"/>
  <c r="L172" i="6"/>
  <c r="I69" i="9"/>
  <c r="M271" i="6"/>
  <c r="L269" i="6"/>
  <c r="O70" i="25"/>
  <c r="AB70" i="25" s="1"/>
  <c r="L175" i="6"/>
  <c r="AA279" i="6"/>
  <c r="AD69" i="25"/>
  <c r="L171" i="6"/>
  <c r="R183" i="6"/>
  <c r="T183" i="6" s="1"/>
  <c r="L168" i="6"/>
  <c r="S183" i="6" s="1"/>
  <c r="L177" i="6"/>
  <c r="L173" i="6"/>
  <c r="L174" i="6"/>
  <c r="L167" i="6"/>
  <c r="L169" i="6"/>
  <c r="L176" i="6"/>
  <c r="Z183" i="6"/>
  <c r="AC69" i="25"/>
  <c r="AQ69" i="25"/>
  <c r="N69" i="25"/>
  <c r="R69" i="25" s="1"/>
  <c r="AM69" i="25"/>
  <c r="AK69" i="25"/>
  <c r="AK70" i="25" s="1"/>
  <c r="AK71" i="25" s="1"/>
  <c r="AK72" i="25" s="1"/>
  <c r="O69" i="25"/>
  <c r="AB69" i="25" s="1"/>
  <c r="AA234" i="6"/>
  <c r="AA139" i="6"/>
  <c r="AA228" i="6"/>
  <c r="AA231" i="6"/>
  <c r="AA232" i="6"/>
  <c r="X172" i="6"/>
  <c r="X171" i="6"/>
  <c r="X170" i="6"/>
  <c r="X168" i="6"/>
  <c r="X174" i="6"/>
  <c r="AA134" i="6"/>
  <c r="AA140" i="6"/>
  <c r="M9" i="3"/>
  <c r="AE9" i="3" s="1"/>
  <c r="AH83" i="25"/>
  <c r="AM83" i="25"/>
  <c r="AC83" i="25"/>
  <c r="AM82" i="25"/>
  <c r="AD81" i="25"/>
  <c r="AH77" i="25"/>
  <c r="AA138" i="6"/>
  <c r="AA227" i="6"/>
  <c r="AA230" i="6"/>
  <c r="AH76" i="25"/>
  <c r="AM77" i="25"/>
  <c r="Q74" i="25"/>
  <c r="P74" i="25" s="1"/>
  <c r="R42" i="9"/>
  <c r="AC77" i="25"/>
  <c r="R43" i="9"/>
  <c r="AD83" i="25"/>
  <c r="AA143" i="6"/>
  <c r="AD73" i="25"/>
  <c r="AQ73" i="25"/>
  <c r="R44" i="9"/>
  <c r="AQ76" i="25"/>
  <c r="AC76" i="25"/>
  <c r="K29" i="9"/>
  <c r="AQ79" i="25"/>
  <c r="Q83" i="25"/>
  <c r="P83" i="25" s="1"/>
  <c r="AQ71" i="25"/>
  <c r="AA235" i="6"/>
  <c r="M39" i="9"/>
  <c r="M43" i="9"/>
  <c r="M40" i="9"/>
  <c r="M42" i="9"/>
  <c r="M41" i="9"/>
  <c r="M44" i="9"/>
  <c r="AH23" i="25"/>
  <c r="U23" i="25" s="1"/>
  <c r="Q69" i="25"/>
  <c r="P69" i="25" s="1"/>
  <c r="AH69" i="25"/>
  <c r="E24" i="20"/>
  <c r="K24" i="20" s="1"/>
  <c r="E25" i="20"/>
  <c r="I25" i="20" s="1"/>
  <c r="AA137" i="6"/>
  <c r="AH82" i="25"/>
  <c r="Q82" i="25"/>
  <c r="P82" i="25" s="1"/>
  <c r="AD82" i="25"/>
  <c r="AA82" i="25"/>
  <c r="AC82" i="25"/>
  <c r="I81" i="9"/>
  <c r="X64" i="9"/>
  <c r="X60" i="9"/>
  <c r="K33" i="9"/>
  <c r="X61" i="9"/>
  <c r="X63" i="9"/>
  <c r="X65" i="9"/>
  <c r="Q81" i="25"/>
  <c r="P81" i="25" s="1"/>
  <c r="AM81" i="25"/>
  <c r="AC81" i="25"/>
  <c r="AO81" i="25"/>
  <c r="AQ81" i="25"/>
  <c r="Q80" i="25"/>
  <c r="P80" i="25" s="1"/>
  <c r="AM80" i="25"/>
  <c r="AC80" i="25"/>
  <c r="AO80" i="25"/>
  <c r="AQ80" i="25"/>
  <c r="AD80" i="25"/>
  <c r="AA229" i="6"/>
  <c r="AM79" i="25"/>
  <c r="AH79" i="25"/>
  <c r="Q79" i="25"/>
  <c r="P79" i="25" s="1"/>
  <c r="R193" i="6"/>
  <c r="T193" i="6" s="1"/>
  <c r="Z193" i="6"/>
  <c r="AC79" i="25"/>
  <c r="AD79" i="25"/>
  <c r="AA142" i="6"/>
  <c r="T64" i="9"/>
  <c r="T61" i="9"/>
  <c r="AA141" i="6"/>
  <c r="AA135" i="6"/>
  <c r="T63" i="9"/>
  <c r="T60" i="9"/>
  <c r="T62" i="9"/>
  <c r="T65" i="9"/>
  <c r="AM76" i="25"/>
  <c r="Q76" i="25"/>
  <c r="P76" i="25" s="1"/>
  <c r="Q72" i="2"/>
  <c r="R171" i="6"/>
  <c r="R168" i="6"/>
  <c r="R169" i="6"/>
  <c r="R174" i="6"/>
  <c r="R170" i="6"/>
  <c r="R172" i="6"/>
  <c r="R173" i="6"/>
  <c r="Z188" i="6"/>
  <c r="Q167" i="6"/>
  <c r="AC74" i="25"/>
  <c r="AO74" i="25"/>
  <c r="AQ74" i="25"/>
  <c r="R188" i="6"/>
  <c r="T188" i="6" s="1"/>
  <c r="AD74" i="25"/>
  <c r="AH74" i="25"/>
  <c r="AM74" i="25"/>
  <c r="AA136" i="6"/>
  <c r="AA133" i="6"/>
  <c r="Q73" i="25"/>
  <c r="P73" i="25" s="1"/>
  <c r="AM73" i="25"/>
  <c r="AC73" i="25"/>
  <c r="AH73" i="25"/>
  <c r="X64" i="2"/>
  <c r="E21" i="20"/>
  <c r="E22" i="20"/>
  <c r="O167" i="6"/>
  <c r="R186" i="6"/>
  <c r="T186" i="6" s="1"/>
  <c r="Z186" i="6"/>
  <c r="AA226" i="6"/>
  <c r="AA233" i="6"/>
  <c r="AA236" i="6"/>
  <c r="AH71" i="25"/>
  <c r="Q71" i="25"/>
  <c r="P71" i="25" s="1"/>
  <c r="AM71" i="25"/>
  <c r="Z185" i="6"/>
  <c r="N167" i="6"/>
  <c r="AO71" i="25"/>
  <c r="AD71" i="25"/>
  <c r="AC71" i="25"/>
  <c r="AD70" i="25"/>
  <c r="Q70" i="25"/>
  <c r="P70" i="25" s="1"/>
  <c r="AC70" i="25"/>
  <c r="AM70" i="25"/>
  <c r="AH70" i="25"/>
  <c r="AA17" i="6"/>
  <c r="AB13" i="6" s="1"/>
  <c r="AO70" i="25"/>
  <c r="AQ70" i="25"/>
  <c r="Z184" i="6"/>
  <c r="M167" i="6"/>
  <c r="R184" i="6"/>
  <c r="T184" i="6" s="1"/>
  <c r="O60" i="36" l="1"/>
  <c r="Q60" i="36"/>
  <c r="Q73" i="36" s="1"/>
  <c r="N60" i="36"/>
  <c r="P60" i="36" s="1"/>
  <c r="R57" i="6"/>
  <c r="R61" i="6" s="1"/>
  <c r="R3" i="6"/>
  <c r="O57" i="6"/>
  <c r="O64" i="6" s="1"/>
  <c r="O3" i="6"/>
  <c r="R33" i="6"/>
  <c r="P67" i="36" s="1"/>
  <c r="O67" i="36"/>
  <c r="N67" i="36"/>
  <c r="L57" i="6"/>
  <c r="L59" i="6" s="1"/>
  <c r="L3" i="6"/>
  <c r="L6" i="6" s="1"/>
  <c r="Q61" i="2"/>
  <c r="O61" i="2"/>
  <c r="S33" i="6"/>
  <c r="N61" i="2"/>
  <c r="P61" i="2" s="1"/>
  <c r="L266" i="6"/>
  <c r="AA271" i="6"/>
  <c r="O60" i="2"/>
  <c r="AA20" i="6"/>
  <c r="E15" i="20"/>
  <c r="J15" i="20" s="1"/>
  <c r="M57" i="6"/>
  <c r="M62" i="6" s="1"/>
  <c r="U57" i="6"/>
  <c r="U59" i="6" s="1"/>
  <c r="N57" i="6"/>
  <c r="N67" i="6" s="1"/>
  <c r="T20" i="20"/>
  <c r="T57" i="6"/>
  <c r="T75" i="6"/>
  <c r="T76" i="6" s="1"/>
  <c r="T167" i="6"/>
  <c r="R7" i="6"/>
  <c r="Z57" i="6"/>
  <c r="W57" i="6"/>
  <c r="X57" i="6"/>
  <c r="E14" i="20"/>
  <c r="I14" i="20" s="1"/>
  <c r="R10" i="20"/>
  <c r="E16" i="20"/>
  <c r="I16" i="20" s="1"/>
  <c r="P171" i="6"/>
  <c r="P169" i="6"/>
  <c r="P170" i="6"/>
  <c r="P168" i="6"/>
  <c r="P173" i="6"/>
  <c r="F44" i="6"/>
  <c r="P174" i="6"/>
  <c r="N68" i="2"/>
  <c r="R65" i="2"/>
  <c r="O68" i="2"/>
  <c r="P68" i="2" s="1"/>
  <c r="R68" i="2" s="1"/>
  <c r="X11" i="6"/>
  <c r="C42" i="25"/>
  <c r="R13" i="2" s="1"/>
  <c r="S17" i="3" s="1"/>
  <c r="R13" i="36" s="1"/>
  <c r="M45" i="9"/>
  <c r="AA45" i="9" s="1"/>
  <c r="M46" i="9"/>
  <c r="AA46" i="9" s="1"/>
  <c r="E10" i="20"/>
  <c r="K10" i="20" s="1"/>
  <c r="S20" i="20"/>
  <c r="E12" i="20"/>
  <c r="I12" i="20" s="1"/>
  <c r="AB64" i="2"/>
  <c r="AE63" i="2" s="1"/>
  <c r="O67" i="2"/>
  <c r="R7" i="20"/>
  <c r="E11" i="20"/>
  <c r="I11" i="20" s="1"/>
  <c r="AC8" i="3"/>
  <c r="C41" i="25"/>
  <c r="R10" i="2" s="1"/>
  <c r="S14" i="3" s="1"/>
  <c r="R10" i="36" s="1"/>
  <c r="L262" i="6"/>
  <c r="AA116" i="6"/>
  <c r="N60" i="2"/>
  <c r="X9" i="6"/>
  <c r="X13" i="6"/>
  <c r="X6" i="6"/>
  <c r="X7" i="6"/>
  <c r="X12" i="6"/>
  <c r="X10" i="6"/>
  <c r="X8" i="6"/>
  <c r="X5" i="6"/>
  <c r="Q60" i="2"/>
  <c r="C89" i="25"/>
  <c r="J25" i="20"/>
  <c r="C90" i="25"/>
  <c r="AH24" i="25"/>
  <c r="U24" i="25" s="1"/>
  <c r="C43" i="25"/>
  <c r="S20" i="3" s="1"/>
  <c r="R16" i="36" s="1"/>
  <c r="I24" i="20"/>
  <c r="J24" i="20"/>
  <c r="C91" i="25"/>
  <c r="Q171" i="6"/>
  <c r="Q170" i="6"/>
  <c r="Q169" i="6"/>
  <c r="Q172" i="6"/>
  <c r="Q173" i="6"/>
  <c r="Q174" i="6"/>
  <c r="Q168" i="6"/>
  <c r="J22" i="20"/>
  <c r="I22" i="20"/>
  <c r="J21" i="20"/>
  <c r="I21" i="20"/>
  <c r="O168" i="6"/>
  <c r="O172" i="6"/>
  <c r="O170" i="6"/>
  <c r="O173" i="6"/>
  <c r="O174" i="6"/>
  <c r="O171" i="6"/>
  <c r="O169" i="6"/>
  <c r="N174" i="6"/>
  <c r="N173" i="6"/>
  <c r="N171" i="6"/>
  <c r="N172" i="6"/>
  <c r="N168" i="6"/>
  <c r="N170" i="6"/>
  <c r="N169" i="6"/>
  <c r="M173" i="6"/>
  <c r="M169" i="6"/>
  <c r="M170" i="6"/>
  <c r="M168" i="6"/>
  <c r="M171" i="6"/>
  <c r="M172" i="6"/>
  <c r="M174" i="6"/>
  <c r="AA174" i="6" s="1"/>
  <c r="AA261" i="6"/>
  <c r="M6" i="6"/>
  <c r="M272" i="6"/>
  <c r="C92" i="25"/>
  <c r="AK73" i="25"/>
  <c r="R64" i="6" l="1"/>
  <c r="R65" i="6"/>
  <c r="R60" i="36"/>
  <c r="O61" i="6"/>
  <c r="O59" i="6"/>
  <c r="L60" i="6"/>
  <c r="P67" i="2"/>
  <c r="R67" i="2" s="1"/>
  <c r="R67" i="6"/>
  <c r="O66" i="6"/>
  <c r="O65" i="6"/>
  <c r="O60" i="6"/>
  <c r="R66" i="6"/>
  <c r="O63" i="6"/>
  <c r="O62" i="6"/>
  <c r="R58" i="6"/>
  <c r="O58" i="6"/>
  <c r="O67" i="6"/>
  <c r="R62" i="6"/>
  <c r="R60" i="6"/>
  <c r="R63" i="6"/>
  <c r="R59" i="6"/>
  <c r="L62" i="6"/>
  <c r="L64" i="6"/>
  <c r="L58" i="6"/>
  <c r="R67" i="36"/>
  <c r="L61" i="6"/>
  <c r="L63" i="6"/>
  <c r="AD87" i="6"/>
  <c r="AE87" i="6" s="1"/>
  <c r="N59" i="36"/>
  <c r="L65" i="6"/>
  <c r="L67" i="6"/>
  <c r="L66" i="6"/>
  <c r="R61" i="2"/>
  <c r="L272" i="6"/>
  <c r="I12" i="34"/>
  <c r="P60" i="2"/>
  <c r="R60" i="2" s="1"/>
  <c r="T80" i="6"/>
  <c r="M65" i="6"/>
  <c r="U62" i="6"/>
  <c r="I15" i="20"/>
  <c r="U66" i="6"/>
  <c r="U61" i="6"/>
  <c r="U58" i="6"/>
  <c r="U65" i="6"/>
  <c r="N64" i="6"/>
  <c r="M60" i="6"/>
  <c r="M63" i="6"/>
  <c r="U67" i="6"/>
  <c r="U60" i="6"/>
  <c r="U63" i="6"/>
  <c r="N60" i="6"/>
  <c r="N63" i="6"/>
  <c r="N65" i="6"/>
  <c r="N61" i="6"/>
  <c r="N62" i="6"/>
  <c r="N66" i="6"/>
  <c r="T62" i="6"/>
  <c r="M64" i="6"/>
  <c r="T64" i="6"/>
  <c r="U64" i="6"/>
  <c r="M61" i="6"/>
  <c r="M67" i="6"/>
  <c r="T61" i="6"/>
  <c r="N58" i="6"/>
  <c r="M58" i="6"/>
  <c r="M59" i="6"/>
  <c r="N59" i="6"/>
  <c r="M66" i="6"/>
  <c r="T67" i="6"/>
  <c r="T58" i="6"/>
  <c r="T65" i="6"/>
  <c r="T63" i="6"/>
  <c r="T59" i="6"/>
  <c r="T60" i="6"/>
  <c r="T66" i="6"/>
  <c r="N12" i="6"/>
  <c r="T77" i="6"/>
  <c r="T84" i="6"/>
  <c r="T83" i="6"/>
  <c r="T78" i="6"/>
  <c r="T81" i="6"/>
  <c r="Z63" i="6"/>
  <c r="Z60" i="6"/>
  <c r="Z58" i="6"/>
  <c r="Z66" i="6"/>
  <c r="Z61" i="6"/>
  <c r="Z65" i="6"/>
  <c r="Z67" i="6"/>
  <c r="Z62" i="6"/>
  <c r="Z64" i="6"/>
  <c r="Z59" i="6"/>
  <c r="W60" i="6"/>
  <c r="W66" i="6"/>
  <c r="W62" i="6"/>
  <c r="W58" i="6"/>
  <c r="W65" i="6"/>
  <c r="W64" i="6"/>
  <c r="W59" i="6"/>
  <c r="W63" i="6"/>
  <c r="W61" i="6"/>
  <c r="W67" i="6"/>
  <c r="S75" i="6"/>
  <c r="S78" i="6" s="1"/>
  <c r="S167" i="6"/>
  <c r="V75" i="6"/>
  <c r="V77" i="6" s="1"/>
  <c r="V167" i="6"/>
  <c r="V57" i="6"/>
  <c r="Q75" i="6"/>
  <c r="T174" i="6"/>
  <c r="T168" i="6"/>
  <c r="T170" i="6"/>
  <c r="T169" i="6"/>
  <c r="T171" i="6"/>
  <c r="T172" i="6"/>
  <c r="T173" i="6"/>
  <c r="T82" i="6"/>
  <c r="S57" i="6"/>
  <c r="Y75" i="6"/>
  <c r="Y167" i="6"/>
  <c r="T85" i="6"/>
  <c r="W75" i="6"/>
  <c r="W85" i="6" s="1"/>
  <c r="W167" i="6"/>
  <c r="Z75" i="6"/>
  <c r="Z167" i="6"/>
  <c r="T79" i="6"/>
  <c r="Q57" i="6"/>
  <c r="Z266" i="6"/>
  <c r="AE52" i="2" s="1"/>
  <c r="I24" i="35" s="1"/>
  <c r="T8" i="6"/>
  <c r="T5" i="6"/>
  <c r="T206" i="6"/>
  <c r="T244" i="6"/>
  <c r="U266" i="6"/>
  <c r="T250" i="6"/>
  <c r="T248" i="6"/>
  <c r="T215" i="6"/>
  <c r="T210" i="6"/>
  <c r="T207" i="6"/>
  <c r="T209" i="6"/>
  <c r="T213" i="6"/>
  <c r="T251" i="6"/>
  <c r="T214" i="6"/>
  <c r="T249" i="6"/>
  <c r="T245" i="6"/>
  <c r="T212" i="6"/>
  <c r="T205" i="6"/>
  <c r="T208" i="6"/>
  <c r="T253" i="6"/>
  <c r="T211" i="6"/>
  <c r="T246" i="6"/>
  <c r="T254" i="6"/>
  <c r="T252" i="6"/>
  <c r="N11" i="6"/>
  <c r="N6" i="6"/>
  <c r="N9" i="6"/>
  <c r="N10" i="6"/>
  <c r="N7" i="6"/>
  <c r="N13" i="6"/>
  <c r="N8" i="6"/>
  <c r="N4" i="6"/>
  <c r="N5" i="6"/>
  <c r="T11" i="6"/>
  <c r="T13" i="6"/>
  <c r="T9" i="6"/>
  <c r="R13" i="6"/>
  <c r="T7" i="6"/>
  <c r="T10" i="6"/>
  <c r="R9" i="6"/>
  <c r="R10" i="6"/>
  <c r="R5" i="6"/>
  <c r="R6" i="6"/>
  <c r="R8" i="6"/>
  <c r="R12" i="6"/>
  <c r="R11" i="6"/>
  <c r="R4" i="6"/>
  <c r="X66" i="6"/>
  <c r="X62" i="6"/>
  <c r="X65" i="6"/>
  <c r="X64" i="6"/>
  <c r="X61" i="6"/>
  <c r="X59" i="6"/>
  <c r="X67" i="6"/>
  <c r="X60" i="6"/>
  <c r="X58" i="6"/>
  <c r="X63" i="6"/>
  <c r="T4" i="6"/>
  <c r="T12" i="6"/>
  <c r="J14" i="20"/>
  <c r="R20" i="20"/>
  <c r="E7" i="20"/>
  <c r="I7" i="20" s="1"/>
  <c r="O6" i="6"/>
  <c r="J10" i="20"/>
  <c r="I10" i="20"/>
  <c r="E8" i="20"/>
  <c r="I8" i="20" s="1"/>
  <c r="E6" i="20"/>
  <c r="J6" i="20" s="1"/>
  <c r="N59" i="2"/>
  <c r="O9" i="6"/>
  <c r="O11" i="6"/>
  <c r="O4" i="6"/>
  <c r="O10" i="6"/>
  <c r="O7" i="6"/>
  <c r="O5" i="6"/>
  <c r="O12" i="6"/>
  <c r="O13" i="6"/>
  <c r="O8" i="6"/>
  <c r="W8" i="7"/>
  <c r="K25" i="7" s="1"/>
  <c r="U8" i="6"/>
  <c r="U10" i="6"/>
  <c r="U9" i="6"/>
  <c r="U6" i="6"/>
  <c r="U5" i="6"/>
  <c r="U4" i="6"/>
  <c r="U7" i="6"/>
  <c r="U11" i="6"/>
  <c r="U12" i="6"/>
  <c r="U13" i="6"/>
  <c r="L7" i="6"/>
  <c r="L10" i="6"/>
  <c r="L13" i="6"/>
  <c r="L5" i="6"/>
  <c r="L11" i="6"/>
  <c r="L9" i="6"/>
  <c r="L8" i="6"/>
  <c r="L12" i="6"/>
  <c r="L4" i="6"/>
  <c r="AH25" i="25"/>
  <c r="C44" i="25"/>
  <c r="R19" i="2" s="1"/>
  <c r="S23" i="3" s="1"/>
  <c r="R19" i="36" s="1"/>
  <c r="M4" i="6"/>
  <c r="M12" i="6"/>
  <c r="M11" i="6"/>
  <c r="M5" i="6"/>
  <c r="M9" i="6"/>
  <c r="M13" i="6"/>
  <c r="M8" i="6"/>
  <c r="M7" i="6"/>
  <c r="M10" i="6"/>
  <c r="C93" i="25"/>
  <c r="AK74" i="25"/>
  <c r="AE15" i="36" l="1"/>
  <c r="O59" i="2"/>
  <c r="X59" i="2" s="1"/>
  <c r="O59" i="36"/>
  <c r="P59" i="36" s="1"/>
  <c r="AB59" i="36" s="1"/>
  <c r="AE15" i="2"/>
  <c r="V81" i="6"/>
  <c r="T266" i="6"/>
  <c r="AA167" i="6"/>
  <c r="S67" i="6"/>
  <c r="V59" i="6"/>
  <c r="Q58" i="6"/>
  <c r="Z81" i="6"/>
  <c r="Y84" i="6"/>
  <c r="W77" i="6"/>
  <c r="W81" i="6"/>
  <c r="W83" i="6"/>
  <c r="Q77" i="6"/>
  <c r="Z77" i="6"/>
  <c r="Y81" i="6"/>
  <c r="Q80" i="6"/>
  <c r="Y80" i="6"/>
  <c r="Y78" i="6"/>
  <c r="Y85" i="6"/>
  <c r="Y76" i="6"/>
  <c r="Y79" i="6"/>
  <c r="Y83" i="6"/>
  <c r="Y82" i="6"/>
  <c r="Y77" i="6"/>
  <c r="S85" i="6"/>
  <c r="V61" i="6"/>
  <c r="V82" i="6"/>
  <c r="V64" i="6"/>
  <c r="V67" i="6"/>
  <c r="V85" i="6"/>
  <c r="V58" i="6"/>
  <c r="V65" i="6"/>
  <c r="V84" i="6"/>
  <c r="W76" i="6"/>
  <c r="S76" i="6"/>
  <c r="S77" i="6"/>
  <c r="S65" i="6"/>
  <c r="S79" i="6"/>
  <c r="S80" i="6"/>
  <c r="S84" i="6"/>
  <c r="S81" i="6"/>
  <c r="S83" i="6"/>
  <c r="S82" i="6"/>
  <c r="Q64" i="6"/>
  <c r="Q59" i="6"/>
  <c r="Z82" i="6"/>
  <c r="Z85" i="6"/>
  <c r="W79" i="6"/>
  <c r="W82" i="6"/>
  <c r="S61" i="6"/>
  <c r="Q78" i="6"/>
  <c r="V76" i="6"/>
  <c r="S59" i="6"/>
  <c r="Y171" i="6"/>
  <c r="Y168" i="6"/>
  <c r="Y174" i="6"/>
  <c r="Y169" i="6"/>
  <c r="Y173" i="6"/>
  <c r="Y170" i="6"/>
  <c r="Y172" i="6"/>
  <c r="Q85" i="6"/>
  <c r="Q66" i="6"/>
  <c r="Q61" i="6"/>
  <c r="Z78" i="6"/>
  <c r="W80" i="6"/>
  <c r="W169" i="6"/>
  <c r="W172" i="6"/>
  <c r="W174" i="6"/>
  <c r="W173" i="6"/>
  <c r="W168" i="6"/>
  <c r="W170" i="6"/>
  <c r="W171" i="6"/>
  <c r="Q63" i="6"/>
  <c r="Q67" i="6"/>
  <c r="Q79" i="6"/>
  <c r="V60" i="6"/>
  <c r="V80" i="6"/>
  <c r="S168" i="6"/>
  <c r="S174" i="6"/>
  <c r="S173" i="6"/>
  <c r="S171" i="6"/>
  <c r="S172" i="6"/>
  <c r="S169" i="6"/>
  <c r="S170" i="6"/>
  <c r="V66" i="6"/>
  <c r="Z83" i="6"/>
  <c r="Z84" i="6"/>
  <c r="W84" i="6"/>
  <c r="Q60" i="6"/>
  <c r="V63" i="6"/>
  <c r="S58" i="6"/>
  <c r="Q81" i="6"/>
  <c r="S62" i="6"/>
  <c r="V170" i="6"/>
  <c r="V168" i="6"/>
  <c r="V169" i="6"/>
  <c r="V172" i="6"/>
  <c r="V173" i="6"/>
  <c r="V174" i="6"/>
  <c r="V171" i="6"/>
  <c r="S66" i="6"/>
  <c r="P75" i="6"/>
  <c r="AA75" i="6" s="1"/>
  <c r="P57" i="6"/>
  <c r="Z76" i="6"/>
  <c r="Z80" i="6"/>
  <c r="W78" i="6"/>
  <c r="V62" i="6"/>
  <c r="S64" i="6"/>
  <c r="Q83" i="6"/>
  <c r="Q76" i="6"/>
  <c r="V78" i="6"/>
  <c r="V83" i="6"/>
  <c r="Z79" i="6"/>
  <c r="Q84" i="6"/>
  <c r="Z172" i="6"/>
  <c r="Z169" i="6"/>
  <c r="Z168" i="6"/>
  <c r="Z174" i="6"/>
  <c r="Z170" i="6"/>
  <c r="Z173" i="6"/>
  <c r="Z171" i="6"/>
  <c r="S60" i="6"/>
  <c r="S63" i="6"/>
  <c r="Q65" i="6"/>
  <c r="Q82" i="6"/>
  <c r="V79" i="6"/>
  <c r="Q62" i="6"/>
  <c r="Q209" i="6"/>
  <c r="Q215" i="6"/>
  <c r="Q208" i="6"/>
  <c r="Q206" i="6"/>
  <c r="Q245" i="6"/>
  <c r="Q253" i="6"/>
  <c r="Q246" i="6"/>
  <c r="Q210" i="6"/>
  <c r="Q249" i="6"/>
  <c r="Q213" i="6"/>
  <c r="Q248" i="6"/>
  <c r="Q207" i="6"/>
  <c r="Q212" i="6"/>
  <c r="Q244" i="6"/>
  <c r="Q211" i="6"/>
  <c r="Q251" i="6"/>
  <c r="Q205" i="6"/>
  <c r="Q214" i="6"/>
  <c r="Q252" i="6"/>
  <c r="Q250" i="6"/>
  <c r="Q254" i="6"/>
  <c r="S254" i="6"/>
  <c r="S215" i="6"/>
  <c r="S209" i="6"/>
  <c r="S250" i="6"/>
  <c r="S208" i="6"/>
  <c r="S214" i="6"/>
  <c r="S212" i="6"/>
  <c r="S206" i="6"/>
  <c r="S248" i="6"/>
  <c r="S253" i="6"/>
  <c r="S251" i="6"/>
  <c r="S211" i="6"/>
  <c r="S249" i="6"/>
  <c r="S207" i="6"/>
  <c r="S210" i="6"/>
  <c r="S213" i="6"/>
  <c r="S252" i="6"/>
  <c r="S205" i="6"/>
  <c r="S245" i="6"/>
  <c r="S246" i="6"/>
  <c r="S244" i="6"/>
  <c r="S266" i="6"/>
  <c r="V266" i="6"/>
  <c r="T6" i="6"/>
  <c r="AE33" i="36" s="1"/>
  <c r="J7" i="20"/>
  <c r="J26" i="20" s="1"/>
  <c r="K7" i="20"/>
  <c r="I6" i="20"/>
  <c r="I26" i="20" s="1"/>
  <c r="Y8" i="3" s="1"/>
  <c r="K6" i="20"/>
  <c r="AH26" i="25"/>
  <c r="C45" i="25"/>
  <c r="R22" i="2" s="1"/>
  <c r="S26" i="3" s="1"/>
  <c r="R22" i="36" s="1"/>
  <c r="C94" i="25"/>
  <c r="AK75" i="25"/>
  <c r="P59" i="2" l="1"/>
  <c r="AB59" i="2" s="1"/>
  <c r="X59" i="36"/>
  <c r="S59" i="36"/>
  <c r="AE58" i="36"/>
  <c r="R59" i="36"/>
  <c r="H12" i="34"/>
  <c r="J12" i="34" s="1"/>
  <c r="H12" i="35"/>
  <c r="J12" i="35" s="1"/>
  <c r="V8" i="7"/>
  <c r="J25" i="7" s="1"/>
  <c r="AE33" i="2"/>
  <c r="Y266" i="6"/>
  <c r="W266" i="6"/>
  <c r="I21" i="34" s="1"/>
  <c r="I18" i="34"/>
  <c r="W14" i="7"/>
  <c r="K31" i="7" s="1"/>
  <c r="Q266" i="6"/>
  <c r="AA169" i="6"/>
  <c r="AA170" i="6"/>
  <c r="AA172" i="6"/>
  <c r="AA171" i="6"/>
  <c r="AA173" i="6"/>
  <c r="AA168" i="6"/>
  <c r="M40" i="6"/>
  <c r="Q8" i="6"/>
  <c r="Q10" i="6"/>
  <c r="Q9" i="6"/>
  <c r="P78" i="6"/>
  <c r="AA78" i="6" s="1"/>
  <c r="P76" i="6"/>
  <c r="P85" i="6"/>
  <c r="AA85" i="6" s="1"/>
  <c r="P80" i="6"/>
  <c r="AA80" i="6" s="1"/>
  <c r="P65" i="6"/>
  <c r="P66" i="6"/>
  <c r="P84" i="6"/>
  <c r="AA84" i="6" s="1"/>
  <c r="P61" i="6"/>
  <c r="P83" i="6"/>
  <c r="AA83" i="6" s="1"/>
  <c r="P62" i="6"/>
  <c r="P64" i="6"/>
  <c r="P77" i="6"/>
  <c r="AA77" i="6" s="1"/>
  <c r="P58" i="6"/>
  <c r="P82" i="6"/>
  <c r="AA82" i="6" s="1"/>
  <c r="P67" i="6"/>
  <c r="P59" i="6"/>
  <c r="P60" i="6"/>
  <c r="P81" i="6"/>
  <c r="AA81" i="6" s="1"/>
  <c r="P63" i="6"/>
  <c r="P79" i="6"/>
  <c r="AA79" i="6" s="1"/>
  <c r="AB51" i="6"/>
  <c r="Q59" i="2"/>
  <c r="Q7" i="6"/>
  <c r="Q13" i="6"/>
  <c r="S8" i="6"/>
  <c r="S7" i="6"/>
  <c r="S11" i="6"/>
  <c r="S10" i="6"/>
  <c r="S6" i="6"/>
  <c r="AE30" i="36" s="1"/>
  <c r="S13" i="6"/>
  <c r="S12" i="6"/>
  <c r="S9" i="6"/>
  <c r="S4" i="6"/>
  <c r="S5" i="6"/>
  <c r="Q5" i="6"/>
  <c r="Q12" i="6"/>
  <c r="Q6" i="6"/>
  <c r="AE24" i="36" s="1"/>
  <c r="Q11" i="6"/>
  <c r="Q4" i="6"/>
  <c r="P208" i="6"/>
  <c r="P252" i="6"/>
  <c r="P245" i="6"/>
  <c r="P213" i="6"/>
  <c r="P205" i="6"/>
  <c r="P250" i="6"/>
  <c r="P206" i="6"/>
  <c r="P248" i="6"/>
  <c r="P253" i="6"/>
  <c r="P211" i="6"/>
  <c r="P209" i="6"/>
  <c r="P254" i="6"/>
  <c r="P214" i="6"/>
  <c r="P215" i="6"/>
  <c r="P207" i="6"/>
  <c r="P210" i="6"/>
  <c r="P244" i="6"/>
  <c r="P251" i="6"/>
  <c r="P249" i="6"/>
  <c r="P246" i="6"/>
  <c r="P212" i="6"/>
  <c r="AA26" i="6"/>
  <c r="AA23" i="6"/>
  <c r="AA25" i="6"/>
  <c r="AA27" i="6"/>
  <c r="AA21" i="6"/>
  <c r="AA24" i="6"/>
  <c r="AA19" i="6"/>
  <c r="K26" i="20"/>
  <c r="AH27" i="25"/>
  <c r="C46" i="25"/>
  <c r="R25" i="2" s="1"/>
  <c r="S29" i="3" s="1"/>
  <c r="R25" i="36" s="1"/>
  <c r="C95" i="25"/>
  <c r="AK76" i="25"/>
  <c r="S59" i="2" l="1"/>
  <c r="AE58" i="2"/>
  <c r="AA17" i="9" s="1"/>
  <c r="R59" i="2"/>
  <c r="H18" i="34"/>
  <c r="J18" i="34" s="1"/>
  <c r="H18" i="35"/>
  <c r="J18" i="35" s="1"/>
  <c r="V14" i="7"/>
  <c r="J31" i="7" s="1"/>
  <c r="W17" i="7"/>
  <c r="K34" i="7" s="1"/>
  <c r="I15" i="34"/>
  <c r="W11" i="7"/>
  <c r="K28" i="7" s="1"/>
  <c r="AE30" i="2"/>
  <c r="AA22" i="6"/>
  <c r="P266" i="6"/>
  <c r="AA266" i="6" s="1"/>
  <c r="I17" i="34"/>
  <c r="M39" i="6"/>
  <c r="AE27" i="36" s="1"/>
  <c r="Y57" i="6"/>
  <c r="P7" i="6"/>
  <c r="P10" i="6"/>
  <c r="P11" i="6"/>
  <c r="P12" i="6"/>
  <c r="P4" i="6"/>
  <c r="P8" i="6"/>
  <c r="P9" i="6"/>
  <c r="P13" i="6"/>
  <c r="P5" i="6"/>
  <c r="P6" i="6"/>
  <c r="AH28" i="25"/>
  <c r="C47" i="25"/>
  <c r="R28" i="2" s="1"/>
  <c r="S32" i="3" s="1"/>
  <c r="R28" i="36" s="1"/>
  <c r="C96" i="25"/>
  <c r="AK77" i="25"/>
  <c r="AA15" i="9" l="1"/>
  <c r="J43" i="7"/>
  <c r="H17" i="34"/>
  <c r="J17" i="34" s="1"/>
  <c r="H17" i="35"/>
  <c r="J17" i="35" s="1"/>
  <c r="N69" i="2"/>
  <c r="O69" i="2" s="1"/>
  <c r="P69" i="2" s="1"/>
  <c r="R69" i="2" s="1"/>
  <c r="N69" i="36"/>
  <c r="O69" i="36"/>
  <c r="V13" i="7"/>
  <c r="J30" i="7" s="1"/>
  <c r="W13" i="7"/>
  <c r="K30" i="7" s="1"/>
  <c r="AE27" i="2"/>
  <c r="H16" i="35" s="1"/>
  <c r="J16" i="35" s="1"/>
  <c r="Y66" i="6"/>
  <c r="AA66" i="6" s="1"/>
  <c r="Y65" i="6"/>
  <c r="AA65" i="6" s="1"/>
  <c r="Y61" i="6"/>
  <c r="AA61" i="6" s="1"/>
  <c r="Y58" i="6"/>
  <c r="AA58" i="6" s="1"/>
  <c r="Y59" i="6"/>
  <c r="AA59" i="6" s="1"/>
  <c r="Y67" i="6"/>
  <c r="AA67" i="6" s="1"/>
  <c r="Y63" i="6"/>
  <c r="AA63" i="6" s="1"/>
  <c r="Y62" i="6"/>
  <c r="AA62" i="6" s="1"/>
  <c r="Y64" i="6"/>
  <c r="AA64" i="6" s="1"/>
  <c r="Y60" i="6"/>
  <c r="AA60" i="6" s="1"/>
  <c r="AA57" i="6"/>
  <c r="AH29" i="25"/>
  <c r="C48" i="25"/>
  <c r="R31" i="2" s="1"/>
  <c r="AK78" i="25"/>
  <c r="C97" i="25"/>
  <c r="P69" i="36" l="1"/>
  <c r="H16" i="34"/>
  <c r="V12" i="7"/>
  <c r="J29" i="7" s="1"/>
  <c r="I16" i="34"/>
  <c r="W12" i="7"/>
  <c r="K29" i="7" s="1"/>
  <c r="S35" i="3"/>
  <c r="R31" i="36" s="1"/>
  <c r="AF38" i="9"/>
  <c r="C77" i="9" s="1"/>
  <c r="D77" i="9" s="1"/>
  <c r="AH30" i="25"/>
  <c r="C49" i="25"/>
  <c r="R34" i="2" s="1"/>
  <c r="AK79" i="25"/>
  <c r="C98" i="25"/>
  <c r="R69" i="36" l="1"/>
  <c r="J16" i="34"/>
  <c r="AF39" i="9"/>
  <c r="C78" i="9" s="1"/>
  <c r="D78" i="9" s="1"/>
  <c r="S38" i="3"/>
  <c r="AH31" i="25"/>
  <c r="C50" i="25"/>
  <c r="R37" i="2" s="1"/>
  <c r="C99" i="25"/>
  <c r="AK80" i="25"/>
  <c r="L192" i="6" l="1"/>
  <c r="M192" i="6" s="1"/>
  <c r="R34" i="36"/>
  <c r="AF40" i="9"/>
  <c r="C79" i="9" s="1"/>
  <c r="D79" i="9" s="1"/>
  <c r="S41" i="3"/>
  <c r="R37" i="36" s="1"/>
  <c r="AH32" i="25"/>
  <c r="C51" i="25"/>
  <c r="R40" i="2" s="1"/>
  <c r="S44" i="3" s="1"/>
  <c r="R40" i="36" s="1"/>
  <c r="C100" i="25"/>
  <c r="AK81" i="25"/>
  <c r="AH33" i="25" l="1"/>
  <c r="C52" i="25"/>
  <c r="R43" i="2" s="1"/>
  <c r="S47" i="3" s="1"/>
  <c r="R43" i="36" s="1"/>
  <c r="C101" i="25"/>
  <c r="AK82" i="25"/>
  <c r="AH34" i="25" l="1"/>
  <c r="C53" i="25"/>
  <c r="R46" i="2" s="1"/>
  <c r="S50" i="3" s="1"/>
  <c r="R46" i="36" s="1"/>
  <c r="C102" i="25"/>
  <c r="AK83" i="25"/>
  <c r="C103" i="25" s="1"/>
  <c r="AH35" i="25" l="1"/>
  <c r="C55" i="25" s="1"/>
  <c r="R52" i="2" s="1"/>
  <c r="S56" i="3" s="1"/>
  <c r="R52" i="36" s="1"/>
  <c r="C54" i="25"/>
  <c r="R49" i="2" s="1"/>
  <c r="S53" i="3" s="1"/>
  <c r="R49" i="36" s="1"/>
  <c r="N67" i="2"/>
  <c r="AA76" i="6" l="1"/>
  <c r="W19" i="7" l="1"/>
  <c r="K36" i="7" s="1"/>
  <c r="I23" i="34"/>
  <c r="M46" i="6"/>
  <c r="M45" i="6" l="1"/>
  <c r="AE45" i="36" s="1"/>
  <c r="W20" i="7" l="1"/>
  <c r="K37" i="7" s="1"/>
  <c r="I22" i="34"/>
  <c r="AE45" i="2"/>
  <c r="M42" i="6"/>
  <c r="AE36" i="36" s="1"/>
  <c r="M43" i="6"/>
  <c r="H22" i="34" l="1"/>
  <c r="J22" i="34" s="1"/>
  <c r="H22" i="35"/>
  <c r="J22" i="35" s="1"/>
  <c r="I24" i="34"/>
  <c r="W18" i="7"/>
  <c r="K35" i="7" s="1"/>
  <c r="V18" i="7"/>
  <c r="J35" i="7" s="1"/>
  <c r="W47" i="6"/>
  <c r="W44" i="6"/>
  <c r="AE36" i="2"/>
  <c r="Z247" i="6" l="1"/>
  <c r="Z3" i="6"/>
  <c r="W247" i="6"/>
  <c r="W3" i="6"/>
  <c r="W8" i="6" s="1"/>
  <c r="W43" i="6"/>
  <c r="V3" i="6" s="1"/>
  <c r="H19" i="35"/>
  <c r="J19" i="35" s="1"/>
  <c r="W18" i="6"/>
  <c r="W210" i="6"/>
  <c r="W206" i="6"/>
  <c r="W254" i="6"/>
  <c r="W250" i="6"/>
  <c r="W205" i="6"/>
  <c r="W209" i="6"/>
  <c r="W214" i="6"/>
  <c r="W251" i="6"/>
  <c r="W252" i="6"/>
  <c r="W253" i="6"/>
  <c r="W248" i="6"/>
  <c r="W246" i="6"/>
  <c r="W211" i="6"/>
  <c r="W245" i="6"/>
  <c r="W213" i="6"/>
  <c r="W244" i="6"/>
  <c r="W212" i="6"/>
  <c r="W249" i="6"/>
  <c r="W215" i="6"/>
  <c r="W207" i="6"/>
  <c r="W208" i="6"/>
  <c r="V18" i="6"/>
  <c r="V213" i="6"/>
  <c r="Z18" i="6"/>
  <c r="Z211" i="6"/>
  <c r="Z214" i="6"/>
  <c r="Z250" i="6"/>
  <c r="Z207" i="6"/>
  <c r="Z206" i="6"/>
  <c r="Z254" i="6"/>
  <c r="Z208" i="6"/>
  <c r="Z210" i="6"/>
  <c r="Z253" i="6"/>
  <c r="Z246" i="6"/>
  <c r="Z251" i="6"/>
  <c r="Z248" i="6"/>
  <c r="Z212" i="6"/>
  <c r="Z8" i="6"/>
  <c r="Z245" i="6"/>
  <c r="Z244" i="6"/>
  <c r="Z205" i="6"/>
  <c r="Z215" i="6"/>
  <c r="Z249" i="6"/>
  <c r="Z209" i="6"/>
  <c r="Z213" i="6"/>
  <c r="Z252" i="6"/>
  <c r="V15" i="7"/>
  <c r="J32" i="7" s="1"/>
  <c r="M33" i="6"/>
  <c r="H19" i="34"/>
  <c r="I19" i="34"/>
  <c r="M34" i="6"/>
  <c r="W15" i="7"/>
  <c r="K32" i="7" s="1"/>
  <c r="M36" i="6"/>
  <c r="W16" i="7"/>
  <c r="K33" i="7" s="1"/>
  <c r="I20" i="34"/>
  <c r="M37" i="6"/>
  <c r="AE21" i="36" s="1"/>
  <c r="AE18" i="36" l="1"/>
  <c r="AE19" i="2"/>
  <c r="I13" i="35" s="1"/>
  <c r="AE12" i="36"/>
  <c r="AE13" i="2"/>
  <c r="I11" i="35" s="1"/>
  <c r="V251" i="6"/>
  <c r="V208" i="6"/>
  <c r="V244" i="6"/>
  <c r="V214" i="6"/>
  <c r="V206" i="6"/>
  <c r="V250" i="6"/>
  <c r="V212" i="6"/>
  <c r="V211" i="6"/>
  <c r="V210" i="6"/>
  <c r="V252" i="6"/>
  <c r="V246" i="6"/>
  <c r="V205" i="6"/>
  <c r="V215" i="6"/>
  <c r="V254" i="6"/>
  <c r="V13" i="6"/>
  <c r="V249" i="6"/>
  <c r="V248" i="6"/>
  <c r="V207" i="6"/>
  <c r="V209" i="6"/>
  <c r="V253" i="6"/>
  <c r="V245" i="6"/>
  <c r="AE10" i="2"/>
  <c r="I10" i="35" s="1"/>
  <c r="O71" i="36"/>
  <c r="P71" i="36" s="1"/>
  <c r="R71" i="36" s="1"/>
  <c r="N71" i="36"/>
  <c r="AE9" i="36"/>
  <c r="V247" i="6"/>
  <c r="V10" i="6"/>
  <c r="V4" i="6"/>
  <c r="V8" i="6"/>
  <c r="W4" i="6"/>
  <c r="V11" i="6"/>
  <c r="V12" i="6"/>
  <c r="V6" i="6"/>
  <c r="AE39" i="36" s="1"/>
  <c r="V5" i="6"/>
  <c r="V7" i="6"/>
  <c r="Z9" i="6"/>
  <c r="V9" i="6"/>
  <c r="Z12" i="6"/>
  <c r="Z10" i="6"/>
  <c r="Z7" i="6"/>
  <c r="Z4" i="6"/>
  <c r="Z5" i="6"/>
  <c r="W6" i="6"/>
  <c r="AE42" i="36" s="1"/>
  <c r="W9" i="6"/>
  <c r="W12" i="6"/>
  <c r="Z6" i="6"/>
  <c r="AE51" i="36" s="1"/>
  <c r="W5" i="6"/>
  <c r="W13" i="6"/>
  <c r="Z13" i="6"/>
  <c r="Z11" i="6"/>
  <c r="W10" i="6"/>
  <c r="W11" i="6"/>
  <c r="W7" i="6"/>
  <c r="AE9" i="2"/>
  <c r="H10" i="35" s="1"/>
  <c r="O71" i="2"/>
  <c r="AE12" i="2"/>
  <c r="AE18" i="2"/>
  <c r="H13" i="35" s="1"/>
  <c r="J13" i="35" s="1"/>
  <c r="J19" i="34"/>
  <c r="N71" i="2"/>
  <c r="J10" i="35" l="1"/>
  <c r="AE21" i="2"/>
  <c r="H14" i="35" s="1"/>
  <c r="J14" i="35" s="1"/>
  <c r="H11" i="35"/>
  <c r="J11" i="35" s="1"/>
  <c r="AE39" i="2"/>
  <c r="AE51" i="2"/>
  <c r="AE42" i="2"/>
  <c r="AE24" i="2"/>
  <c r="Q65" i="2"/>
  <c r="W7" i="7"/>
  <c r="K24" i="7" s="1"/>
  <c r="I11" i="34"/>
  <c r="AB11" i="1"/>
  <c r="H11" i="34"/>
  <c r="V7" i="7"/>
  <c r="J24" i="7" s="1"/>
  <c r="V6" i="7"/>
  <c r="H10" i="34"/>
  <c r="I10" i="34"/>
  <c r="W6" i="7"/>
  <c r="I13" i="34"/>
  <c r="W9" i="7"/>
  <c r="K26" i="7" s="1"/>
  <c r="H13" i="34"/>
  <c r="V9" i="7"/>
  <c r="J26" i="7" s="1"/>
  <c r="W10" i="7"/>
  <c r="K27" i="7" s="1"/>
  <c r="I14" i="34"/>
  <c r="V10" i="7" l="1"/>
  <c r="J27" i="7" s="1"/>
  <c r="H14" i="34"/>
  <c r="J14" i="34" s="1"/>
  <c r="H15" i="34"/>
  <c r="J15" i="34" s="1"/>
  <c r="H15" i="35"/>
  <c r="J15" i="35" s="1"/>
  <c r="V17" i="7"/>
  <c r="J34" i="7" s="1"/>
  <c r="H21" i="35"/>
  <c r="J21" i="35" s="1"/>
  <c r="V20" i="7"/>
  <c r="J37" i="7" s="1"/>
  <c r="H24" i="35"/>
  <c r="J24" i="35" s="1"/>
  <c r="W46" i="6"/>
  <c r="Y249" i="6" s="1"/>
  <c r="AA249" i="6" s="1"/>
  <c r="H20" i="35"/>
  <c r="J20" i="35" s="1"/>
  <c r="V16" i="7"/>
  <c r="J33" i="7" s="1"/>
  <c r="H20" i="34"/>
  <c r="J20" i="34" s="1"/>
  <c r="J13" i="34"/>
  <c r="H24" i="34"/>
  <c r="J24" i="34" s="1"/>
  <c r="H21" i="34"/>
  <c r="J21" i="34" s="1"/>
  <c r="V11" i="7"/>
  <c r="J28" i="7" s="1"/>
  <c r="J10" i="34"/>
  <c r="J11" i="34"/>
  <c r="J23" i="7"/>
  <c r="P71" i="2"/>
  <c r="W22" i="7"/>
  <c r="K23" i="7"/>
  <c r="K39" i="7" s="1"/>
  <c r="Y18" i="6" l="1"/>
  <c r="AA18" i="6" s="1"/>
  <c r="Y205" i="6"/>
  <c r="AA205" i="6" s="1"/>
  <c r="Y245" i="6"/>
  <c r="AA245" i="6" s="1"/>
  <c r="Y3" i="6"/>
  <c r="Y9" i="6" s="1"/>
  <c r="AA9" i="6" s="1"/>
  <c r="Y248" i="6"/>
  <c r="AA248" i="6" s="1"/>
  <c r="Y252" i="6"/>
  <c r="AA252" i="6" s="1"/>
  <c r="Y213" i="6"/>
  <c r="AA213" i="6" s="1"/>
  <c r="Y246" i="6"/>
  <c r="AA246" i="6" s="1"/>
  <c r="Y250" i="6"/>
  <c r="AA250" i="6" s="1"/>
  <c r="Y214" i="6"/>
  <c r="AA214" i="6" s="1"/>
  <c r="Y253" i="6"/>
  <c r="AA253" i="6" s="1"/>
  <c r="Y211" i="6"/>
  <c r="AA211" i="6" s="1"/>
  <c r="Y206" i="6"/>
  <c r="AA206" i="6" s="1"/>
  <c r="Y210" i="6"/>
  <c r="AA210" i="6" s="1"/>
  <c r="Y209" i="6"/>
  <c r="AA209" i="6" s="1"/>
  <c r="Y254" i="6"/>
  <c r="AA254" i="6" s="1"/>
  <c r="Y212" i="6"/>
  <c r="AA212" i="6" s="1"/>
  <c r="Y247" i="6"/>
  <c r="AA247" i="6" s="1"/>
  <c r="X69" i="36" s="1"/>
  <c r="N70" i="36"/>
  <c r="O70" i="36" s="1"/>
  <c r="Y207" i="6"/>
  <c r="AA207" i="6" s="1"/>
  <c r="Y208" i="6"/>
  <c r="AA208" i="6" s="1"/>
  <c r="Y215" i="6"/>
  <c r="AA215" i="6" s="1"/>
  <c r="Y251" i="6"/>
  <c r="AA251" i="6" s="1"/>
  <c r="N70" i="2"/>
  <c r="AB10" i="1" s="1"/>
  <c r="Y244" i="6"/>
  <c r="AA244" i="6" s="1"/>
  <c r="K43" i="7"/>
  <c r="J41" i="7"/>
  <c r="R71" i="2"/>
  <c r="AA3" i="6" l="1"/>
  <c r="Y7" i="6"/>
  <c r="AA7" i="6" s="1"/>
  <c r="Y11" i="6"/>
  <c r="AA11" i="6" s="1"/>
  <c r="Y12" i="6"/>
  <c r="AA12" i="6" s="1"/>
  <c r="Y6" i="6"/>
  <c r="Y13" i="6"/>
  <c r="AA13" i="6" s="1"/>
  <c r="Y8" i="6"/>
  <c r="AA8" i="6" s="1"/>
  <c r="Y5" i="6"/>
  <c r="AA5" i="6" s="1"/>
  <c r="Y4" i="6"/>
  <c r="AA4" i="6" s="1"/>
  <c r="Y10" i="6"/>
  <c r="AA10" i="6" s="1"/>
  <c r="O70" i="2"/>
  <c r="P70" i="36"/>
  <c r="X62" i="36"/>
  <c r="O73" i="36"/>
  <c r="AB69" i="36" l="1"/>
  <c r="AE69" i="36"/>
  <c r="AA6" i="6"/>
  <c r="AE48" i="36"/>
  <c r="AE48" i="2"/>
  <c r="X66" i="36"/>
  <c r="R70" i="36"/>
  <c r="AB62" i="36"/>
  <c r="P73" i="36"/>
  <c r="P70" i="2"/>
  <c r="O73" i="2"/>
  <c r="X62" i="2"/>
  <c r="AB69" i="2" l="1"/>
  <c r="AE69" i="2"/>
  <c r="H23" i="35"/>
  <c r="J23" i="35" s="1"/>
  <c r="U26" i="1"/>
  <c r="AB66" i="36" s="1"/>
  <c r="V19" i="7"/>
  <c r="H23" i="34"/>
  <c r="J23" i="34" s="1"/>
  <c r="R70" i="2"/>
  <c r="P73" i="2"/>
  <c r="AB62" i="2"/>
  <c r="X66" i="2"/>
  <c r="AE61" i="36"/>
  <c r="J36" i="7" l="1"/>
  <c r="J39" i="7" s="1"/>
  <c r="V22" i="7"/>
  <c r="AB72" i="36"/>
  <c r="AB74" i="36" s="1"/>
  <c r="N76" i="36"/>
  <c r="Q76" i="36" s="1"/>
  <c r="S76" i="36" s="1"/>
  <c r="D104" i="36"/>
  <c r="AE66" i="36"/>
  <c r="K40" i="7"/>
  <c r="AB66" i="2"/>
  <c r="AE61" i="2"/>
  <c r="H31" i="34"/>
  <c r="AE66" i="2" l="1"/>
  <c r="J31" i="34" s="1"/>
  <c r="X69" i="2"/>
  <c r="L75" i="2"/>
  <c r="H31" i="35"/>
  <c r="A104" i="36"/>
  <c r="I104" i="36" s="1"/>
  <c r="AB72" i="2"/>
  <c r="J32" i="34" s="1"/>
  <c r="AG72" i="2" a="1"/>
  <c r="AG72" i="2" s="1"/>
  <c r="R8" i="3"/>
  <c r="S61" i="2"/>
  <c r="I31" i="34"/>
  <c r="N76" i="2"/>
  <c r="Q76" i="2" s="1"/>
  <c r="Q71" i="2"/>
  <c r="Q73" i="2" s="1"/>
  <c r="J27" i="35" l="1"/>
  <c r="S61" i="36"/>
  <c r="A34" i="34"/>
  <c r="A40" i="7"/>
  <c r="AN21" i="25"/>
  <c r="U62" i="2"/>
  <c r="AN69" i="25"/>
  <c r="R5" i="3"/>
  <c r="S76" i="2"/>
  <c r="AB74" i="2"/>
  <c r="U63" i="2" l="1"/>
  <c r="E25" i="6"/>
  <c r="U68" i="36"/>
  <c r="U66" i="36"/>
  <c r="U67" i="36"/>
  <c r="U69" i="36"/>
  <c r="U70" i="36"/>
  <c r="U62" i="36"/>
  <c r="A35" i="35"/>
  <c r="I31" i="35"/>
  <c r="J30" i="35"/>
  <c r="I30" i="35"/>
  <c r="U67" i="2"/>
  <c r="B44" i="7" s="1"/>
  <c r="U69" i="2"/>
  <c r="U65" i="2" l="1"/>
  <c r="D35" i="34"/>
  <c r="J31" i="35"/>
  <c r="AV12" i="1"/>
  <c r="AV14" i="1"/>
  <c r="AV16" i="1"/>
  <c r="AV13" i="1"/>
  <c r="G35" i="34" s="1"/>
  <c r="AV15" i="1"/>
  <c r="I35" i="34" s="1"/>
  <c r="U63" i="36"/>
  <c r="U64" i="36" s="1"/>
  <c r="D36" i="35"/>
  <c r="E36" i="35" s="1"/>
  <c r="B41" i="7"/>
  <c r="U64" i="2"/>
  <c r="B42" i="7" s="1"/>
  <c r="U66" i="2" l="1"/>
  <c r="B43" i="7" s="1"/>
  <c r="F33" i="34"/>
  <c r="A33" i="34" s="1"/>
  <c r="E35" i="34"/>
  <c r="F33" i="35"/>
  <c r="A33" i="35" s="1"/>
  <c r="U70" i="2"/>
  <c r="J35" i="34"/>
  <c r="U68" i="2"/>
  <c r="B45" i="7" s="1"/>
  <c r="H35" i="34"/>
  <c r="U65" i="36"/>
</calcChain>
</file>

<file path=xl/metadata.xml><?xml version="1.0" encoding="utf-8"?>
<metadata xmlns="http://schemas.openxmlformats.org/spreadsheetml/2006/main" xmlns:xlrd="http://schemas.microsoft.com/office/spreadsheetml/2017/richdata" xmlns:xda="http://schemas.microsoft.com/office/spreadsheetml/2017/dynamicarray">
  <metadataTypes count="2">
    <metadataType name="XLDAPR" minSupportedVersion="120000" copy="1" pasteAll="1" pasteValues="1" merge="1" splitFirst="1" rowColShift="1" clearFormats="1" clearComments="1" assign="1" coerce="1" cellMeta="1"/>
    <metadataType name="XLRICHVALUE" minSupportedVersion="120000" copy="1" pasteAll="1" pasteValues="1" merge="1" splitFirst="1" rowColShift="1" clearFormats="1" clearComments="1" assign="1" coerce="1"/>
  </metadataTypes>
  <futureMetadata name="XLDAPR" count="1">
    <bk>
      <extLst>
        <ext uri="{bdbb8cdc-fa1e-496e-a857-3c3f30c029c3}">
          <xda:dynamicArrayProperties fDynamic="1" fCollapsed="0"/>
        </ext>
      </extLst>
    </bk>
  </futureMetadata>
  <futureMetadata name="XLRICHVALUE" count="2">
    <bk>
      <extLst>
        <ext uri="{3e2802c4-a4d2-4d8b-9148-e3be6c30e623}">
          <xlrd:rvb i="0"/>
        </ext>
      </extLst>
    </bk>
    <bk>
      <extLst>
        <ext uri="{3e2802c4-a4d2-4d8b-9148-e3be6c30e623}">
          <xlrd:rvb i="1"/>
        </ext>
      </extLst>
    </bk>
  </futureMetadata>
  <cellMetadata count="1">
    <bk>
      <rc t="1" v="0"/>
    </bk>
  </cellMetadata>
  <valueMetadata count="2">
    <bk>
      <rc t="2" v="0"/>
    </bk>
    <bk>
      <rc t="2" v="1"/>
    </bk>
  </valueMetadata>
</metadata>
</file>

<file path=xl/sharedStrings.xml><?xml version="1.0" encoding="utf-8"?>
<sst xmlns="http://schemas.openxmlformats.org/spreadsheetml/2006/main" count="4819" uniqueCount="1234">
  <si>
    <t xml:space="preserve"> </t>
  </si>
  <si>
    <t>Location</t>
  </si>
  <si>
    <t>Type</t>
  </si>
  <si>
    <t>Material</t>
  </si>
  <si>
    <t>Colour</t>
  </si>
  <si>
    <t>Louvre</t>
  </si>
  <si>
    <t>Frame</t>
  </si>
  <si>
    <t>Tilt Rod</t>
  </si>
  <si>
    <t>Bay Section Widths</t>
  </si>
  <si>
    <t>Width</t>
  </si>
  <si>
    <t>Height</t>
  </si>
  <si>
    <t>Midrail</t>
  </si>
  <si>
    <t>Configuration &amp; positions</t>
  </si>
  <si>
    <t>Build Out</t>
  </si>
  <si>
    <t>Square Meters</t>
  </si>
  <si>
    <t>Price per window</t>
  </si>
  <si>
    <t>Dining room</t>
  </si>
  <si>
    <t>Tracked</t>
  </si>
  <si>
    <t>Barbados</t>
  </si>
  <si>
    <t>Pure White</t>
  </si>
  <si>
    <t>76mm</t>
  </si>
  <si>
    <t>M Track</t>
  </si>
  <si>
    <t>Silent</t>
  </si>
  <si>
    <t>Yes</t>
  </si>
  <si>
    <t>Configuration:</t>
  </si>
  <si>
    <t>FF</t>
  </si>
  <si>
    <t>Price</t>
  </si>
  <si>
    <t>Posts Positions:</t>
  </si>
  <si>
    <t>ROL</t>
  </si>
  <si>
    <t>B/OUT</t>
  </si>
  <si>
    <t>SQM</t>
  </si>
  <si>
    <t>Hinge:</t>
  </si>
  <si>
    <t>Notes:</t>
  </si>
  <si>
    <t>No</t>
  </si>
  <si>
    <t>Office</t>
  </si>
  <si>
    <t>Full Height</t>
  </si>
  <si>
    <t>Plain L</t>
  </si>
  <si>
    <t>L</t>
  </si>
  <si>
    <t>Living room</t>
  </si>
  <si>
    <t>(T)</t>
  </si>
  <si>
    <t>R</t>
  </si>
  <si>
    <t>J6</t>
  </si>
  <si>
    <t>Java Rules</t>
  </si>
  <si>
    <t>Bedroom</t>
  </si>
  <si>
    <t>Front Right</t>
  </si>
  <si>
    <t>NO</t>
  </si>
  <si>
    <t>Fiji Rules</t>
  </si>
  <si>
    <t>Please Select</t>
  </si>
  <si>
    <t>Samoa Rules</t>
  </si>
  <si>
    <t>SURVEYOR USE ONLY STS:</t>
  </si>
  <si>
    <t>Please select</t>
  </si>
  <si>
    <t>Total SQM</t>
  </si>
  <si>
    <t>Customer:</t>
  </si>
  <si>
    <t>Ref No:</t>
  </si>
  <si>
    <t>Follow Up</t>
  </si>
  <si>
    <t>Pricing Matrix</t>
  </si>
  <si>
    <t>SQM/QTY/LNR</t>
  </si>
  <si>
    <t>Retail</t>
  </si>
  <si>
    <t>Promotion</t>
  </si>
  <si>
    <t>Quoted Lines</t>
  </si>
  <si>
    <t>%</t>
  </si>
  <si>
    <t>Discount %</t>
  </si>
  <si>
    <t>RRP</t>
  </si>
  <si>
    <t>Aruba</t>
  </si>
  <si>
    <t>Installation Required?</t>
  </si>
  <si>
    <t>Source:</t>
  </si>
  <si>
    <t>Rep:</t>
  </si>
  <si>
    <t>Upgrade &amp; Extras</t>
  </si>
  <si>
    <t>Had other quote</t>
  </si>
  <si>
    <t>Value: £</t>
  </si>
  <si>
    <t>Deposit: £</t>
  </si>
  <si>
    <t>Survey &amp; Installation</t>
  </si>
  <si>
    <t>Details</t>
  </si>
  <si>
    <t>Deposit %</t>
  </si>
  <si>
    <t>Telephone:</t>
  </si>
  <si>
    <t>Date:</t>
  </si>
  <si>
    <t>Works being done?</t>
  </si>
  <si>
    <t>Select</t>
  </si>
  <si>
    <t>Silent Tilt</t>
  </si>
  <si>
    <t>Total</t>
  </si>
  <si>
    <t>Total Price (RRP)</t>
  </si>
  <si>
    <t>Promotion Price</t>
  </si>
  <si>
    <t>Saving</t>
  </si>
  <si>
    <t/>
  </si>
  <si>
    <t>12 Months</t>
  </si>
  <si>
    <t>Ladder Required?</t>
  </si>
  <si>
    <t>Shutter &amp; Shade</t>
  </si>
  <si>
    <t>2 Years</t>
  </si>
  <si>
    <t>Address</t>
  </si>
  <si>
    <t>Hinge Upgrades / S/Steel</t>
  </si>
  <si>
    <t>3 Years</t>
  </si>
  <si>
    <t>Capri</t>
  </si>
  <si>
    <t>Tahiti</t>
  </si>
  <si>
    <t>Photographs Taken:</t>
  </si>
  <si>
    <t>Custom / None Standard Colour</t>
  </si>
  <si>
    <t>4 Years</t>
  </si>
  <si>
    <t>Shape / French Door Cut Out</t>
  </si>
  <si>
    <t>5 Years</t>
  </si>
  <si>
    <t>Works to be completed by:</t>
  </si>
  <si>
    <t>Custom Bay post</t>
  </si>
  <si>
    <t>Pro Quote
Required?</t>
  </si>
  <si>
    <t>Deposit Required</t>
  </si>
  <si>
    <t>Select Method</t>
  </si>
  <si>
    <t>Reds Double Checked?</t>
  </si>
  <si>
    <t>TOTAL</t>
  </si>
  <si>
    <t>Balance</t>
  </si>
  <si>
    <t>Other:</t>
  </si>
  <si>
    <t>Please Select:</t>
  </si>
  <si>
    <t>Survey Date:</t>
  </si>
  <si>
    <t xml:space="preserve">Notes: </t>
  </si>
  <si>
    <t>I am aware of the survey requirements listed above (Notes), and that all the relevant areas (window sills) should be cleared to provide easy access for the surveyor.</t>
  </si>
  <si>
    <t>Signature:</t>
  </si>
  <si>
    <t>Version: 9C4BD5</t>
  </si>
  <si>
    <t>Order No:</t>
  </si>
  <si>
    <t>Windows/Lines:</t>
  </si>
  <si>
    <t>Materials:</t>
  </si>
  <si>
    <t>Works to be completed by :</t>
  </si>
  <si>
    <t>Surveyor Notes:</t>
  </si>
  <si>
    <t>Antigua</t>
  </si>
  <si>
    <t>Aruba Express</t>
  </si>
  <si>
    <t>Belize</t>
  </si>
  <si>
    <t>Maui</t>
  </si>
  <si>
    <t>Bermuda</t>
  </si>
  <si>
    <t>Cuba</t>
  </si>
  <si>
    <t>Fiji</t>
  </si>
  <si>
    <t>Java</t>
  </si>
  <si>
    <t>EWC**</t>
  </si>
  <si>
    <t>Paulownia</t>
  </si>
  <si>
    <t>Polymer</t>
  </si>
  <si>
    <t>Basswood</t>
  </si>
  <si>
    <t>White Teak</t>
  </si>
  <si>
    <t>MDF + ABS*</t>
  </si>
  <si>
    <t>Hardwood + EWC** Frame</t>
  </si>
  <si>
    <t>Hardwoods</t>
  </si>
  <si>
    <t>ABS*</t>
  </si>
  <si>
    <t>Louvres</t>
  </si>
  <si>
    <t>63,76,89,114</t>
  </si>
  <si>
    <t>63, 76, 89</t>
  </si>
  <si>
    <t>63,76,89,114, 63 &amp; 89 (Flat)</t>
  </si>
  <si>
    <t>76, 89 Bevelled</t>
  </si>
  <si>
    <t>63,76,89</t>
  </si>
  <si>
    <t>Stick/Silent/Hidden</t>
  </si>
  <si>
    <t>Rod/Silent</t>
  </si>
  <si>
    <t>Rod, Silent, Hidden</t>
  </si>
  <si>
    <t>Rod/Hidden</t>
  </si>
  <si>
    <t>Min Panel Width</t>
  </si>
  <si>
    <t>152/250</t>
  </si>
  <si>
    <t>Max Single Panel Width</t>
  </si>
  <si>
    <t>63mm 750, The Rest 914</t>
  </si>
  <si>
    <t>63mm 750, The Rest 850</t>
  </si>
  <si>
    <t>63mm 750, The rest 890</t>
  </si>
  <si>
    <t>63mm 850, 76, 89 &amp; 114 950</t>
  </si>
  <si>
    <t>63 &amp; 76mm 890, 89 &amp; 114 1047mm</t>
  </si>
  <si>
    <t>63 &amp; 76mm 800, 89 &amp; 114 890mm</t>
  </si>
  <si>
    <t>Min Panel Height</t>
  </si>
  <si>
    <t>Max Panel Height</t>
  </si>
  <si>
    <t>Mid Rail required @</t>
  </si>
  <si>
    <t>Silent / Hidden Split</t>
  </si>
  <si>
    <t>Max Panel Width Bifold</t>
  </si>
  <si>
    <t>Max Panels Bifold</t>
  </si>
  <si>
    <t>Max Panels Bifold Tracked</t>
  </si>
  <si>
    <t>Even Number</t>
  </si>
  <si>
    <t>Max Width Bifold Tracked</t>
  </si>
  <si>
    <t>Max Panel Width Multifold</t>
  </si>
  <si>
    <t>N/A</t>
  </si>
  <si>
    <t>Frame L,Z, Camber, F</t>
  </si>
  <si>
    <t>All</t>
  </si>
  <si>
    <t>L &amp; Z</t>
  </si>
  <si>
    <t>French Door</t>
  </si>
  <si>
    <t>Shapes</t>
  </si>
  <si>
    <t>Solid Panels</t>
  </si>
  <si>
    <t>Custom Bay Posts</t>
  </si>
  <si>
    <t>Waterproof</t>
  </si>
  <si>
    <r>
      <t>Yes</t>
    </r>
    <r>
      <rPr>
        <b/>
        <sz val="11"/>
        <color theme="1"/>
        <rFont val="Calibri"/>
        <family val="2"/>
        <scheme val="minor"/>
      </rPr>
      <t>#</t>
    </r>
  </si>
  <si>
    <r>
      <t xml:space="preserve">Yes </t>
    </r>
    <r>
      <rPr>
        <b/>
        <sz val="11"/>
        <color theme="1"/>
        <rFont val="Calibri"/>
        <family val="2"/>
        <scheme val="minor"/>
      </rPr>
      <t>#</t>
    </r>
  </si>
  <si>
    <t>* Acrylonitrile butadiene styrene</t>
  </si>
  <si>
    <t>** Engineered Wood Composite</t>
  </si>
  <si>
    <t># Requires S/Steel Hinges</t>
  </si>
  <si>
    <t>Name:</t>
  </si>
  <si>
    <t>Merseyside: 0151 525 0050</t>
  </si>
  <si>
    <t>Telephone Number:</t>
  </si>
  <si>
    <t>LOCATIONS</t>
  </si>
  <si>
    <t>QTY</t>
  </si>
  <si>
    <t>PRICE - £</t>
  </si>
  <si>
    <t>HOME DESIGNER:</t>
  </si>
  <si>
    <t>Manchester: 0161 641 3095</t>
  </si>
  <si>
    <t xml:space="preserve">            Wirral: 0151 363 9797</t>
  </si>
  <si>
    <t>Address:</t>
  </si>
  <si>
    <t>CUSTOMER NAME:</t>
  </si>
  <si>
    <t xml:space="preserve">Quote Ref - </t>
  </si>
  <si>
    <t>MOBILE / TEL:</t>
  </si>
  <si>
    <t>ADDRESS:</t>
  </si>
  <si>
    <t>Home Designer:</t>
  </si>
  <si>
    <t>Quote Ref:</t>
  </si>
  <si>
    <t>SHUTTER TYPE:</t>
  </si>
  <si>
    <t>PRICE SUMMARY</t>
  </si>
  <si>
    <t>MATERIAL:</t>
  </si>
  <si>
    <t>Total:</t>
  </si>
  <si>
    <t>TILT OPTION:</t>
  </si>
  <si>
    <t>LOUVRE SIZE:</t>
  </si>
  <si>
    <t>FINISH:</t>
  </si>
  <si>
    <t>FURTHER INFORMATION:</t>
  </si>
  <si>
    <t>FINANCE OPTION</t>
  </si>
  <si>
    <t xml:space="preserve">      SHUTTERS Total</t>
  </si>
  <si>
    <t>Upgrades &amp; Extras:</t>
  </si>
  <si>
    <t>DEPOSIT £:</t>
  </si>
  <si>
    <t>TOTAL (Inc. Installation):</t>
  </si>
  <si>
    <t>Today you've saved</t>
  </si>
  <si>
    <r>
      <t xml:space="preserve">Prices quoted are valid for 30 days  from the date stated on the quotation.
</t>
    </r>
    <r>
      <rPr>
        <i/>
        <sz val="10"/>
        <color theme="1"/>
        <rFont val="Calibri"/>
        <family val="2"/>
        <scheme val="minor"/>
      </rPr>
      <t>TO DISCUSS ANY FURTHER DETAILS OR PLACE YOUR ORDER</t>
    </r>
    <r>
      <rPr>
        <sz val="10"/>
        <color theme="1"/>
        <rFont val="Calibri"/>
        <family val="2"/>
        <scheme val="minor"/>
      </rPr>
      <t xml:space="preserve"> by debit or credit card PLEASE CALL 0151  525 0050, Alternatively, deposit can be paid by bank transfer quoting your surname and referance number.
Bank Details: Perfect Shutters Ltd- Sort code: 60-13-19 / Acc Number: 45247218</t>
    </r>
  </si>
  <si>
    <r>
      <t>Showrooms:    Aintree</t>
    </r>
    <r>
      <rPr>
        <sz val="26"/>
        <color theme="0"/>
        <rFont val="Calibri"/>
        <family val="2"/>
        <scheme val="minor"/>
      </rPr>
      <t xml:space="preserve">    </t>
    </r>
    <r>
      <rPr>
        <sz val="20"/>
        <color theme="0"/>
        <rFont val="Calibri"/>
        <family val="2"/>
        <scheme val="minor"/>
      </rPr>
      <t xml:space="preserve"> Altrincham       Allerton      Moreton      Wigan     </t>
    </r>
  </si>
  <si>
    <t>PerfectShutters Ltd. Head Office : Unit 3a Bechers Drive, Aintree Racecourse Retail Park (By ScrewFix), Aintree, Merseyside, L9 5AY.</t>
  </si>
  <si>
    <t>YOUR DETAILS</t>
  </si>
  <si>
    <t>Your Designer</t>
  </si>
  <si>
    <t>Quote Date:</t>
  </si>
  <si>
    <t>Customer Name:</t>
  </si>
  <si>
    <t xml:space="preserve">Address: </t>
  </si>
  <si>
    <t>YOUR PERSONAL QUOTE FOR PERFECT SHUTTERS</t>
  </si>
  <si>
    <t>Louvres  (mm)</t>
  </si>
  <si>
    <t>RRP £</t>
  </si>
  <si>
    <t>Promo Price</t>
  </si>
  <si>
    <t>Savings</t>
  </si>
  <si>
    <t>Information:</t>
  </si>
  <si>
    <t>PRICE &amp; DEPOSIT YOU PAY</t>
  </si>
  <si>
    <r>
      <rPr>
        <b/>
        <sz val="14"/>
        <rFont val="Calibri"/>
        <family val="2"/>
        <scheme val="minor"/>
      </rPr>
      <t>Price quoted includes:</t>
    </r>
    <r>
      <rPr>
        <sz val="14"/>
        <rFont val="Calibri"/>
        <family val="2"/>
        <scheme val="minor"/>
      </rPr>
      <t xml:space="preserve">
</t>
    </r>
    <r>
      <rPr>
        <sz val="14"/>
        <rFont val="Symbol"/>
        <family val="1"/>
        <charset val="2"/>
      </rPr>
      <t xml:space="preserve">·  </t>
    </r>
    <r>
      <rPr>
        <sz val="14"/>
        <rFont val="Calibri"/>
        <family val="2"/>
        <scheme val="minor"/>
      </rPr>
      <t xml:space="preserve">Value Added Tax (20%). 
</t>
    </r>
    <r>
      <rPr>
        <sz val="14"/>
        <rFont val="Symbol"/>
        <family val="1"/>
        <charset val="2"/>
      </rPr>
      <t xml:space="preserve">·  </t>
    </r>
    <r>
      <rPr>
        <sz val="14"/>
        <rFont val="Calibri"/>
        <family val="2"/>
        <scheme val="minor"/>
      </rPr>
      <t xml:space="preserve">Technical Survey, Delivery and Installation.
</t>
    </r>
    <r>
      <rPr>
        <sz val="14"/>
        <rFont val="Symbol"/>
        <family val="1"/>
        <charset val="2"/>
      </rPr>
      <t xml:space="preserve">·  </t>
    </r>
    <r>
      <rPr>
        <sz val="14"/>
        <rFont val="Calibri"/>
        <family val="2"/>
        <scheme val="minor"/>
      </rPr>
      <t xml:space="preserve">10 Year Workmanship Guarantee.
</t>
    </r>
    <r>
      <rPr>
        <sz val="14"/>
        <rFont val="Symbol"/>
        <family val="1"/>
        <charset val="2"/>
      </rPr>
      <t xml:space="preserve">·  </t>
    </r>
    <r>
      <rPr>
        <sz val="14"/>
        <rFont val="Calibri"/>
        <family val="2"/>
        <scheme val="minor"/>
      </rPr>
      <t>Quotation valid 14 Days.</t>
    </r>
  </si>
  <si>
    <t>Your Price</t>
  </si>
  <si>
    <t>Your Deposit</t>
  </si>
  <si>
    <t>Deposit</t>
  </si>
  <si>
    <t>Per Month</t>
  </si>
  <si>
    <t>Finance Period</t>
  </si>
  <si>
    <t>24 Months</t>
  </si>
  <si>
    <t>36 Months</t>
  </si>
  <si>
    <t>48 Months</t>
  </si>
  <si>
    <t>60 Months</t>
  </si>
  <si>
    <t>Payment Per Month</t>
  </si>
  <si>
    <t>Perfect Shutters  |  Phone 0300 373 2526  |  Web: www.perfectshutters.co.uk  |  Head Office: 3a Bechers Drive, Aintree, Liverpool L9 5AY</t>
  </si>
  <si>
    <t>SHOWROOMS THROUGHOUT THE NORTH WEST</t>
  </si>
  <si>
    <t>YOUR CONTACT &amp; ORDER DETAILS</t>
  </si>
  <si>
    <t>Order Date:</t>
  </si>
  <si>
    <t>YOUR PERSONAL ORDER FOR PERFECT SHUTTERS</t>
  </si>
  <si>
    <t>Order Confirmation</t>
  </si>
  <si>
    <t>Perfect Shutters Terms and Conditions</t>
  </si>
  <si>
    <t>Perfect Shutters finance options, further information</t>
  </si>
  <si>
    <t>52 STAFFORD STREET, LIVERPOOL, MERSEYSIDE, L3 8LX</t>
  </si>
  <si>
    <t>TEL: 0151 298 2000</t>
  </si>
  <si>
    <r>
      <t xml:space="preserve">BLIND SURVEY </t>
    </r>
    <r>
      <rPr>
        <sz val="24"/>
        <color rgb="FFFF0000"/>
        <rFont val="Calibri"/>
        <family val="2"/>
        <scheme val="minor"/>
      </rPr>
      <t>(SALES)</t>
    </r>
  </si>
  <si>
    <t>perfectblinds.co.uk</t>
  </si>
  <si>
    <t>sales@perfectblinds.co.uk</t>
  </si>
  <si>
    <t>Name</t>
  </si>
  <si>
    <t>Customer Ref:</t>
  </si>
  <si>
    <t>Measure Date:</t>
  </si>
  <si>
    <t>Telephone</t>
  </si>
  <si>
    <t>Surveyor:</t>
  </si>
  <si>
    <t>Blind No</t>
  </si>
  <si>
    <t>Room</t>
  </si>
  <si>
    <t>Variety</t>
  </si>
  <si>
    <t>Description</t>
  </si>
  <si>
    <t>Ref</t>
  </si>
  <si>
    <t>Drop</t>
  </si>
  <si>
    <t>Controls</t>
  </si>
  <si>
    <t>Brackets</t>
  </si>
  <si>
    <t>Surface</t>
  </si>
  <si>
    <t>Price Band</t>
  </si>
  <si>
    <t>Additional Comments:</t>
  </si>
  <si>
    <r>
      <t xml:space="preserve">Customer Signature
</t>
    </r>
    <r>
      <rPr>
        <u/>
        <sz val="8"/>
        <color theme="1"/>
        <rFont val="Calibri"/>
        <family val="2"/>
        <scheme val="minor"/>
      </rPr>
      <t xml:space="preserve">I HAVE CHECKED AND AGREE WITH THE ABOVE CHOICES                   </t>
    </r>
    <r>
      <rPr>
        <sz val="8"/>
        <color theme="1"/>
        <rFont val="Calibri"/>
        <family val="2"/>
        <scheme val="minor"/>
      </rPr>
      <t xml:space="preserve">
</t>
    </r>
    <r>
      <rPr>
        <sz val="9"/>
        <color theme="1"/>
        <rFont val="Calibri"/>
        <family val="2"/>
        <scheme val="minor"/>
      </rPr>
      <t>PROVISIONAL FITTING DATE:</t>
    </r>
  </si>
  <si>
    <t>Sub Total</t>
  </si>
  <si>
    <t>Sale Amount</t>
  </si>
  <si>
    <t>Method</t>
  </si>
  <si>
    <t>Office Use Only</t>
  </si>
  <si>
    <t>Ref no:</t>
  </si>
  <si>
    <t>U</t>
  </si>
  <si>
    <t>C</t>
  </si>
  <si>
    <t>P</t>
  </si>
  <si>
    <t xml:space="preserve">Day: </t>
  </si>
  <si>
    <t>Installation Time:</t>
  </si>
  <si>
    <t>Sales: Panels</t>
  </si>
  <si>
    <t>Survey: Panels</t>
  </si>
  <si>
    <t>Sales SQM:</t>
  </si>
  <si>
    <t>Postcode:</t>
  </si>
  <si>
    <t>Dep Date:</t>
  </si>
  <si>
    <t>SC Code:</t>
  </si>
  <si>
    <t>Number of  Installers:</t>
  </si>
  <si>
    <t>Survey SQM:</t>
  </si>
  <si>
    <t>Sides</t>
  </si>
  <si>
    <t>Style</t>
  </si>
  <si>
    <t>Split</t>
  </si>
  <si>
    <t>TOT 
(Mid2)</t>
  </si>
  <si>
    <t>Quoted?</t>
  </si>
  <si>
    <t>SQM's</t>
  </si>
  <si>
    <t>Tposts</t>
  </si>
  <si>
    <t>Bay Posts</t>
  </si>
  <si>
    <t>Tiled</t>
  </si>
  <si>
    <t>Cutouts</t>
  </si>
  <si>
    <t>CFG</t>
  </si>
  <si>
    <t>Posts</t>
  </si>
  <si>
    <t>Buildout</t>
  </si>
  <si>
    <t>Misc</t>
  </si>
  <si>
    <t>Line No:</t>
  </si>
  <si>
    <t>Blockout</t>
  </si>
  <si>
    <t>Shutter Notes:</t>
  </si>
  <si>
    <t>Qty</t>
  </si>
  <si>
    <t>Size</t>
  </si>
  <si>
    <t>Cover Strips</t>
  </si>
  <si>
    <t>None</t>
  </si>
  <si>
    <t>Panels</t>
  </si>
  <si>
    <t>C,B,T,G</t>
  </si>
  <si>
    <t>Custom Angle</t>
  </si>
  <si>
    <t>Config:</t>
  </si>
  <si>
    <t>Select Mid or split</t>
  </si>
  <si>
    <t xml:space="preserve">Info: </t>
  </si>
  <si>
    <t>Info:</t>
  </si>
  <si>
    <t>C/S</t>
  </si>
  <si>
    <t>Issues:</t>
  </si>
  <si>
    <t>Department:</t>
  </si>
  <si>
    <t>Reason:</t>
  </si>
  <si>
    <t>Issue Code:</t>
  </si>
  <si>
    <t>Responsible:</t>
  </si>
  <si>
    <t>Images:</t>
  </si>
  <si>
    <t>Insert Image</t>
  </si>
  <si>
    <t>Resolution:</t>
  </si>
  <si>
    <t>Resolve Date:</t>
  </si>
  <si>
    <t>Resolved By:</t>
  </si>
  <si>
    <t>Shutter Installation Type</t>
  </si>
  <si>
    <t>Installation Time</t>
  </si>
  <si>
    <t>Note:</t>
  </si>
  <si>
    <t>Flat</t>
  </si>
  <si>
    <t>Has T</t>
  </si>
  <si>
    <t>Has C</t>
  </si>
  <si>
    <t>Config</t>
  </si>
  <si>
    <t>Track</t>
  </si>
  <si>
    <t>SNR + JNR</t>
  </si>
  <si>
    <t>SNR Alone</t>
  </si>
  <si>
    <t>Line 1</t>
  </si>
  <si>
    <t>Standard Flat</t>
  </si>
  <si>
    <t>&lt;2000</t>
  </si>
  <si>
    <t>Line 2</t>
  </si>
  <si>
    <t>2000-2500</t>
  </si>
  <si>
    <t>Line 3</t>
  </si>
  <si>
    <t>2500-3500</t>
  </si>
  <si>
    <t>Line 4</t>
  </si>
  <si>
    <t>Line 5</t>
  </si>
  <si>
    <t>Standard Flat With T-Posts</t>
  </si>
  <si>
    <t>Line 6</t>
  </si>
  <si>
    <t>Line 7</t>
  </si>
  <si>
    <t>Line 8</t>
  </si>
  <si>
    <t>Line 9</t>
  </si>
  <si>
    <t>Bay / Bow Bay</t>
  </si>
  <si>
    <t>Line 10</t>
  </si>
  <si>
    <t>2000-3000</t>
  </si>
  <si>
    <t>Line 11</t>
  </si>
  <si>
    <t>3000-4500</t>
  </si>
  <si>
    <t>Line 12</t>
  </si>
  <si>
    <t>Line 13</t>
  </si>
  <si>
    <t>2500-3000</t>
  </si>
  <si>
    <t>Line 14</t>
  </si>
  <si>
    <t>Line 15</t>
  </si>
  <si>
    <t>1.8m+ Height</t>
  </si>
  <si>
    <t>&lt;1600</t>
  </si>
  <si>
    <t>1600-2400</t>
  </si>
  <si>
    <t>Top Track</t>
  </si>
  <si>
    <t>&lt;1500</t>
  </si>
  <si>
    <t>1500-3000</t>
  </si>
  <si>
    <t>Apartment</t>
  </si>
  <si>
    <t>Other</t>
  </si>
  <si>
    <t>Survey Notes:</t>
  </si>
  <si>
    <r>
      <t xml:space="preserve">CUSTOMER SUMMARY </t>
    </r>
    <r>
      <rPr>
        <b/>
        <sz val="11"/>
        <color theme="0" tint="-0.249977111117893"/>
        <rFont val="Calibri"/>
        <family val="2"/>
        <scheme val="minor"/>
      </rPr>
      <t>DESIGN SURVEY</t>
    </r>
  </si>
  <si>
    <t>Order Ref:</t>
  </si>
  <si>
    <t>STYLE</t>
  </si>
  <si>
    <t>MATERIAL</t>
  </si>
  <si>
    <t>LOUVRE SIZE</t>
  </si>
  <si>
    <t>TILT OPTION</t>
  </si>
  <si>
    <t>COLOUR</t>
  </si>
  <si>
    <t>Additional Notes:</t>
  </si>
  <si>
    <t>All configurations discussed and confirmed with customer.</t>
  </si>
  <si>
    <t>No Tiled?</t>
  </si>
  <si>
    <t>No Cutouts?</t>
  </si>
  <si>
    <t>Ladders Req</t>
  </si>
  <si>
    <t>Second Measure</t>
  </si>
  <si>
    <t>Bay Angles</t>
  </si>
  <si>
    <t>B-Outs / C-Strips</t>
  </si>
  <si>
    <t xml:space="preserve">Our Estimated delivery times are currently </t>
  </si>
  <si>
    <t>-</t>
  </si>
  <si>
    <t xml:space="preserve"> Weeks</t>
  </si>
  <si>
    <t>Configurations</t>
  </si>
  <si>
    <t>Obstructions</t>
  </si>
  <si>
    <t>The estimated delivery time is correct at the time of survey.</t>
  </si>
  <si>
    <t>3 Louvres</t>
  </si>
  <si>
    <t>Split Tilt</t>
  </si>
  <si>
    <t>Prior to installation there will be no structural or cosmetic works undertaken around the specified window area for my products, including windows, sills and flooring, tiling or plastering of the property as this could compromise installation.</t>
  </si>
  <si>
    <t>I confirm that I have been advised on how each of my shutters / panels will function when installed and that the mid rails (if applicable) may be offset from the central location by up to + - 38mm. 
I am happy to proceed with the final design choices.</t>
  </si>
  <si>
    <t>Customer Signature:</t>
  </si>
  <si>
    <t>I understand and agree with the above window design, layout choices and that my order is bespoke and cannot be amended, once it has been placed with the manufacturer. I agree to pay any outstanding balance prior to delivery/installation. Full terms and conditions of sale are available on our website www.perfectshutters.co.uk. This does not affect the customer’s statutory rights.</t>
  </si>
  <si>
    <t>Installers:</t>
  </si>
  <si>
    <t>Fitters Checklist:</t>
  </si>
  <si>
    <t>Photo &amp; Marketing:</t>
  </si>
  <si>
    <t>Before / After photo's taken:</t>
  </si>
  <si>
    <t>Permission to use photographs solely for Perfect Shutters</t>
  </si>
  <si>
    <t>marketing activities.  Privacy is protected.</t>
  </si>
  <si>
    <t>Open / Close Panels</t>
  </si>
  <si>
    <t>Louvre Adjustment</t>
  </si>
  <si>
    <t>Cleaning Shutters</t>
  </si>
  <si>
    <t>Removing Panels</t>
  </si>
  <si>
    <t>Payment:</t>
  </si>
  <si>
    <t>Installation:</t>
  </si>
  <si>
    <t>Payment Received:</t>
  </si>
  <si>
    <t>Payment Method:</t>
  </si>
  <si>
    <t>Balance Payable:</t>
  </si>
  <si>
    <t>Outstanding Balance:</t>
  </si>
  <si>
    <t>Authorisation:</t>
  </si>
  <si>
    <t>Installation Report:</t>
  </si>
  <si>
    <t>I (Print Name)_______________________Confirm that I am happy with my shutter installation and have received the customer handover pack, and I have been given instruction on how to operate and maintain my Perfect Shutters.</t>
  </si>
  <si>
    <t>Version: 9A1</t>
  </si>
  <si>
    <t>List Price X Square Meters + Custom Bays + Buildout + French Door Cutout</t>
  </si>
  <si>
    <t>Panel Count</t>
  </si>
  <si>
    <t>Character Count per cell in config</t>
  </si>
  <si>
    <t>PLM</t>
  </si>
  <si>
    <t>Cell 1</t>
  </si>
  <si>
    <t>Cell 2</t>
  </si>
  <si>
    <t>Cell 3</t>
  </si>
  <si>
    <t>Cell 4</t>
  </si>
  <si>
    <t>Cell 5</t>
  </si>
  <si>
    <t>Cell 6</t>
  </si>
  <si>
    <t>Cell 7</t>
  </si>
  <si>
    <t>Cell 8</t>
  </si>
  <si>
    <t>Cell 9</t>
  </si>
  <si>
    <t>Cell 10</t>
  </si>
  <si>
    <t>S/Shade</t>
  </si>
  <si>
    <t>Per SQM</t>
  </si>
  <si>
    <t>French Door Cut Out</t>
  </si>
  <si>
    <t>Each</t>
  </si>
  <si>
    <t>LL</t>
  </si>
  <si>
    <t>TGBC LOC</t>
  </si>
  <si>
    <t>Ring Pull</t>
  </si>
  <si>
    <t>RR</t>
  </si>
  <si>
    <t>Work/Error</t>
  </si>
  <si>
    <t>Bolt</t>
  </si>
  <si>
    <t>Adjustable Hinge (Samoa)</t>
  </si>
  <si>
    <t>LR</t>
  </si>
  <si>
    <t>Custom Angles (CB)</t>
  </si>
  <si>
    <t>Power Motion</t>
  </si>
  <si>
    <t>Per Section</t>
  </si>
  <si>
    <t>L(T)L</t>
  </si>
  <si>
    <t>Fitting Under 2sqm</t>
  </si>
  <si>
    <t>L(T)R</t>
  </si>
  <si>
    <t>Crs to (</t>
  </si>
  <si>
    <t>First</t>
  </si>
  <si>
    <t>Second</t>
  </si>
  <si>
    <t>Third</t>
  </si>
  <si>
    <t>Fourth</t>
  </si>
  <si>
    <t>Fifth</t>
  </si>
  <si>
    <t>Sixth</t>
  </si>
  <si>
    <t>Seventh</t>
  </si>
  <si>
    <t>Eighth</t>
  </si>
  <si>
    <t>Ninth</t>
  </si>
  <si>
    <t>Tenth</t>
  </si>
  <si>
    <t>Power Motion Remote</t>
  </si>
  <si>
    <t>R(T)R</t>
  </si>
  <si>
    <t>Track System</t>
  </si>
  <si>
    <t>Custom Colour (Per Colour)</t>
  </si>
  <si>
    <t>Per Colour</t>
  </si>
  <si>
    <t>R(T)L</t>
  </si>
  <si>
    <t>Positions</t>
  </si>
  <si>
    <t>Hinges Stainless Steel</t>
  </si>
  <si>
    <t>IFC DC</t>
  </si>
  <si>
    <t>L(C)L</t>
  </si>
  <si>
    <t>Panel Size's</t>
  </si>
  <si>
    <t>Auto Close</t>
  </si>
  <si>
    <t>Hinges Brushed Nickel</t>
  </si>
  <si>
    <t>L(C)R</t>
  </si>
  <si>
    <t>Concealed Hinge (Not Barbados)</t>
  </si>
  <si>
    <t>Build Out (No Window Cill)</t>
  </si>
  <si>
    <t>Per PLM</t>
  </si>
  <si>
    <t>R(C)R</t>
  </si>
  <si>
    <t>Telescopic Wand (2m)</t>
  </si>
  <si>
    <t>Nickel Plated Knob A</t>
  </si>
  <si>
    <t>R(C)L</t>
  </si>
  <si>
    <t>Max 2</t>
  </si>
  <si>
    <t>Shape Charge (Upto 2 Panels)</t>
  </si>
  <si>
    <t>Nickel Plated Knob B</t>
  </si>
  <si>
    <t>L(G)L</t>
  </si>
  <si>
    <t>Additional shape Panel</t>
  </si>
  <si>
    <t>Push Button Catch (Hardwood Only)</t>
  </si>
  <si>
    <t>L(G)R</t>
  </si>
  <si>
    <t>None standard shape</t>
  </si>
  <si>
    <t>R(G)R</t>
  </si>
  <si>
    <t>PSqm</t>
  </si>
  <si>
    <t>Survey/Delivery/Install</t>
  </si>
  <si>
    <t>Configs</t>
  </si>
  <si>
    <t>Sales line 1 Config</t>
  </si>
  <si>
    <t>Survey line 1 Config</t>
  </si>
  <si>
    <t>Sales line 2 Config</t>
  </si>
  <si>
    <t>Survey line 2 Config</t>
  </si>
  <si>
    <t>IFC</t>
  </si>
  <si>
    <t>DO NOT CHANGE PRICING HERE</t>
  </si>
  <si>
    <t>Sales line 3 Config</t>
  </si>
  <si>
    <t>Survey line 3 Config</t>
  </si>
  <si>
    <t>Materials</t>
  </si>
  <si>
    <t>Supplier</t>
  </si>
  <si>
    <t>Sales line 4 Config</t>
  </si>
  <si>
    <t>Survey line 4 Config</t>
  </si>
  <si>
    <t>Lifetime</t>
  </si>
  <si>
    <t>Sales line 5 Config</t>
  </si>
  <si>
    <t>Survey line 5 Config</t>
  </si>
  <si>
    <t>SCraft</t>
  </si>
  <si>
    <t>Sales line 6 Config</t>
  </si>
  <si>
    <t>Survey line 6 Config</t>
  </si>
  <si>
    <t>Deposite Value</t>
  </si>
  <si>
    <t>Sfactory</t>
  </si>
  <si>
    <t>Sales line 7 Config</t>
  </si>
  <si>
    <t>Survey line 7 Config</t>
  </si>
  <si>
    <t>Sales line 8 Config</t>
  </si>
  <si>
    <t>Survey line 8 Config</t>
  </si>
  <si>
    <t>Special Offer % Off Barbados Base</t>
  </si>
  <si>
    <t>DO NOT CHANGE HERE (Change C10)</t>
  </si>
  <si>
    <t>Sales line 9 Config</t>
  </si>
  <si>
    <t>Survey line 9 Config</t>
  </si>
  <si>
    <t>&lt;-</t>
  </si>
  <si>
    <t>Price Calculation Area &amp; Upgrades</t>
  </si>
  <si>
    <t>Sales line 10 Config</t>
  </si>
  <si>
    <t>Survey line 10 Config</t>
  </si>
  <si>
    <t>CB's</t>
  </si>
  <si>
    <t>CB'sCost</t>
  </si>
  <si>
    <t>Top Track or FF</t>
  </si>
  <si>
    <t>Linear Meterage</t>
  </si>
  <si>
    <t>S/Shade SqM</t>
  </si>
  <si>
    <t>S/Tilt SQM</t>
  </si>
  <si>
    <t>Shape</t>
  </si>
  <si>
    <t>Fr/D Cutout</t>
  </si>
  <si>
    <t>CstmColour</t>
  </si>
  <si>
    <t>Hinges</t>
  </si>
  <si>
    <t>Surv/del/inst</t>
  </si>
  <si>
    <t>Sales line 11 Config</t>
  </si>
  <si>
    <t>Survey line 11 Config</t>
  </si>
  <si>
    <t>Sales line 12 Config</t>
  </si>
  <si>
    <t>Survey line 12 Config</t>
  </si>
  <si>
    <t>Sales line 13 Config</t>
  </si>
  <si>
    <t>Survey line 13 Config</t>
  </si>
  <si>
    <t>MYT</t>
  </si>
  <si>
    <t>Sales line 14 Config</t>
  </si>
  <si>
    <t>Survey line 14 Config</t>
  </si>
  <si>
    <t>Sales line 15 Config</t>
  </si>
  <si>
    <t>Survey line 15 Config</t>
  </si>
  <si>
    <t>Survey Panels</t>
  </si>
  <si>
    <t>Silent Tilt Qty</t>
  </si>
  <si>
    <t>Shutter And Shade</t>
  </si>
  <si>
    <t>IF Tahiti - S &amp; S @50%</t>
  </si>
  <si>
    <t>Materials List Order</t>
  </si>
  <si>
    <t>Quoted Price X Square Meters + Custom Bay &amp; Std Shapes</t>
  </si>
  <si>
    <t>L(CB)L</t>
  </si>
  <si>
    <t>L(CB)R</t>
  </si>
  <si>
    <t>R(CB)R</t>
  </si>
  <si>
    <t>R(CB)L</t>
  </si>
  <si>
    <t>Quoted Price - 25% Discount + Bay Posts + Std Shapes + Custom Colours + Hinges</t>
  </si>
  <si>
    <t>Material Price</t>
  </si>
  <si>
    <t>Quoted Calculation Area &amp; Upgrades</t>
  </si>
  <si>
    <t>Square Meters per material</t>
  </si>
  <si>
    <t>Quoted LinesSquare Meters per material</t>
  </si>
  <si>
    <t>Quoted LinesPrice per material</t>
  </si>
  <si>
    <t>Survey Price</t>
  </si>
  <si>
    <t>Survey Price Calculation Area &amp; Upgrades</t>
  </si>
  <si>
    <t>Upgrade All to one material</t>
  </si>
  <si>
    <t>Upgrade each material</t>
  </si>
  <si>
    <t>Upgrade / Downgrade each material</t>
  </si>
  <si>
    <t>Colour Upgrade Cost</t>
  </si>
  <si>
    <t>Custom Colour</t>
  </si>
  <si>
    <t>Capri Raked + 50%</t>
  </si>
  <si>
    <t>Capri Radius + 80%</t>
  </si>
  <si>
    <t>Rooms</t>
  </si>
  <si>
    <t>Room2</t>
  </si>
  <si>
    <t>Samoa</t>
  </si>
  <si>
    <t>Hampton</t>
  </si>
  <si>
    <t>BarbadosL</t>
  </si>
  <si>
    <t>CubaL</t>
  </si>
  <si>
    <t>JavaL</t>
  </si>
  <si>
    <t>FijiL</t>
  </si>
  <si>
    <t>BermudaL</t>
  </si>
  <si>
    <t>ArubaL</t>
  </si>
  <si>
    <t>HamptonL</t>
  </si>
  <si>
    <t>Frames</t>
  </si>
  <si>
    <t>Frame alowance</t>
  </si>
  <si>
    <t>TiltRod</t>
  </si>
  <si>
    <t>HorizontalPost</t>
  </si>
  <si>
    <t>BarbadosH</t>
  </si>
  <si>
    <t>CubaH</t>
  </si>
  <si>
    <t>JavaH</t>
  </si>
  <si>
    <t>FijiH</t>
  </si>
  <si>
    <t>BermudaH</t>
  </si>
  <si>
    <t>SamoaH</t>
  </si>
  <si>
    <t>HamptonH</t>
  </si>
  <si>
    <t>ArubaH</t>
  </si>
  <si>
    <t>Samoa Hinged P</t>
  </si>
  <si>
    <t>Fiji Hinged P</t>
  </si>
  <si>
    <t>Java Hinged P</t>
  </si>
  <si>
    <t>Cuba Hinged P</t>
  </si>
  <si>
    <t>Bermuda Hinged P</t>
  </si>
  <si>
    <t>Barbados Hinged P</t>
  </si>
  <si>
    <t>SDhapeStyle</t>
  </si>
  <si>
    <t>Left</t>
  </si>
  <si>
    <t>Vivid White</t>
  </si>
  <si>
    <t>Alabaster</t>
  </si>
  <si>
    <t>47mm</t>
  </si>
  <si>
    <t>63mm</t>
  </si>
  <si>
    <t>B</t>
  </si>
  <si>
    <t>Central</t>
  </si>
  <si>
    <t>Stainless Steel</t>
  </si>
  <si>
    <t>Raked</t>
  </si>
  <si>
    <t>Centre</t>
  </si>
  <si>
    <t>Café</t>
  </si>
  <si>
    <t>Silk White</t>
  </si>
  <si>
    <t>Extra White</t>
  </si>
  <si>
    <t>White</t>
  </si>
  <si>
    <t>89mm</t>
  </si>
  <si>
    <t>Z Frame</t>
  </si>
  <si>
    <t>DM</t>
  </si>
  <si>
    <t>Offset</t>
  </si>
  <si>
    <t>HTP</t>
  </si>
  <si>
    <t>Radius</t>
  </si>
  <si>
    <t>Kitchen</t>
  </si>
  <si>
    <t>Right</t>
  </si>
  <si>
    <t>Café (Full Height)</t>
  </si>
  <si>
    <t>Z Tiara</t>
  </si>
  <si>
    <t>Rebate</t>
  </si>
  <si>
    <t>No HTP</t>
  </si>
  <si>
    <t>Pearl</t>
  </si>
  <si>
    <t>Off White</t>
  </si>
  <si>
    <t>Hall</t>
  </si>
  <si>
    <t>Front</t>
  </si>
  <si>
    <t>Tier on Tier</t>
  </si>
  <si>
    <t>Bright White</t>
  </si>
  <si>
    <t>Snow White</t>
  </si>
  <si>
    <t>89mm Urban</t>
  </si>
  <si>
    <t>Camber Deco</t>
  </si>
  <si>
    <t>Sea Mist</t>
  </si>
  <si>
    <t>Bisque</t>
  </si>
  <si>
    <t>Grey</t>
  </si>
  <si>
    <t>Samoa Config</t>
  </si>
  <si>
    <t>Master Bedroom</t>
  </si>
  <si>
    <t>Back</t>
  </si>
  <si>
    <t>Ivory Lace</t>
  </si>
  <si>
    <t>USA White</t>
  </si>
  <si>
    <t>114mm</t>
  </si>
  <si>
    <t>Insert L</t>
  </si>
  <si>
    <t>Crisp Linen</t>
  </si>
  <si>
    <t>Antique-Brass</t>
  </si>
  <si>
    <t>Chrome</t>
  </si>
  <si>
    <t>Bay</t>
  </si>
  <si>
    <t>Creamy</t>
  </si>
  <si>
    <t>Slate</t>
  </si>
  <si>
    <t>HamptonF</t>
  </si>
  <si>
    <t>ArubaF</t>
  </si>
  <si>
    <t>String</t>
  </si>
  <si>
    <t>Bright Brass</t>
  </si>
  <si>
    <t>Gold</t>
  </si>
  <si>
    <t>Bathroom</t>
  </si>
  <si>
    <t>Front Left</t>
  </si>
  <si>
    <t>Storm</t>
  </si>
  <si>
    <t>L Frame</t>
  </si>
  <si>
    <t>R-Frame</t>
  </si>
  <si>
    <t>Tframes</t>
  </si>
  <si>
    <t>Column1</t>
  </si>
  <si>
    <t>SalesTeam</t>
  </si>
  <si>
    <t>Bright-Brass</t>
  </si>
  <si>
    <t>Bronze</t>
  </si>
  <si>
    <t>Conservatory</t>
  </si>
  <si>
    <t>French Door Cutout</t>
  </si>
  <si>
    <t>Stone Grey</t>
  </si>
  <si>
    <t>Cameo</t>
  </si>
  <si>
    <t>Pebble</t>
  </si>
  <si>
    <t>Louvre Size</t>
  </si>
  <si>
    <t>Face Frame</t>
  </si>
  <si>
    <t>Discount Reason</t>
  </si>
  <si>
    <t>Amy</t>
  </si>
  <si>
    <t>Nickel Plated</t>
  </si>
  <si>
    <t>Black</t>
  </si>
  <si>
    <t>Matt Black</t>
  </si>
  <si>
    <t>Landing</t>
  </si>
  <si>
    <t>Front Centre</t>
  </si>
  <si>
    <t>Decorators White</t>
  </si>
  <si>
    <t>Clay</t>
  </si>
  <si>
    <t>Anthracite</t>
  </si>
  <si>
    <t>Merabau</t>
  </si>
  <si>
    <t>Deco Frame</t>
  </si>
  <si>
    <t>Z-Frame</t>
  </si>
  <si>
    <t>Track and Board</t>
  </si>
  <si>
    <t>Chris</t>
  </si>
  <si>
    <t>Taupe Grey</t>
  </si>
  <si>
    <t>Nickle-Plated</t>
  </si>
  <si>
    <t>Stainless Steel *</t>
  </si>
  <si>
    <t>Finance Options</t>
  </si>
  <si>
    <t>Interest Rate</t>
  </si>
  <si>
    <t>Payments</t>
  </si>
  <si>
    <t>Ensuite</t>
  </si>
  <si>
    <t>Back Left</t>
  </si>
  <si>
    <t>Brick</t>
  </si>
  <si>
    <t>Surveyors</t>
  </si>
  <si>
    <t>Tier on Tier +HTP</t>
  </si>
  <si>
    <t>Décor Frame</t>
  </si>
  <si>
    <t>Track Inside</t>
  </si>
  <si>
    <t>Price Match</t>
  </si>
  <si>
    <t>Jezz</t>
  </si>
  <si>
    <t>Brown Grey</t>
  </si>
  <si>
    <t>Brushed Nickel Plated</t>
  </si>
  <si>
    <t>Matching *</t>
  </si>
  <si>
    <t>Box Room</t>
  </si>
  <si>
    <t>Back Right</t>
  </si>
  <si>
    <t>Aura White</t>
  </si>
  <si>
    <t>Seaweed</t>
  </si>
  <si>
    <t>L,T,R</t>
  </si>
  <si>
    <t>Track Outside</t>
  </si>
  <si>
    <t>Managers Discretion</t>
  </si>
  <si>
    <t>Jack</t>
  </si>
  <si>
    <t>12 Months @ 0%</t>
  </si>
  <si>
    <t>Porch</t>
  </si>
  <si>
    <t>Back Centre</t>
  </si>
  <si>
    <t>Butter</t>
  </si>
  <si>
    <t>Coco</t>
  </si>
  <si>
    <t>L,R,B</t>
  </si>
  <si>
    <t>Paul Nixon</t>
  </si>
  <si>
    <t>Track Bypass</t>
  </si>
  <si>
    <t>5% Promo</t>
  </si>
  <si>
    <t>Jack L</t>
  </si>
  <si>
    <t>2 Years @ 10.9%</t>
  </si>
  <si>
    <t>Patio Doors</t>
  </si>
  <si>
    <t>Graphite</t>
  </si>
  <si>
    <t>T,R,B</t>
  </si>
  <si>
    <t>Steve Holland</t>
  </si>
  <si>
    <t>HamptonStyle</t>
  </si>
  <si>
    <t>10% Promo</t>
  </si>
  <si>
    <t>Joe</t>
  </si>
  <si>
    <t>Antique Brass</t>
  </si>
  <si>
    <t>Nickel Knob B,Nickel Knob A,Auto Close,</t>
  </si>
  <si>
    <t>3 Years @ 10.9%</t>
  </si>
  <si>
    <t>Moondust</t>
  </si>
  <si>
    <t>Black Walnut</t>
  </si>
  <si>
    <t>T,L,B</t>
  </si>
  <si>
    <t>Robert Henderson</t>
  </si>
  <si>
    <t>Lisa</t>
  </si>
  <si>
    <t>Concealed Hinge</t>
  </si>
  <si>
    <t>4 Years @ 10.9%</t>
  </si>
  <si>
    <t>Winchester White 2010</t>
  </si>
  <si>
    <t>Stone Wash</t>
  </si>
  <si>
    <t>L,T,R + S/Plate</t>
  </si>
  <si>
    <t>Graeme Murrey</t>
  </si>
  <si>
    <t>Kelly</t>
  </si>
  <si>
    <t>Brushed Nikel Plated</t>
  </si>
  <si>
    <t>Telescopic Wand</t>
  </si>
  <si>
    <t>5 Years @ 10.9%</t>
  </si>
  <si>
    <t>Chai</t>
  </si>
  <si>
    <t>T,R,B + S/Plate</t>
  </si>
  <si>
    <t>Graham Hunt</t>
  </si>
  <si>
    <t>None Std Shape</t>
  </si>
  <si>
    <t>Finance Not Available</t>
  </si>
  <si>
    <t>L,T,B + S/Plate</t>
  </si>
  <si>
    <t>John Costello</t>
  </si>
  <si>
    <t>HamptonTilt</t>
  </si>
  <si>
    <t>ArubaTilt</t>
  </si>
  <si>
    <t>Polaris</t>
  </si>
  <si>
    <t>Andy Spark</t>
  </si>
  <si>
    <t>Clearview</t>
  </si>
  <si>
    <t>Chalk White</t>
  </si>
  <si>
    <t>Roller(Blind)</t>
  </si>
  <si>
    <t>Winchester White</t>
  </si>
  <si>
    <t>Cotswold White</t>
  </si>
  <si>
    <t>Offsset</t>
  </si>
  <si>
    <t>ArubaConfig</t>
  </si>
  <si>
    <t>Samoa_Tracked</t>
  </si>
  <si>
    <t>Surveyor Measure Tollerance</t>
  </si>
  <si>
    <t>Venetian (Blind)</t>
  </si>
  <si>
    <t>Mattingley 267</t>
  </si>
  <si>
    <t>Magma</t>
  </si>
  <si>
    <t>Mattingley 2671</t>
  </si>
  <si>
    <t>Vertical (Blind)</t>
  </si>
  <si>
    <t>Coltrane</t>
  </si>
  <si>
    <t>SSFrame</t>
  </si>
  <si>
    <t>MYTH</t>
  </si>
  <si>
    <t>Nickel Knob A</t>
  </si>
  <si>
    <t>Roman (Blind)</t>
  </si>
  <si>
    <t>Classic Black (S/Chg)</t>
  </si>
  <si>
    <t>Officer</t>
  </si>
  <si>
    <t>FFrame</t>
  </si>
  <si>
    <t>Nickel Knob B</t>
  </si>
  <si>
    <t>Dover White</t>
  </si>
  <si>
    <t>Rustic Grey</t>
  </si>
  <si>
    <t>Incomplete Lines</t>
  </si>
  <si>
    <t>Summer Haze</t>
  </si>
  <si>
    <t>Weathered Teak</t>
  </si>
  <si>
    <t>Tahiti Colour (MYT Basswood)</t>
  </si>
  <si>
    <t>Tahiti Louvre</t>
  </si>
  <si>
    <t>Tahiti Tilt Options</t>
  </si>
  <si>
    <t>Tahiti Hinge</t>
  </si>
  <si>
    <t>Maui Colours (MYT)</t>
  </si>
  <si>
    <t>Maui Louvre</t>
  </si>
  <si>
    <t>Maui Tilt Options</t>
  </si>
  <si>
    <t>Maui Hinge</t>
  </si>
  <si>
    <t>Aruba Colour (MYT)</t>
  </si>
  <si>
    <t>Aruba Louvre</t>
  </si>
  <si>
    <t>Aruba Tilt</t>
  </si>
  <si>
    <t>ArubaHinge</t>
  </si>
  <si>
    <t>Belize Colour (Lifetime)</t>
  </si>
  <si>
    <t>Belize Louvre</t>
  </si>
  <si>
    <t>Belize Tilt</t>
  </si>
  <si>
    <t>Belize Hinge Colour</t>
  </si>
  <si>
    <t>Capri Colour (Lifetime)</t>
  </si>
  <si>
    <t>Capri Louvre</t>
  </si>
  <si>
    <t>Capri Tilt</t>
  </si>
  <si>
    <t>Capri Hinge</t>
  </si>
  <si>
    <t>Aruba Express Colour (Mimio)</t>
  </si>
  <si>
    <t>Aruba Express Louvre</t>
  </si>
  <si>
    <t>Aruba Express Tilt</t>
  </si>
  <si>
    <t>Aruba Express Hinge</t>
  </si>
  <si>
    <t>Steam</t>
  </si>
  <si>
    <t>Limed White</t>
  </si>
  <si>
    <t>(C)</t>
  </si>
  <si>
    <t>79mm</t>
  </si>
  <si>
    <t>Frosted White</t>
  </si>
  <si>
    <t>Harris</t>
  </si>
  <si>
    <t>(B)</t>
  </si>
  <si>
    <t>LLLL</t>
  </si>
  <si>
    <t>Neutral White</t>
  </si>
  <si>
    <t>Calico</t>
  </si>
  <si>
    <t>Taupe</t>
  </si>
  <si>
    <t>(CB)</t>
  </si>
  <si>
    <t>RRRR</t>
  </si>
  <si>
    <t>New Eggshell</t>
  </si>
  <si>
    <t>89mm (Thick)</t>
  </si>
  <si>
    <t>Shell White</t>
  </si>
  <si>
    <t>Platter</t>
  </si>
  <si>
    <t>Golden Oak</t>
  </si>
  <si>
    <t>Classical White</t>
  </si>
  <si>
    <t>Clearview Split</t>
  </si>
  <si>
    <t>Hidden B</t>
  </si>
  <si>
    <t>Classic Black</t>
  </si>
  <si>
    <t>Oak Mantle</t>
  </si>
  <si>
    <t>2 x Midrail</t>
  </si>
  <si>
    <t>(G)</t>
  </si>
  <si>
    <t>Most White</t>
  </si>
  <si>
    <t>Avalanche</t>
  </si>
  <si>
    <t>Goldenrod</t>
  </si>
  <si>
    <t>PearlCreamy</t>
  </si>
  <si>
    <t>63 Flat</t>
  </si>
  <si>
    <t>Brass</t>
  </si>
  <si>
    <t>Cherry</t>
  </si>
  <si>
    <t>Ivory</t>
  </si>
  <si>
    <t>89 Flat</t>
  </si>
  <si>
    <t>Brushed Nickel</t>
  </si>
  <si>
    <t>Dark Teak</t>
  </si>
  <si>
    <t>Lime White</t>
  </si>
  <si>
    <t>Parchment</t>
  </si>
  <si>
    <t>Stainless Steel (S/chg)</t>
  </si>
  <si>
    <t>Cordovan</t>
  </si>
  <si>
    <t>Sand</t>
  </si>
  <si>
    <t>Pale Grey</t>
  </si>
  <si>
    <t>Hidden Hinge</t>
  </si>
  <si>
    <t>Merbau</t>
  </si>
  <si>
    <t>Stainless Steel (S/Chg)</t>
  </si>
  <si>
    <t>Hidden</t>
  </si>
  <si>
    <t>Oak Mantel</t>
  </si>
  <si>
    <t>Mahogany</t>
  </si>
  <si>
    <t>Champagne</t>
  </si>
  <si>
    <t>New Ebony</t>
  </si>
  <si>
    <t>Hog Bristle</t>
  </si>
  <si>
    <t>Maui Shade Colours</t>
  </si>
  <si>
    <t>Stone</t>
  </si>
  <si>
    <t>Ironstone</t>
  </si>
  <si>
    <t>Red Oak</t>
  </si>
  <si>
    <t>Mistra</t>
  </si>
  <si>
    <t>Rich Walnut</t>
  </si>
  <si>
    <t>Old Teak</t>
  </si>
  <si>
    <t>Surf Mist</t>
  </si>
  <si>
    <t>Rusty Grey</t>
  </si>
  <si>
    <t>Red Mahogany</t>
  </si>
  <si>
    <t>Dark Mahogany</t>
  </si>
  <si>
    <t>Jarrah</t>
  </si>
  <si>
    <t>Roasted Coffee</t>
  </si>
  <si>
    <t>Wenge</t>
  </si>
  <si>
    <t>L(B)L</t>
  </si>
  <si>
    <t>Auburn</t>
  </si>
  <si>
    <t>L(B)R</t>
  </si>
  <si>
    <t>Matte Black (S/Chg)</t>
  </si>
  <si>
    <t>R(B)R</t>
  </si>
  <si>
    <t>Jet Black</t>
  </si>
  <si>
    <t>Toffee</t>
  </si>
  <si>
    <t>R(B)L</t>
  </si>
  <si>
    <t>French Oak</t>
  </si>
  <si>
    <t>White Brushed</t>
  </si>
  <si>
    <t>Matte Black</t>
  </si>
  <si>
    <t>Driftwood</t>
  </si>
  <si>
    <t>Vanilla Brushed</t>
  </si>
  <si>
    <t>Silver Grey</t>
  </si>
  <si>
    <t>Winter White Brushed</t>
  </si>
  <si>
    <t>White Matte</t>
  </si>
  <si>
    <t>Mist</t>
  </si>
  <si>
    <t>Maison Oak</t>
  </si>
  <si>
    <t>Stone Brushed</t>
  </si>
  <si>
    <t>Oak</t>
  </si>
  <si>
    <t>Sepia Oak</t>
  </si>
  <si>
    <t>Mistral Brushed</t>
  </si>
  <si>
    <t>Lime Wash</t>
  </si>
  <si>
    <t>Classical White Brushed</t>
  </si>
  <si>
    <t>Cocoa</t>
  </si>
  <si>
    <t>Curly Birch</t>
  </si>
  <si>
    <t>Jet Black Brushed</t>
  </si>
  <si>
    <t>Ghost Gum</t>
  </si>
  <si>
    <t>Old Teak Brushed</t>
  </si>
  <si>
    <t>Coffee Bean Brushed</t>
  </si>
  <si>
    <t>Honey Brushed</t>
  </si>
  <si>
    <t>Chiqque White</t>
  </si>
  <si>
    <t>BelizeUplift</t>
  </si>
  <si>
    <t>CapriUplift</t>
  </si>
  <si>
    <t>was 20</t>
  </si>
  <si>
    <t>Was 40</t>
  </si>
  <si>
    <t>Chique White</t>
  </si>
  <si>
    <t>Materials Used</t>
  </si>
  <si>
    <t>Stick</t>
  </si>
  <si>
    <t>Tilt</t>
  </si>
  <si>
    <t>Answer</t>
  </si>
  <si>
    <t>Rules</t>
  </si>
  <si>
    <t>ArubaExpress</t>
  </si>
  <si>
    <t>Clearview / Hidden Height</t>
  </si>
  <si>
    <t>Perfect-Tilt</t>
  </si>
  <si>
    <t>Min Single Panel Width (Stick)</t>
  </si>
  <si>
    <t>Min Single Panel Width (Silent)</t>
  </si>
  <si>
    <t>Max Single Panel Width 47mm</t>
  </si>
  <si>
    <t>Max Bifold Panel Width</t>
  </si>
  <si>
    <t>Max Panels Hinged together</t>
  </si>
  <si>
    <t>Special Shapes</t>
  </si>
  <si>
    <t>Custom Bayposts</t>
  </si>
  <si>
    <t>Silent Tilt Split</t>
  </si>
  <si>
    <t xml:space="preserve">Mid Rail Required at: </t>
  </si>
  <si>
    <t>IFC Selected</t>
  </si>
  <si>
    <t>S/Steel Hinge</t>
  </si>
  <si>
    <t>NOT Valid Colour</t>
  </si>
  <si>
    <t>Line</t>
  </si>
  <si>
    <t>Error</t>
  </si>
  <si>
    <t>Line 1 Error</t>
  </si>
  <si>
    <t>Line 2 Error</t>
  </si>
  <si>
    <t>Line 3 Error</t>
  </si>
  <si>
    <t>Line 4 Error</t>
  </si>
  <si>
    <t>Line 5 Error</t>
  </si>
  <si>
    <t>Line 6 Error</t>
  </si>
  <si>
    <t>Line 7 Error</t>
  </si>
  <si>
    <t>Line 8 Error</t>
  </si>
  <si>
    <t>Line 9 Error</t>
  </si>
  <si>
    <t>Line 10 Error</t>
  </si>
  <si>
    <t>Line 11 Error</t>
  </si>
  <si>
    <t>Line 12 Error</t>
  </si>
  <si>
    <t>Line 13 Error</t>
  </si>
  <si>
    <t>Line 14 Error</t>
  </si>
  <si>
    <t>Line 15 Error</t>
  </si>
  <si>
    <t>Surveyor Rules</t>
  </si>
  <si>
    <t>UPDATE ME</t>
  </si>
  <si>
    <t>CHECK</t>
  </si>
  <si>
    <t>No of Shutters</t>
  </si>
  <si>
    <t>I Agree and confirm the above choices</t>
  </si>
  <si>
    <t>Configuration</t>
  </si>
  <si>
    <t>Customers Signature:</t>
  </si>
  <si>
    <t>Sales Amount:</t>
  </si>
  <si>
    <t>Deposit:</t>
  </si>
  <si>
    <t>Balance Due</t>
  </si>
  <si>
    <t>TBC</t>
  </si>
  <si>
    <t>I understand and agree with the above window design, layout choices and that my order is bespoke and cannot be amended, once it has been placed with the manufacturer. I agree to pay any outstanding balance prior to delivery/installation. Full terms
and conditions of sale are available on our website www.perfectshutters.co.uk. This does not affect the customer’s statutory
rights.</t>
  </si>
  <si>
    <r>
      <t xml:space="preserve">BLIND SURVEY </t>
    </r>
    <r>
      <rPr>
        <b/>
        <sz val="24"/>
        <color rgb="FFF1177F"/>
        <rFont val="Calibri"/>
        <family val="2"/>
        <scheme val="minor"/>
      </rPr>
      <t>(Survey)</t>
    </r>
  </si>
  <si>
    <t>MDF</t>
  </si>
  <si>
    <t>3000, 2700 Tracked</t>
  </si>
  <si>
    <t>Price from Sales</t>
  </si>
  <si>
    <t>Price from Survey</t>
  </si>
  <si>
    <t>£ Diff</t>
  </si>
  <si>
    <t>SQM Diff</t>
  </si>
  <si>
    <t>Delivery Note</t>
  </si>
  <si>
    <t>Custoner Ref:</t>
  </si>
  <si>
    <t>Job completion form</t>
  </si>
  <si>
    <t>Fitters Checklist</t>
  </si>
  <si>
    <t>Installation report:</t>
  </si>
  <si>
    <t>Photo's &amp; Marketing Permission</t>
  </si>
  <si>
    <t xml:space="preserve">  Before /After Photo's Taken   YES / NO</t>
  </si>
  <si>
    <t>Permission to use photographs solely for Perfect Shutters marketing activities.  Privacy is protected.</t>
  </si>
  <si>
    <t>Product Demonstration</t>
  </si>
  <si>
    <t>Customer Handover Pack</t>
  </si>
  <si>
    <t>Revisit Required:      YES  /  NO
Reason for revisit / Work to be completed:</t>
  </si>
  <si>
    <t>The above information is coverd in greater detail within the Customer Handover Pack</t>
  </si>
  <si>
    <t>Additional product /tools required at revisit:</t>
  </si>
  <si>
    <t>Payment</t>
  </si>
  <si>
    <t>Additional Window Measurements</t>
  </si>
  <si>
    <t>Curved Bay, Track Required etc,</t>
  </si>
  <si>
    <t>Office Notes:</t>
  </si>
  <si>
    <t>OFFICE USE ONLY</t>
  </si>
  <si>
    <t>Revisit Booked for:</t>
  </si>
  <si>
    <t>Booked By:</t>
  </si>
  <si>
    <t>Date Booked:</t>
  </si>
  <si>
    <t>EDR Code:</t>
  </si>
  <si>
    <t>I (Print Name)___________________________Confirm that I am happy with my shutter installation and have received the customer</t>
  </si>
  <si>
    <t>handover pack, and I have been given instruction on how to operate and maintain my Perfect Shutters.</t>
  </si>
  <si>
    <t>List Price</t>
  </si>
  <si>
    <t>Base Price</t>
  </si>
  <si>
    <t>F</t>
  </si>
  <si>
    <t>Custom Angles</t>
  </si>
  <si>
    <t>Discount</t>
  </si>
  <si>
    <t>C,B,T,CB,G</t>
  </si>
  <si>
    <t>Width Issue</t>
  </si>
  <si>
    <t>Count Items</t>
  </si>
  <si>
    <t>Additional Discount</t>
  </si>
  <si>
    <t>Survey Line 1 Config:</t>
  </si>
  <si>
    <t>Survey Drawing 1 Config:</t>
  </si>
  <si>
    <t>Order Value</t>
  </si>
  <si>
    <t>Survey Line 2 Config:</t>
  </si>
  <si>
    <t>Survey Drawing 1 Positions</t>
  </si>
  <si>
    <t>Survey Line 3 Config:</t>
  </si>
  <si>
    <t>Survey Drawing 2 Config:</t>
  </si>
  <si>
    <t>(B)(C)(CB)(T)(T)(C)LRLLR(T)R</t>
  </si>
  <si>
    <t>Manual Discount</t>
  </si>
  <si>
    <t>Survey Line 4 Config:</t>
  </si>
  <si>
    <t>Survey Drawing 2 Positions</t>
  </si>
  <si>
    <t>Survey Line 5 Config:</t>
  </si>
  <si>
    <t>Survey Drawing 3 Config:</t>
  </si>
  <si>
    <t>(B)(C)L(G)RRR(T)FFFFR</t>
  </si>
  <si>
    <t>Percent</t>
  </si>
  <si>
    <t>Survey Line 6 Config:</t>
  </si>
  <si>
    <t>Survey Drawing 3 Positions</t>
  </si>
  <si>
    <t>Survey Line 7 Config:</t>
  </si>
  <si>
    <t>Survey Drawing 4 Config:</t>
  </si>
  <si>
    <t>(C)(B)(B)(T)(G)FFRRLLLRRL</t>
  </si>
  <si>
    <t>Survey Line 8 Config:</t>
  </si>
  <si>
    <t>Survey Drawing 4 Positions</t>
  </si>
  <si>
    <t>Survey Line 9 Config:</t>
  </si>
  <si>
    <t>Survey Drawing 5 Config:</t>
  </si>
  <si>
    <t>LRLRLLRR(C)(B)(CB)(T)(G)FF</t>
  </si>
  <si>
    <t>Survey Line 10 Config:</t>
  </si>
  <si>
    <t>Survey Drawing 5 Positions</t>
  </si>
  <si>
    <t>Survey Line 11 Config:</t>
  </si>
  <si>
    <t>(C)(B)(CB)(T)(G)FFRRLLLR(C)(CB)</t>
  </si>
  <si>
    <t>Survey Line 12 Config:</t>
  </si>
  <si>
    <t>Survey Line 6 Positions</t>
  </si>
  <si>
    <t>Survey Line 13 Config:</t>
  </si>
  <si>
    <t>(B)(C)(CB)(T)FF(B)R(C)(G)(T)LR</t>
  </si>
  <si>
    <t>Survey Line 14 Config:</t>
  </si>
  <si>
    <t>Survey Line 7 Positions</t>
  </si>
  <si>
    <t>Survey Line 15 Config:</t>
  </si>
  <si>
    <t>Survey Line 8 Positions</t>
  </si>
  <si>
    <t>Survey Line 9 Positions</t>
  </si>
  <si>
    <t>Survey Line 10 Positions</t>
  </si>
  <si>
    <t>Survey Line 11 Positions</t>
  </si>
  <si>
    <t>Survey Line 12 Positions</t>
  </si>
  <si>
    <t>Survey Line 13 Positions</t>
  </si>
  <si>
    <t>Survey Line 14 Positions</t>
  </si>
  <si>
    <t>Survey Line 15 Positions</t>
  </si>
  <si>
    <t>Survey Value:</t>
  </si>
  <si>
    <t>Survey Quoted</t>
  </si>
  <si>
    <t>Window List Price Per Window (Retail) with Bay post</t>
  </si>
  <si>
    <t>Sales Addons</t>
  </si>
  <si>
    <t>Sales Values (Retail) no Addons</t>
  </si>
  <si>
    <t>SOLD</t>
  </si>
  <si>
    <t>QuotedSales Values (Retail) no Addons</t>
  </si>
  <si>
    <t>Quoted</t>
  </si>
  <si>
    <t>Quoted Items</t>
  </si>
  <si>
    <t>Min Width</t>
  </si>
  <si>
    <t>Max Width Single</t>
  </si>
  <si>
    <t>Max Width Bfold</t>
  </si>
  <si>
    <t>Max Width Multifold</t>
  </si>
  <si>
    <t>Max Width Tracked</t>
  </si>
  <si>
    <t>Min Height</t>
  </si>
  <si>
    <t>Max Height</t>
  </si>
  <si>
    <t>Midrail Required</t>
  </si>
  <si>
    <t>Stile Type</t>
  </si>
  <si>
    <t>Fixed Luvres</t>
  </si>
  <si>
    <t>Midrail Tollerance</t>
  </si>
  <si>
    <t>Max Louvre Split</t>
  </si>
  <si>
    <t>Top Track Only</t>
  </si>
  <si>
    <t>Bifold/Bipass</t>
  </si>
  <si>
    <t>Midrail Height</t>
  </si>
  <si>
    <t>47 mm</t>
  </si>
  <si>
    <t>152 mm</t>
  </si>
  <si>
    <t>600 mm</t>
  </si>
  <si>
    <t>600 mm (2 Max) (Not for doors)</t>
  </si>
  <si>
    <t>600 mm (2 Max)</t>
  </si>
  <si>
    <t>250 mm</t>
  </si>
  <si>
    <t>3000 mm (See Tech Spech if Over 2500mm)</t>
  </si>
  <si>
    <t>&gt;1879 mm</t>
  </si>
  <si>
    <t>2 (1 If Doorway)</t>
  </si>
  <si>
    <t>Beaded or Plain</t>
  </si>
  <si>
    <t>+/- 19 mm</t>
  </si>
  <si>
    <t>Yes / Yes</t>
  </si>
  <si>
    <t>63 mm</t>
  </si>
  <si>
    <t>750 mm</t>
  </si>
  <si>
    <t>+/- 25 mm</t>
  </si>
  <si>
    <t>&gt;1372 mm</t>
  </si>
  <si>
    <t>76 mm</t>
  </si>
  <si>
    <t>+/- 31 mm</t>
  </si>
  <si>
    <t>89 mm</t>
  </si>
  <si>
    <t>+/- 38 mm</t>
  </si>
  <si>
    <t>&gt;1385 mm</t>
  </si>
  <si>
    <t>114 mm</t>
  </si>
  <si>
    <t>+/- 51 mm</t>
  </si>
  <si>
    <t>610 mm</t>
  </si>
  <si>
    <t>3378 mm (See Tech Spech if Over 1981 mm)</t>
  </si>
  <si>
    <t>&gt;1981 mm</t>
  </si>
  <si>
    <t>MDF with ABS Louvres (acrylonitrile butadiene styrene)</t>
  </si>
  <si>
    <t>76.2 mm</t>
  </si>
  <si>
    <t>915 mm</t>
  </si>
  <si>
    <t>660 mm</t>
  </si>
  <si>
    <t>MDF Frame with Hardwood Panels</t>
  </si>
  <si>
    <t>4 (1 If Doorway)</t>
  </si>
  <si>
    <t>Beaded or Chamfer</t>
  </si>
  <si>
    <t>Max 4 Panels upto 550mm Each</t>
  </si>
  <si>
    <t>Yes/Yes</t>
  </si>
  <si>
    <t>Fixed 76.2 mm</t>
  </si>
  <si>
    <t>890 mm</t>
  </si>
  <si>
    <t>+/- 32 mm</t>
  </si>
  <si>
    <t>114 (N/A)</t>
  </si>
  <si>
    <t>550 mm</t>
  </si>
  <si>
    <t>3000 mm (See Tech Spech if Over 1828.8 mm)</t>
  </si>
  <si>
    <t>&gt;1828.8 mm</t>
  </si>
  <si>
    <t>ABS (Hard Lightweight Plastic) (Acrylonitrile Butadiene Styrene)</t>
  </si>
  <si>
    <t>800 mm</t>
  </si>
  <si>
    <t>3001 mm (See Tech Spech if Over 1828.8 mm)</t>
  </si>
  <si>
    <t>3002 mm (See Tech Spech if Over 1828.8 mm)</t>
  </si>
  <si>
    <t>3003 mm (See Tech Spech if Over 1828.8 mm)</t>
  </si>
  <si>
    <t>3004 mm (See Tech Spech if Over 1828.8 mm)</t>
  </si>
  <si>
    <t>Skylight</t>
  </si>
  <si>
    <t>660 mm (4 Panels)</t>
  </si>
  <si>
    <t>Premium Hardwoods (Painted) or Paulownia (Stained)</t>
  </si>
  <si>
    <t>Yes (See spec sheet)</t>
  </si>
  <si>
    <t>550mm ( maximum of four panels)</t>
  </si>
  <si>
    <t>661 mm (4 Panels)</t>
  </si>
  <si>
    <t>662 mm (4 Panels)</t>
  </si>
  <si>
    <t>1047 mm</t>
  </si>
  <si>
    <t>663 mm (4 Panels)</t>
  </si>
  <si>
    <t>664 mm (4 Panels)</t>
  </si>
  <si>
    <t>762 mm</t>
  </si>
  <si>
    <t>660.4 mm</t>
  </si>
  <si>
    <t>508 mm</t>
  </si>
  <si>
    <t>304 mm</t>
  </si>
  <si>
    <t>3657 mm (See Tech Spech if Over 2133mm)</t>
  </si>
  <si>
    <t>Hardwoods (Painted), White Teak (Stained)</t>
  </si>
  <si>
    <t>Plain</t>
  </si>
  <si>
    <t>914 mm</t>
  </si>
  <si>
    <t>3658 mm (See Tech Spech if Over 2133mm)</t>
  </si>
  <si>
    <t>3659 mm (See Tech Spech if Over 2133mm)</t>
  </si>
  <si>
    <t>1219 mm</t>
  </si>
  <si>
    <t>3660 mm (See Tech Spech if Over 2133mm)</t>
  </si>
  <si>
    <t>3661 mm (See Tech Spech if Over 2133mm)</t>
  </si>
  <si>
    <t>Range:</t>
  </si>
  <si>
    <t>Material:</t>
  </si>
  <si>
    <t>Louvre Clearances (From Back of frame)</t>
  </si>
  <si>
    <t>Mid Rail Tollerance (Up /Down)</t>
  </si>
  <si>
    <t>Max Louvres (Silent Tilt)</t>
  </si>
  <si>
    <t>Fixed Louvres</t>
  </si>
  <si>
    <t>Full</t>
  </si>
  <si>
    <t>5.4 mm</t>
  </si>
  <si>
    <t>11.7 mm</t>
  </si>
  <si>
    <t>18.7mm</t>
  </si>
  <si>
    <t>Max Panel Width (Top &amp; Bottom Track)</t>
  </si>
  <si>
    <t>Max Panel Width (Top Track Only)</t>
  </si>
  <si>
    <t>Bi-Fold / Bi-Pass</t>
  </si>
  <si>
    <t>Composition</t>
  </si>
  <si>
    <t>Panel Specification</t>
  </si>
  <si>
    <t>Faux Wood (HSPVC)</t>
  </si>
  <si>
    <t>210mm</t>
  </si>
  <si>
    <t>Finsh</t>
  </si>
  <si>
    <t>UV Stable Paint</t>
  </si>
  <si>
    <t>800mm</t>
  </si>
  <si>
    <t>Colours</t>
  </si>
  <si>
    <t>Two</t>
  </si>
  <si>
    <t>Max Panel Bifold</t>
  </si>
  <si>
    <t>600mm Each</t>
  </si>
  <si>
    <t>Trifold</t>
  </si>
  <si>
    <t>Design</t>
  </si>
  <si>
    <t>410mm</t>
  </si>
  <si>
    <t>2450mm</t>
  </si>
  <si>
    <t>Full Height split tilt</t>
  </si>
  <si>
    <t>1 x Midrail required above</t>
  </si>
  <si>
    <t>1700MM</t>
  </si>
  <si>
    <t>Full Height Mid Rail</t>
  </si>
  <si>
    <t>Panels Wider than 609mm Require a mid rail above</t>
  </si>
  <si>
    <t>1524mm</t>
  </si>
  <si>
    <t>Tier on Tier H/T Post</t>
  </si>
  <si>
    <t>1200mm</t>
  </si>
  <si>
    <t>Bifold Track</t>
  </si>
  <si>
    <t>Bypass Track</t>
  </si>
  <si>
    <t>Shutter Specification</t>
  </si>
  <si>
    <t>Min Shutter Width</t>
  </si>
  <si>
    <t>266mm</t>
  </si>
  <si>
    <t>Tilt Option</t>
  </si>
  <si>
    <t>Max Shutter Width bi fold</t>
  </si>
  <si>
    <t>2463mm</t>
  </si>
  <si>
    <t>Centre Tilt</t>
  </si>
  <si>
    <t>Offset Tilt</t>
  </si>
  <si>
    <t>Max Width shutter with T-Post</t>
  </si>
  <si>
    <t>3500mm</t>
  </si>
  <si>
    <t>Clearview (Silent tilt)</t>
  </si>
  <si>
    <t>Min Height with 3 sided frame</t>
  </si>
  <si>
    <t>440mm</t>
  </si>
  <si>
    <t>Min Height with 4 sided frame</t>
  </si>
  <si>
    <t>466mm</t>
  </si>
  <si>
    <t>Max shutter height</t>
  </si>
  <si>
    <t>2506mm</t>
  </si>
  <si>
    <t>Min height Tier on Tier with H T-Post</t>
  </si>
  <si>
    <t>901mm</t>
  </si>
  <si>
    <t>Max Width Track Shutter</t>
  </si>
  <si>
    <t>63mm Urban</t>
  </si>
  <si>
    <t>76mm Urban</t>
  </si>
  <si>
    <t>Yes (Clearview Only)</t>
  </si>
  <si>
    <t>Stiles</t>
  </si>
  <si>
    <t>Beaded</t>
  </si>
  <si>
    <t>Max Width</t>
  </si>
  <si>
    <t>1 Panel Shutter</t>
  </si>
  <si>
    <t>856mm</t>
  </si>
  <si>
    <t>2 Panel Shutter (LR)</t>
  </si>
  <si>
    <t>479mm</t>
  </si>
  <si>
    <t>1658mm</t>
  </si>
  <si>
    <t>3 Panel Shutter</t>
  </si>
  <si>
    <t>1258mm</t>
  </si>
  <si>
    <t>3 Panel shutter Trifold</t>
  </si>
  <si>
    <t>691mm</t>
  </si>
  <si>
    <t>1861mm</t>
  </si>
  <si>
    <t>4 Panel Shutter</t>
  </si>
  <si>
    <t>5 Panel Shutter</t>
  </si>
  <si>
    <t>Need a T-Post</t>
  </si>
  <si>
    <t>6 Panel Shutter</t>
  </si>
  <si>
    <t>Premium White Teak</t>
  </si>
  <si>
    <t>Matt</t>
  </si>
  <si>
    <t>950mm</t>
  </si>
  <si>
    <t>8 Paint / 7 Stained (Matt)</t>
  </si>
  <si>
    <t>Max Panel Bifold Track</t>
  </si>
  <si>
    <t>700mm Each</t>
  </si>
  <si>
    <t>??????</t>
  </si>
  <si>
    <t>3000mm</t>
  </si>
  <si>
    <t>1799MM</t>
  </si>
  <si>
    <t xml:space="preserve">2 x Midrail required above </t>
  </si>
  <si>
    <t>2500mm</t>
  </si>
  <si>
    <t>????????</t>
  </si>
  <si>
    <t>Supatili Split</t>
  </si>
  <si>
    <t>1850mm</t>
  </si>
  <si>
    <t>250mm</t>
  </si>
  <si>
    <t>170mm + Surcharge</t>
  </si>
  <si>
    <t>Supatilt (Silent tilt)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</si>
</sst>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164" formatCode="&quot;£&quot;#,##0.00_);[Red]\(&quot;£&quot;#,##0.00\)"/>
    <numFmt numFmtId="165" formatCode="&quot;£&quot;#,##0_);[Red]\(&quot;£&quot;#,##0\)"/>
    <numFmt numFmtId="166" formatCode="&quot;£&quot;#,##0.00_);\(&quot;£&quot;#,##0.00\)"/>
    <numFmt numFmtId="167" formatCode="_(&quot;£&quot;* #,##0.00_);_(&quot;£&quot;* \(#,##0.00\);_(&quot;£&quot;* &quot;-&quot;??_);_(@_)"/>
    <numFmt numFmtId="168" formatCode="&quot;£&quot;#,##0"/>
    <numFmt numFmtId="169" formatCode="&quot;£&quot;#,##0.00"/>
    <numFmt numFmtId="170" formatCode="0.0"/>
    <numFmt numFmtId="171" formatCode="0.000"/>
    <numFmt numFmtId="172" formatCode="[h]:mm"/>
  </numFmts>
  <fonts count="67">
    <font>
      <sz val="11"/>
      <color theme="1"/>
      <name val="Calibri"/>
      <family val="2"/>
      <scheme val="minor"/>
    </font>
    <font>
      <sz val="11"/>
      <color theme="1"/>
      <name val="Calibri"/>
      <family val="2"/>
      <scheme val="minor"/>
    </font>
    <font>
      <sz val="11"/>
      <color rgb="FF006100"/>
      <name val="Calibri"/>
      <family val="2"/>
      <scheme val="minor"/>
    </font>
    <font>
      <b/>
      <sz val="11"/>
      <color theme="0"/>
      <name val="Calibri"/>
      <family val="2"/>
      <scheme val="minor"/>
    </font>
    <font>
      <b/>
      <sz val="11"/>
      <color theme="1"/>
      <name val="Calibri"/>
      <family val="2"/>
      <scheme val="minor"/>
    </font>
    <font>
      <sz val="11"/>
      <color theme="1"/>
      <name val="Calibri"/>
      <family val="2"/>
    </font>
    <font>
      <b/>
      <sz val="16"/>
      <color theme="1"/>
      <name val="Calibri"/>
      <family val="2"/>
      <scheme val="minor"/>
    </font>
    <font>
      <u/>
      <sz val="11"/>
      <color theme="10"/>
      <name val="Calibri"/>
      <family val="2"/>
      <scheme val="minor"/>
    </font>
    <font>
      <b/>
      <sz val="10"/>
      <color theme="1"/>
      <name val="Calibri"/>
      <family val="2"/>
      <scheme val="minor"/>
    </font>
    <font>
      <b/>
      <sz val="11"/>
      <color theme="0" tint="-0.249977111117893"/>
      <name val="Calibri"/>
      <family val="2"/>
      <scheme val="minor"/>
    </font>
    <font>
      <sz val="11"/>
      <name val="Calibri"/>
      <family val="2"/>
      <scheme val="minor"/>
    </font>
    <font>
      <sz val="11"/>
      <color theme="1"/>
      <name val="Calisto MT"/>
      <family val="1"/>
    </font>
    <font>
      <b/>
      <sz val="9"/>
      <color theme="1"/>
      <name val="Calibri"/>
      <family val="2"/>
      <scheme val="minor"/>
    </font>
    <font>
      <sz val="9"/>
      <color theme="1"/>
      <name val="Calibri"/>
      <family val="2"/>
      <scheme val="minor"/>
    </font>
    <font>
      <b/>
      <sz val="11"/>
      <color rgb="FFFF0000"/>
      <name val="Calibri"/>
      <family val="2"/>
      <scheme val="minor"/>
    </font>
    <font>
      <b/>
      <u/>
      <sz val="20"/>
      <color theme="1"/>
      <name val="Calibri"/>
      <family val="2"/>
      <scheme val="minor"/>
    </font>
    <font>
      <b/>
      <sz val="12"/>
      <color theme="1"/>
      <name val="Calibri"/>
      <family val="2"/>
      <scheme val="minor"/>
    </font>
    <font>
      <sz val="8"/>
      <name val="Calibri"/>
      <family val="2"/>
      <scheme val="minor"/>
    </font>
    <font>
      <b/>
      <sz val="14"/>
      <color theme="1"/>
      <name val="Calibri"/>
      <family val="2"/>
      <scheme val="minor"/>
    </font>
    <font>
      <sz val="14"/>
      <color theme="1"/>
      <name val="Calibri"/>
      <family val="2"/>
      <scheme val="minor"/>
    </font>
    <font>
      <sz val="10"/>
      <color theme="1"/>
      <name val="Calibri"/>
      <family val="2"/>
      <scheme val="minor"/>
    </font>
    <font>
      <sz val="10"/>
      <color rgb="FF000000"/>
      <name val="Times New Roman"/>
      <family val="1"/>
    </font>
    <font>
      <sz val="24"/>
      <color theme="1"/>
      <name val="Calibri"/>
      <family val="2"/>
      <scheme val="minor"/>
    </font>
    <font>
      <sz val="8"/>
      <color theme="1"/>
      <name val="Calibri"/>
      <family val="2"/>
      <scheme val="minor"/>
    </font>
    <font>
      <u/>
      <sz val="8"/>
      <color theme="1"/>
      <name val="Calibri"/>
      <family val="2"/>
      <scheme val="minor"/>
    </font>
    <font>
      <i/>
      <sz val="10"/>
      <color theme="1"/>
      <name val="Calibri"/>
      <family val="2"/>
      <scheme val="minor"/>
    </font>
    <font>
      <sz val="11"/>
      <color rgb="FF9C5700"/>
      <name val="Calibri"/>
      <family val="2"/>
      <scheme val="minor"/>
    </font>
    <font>
      <sz val="11"/>
      <color theme="0"/>
      <name val="Calibri"/>
      <family val="2"/>
      <scheme val="minor"/>
    </font>
    <font>
      <b/>
      <sz val="16"/>
      <name val="Calibri"/>
      <family val="2"/>
      <scheme val="minor"/>
    </font>
    <font>
      <b/>
      <sz val="14"/>
      <name val="Calibri"/>
      <family val="2"/>
      <scheme val="minor"/>
    </font>
    <font>
      <b/>
      <sz val="12"/>
      <color theme="1"/>
      <name val="Calibri Light"/>
      <family val="2"/>
      <scheme val="major"/>
    </font>
    <font>
      <sz val="11"/>
      <color rgb="FF9C0006"/>
      <name val="Calibri"/>
      <family val="2"/>
      <scheme val="minor"/>
    </font>
    <font>
      <sz val="20"/>
      <color theme="0"/>
      <name val="Calibri"/>
      <family val="2"/>
      <scheme val="minor"/>
    </font>
    <font>
      <sz val="26"/>
      <color theme="0"/>
      <name val="Calibri"/>
      <family val="2"/>
      <scheme val="minor"/>
    </font>
    <font>
      <b/>
      <sz val="16"/>
      <color theme="0"/>
      <name val="Calibri"/>
      <family val="2"/>
      <scheme val="minor"/>
    </font>
    <font>
      <b/>
      <sz val="18"/>
      <color theme="1"/>
      <name val="Calibri"/>
      <family val="2"/>
      <scheme val="minor"/>
    </font>
    <font>
      <b/>
      <sz val="14"/>
      <name val="Lucida Handwriting"/>
      <family val="4"/>
    </font>
    <font>
      <sz val="11"/>
      <color theme="5" tint="-0.249977111117893"/>
      <name val="Calibri"/>
      <family val="2"/>
      <scheme val="minor"/>
    </font>
    <font>
      <b/>
      <sz val="22"/>
      <color theme="1"/>
      <name val="Calibri"/>
      <family val="2"/>
      <scheme val="minor"/>
    </font>
    <font>
      <b/>
      <sz val="14"/>
      <color rgb="FFFF0000"/>
      <name val="Calibri"/>
      <family val="2"/>
      <scheme val="minor"/>
    </font>
    <font>
      <sz val="10"/>
      <color theme="1"/>
      <name val="Arial"/>
      <family val="2"/>
    </font>
    <font>
      <sz val="10"/>
      <name val="Arial"/>
      <family val="2"/>
    </font>
    <font>
      <i/>
      <sz val="11"/>
      <color theme="1"/>
      <name val="Calibri"/>
      <family val="2"/>
      <scheme val="minor"/>
    </font>
    <font>
      <b/>
      <sz val="20"/>
      <color theme="0"/>
      <name val="Calibri"/>
      <family val="2"/>
      <scheme val="minor"/>
    </font>
    <font>
      <sz val="24"/>
      <color rgb="FFFF0000"/>
      <name val="Calibri"/>
      <family val="2"/>
      <scheme val="minor"/>
    </font>
    <font>
      <b/>
      <sz val="24"/>
      <color rgb="FFF1177F"/>
      <name val="Calibri"/>
      <family val="2"/>
      <scheme val="minor"/>
    </font>
    <font>
      <sz val="10"/>
      <color rgb="FF9C0006"/>
      <name val="Calibri"/>
      <family val="2"/>
      <scheme val="minor"/>
    </font>
    <font>
      <b/>
      <sz val="14"/>
      <color theme="0"/>
      <name val="Calibri"/>
      <family val="2"/>
      <scheme val="minor"/>
    </font>
    <font>
      <b/>
      <sz val="11"/>
      <color theme="0" tint="-0.89999084444715716"/>
      <name val="Calibri"/>
      <family val="2"/>
      <scheme val="minor"/>
    </font>
    <font>
      <b/>
      <sz val="22"/>
      <color theme="0"/>
      <name val="Calibri (Body)"/>
    </font>
    <font>
      <sz val="12"/>
      <name val="Calibri"/>
      <family val="2"/>
      <scheme val="minor"/>
    </font>
    <font>
      <sz val="12"/>
      <color theme="1"/>
      <name val="Calibri"/>
      <family val="2"/>
      <scheme val="minor"/>
    </font>
    <font>
      <sz val="14"/>
      <name val="Calibri"/>
      <family val="2"/>
      <scheme val="minor"/>
    </font>
    <font>
      <b/>
      <sz val="22"/>
      <color theme="0"/>
      <name val="Calibri"/>
      <family val="2"/>
      <scheme val="minor"/>
    </font>
    <font>
      <b/>
      <sz val="12"/>
      <name val="Calibri"/>
      <family val="2"/>
      <scheme val="minor"/>
    </font>
    <font>
      <sz val="11"/>
      <color rgb="FFB2F3D1"/>
      <name val="Calibri"/>
      <family val="2"/>
      <scheme val="minor"/>
    </font>
    <font>
      <b/>
      <sz val="18"/>
      <name val="Calibri"/>
      <family val="2"/>
      <scheme val="minor"/>
    </font>
    <font>
      <b/>
      <sz val="11"/>
      <color theme="0" tint="-4.9989318521683403E-2"/>
      <name val="Calibri"/>
      <family val="2"/>
      <scheme val="minor"/>
    </font>
    <font>
      <sz val="12"/>
      <name val="Calibri (Body)"/>
    </font>
    <font>
      <b/>
      <sz val="20"/>
      <name val="Calibri"/>
      <family val="2"/>
      <scheme val="minor"/>
    </font>
    <font>
      <b/>
      <sz val="20"/>
      <name val="Calibri (Body)"/>
    </font>
    <font>
      <sz val="14"/>
      <name val="Calibri (Body)"/>
    </font>
    <font>
      <sz val="14"/>
      <color theme="0"/>
      <name val="Calibri (Body)"/>
    </font>
    <font>
      <sz val="28"/>
      <color theme="0"/>
      <name val="Calibri"/>
      <family val="2"/>
      <scheme val="minor"/>
    </font>
    <font>
      <b/>
      <sz val="16"/>
      <color theme="0"/>
      <name val="Calibri (Body)"/>
    </font>
    <font>
      <sz val="14"/>
      <name val="Symbol"/>
      <family val="1"/>
      <charset val="2"/>
    </font>
    <font>
      <sz val="12"/>
      <color theme="0"/>
      <name val="Calibri (Body)"/>
    </font>
  </fonts>
  <fills count="44">
    <fill>
      <patternFill patternType="none"/>
    </fill>
    <fill>
      <patternFill patternType="gray125"/>
    </fill>
    <fill>
      <patternFill patternType="solid">
        <fgColor rgb="FFC6EFCE"/>
      </patternFill>
    </fill>
    <fill>
      <patternFill patternType="solid">
        <fgColor theme="4"/>
        <bgColor theme="4"/>
      </patternFill>
    </fill>
    <fill>
      <patternFill patternType="solid">
        <fgColor theme="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FFFF00"/>
        <bgColor indexed="64"/>
      </patternFill>
    </fill>
    <fill>
      <patternFill patternType="solid">
        <fgColor theme="0" tint="-0.249977111117893"/>
        <bgColor indexed="64"/>
      </patternFill>
    </fill>
    <fill>
      <patternFill patternType="solid">
        <fgColor theme="9" tint="0.79998168889431442"/>
        <bgColor indexed="64"/>
      </patternFill>
    </fill>
    <fill>
      <patternFill patternType="solid">
        <fgColor theme="4" tint="0.79998168889431442"/>
        <bgColor indexed="64"/>
      </patternFill>
    </fill>
    <fill>
      <patternFill patternType="solid">
        <fgColor theme="5" tint="0.59999389629810485"/>
        <bgColor indexed="64"/>
      </patternFill>
    </fill>
    <fill>
      <patternFill patternType="solid">
        <fgColor theme="7" tint="0.79998168889431442"/>
        <bgColor indexed="64"/>
      </patternFill>
    </fill>
    <fill>
      <patternFill patternType="solid">
        <fgColor theme="9" tint="0.59999389629810485"/>
        <bgColor indexed="64"/>
      </patternFill>
    </fill>
    <fill>
      <patternFill patternType="solid">
        <fgColor theme="3" tint="0.599993896298104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rgb="FF9999FF"/>
        <bgColor indexed="64"/>
      </patternFill>
    </fill>
    <fill>
      <patternFill patternType="solid">
        <fgColor rgb="FFFF6699"/>
        <bgColor indexed="64"/>
      </patternFill>
    </fill>
    <fill>
      <patternFill patternType="solid">
        <fgColor theme="6" tint="0.39997558519241921"/>
        <bgColor indexed="64"/>
      </patternFill>
    </fill>
    <fill>
      <patternFill patternType="solid">
        <fgColor rgb="FF00B0F0"/>
        <bgColor indexed="64"/>
      </patternFill>
    </fill>
    <fill>
      <patternFill patternType="solid">
        <fgColor theme="5"/>
        <bgColor indexed="64"/>
      </patternFill>
    </fill>
    <fill>
      <patternFill patternType="solid">
        <fgColor theme="9" tint="0.39997558519241921"/>
        <bgColor indexed="64"/>
      </patternFill>
    </fill>
    <fill>
      <patternFill patternType="solid">
        <fgColor theme="7" tint="0.39997558519241921"/>
        <bgColor indexed="64"/>
      </patternFill>
    </fill>
    <fill>
      <patternFill patternType="solid">
        <fgColor theme="8" tint="0.59999389629810485"/>
        <bgColor indexed="64"/>
      </patternFill>
    </fill>
    <fill>
      <patternFill patternType="solid">
        <fgColor rgb="FFFFE699"/>
        <bgColor indexed="64"/>
      </patternFill>
    </fill>
    <fill>
      <patternFill patternType="solid">
        <fgColor rgb="FF92D050"/>
        <bgColor indexed="64"/>
      </patternFill>
    </fill>
    <fill>
      <patternFill patternType="solid">
        <fgColor rgb="FF0070C0"/>
        <bgColor indexed="64"/>
      </patternFill>
    </fill>
    <fill>
      <patternFill patternType="solid">
        <fgColor theme="7" tint="0.59999389629810485"/>
        <bgColor indexed="64"/>
      </patternFill>
    </fill>
    <fill>
      <patternFill patternType="solid">
        <fgColor theme="4" tint="0.79998168889431442"/>
        <bgColor theme="4" tint="0.79998168889431442"/>
      </patternFill>
    </fill>
    <fill>
      <patternFill patternType="solid">
        <fgColor rgb="FFFFEB9C"/>
      </patternFill>
    </fill>
    <fill>
      <patternFill patternType="solid">
        <fgColor rgb="FFFFC7CE"/>
      </patternFill>
    </fill>
    <fill>
      <patternFill patternType="solid">
        <fgColor theme="4" tint="0.59999389629810485"/>
        <bgColor indexed="64"/>
      </patternFill>
    </fill>
    <fill>
      <patternFill patternType="solid">
        <fgColor theme="0" tint="-0.499984740745262"/>
        <bgColor indexed="64"/>
      </patternFill>
    </fill>
    <fill>
      <patternFill patternType="solid">
        <fgColor theme="5" tint="0.79998168889431442"/>
        <bgColor indexed="64"/>
      </patternFill>
    </fill>
    <fill>
      <patternFill patternType="solid">
        <fgColor theme="3" tint="0.79998168889431442"/>
        <bgColor indexed="64"/>
      </patternFill>
    </fill>
    <fill>
      <patternFill patternType="solid">
        <fgColor rgb="FFC00000"/>
        <bgColor indexed="64"/>
      </patternFill>
    </fill>
    <fill>
      <patternFill patternType="solid">
        <fgColor theme="7"/>
        <bgColor indexed="64"/>
      </patternFill>
    </fill>
    <fill>
      <patternFill patternType="solid">
        <fgColor rgb="FF212121"/>
        <bgColor indexed="64"/>
      </patternFill>
    </fill>
    <fill>
      <patternFill patternType="solid">
        <fgColor rgb="FFB2F3D1"/>
        <bgColor indexed="64"/>
      </patternFill>
    </fill>
    <fill>
      <patternFill patternType="solid">
        <fgColor theme="1"/>
        <bgColor indexed="64"/>
      </patternFill>
    </fill>
    <fill>
      <patternFill patternType="solid">
        <fgColor rgb="FFD9F9E8"/>
        <bgColor indexed="64"/>
      </patternFill>
    </fill>
    <fill>
      <patternFill patternType="solid">
        <fgColor theme="0" tint="-0.24994659260841701"/>
        <bgColor indexed="64"/>
      </patternFill>
    </fill>
    <fill>
      <patternFill patternType="solid">
        <fgColor theme="0" tint="-0.14996795556505021"/>
        <bgColor indexed="64"/>
      </patternFill>
    </fill>
  </fills>
  <borders count="273">
    <border>
      <left/>
      <right/>
      <top/>
      <bottom/>
      <diagonal/>
    </border>
    <border>
      <left style="thin">
        <color theme="4" tint="0.39997558519241921"/>
      </left>
      <right/>
      <top/>
      <bottom style="thin">
        <color theme="4" tint="0.39997558519241921"/>
      </bottom>
      <diagonal/>
    </border>
    <border>
      <left/>
      <right/>
      <top/>
      <bottom style="thin">
        <color theme="4" tint="0.39997558519241921"/>
      </bottom>
      <diagonal/>
    </border>
    <border>
      <left/>
      <right style="thin">
        <color theme="4" tint="0.39997558519241921"/>
      </right>
      <top/>
      <bottom style="thin">
        <color theme="4" tint="0.39997558519241921"/>
      </bottom>
      <diagonal/>
    </border>
    <border>
      <left style="thick">
        <color indexed="64"/>
      </left>
      <right/>
      <top style="thick">
        <color indexed="64"/>
      </top>
      <bottom style="thick">
        <color indexed="64"/>
      </bottom>
      <diagonal/>
    </border>
    <border>
      <left style="thin">
        <color indexed="64"/>
      </left>
      <right style="thin">
        <color indexed="64"/>
      </right>
      <top style="thick">
        <color indexed="64"/>
      </top>
      <bottom style="thick">
        <color indexed="64"/>
      </bottom>
      <diagonal/>
    </border>
    <border>
      <left style="thin">
        <color indexed="64"/>
      </left>
      <right/>
      <top style="thick">
        <color indexed="64"/>
      </top>
      <bottom style="thick">
        <color indexed="64"/>
      </bottom>
      <diagonal/>
    </border>
    <border>
      <left/>
      <right style="thin">
        <color indexed="64"/>
      </right>
      <top style="thick">
        <color indexed="64"/>
      </top>
      <bottom style="thick">
        <color indexed="64"/>
      </bottom>
      <diagonal/>
    </border>
    <border>
      <left/>
      <right/>
      <top style="thick">
        <color indexed="64"/>
      </top>
      <bottom style="thick">
        <color indexed="64"/>
      </bottom>
      <diagonal/>
    </border>
    <border>
      <left style="thin">
        <color indexed="64"/>
      </left>
      <right style="thick">
        <color auto="1"/>
      </right>
      <top style="thick">
        <color indexed="64"/>
      </top>
      <bottom style="thick">
        <color indexed="64"/>
      </bottom>
      <diagonal/>
    </border>
    <border>
      <left style="thick">
        <color indexed="64"/>
      </left>
      <right/>
      <top/>
      <bottom/>
      <diagonal/>
    </border>
    <border>
      <left style="thin">
        <color indexed="64"/>
      </left>
      <right style="thin">
        <color indexed="64"/>
      </right>
      <top/>
      <bottom style="thin">
        <color indexed="64"/>
      </bottom>
      <diagonal/>
    </border>
    <border>
      <left style="thin">
        <color indexed="64"/>
      </left>
      <right style="thin">
        <color indexed="64"/>
      </right>
      <top style="thick">
        <color indexed="64"/>
      </top>
      <bottom/>
      <diagonal/>
    </border>
    <border>
      <left style="thin">
        <color indexed="64"/>
      </left>
      <right/>
      <top style="thick">
        <color indexed="64"/>
      </top>
      <bottom style="thin">
        <color indexed="64"/>
      </bottom>
      <diagonal/>
    </border>
    <border>
      <left/>
      <right style="thin">
        <color indexed="64"/>
      </right>
      <top style="thick">
        <color indexed="64"/>
      </top>
      <bottom style="thin">
        <color indexed="64"/>
      </bottom>
      <diagonal/>
    </border>
    <border>
      <left style="thin">
        <color indexed="64"/>
      </left>
      <right/>
      <top style="thick">
        <color indexed="64"/>
      </top>
      <bottom/>
      <diagonal/>
    </border>
    <border>
      <left/>
      <right style="thin">
        <color indexed="64"/>
      </right>
      <top style="thick">
        <color indexed="64"/>
      </top>
      <bottom/>
      <diagonal/>
    </border>
    <border>
      <left style="thin">
        <color indexed="64"/>
      </left>
      <right style="thin">
        <color indexed="64"/>
      </right>
      <top style="thick">
        <color indexed="64"/>
      </top>
      <bottom style="thin">
        <color indexed="64"/>
      </bottom>
      <diagonal/>
    </border>
    <border>
      <left/>
      <right style="thick">
        <color auto="1"/>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ck">
        <color auto="1"/>
      </right>
      <top style="thin">
        <color indexed="64"/>
      </top>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top style="thin">
        <color indexed="64"/>
      </top>
      <bottom style="medium">
        <color auto="1"/>
      </bottom>
      <diagonal/>
    </border>
    <border>
      <left style="thin">
        <color indexed="64"/>
      </left>
      <right style="thin">
        <color indexed="64"/>
      </right>
      <top style="medium">
        <color indexed="64"/>
      </top>
      <bottom style="thin">
        <color indexed="64"/>
      </bottom>
      <diagonal/>
    </border>
    <border>
      <left style="thick">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right style="thick">
        <color auto="1"/>
      </right>
      <top style="medium">
        <color indexed="64"/>
      </top>
      <bottom/>
      <diagonal/>
    </border>
    <border>
      <left/>
      <right style="thin">
        <color indexed="64"/>
      </right>
      <top/>
      <bottom/>
      <diagonal/>
    </border>
    <border>
      <left style="thin">
        <color indexed="64"/>
      </left>
      <right/>
      <top/>
      <bottom/>
      <diagonal/>
    </border>
    <border>
      <left style="thin">
        <color indexed="64"/>
      </left>
      <right/>
      <top style="thin">
        <color indexed="64"/>
      </top>
      <bottom/>
      <diagonal/>
    </border>
    <border>
      <left/>
      <right style="thick">
        <color indexed="64"/>
      </right>
      <top style="thin">
        <color indexed="64"/>
      </top>
      <bottom/>
      <diagonal/>
    </border>
    <border>
      <left style="thick">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ck">
        <color auto="1"/>
      </right>
      <top/>
      <bottom style="medium">
        <color indexed="64"/>
      </bottom>
      <diagonal/>
    </border>
    <border>
      <left style="thick">
        <color indexed="64"/>
      </left>
      <right/>
      <top style="medium">
        <color indexed="64"/>
      </top>
      <bottom style="thick">
        <color auto="1"/>
      </bottom>
      <diagonal/>
    </border>
    <border>
      <left/>
      <right/>
      <top style="medium">
        <color indexed="64"/>
      </top>
      <bottom style="thick">
        <color auto="1"/>
      </bottom>
      <diagonal/>
    </border>
    <border>
      <left/>
      <right style="thick">
        <color auto="1"/>
      </right>
      <top style="medium">
        <color indexed="64"/>
      </top>
      <bottom style="thick">
        <color auto="1"/>
      </bottom>
      <diagonal/>
    </border>
    <border>
      <left style="thick">
        <color indexed="64"/>
      </left>
      <right/>
      <top style="thick">
        <color indexed="64"/>
      </top>
      <bottom/>
      <diagonal/>
    </border>
    <border>
      <left/>
      <right/>
      <top style="thick">
        <color indexed="64"/>
      </top>
      <bottom/>
      <diagonal/>
    </border>
    <border>
      <left style="thick">
        <color indexed="64"/>
      </left>
      <right/>
      <top style="thick">
        <color indexed="64"/>
      </top>
      <bottom style="thin">
        <color indexed="64"/>
      </bottom>
      <diagonal/>
    </border>
    <border>
      <left/>
      <right/>
      <top style="dotted">
        <color theme="0" tint="-0.14996795556505021"/>
      </top>
      <bottom style="dotted">
        <color theme="0" tint="-0.14996795556505021"/>
      </bottom>
      <diagonal/>
    </border>
    <border>
      <left/>
      <right style="dotted">
        <color theme="0" tint="-0.14996795556505021"/>
      </right>
      <top style="dotted">
        <color theme="0" tint="-0.14996795556505021"/>
      </top>
      <bottom style="dotted">
        <color theme="0" tint="-0.14996795556505021"/>
      </bottom>
      <diagonal/>
    </border>
    <border>
      <left style="thick">
        <color indexed="64"/>
      </left>
      <right/>
      <top/>
      <bottom style="thin">
        <color indexed="64"/>
      </bottom>
      <diagonal/>
    </border>
    <border>
      <left/>
      <right/>
      <top/>
      <bottom style="thin">
        <color indexed="64"/>
      </bottom>
      <diagonal/>
    </border>
    <border>
      <left style="thick">
        <color indexed="64"/>
      </left>
      <right/>
      <top style="thin">
        <color indexed="64"/>
      </top>
      <bottom style="thin">
        <color indexed="64"/>
      </bottom>
      <diagonal/>
    </border>
    <border>
      <left/>
      <right/>
      <top style="thin">
        <color indexed="64"/>
      </top>
      <bottom style="thin">
        <color indexed="64"/>
      </bottom>
      <diagonal/>
    </border>
    <border>
      <left/>
      <right style="thick">
        <color indexed="64"/>
      </right>
      <top style="thin">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right style="thick">
        <color indexed="64"/>
      </right>
      <top/>
      <bottom style="thin">
        <color indexed="64"/>
      </bottom>
      <diagonal/>
    </border>
    <border>
      <left style="thick">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style="thin">
        <color indexed="64"/>
      </bottom>
      <diagonal/>
    </border>
    <border>
      <left style="thick">
        <color indexed="64"/>
      </left>
      <right/>
      <top/>
      <bottom style="thick">
        <color indexed="64"/>
      </bottom>
      <diagonal/>
    </border>
    <border>
      <left/>
      <right/>
      <top/>
      <bottom style="thick">
        <color indexed="64"/>
      </bottom>
      <diagonal/>
    </border>
    <border>
      <left/>
      <right style="thick">
        <color auto="1"/>
      </right>
      <top/>
      <bottom style="thick">
        <color auto="1"/>
      </bottom>
      <diagonal/>
    </border>
    <border>
      <left style="thick">
        <color indexed="64"/>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top/>
      <bottom style="thick">
        <color indexed="64"/>
      </bottom>
      <diagonal/>
    </border>
    <border>
      <left/>
      <right style="thin">
        <color indexed="64"/>
      </right>
      <top/>
      <bottom style="thick">
        <color indexed="64"/>
      </bottom>
      <diagonal/>
    </border>
    <border>
      <left/>
      <right style="thick">
        <color auto="1"/>
      </right>
      <top style="thick">
        <color auto="1"/>
      </top>
      <bottom/>
      <diagonal/>
    </border>
    <border>
      <left style="thin">
        <color indexed="64"/>
      </left>
      <right style="thin">
        <color indexed="64"/>
      </right>
      <top style="medium">
        <color indexed="64"/>
      </top>
      <bottom/>
      <diagonal/>
    </border>
    <border>
      <left style="thick">
        <color indexed="64"/>
      </left>
      <right style="thin">
        <color indexed="64"/>
      </right>
      <top style="thick">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thick">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ck">
        <color indexed="64"/>
      </left>
      <right style="thin">
        <color indexed="64"/>
      </right>
      <top style="medium">
        <color indexed="64"/>
      </top>
      <bottom/>
      <diagonal/>
    </border>
    <border>
      <left style="thin">
        <color indexed="64"/>
      </left>
      <right style="thick">
        <color indexed="64"/>
      </right>
      <top style="thin">
        <color indexed="64"/>
      </top>
      <bottom style="thin">
        <color indexed="64"/>
      </bottom>
      <diagonal/>
    </border>
    <border>
      <left style="thick">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thick">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right style="thick">
        <color theme="9" tint="0.39994506668294322"/>
      </right>
      <top style="thick">
        <color theme="9" tint="0.39994506668294322"/>
      </top>
      <bottom style="thick">
        <color theme="9" tint="0.39994506668294322"/>
      </bottom>
      <diagonal/>
    </border>
    <border>
      <left style="thin">
        <color indexed="64"/>
      </left>
      <right style="thick">
        <color indexed="64"/>
      </right>
      <top style="thick">
        <color indexed="64"/>
      </top>
      <bottom style="thin">
        <color indexed="64"/>
      </bottom>
      <diagonal/>
    </border>
    <border>
      <left style="thick">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medium">
        <color indexed="64"/>
      </left>
      <right/>
      <top style="medium">
        <color indexed="64"/>
      </top>
      <bottom style="thin">
        <color indexed="64"/>
      </bottom>
      <diagonal/>
    </border>
    <border>
      <left/>
      <right style="medium">
        <color auto="1"/>
      </right>
      <top style="medium">
        <color indexed="64"/>
      </top>
      <bottom style="thin">
        <color indexed="64"/>
      </bottom>
      <diagonal/>
    </border>
    <border>
      <left/>
      <right style="medium">
        <color auto="1"/>
      </right>
      <top style="thin">
        <color indexed="64"/>
      </top>
      <bottom style="medium">
        <color auto="1"/>
      </bottom>
      <diagonal/>
    </border>
    <border>
      <left style="thick">
        <color auto="1"/>
      </left>
      <right style="thick">
        <color auto="1"/>
      </right>
      <top style="thick">
        <color auto="1"/>
      </top>
      <bottom style="thin">
        <color auto="1"/>
      </bottom>
      <diagonal/>
    </border>
    <border>
      <left style="thick">
        <color indexed="64"/>
      </left>
      <right style="thick">
        <color indexed="64"/>
      </right>
      <top style="thin">
        <color indexed="64"/>
      </top>
      <bottom style="thin">
        <color indexed="64"/>
      </bottom>
      <diagonal/>
    </border>
    <border>
      <left style="thick">
        <color auto="1"/>
      </left>
      <right style="thick">
        <color auto="1"/>
      </right>
      <top style="thin">
        <color auto="1"/>
      </top>
      <bottom style="thick">
        <color auto="1"/>
      </bottom>
      <diagonal/>
    </border>
    <border>
      <left/>
      <right/>
      <top/>
      <bottom style="medium">
        <color theme="0"/>
      </bottom>
      <diagonal/>
    </border>
    <border>
      <left/>
      <right style="medium">
        <color theme="0"/>
      </right>
      <top/>
      <bottom style="medium">
        <color theme="0"/>
      </bottom>
      <diagonal/>
    </border>
    <border>
      <left style="medium">
        <color theme="0"/>
      </left>
      <right style="medium">
        <color theme="0"/>
      </right>
      <top/>
      <bottom style="medium">
        <color theme="0"/>
      </bottom>
      <diagonal/>
    </border>
    <border>
      <left style="medium">
        <color theme="0"/>
      </left>
      <right/>
      <top/>
      <bottom style="medium">
        <color theme="0"/>
      </bottom>
      <diagonal/>
    </border>
    <border>
      <left/>
      <right/>
      <top style="medium">
        <color theme="0"/>
      </top>
      <bottom style="medium">
        <color theme="0"/>
      </bottom>
      <diagonal/>
    </border>
    <border>
      <left/>
      <right style="medium">
        <color theme="0"/>
      </right>
      <top style="medium">
        <color theme="0"/>
      </top>
      <bottom style="medium">
        <color theme="0"/>
      </bottom>
      <diagonal/>
    </border>
    <border>
      <left style="medium">
        <color theme="0"/>
      </left>
      <right style="medium">
        <color theme="0"/>
      </right>
      <top style="medium">
        <color theme="0"/>
      </top>
      <bottom style="medium">
        <color theme="0"/>
      </bottom>
      <diagonal/>
    </border>
    <border>
      <left style="medium">
        <color theme="0"/>
      </left>
      <right/>
      <top style="medium">
        <color theme="0"/>
      </top>
      <bottom style="medium">
        <color theme="0"/>
      </bottom>
      <diagonal/>
    </border>
    <border>
      <left/>
      <right/>
      <top style="medium">
        <color rgb="FFFFC000"/>
      </top>
      <bottom/>
      <diagonal/>
    </border>
    <border>
      <left/>
      <right/>
      <top/>
      <bottom style="thick">
        <color theme="0"/>
      </bottom>
      <diagonal/>
    </border>
    <border>
      <left/>
      <right/>
      <top/>
      <bottom style="medium">
        <color rgb="FFFFC000"/>
      </bottom>
      <diagonal/>
    </border>
    <border>
      <left style="thick">
        <color indexed="64"/>
      </left>
      <right style="thick">
        <color indexed="64"/>
      </right>
      <top style="thick">
        <color indexed="64"/>
      </top>
      <bottom/>
      <diagonal/>
    </border>
    <border>
      <left style="thick">
        <color indexed="64"/>
      </left>
      <right style="medium">
        <color indexed="64"/>
      </right>
      <top style="thick">
        <color indexed="64"/>
      </top>
      <bottom/>
      <diagonal/>
    </border>
    <border>
      <left style="medium">
        <color indexed="64"/>
      </left>
      <right style="medium">
        <color indexed="64"/>
      </right>
      <top style="thick">
        <color indexed="64"/>
      </top>
      <bottom/>
      <diagonal/>
    </border>
    <border>
      <left style="medium">
        <color indexed="64"/>
      </left>
      <right/>
      <top style="thick">
        <color indexed="64"/>
      </top>
      <bottom/>
      <diagonal/>
    </border>
    <border>
      <left style="medium">
        <color indexed="64"/>
      </left>
      <right style="thick">
        <color indexed="64"/>
      </right>
      <top style="thick">
        <color indexed="64"/>
      </top>
      <bottom style="thick">
        <color indexed="64"/>
      </bottom>
      <diagonal/>
    </border>
    <border>
      <left style="thick">
        <color indexed="64"/>
      </left>
      <right style="thick">
        <color indexed="64"/>
      </right>
      <top style="thick">
        <color indexed="64"/>
      </top>
      <bottom style="thick">
        <color indexed="64"/>
      </bottom>
      <diagonal/>
    </border>
    <border>
      <left style="medium">
        <color indexed="64"/>
      </left>
      <right style="medium">
        <color indexed="64"/>
      </right>
      <top style="thick">
        <color indexed="64"/>
      </top>
      <bottom style="thick">
        <color indexed="64"/>
      </bottom>
      <diagonal/>
    </border>
    <border>
      <left/>
      <right style="thick">
        <color indexed="64"/>
      </right>
      <top style="thick">
        <color indexed="64"/>
      </top>
      <bottom style="thick">
        <color indexed="64"/>
      </bottom>
      <diagonal/>
    </border>
    <border>
      <left/>
      <right style="medium">
        <color indexed="64"/>
      </right>
      <top style="medium">
        <color indexed="64"/>
      </top>
      <bottom style="medium">
        <color indexed="64"/>
      </bottom>
      <diagonal/>
    </border>
    <border>
      <left style="medium">
        <color auto="1"/>
      </left>
      <right/>
      <top style="medium">
        <color auto="1"/>
      </top>
      <bottom style="medium">
        <color auto="1"/>
      </bottom>
      <diagonal/>
    </border>
    <border>
      <left style="medium">
        <color auto="1"/>
      </left>
      <right style="medium">
        <color auto="1"/>
      </right>
      <top/>
      <bottom style="medium">
        <color auto="1"/>
      </bottom>
      <diagonal/>
    </border>
    <border>
      <left/>
      <right/>
      <top style="medium">
        <color auto="1"/>
      </top>
      <bottom style="medium">
        <color auto="1"/>
      </bottom>
      <diagonal/>
    </border>
    <border>
      <left style="thin">
        <color indexed="64"/>
      </left>
      <right style="thin">
        <color indexed="64"/>
      </right>
      <top/>
      <bottom style="thick">
        <color indexed="64"/>
      </bottom>
      <diagonal/>
    </border>
    <border>
      <left style="medium">
        <color theme="0"/>
      </left>
      <right style="medium">
        <color theme="0"/>
      </right>
      <top style="medium">
        <color theme="0"/>
      </top>
      <bottom/>
      <diagonal/>
    </border>
    <border>
      <left style="thin">
        <color indexed="64"/>
      </left>
      <right/>
      <top style="medium">
        <color indexed="64"/>
      </top>
      <bottom style="medium">
        <color indexed="64"/>
      </bottom>
      <diagonal/>
    </border>
    <border>
      <left style="medium">
        <color auto="1"/>
      </left>
      <right/>
      <top/>
      <bottom style="medium">
        <color theme="0"/>
      </bottom>
      <diagonal/>
    </border>
    <border>
      <left/>
      <right style="medium">
        <color auto="1"/>
      </right>
      <top/>
      <bottom style="medium">
        <color theme="0"/>
      </bottom>
      <diagonal/>
    </border>
    <border>
      <left style="medium">
        <color auto="1"/>
      </left>
      <right/>
      <top style="medium">
        <color theme="0"/>
      </top>
      <bottom style="medium">
        <color theme="0"/>
      </bottom>
      <diagonal/>
    </border>
    <border>
      <left/>
      <right style="medium">
        <color auto="1"/>
      </right>
      <top style="medium">
        <color theme="0"/>
      </top>
      <bottom style="medium">
        <color theme="0"/>
      </bottom>
      <diagonal/>
    </border>
    <border>
      <left style="medium">
        <color auto="1"/>
      </left>
      <right/>
      <top style="medium">
        <color theme="0"/>
      </top>
      <bottom style="medium">
        <color auto="1"/>
      </bottom>
      <diagonal/>
    </border>
    <border>
      <left/>
      <right/>
      <top style="medium">
        <color theme="0"/>
      </top>
      <bottom style="medium">
        <color auto="1"/>
      </bottom>
      <diagonal/>
    </border>
    <border>
      <left/>
      <right style="medium">
        <color auto="1"/>
      </right>
      <top style="medium">
        <color theme="0"/>
      </top>
      <bottom style="medium">
        <color auto="1"/>
      </bottom>
      <diagonal/>
    </border>
    <border>
      <left style="medium">
        <color auto="1"/>
      </left>
      <right style="thin">
        <color indexed="64"/>
      </right>
      <top style="thin">
        <color indexed="64"/>
      </top>
      <bottom style="thin">
        <color indexed="64"/>
      </bottom>
      <diagonal/>
    </border>
    <border>
      <left style="thin">
        <color indexed="64"/>
      </left>
      <right style="medium">
        <color auto="1"/>
      </right>
      <top style="thin">
        <color indexed="64"/>
      </top>
      <bottom style="thin">
        <color indexed="64"/>
      </bottom>
      <diagonal/>
    </border>
    <border>
      <left style="medium">
        <color auto="1"/>
      </left>
      <right style="thin">
        <color indexed="64"/>
      </right>
      <top style="thin">
        <color indexed="64"/>
      </top>
      <bottom style="medium">
        <color auto="1"/>
      </bottom>
      <diagonal/>
    </border>
    <border>
      <left/>
      <right style="medium">
        <color indexed="64"/>
      </right>
      <top style="thin">
        <color indexed="64"/>
      </top>
      <bottom/>
      <diagonal/>
    </border>
    <border>
      <left/>
      <right style="medium">
        <color indexed="64"/>
      </right>
      <top/>
      <bottom style="thick">
        <color indexed="64"/>
      </bottom>
      <diagonal/>
    </border>
    <border>
      <left style="thin">
        <color indexed="64"/>
      </left>
      <right style="medium">
        <color auto="1"/>
      </right>
      <top style="medium">
        <color indexed="64"/>
      </top>
      <bottom style="thin">
        <color indexed="64"/>
      </bottom>
      <diagonal/>
    </border>
    <border>
      <left style="thin">
        <color indexed="64"/>
      </left>
      <right style="medium">
        <color auto="1"/>
      </right>
      <top style="thick">
        <color indexed="64"/>
      </top>
      <bottom style="thin">
        <color indexed="64"/>
      </bottom>
      <diagonal/>
    </border>
    <border>
      <left style="thin">
        <color indexed="64"/>
      </left>
      <right style="thick">
        <color indexed="64"/>
      </right>
      <top style="thick">
        <color indexed="64"/>
      </top>
      <bottom/>
      <diagonal/>
    </border>
    <border>
      <left style="thin">
        <color indexed="64"/>
      </left>
      <right style="thick">
        <color indexed="64"/>
      </right>
      <top/>
      <bottom style="thin">
        <color indexed="64"/>
      </bottom>
      <diagonal/>
    </border>
    <border>
      <left/>
      <right style="thick">
        <color auto="1"/>
      </right>
      <top style="thin">
        <color indexed="64"/>
      </top>
      <bottom style="medium">
        <color indexed="64"/>
      </bottom>
      <diagonal/>
    </border>
    <border>
      <left/>
      <right style="thick">
        <color auto="1"/>
      </right>
      <top style="medium">
        <color indexed="64"/>
      </top>
      <bottom style="thin">
        <color indexed="64"/>
      </bottom>
      <diagonal/>
    </border>
    <border>
      <left/>
      <right style="thick">
        <color auto="1"/>
      </right>
      <top style="thick">
        <color indexed="64"/>
      </top>
      <bottom style="thin">
        <color indexed="64"/>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medium">
        <color rgb="FF000000"/>
      </top>
      <bottom/>
      <diagonal/>
    </border>
    <border>
      <left/>
      <right style="medium">
        <color rgb="FF000000"/>
      </right>
      <top style="thin">
        <color indexed="64"/>
      </top>
      <bottom style="thin">
        <color indexed="64"/>
      </bottom>
      <diagonal/>
    </border>
    <border>
      <left style="medium">
        <color rgb="FF000000"/>
      </left>
      <right/>
      <top style="thin">
        <color indexed="64"/>
      </top>
      <bottom style="thin">
        <color indexed="64"/>
      </bottom>
      <diagonal/>
    </border>
    <border>
      <left/>
      <right/>
      <top/>
      <bottom style="medium">
        <color rgb="FF000000"/>
      </bottom>
      <diagonal/>
    </border>
    <border>
      <left/>
      <right/>
      <top style="medium">
        <color rgb="FF000000"/>
      </top>
      <bottom/>
      <diagonal/>
    </border>
    <border>
      <left style="medium">
        <color rgb="FF000000"/>
      </left>
      <right/>
      <top style="medium">
        <color rgb="FF000000"/>
      </top>
      <bottom style="medium">
        <color indexed="64"/>
      </bottom>
      <diagonal/>
    </border>
    <border>
      <left/>
      <right style="thin">
        <color indexed="64"/>
      </right>
      <top style="medium">
        <color rgb="FF000000"/>
      </top>
      <bottom style="medium">
        <color indexed="64"/>
      </bottom>
      <diagonal/>
    </border>
    <border>
      <left style="thin">
        <color indexed="64"/>
      </left>
      <right style="thin">
        <color indexed="64"/>
      </right>
      <top style="medium">
        <color rgb="FF000000"/>
      </top>
      <bottom style="medium">
        <color indexed="64"/>
      </bottom>
      <diagonal/>
    </border>
    <border>
      <left style="thin">
        <color indexed="64"/>
      </left>
      <right/>
      <top style="medium">
        <color rgb="FF000000"/>
      </top>
      <bottom style="medium">
        <color indexed="64"/>
      </bottom>
      <diagonal/>
    </border>
    <border>
      <left style="medium">
        <color rgb="FF000000"/>
      </left>
      <right/>
      <top style="thin">
        <color indexed="64"/>
      </top>
      <bottom style="medium">
        <color rgb="FF000000"/>
      </bottom>
      <diagonal/>
    </border>
    <border>
      <left/>
      <right style="thin">
        <color indexed="64"/>
      </right>
      <top style="thin">
        <color indexed="64"/>
      </top>
      <bottom style="medium">
        <color rgb="FF000000"/>
      </bottom>
      <diagonal/>
    </border>
    <border>
      <left style="thin">
        <color indexed="64"/>
      </left>
      <right style="thin">
        <color indexed="64"/>
      </right>
      <top style="thin">
        <color indexed="64"/>
      </top>
      <bottom style="medium">
        <color rgb="FF000000"/>
      </bottom>
      <diagonal/>
    </border>
    <border>
      <left style="thin">
        <color indexed="64"/>
      </left>
      <right/>
      <top style="thin">
        <color indexed="64"/>
      </top>
      <bottom style="medium">
        <color rgb="FF000000"/>
      </bottom>
      <diagonal/>
    </border>
    <border>
      <left/>
      <right style="thin">
        <color rgb="FF000000"/>
      </right>
      <top style="medium">
        <color rgb="FF000000"/>
      </top>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ck">
        <color theme="0" tint="-0.24994659260841701"/>
      </left>
      <right/>
      <top style="thick">
        <color theme="0" tint="-0.24994659260841701"/>
      </top>
      <bottom/>
      <diagonal/>
    </border>
    <border>
      <left/>
      <right/>
      <top style="thick">
        <color theme="0" tint="-0.24994659260841701"/>
      </top>
      <bottom/>
      <diagonal/>
    </border>
    <border>
      <left/>
      <right style="thick">
        <color theme="0" tint="-0.24994659260841701"/>
      </right>
      <top style="thick">
        <color theme="0" tint="-0.24994659260841701"/>
      </top>
      <bottom/>
      <diagonal/>
    </border>
    <border>
      <left style="thick">
        <color theme="0" tint="-0.24994659260841701"/>
      </left>
      <right/>
      <top/>
      <bottom/>
      <diagonal/>
    </border>
    <border>
      <left/>
      <right style="thick">
        <color theme="0" tint="-0.24994659260841701"/>
      </right>
      <top/>
      <bottom/>
      <diagonal/>
    </border>
    <border>
      <left/>
      <right/>
      <top style="thick">
        <color indexed="64"/>
      </top>
      <bottom style="thin">
        <color indexed="64"/>
      </bottom>
      <diagonal/>
    </border>
    <border>
      <left/>
      <right/>
      <top style="thin">
        <color auto="1"/>
      </top>
      <bottom style="thick">
        <color auto="1"/>
      </bottom>
      <diagonal/>
    </border>
    <border>
      <left/>
      <right style="thick">
        <color auto="1"/>
      </right>
      <top style="thin">
        <color auto="1"/>
      </top>
      <bottom style="thick">
        <color auto="1"/>
      </bottom>
      <diagonal/>
    </border>
    <border>
      <left style="thin">
        <color auto="1"/>
      </left>
      <right style="thin">
        <color auto="1"/>
      </right>
      <top style="medium">
        <color auto="1"/>
      </top>
      <bottom style="medium">
        <color auto="1"/>
      </bottom>
      <diagonal/>
    </border>
    <border>
      <left style="medium">
        <color auto="1"/>
      </left>
      <right style="thin">
        <color indexed="64"/>
      </right>
      <top style="medium">
        <color indexed="64"/>
      </top>
      <bottom/>
      <diagonal/>
    </border>
    <border>
      <left style="medium">
        <color indexed="64"/>
      </left>
      <right style="thin">
        <color indexed="64"/>
      </right>
      <top/>
      <bottom/>
      <diagonal/>
    </border>
    <border>
      <left style="medium">
        <color auto="1"/>
      </left>
      <right style="thin">
        <color indexed="64"/>
      </right>
      <top/>
      <bottom style="medium">
        <color indexed="64"/>
      </bottom>
      <diagonal/>
    </border>
    <border>
      <left style="thick">
        <color theme="0" tint="-0.24994659260841701"/>
      </left>
      <right/>
      <top/>
      <bottom style="thick">
        <color theme="0" tint="-0.24994659260841701"/>
      </bottom>
      <diagonal/>
    </border>
    <border>
      <left/>
      <right/>
      <top/>
      <bottom style="thick">
        <color theme="0" tint="-0.24994659260841701"/>
      </bottom>
      <diagonal/>
    </border>
    <border>
      <left/>
      <right style="thick">
        <color theme="0" tint="-0.24994659260841701"/>
      </right>
      <top/>
      <bottom style="thick">
        <color theme="0" tint="-0.24994659260841701"/>
      </bottom>
      <diagonal/>
    </border>
    <border>
      <left style="thin">
        <color theme="4" tint="0.39997558519241921"/>
      </left>
      <right/>
      <top style="thin">
        <color theme="4" tint="0.39997558519241921"/>
      </top>
      <bottom style="thin">
        <color theme="4" tint="0.39997558519241921"/>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ck">
        <color auto="1"/>
      </right>
      <top style="medium">
        <color indexed="64"/>
      </top>
      <bottom style="medium">
        <color indexed="64"/>
      </bottom>
      <diagonal/>
    </border>
    <border>
      <left/>
      <right style="medium">
        <color auto="1"/>
      </right>
      <top style="thin">
        <color auto="1"/>
      </top>
      <bottom style="thin">
        <color auto="1"/>
      </bottom>
      <diagonal/>
    </border>
    <border>
      <left/>
      <right style="thin">
        <color theme="4" tint="0.39997558519241921"/>
      </right>
      <top style="thin">
        <color theme="4" tint="0.39997558519241921"/>
      </top>
      <bottom style="thin">
        <color theme="4" tint="0.39997558519241921"/>
      </bottom>
      <diagonal/>
    </border>
    <border>
      <left style="medium">
        <color rgb="FF000000"/>
      </left>
      <right/>
      <top style="medium">
        <color indexed="64"/>
      </top>
      <bottom style="thin">
        <color indexed="64"/>
      </bottom>
      <diagonal/>
    </border>
    <border>
      <left/>
      <right/>
      <top style="thin">
        <color theme="4" tint="0.39997558519241921"/>
      </top>
      <bottom style="thin">
        <color theme="4" tint="0.39997558519241921"/>
      </bottom>
      <diagonal/>
    </border>
    <border>
      <left style="medium">
        <color theme="0"/>
      </left>
      <right style="thin">
        <color theme="0"/>
      </right>
      <top style="medium">
        <color theme="0"/>
      </top>
      <bottom style="medium">
        <color theme="0"/>
      </bottom>
      <diagonal/>
    </border>
    <border>
      <left/>
      <right style="medium">
        <color indexed="64"/>
      </right>
      <top/>
      <bottom style="thin">
        <color indexed="64"/>
      </bottom>
      <diagonal/>
    </border>
    <border>
      <left style="thin">
        <color indexed="64"/>
      </left>
      <right style="medium">
        <color auto="1"/>
      </right>
      <top style="thin">
        <color indexed="64"/>
      </top>
      <bottom/>
      <diagonal/>
    </border>
    <border>
      <left style="medium">
        <color indexed="64"/>
      </left>
      <right style="medium">
        <color indexed="64"/>
      </right>
      <top style="medium">
        <color indexed="64"/>
      </top>
      <bottom/>
      <diagonal/>
    </border>
    <border>
      <left style="medium">
        <color auto="1"/>
      </left>
      <right style="medium">
        <color auto="1"/>
      </right>
      <top style="medium">
        <color indexed="64"/>
      </top>
      <bottom style="medium">
        <color theme="0"/>
      </bottom>
      <diagonal/>
    </border>
    <border>
      <left style="medium">
        <color auto="1"/>
      </left>
      <right style="medium">
        <color auto="1"/>
      </right>
      <top/>
      <bottom style="medium">
        <color theme="0"/>
      </bottom>
      <diagonal/>
    </border>
    <border>
      <left style="thin">
        <color theme="4" tint="0.39997558519241921"/>
      </left>
      <right style="thin">
        <color theme="4" tint="0.39997558519241921"/>
      </right>
      <top style="thin">
        <color theme="4" tint="0.39997558519241921"/>
      </top>
      <bottom style="thin">
        <color theme="4" tint="0.39997558519241921"/>
      </bottom>
      <diagonal/>
    </border>
    <border>
      <left style="thin">
        <color theme="4" tint="0.39997558519241921"/>
      </left>
      <right style="thin">
        <color theme="4" tint="0.39997558519241921"/>
      </right>
      <top style="thin">
        <color theme="4" tint="0.39997558519241921"/>
      </top>
      <bottom/>
      <diagonal/>
    </border>
    <border>
      <left style="thin">
        <color auto="1"/>
      </left>
      <right style="medium">
        <color rgb="FFFF0000"/>
      </right>
      <top style="thin">
        <color auto="1"/>
      </top>
      <bottom style="thin">
        <color auto="1"/>
      </bottom>
      <diagonal/>
    </border>
    <border>
      <left style="medium">
        <color rgb="FFFF0000"/>
      </left>
      <right style="thin">
        <color auto="1"/>
      </right>
      <top style="thin">
        <color indexed="64"/>
      </top>
      <bottom style="thin">
        <color indexed="64"/>
      </bottom>
      <diagonal/>
    </border>
    <border>
      <left style="medium">
        <color rgb="FFFF0000"/>
      </left>
      <right style="thin">
        <color auto="1"/>
      </right>
      <top style="thin">
        <color indexed="64"/>
      </top>
      <bottom style="medium">
        <color rgb="FFFF0000"/>
      </bottom>
      <diagonal/>
    </border>
    <border>
      <left style="thin">
        <color indexed="64"/>
      </left>
      <right style="medium">
        <color indexed="64"/>
      </right>
      <top style="thin">
        <color indexed="64"/>
      </top>
      <bottom style="medium">
        <color indexed="64"/>
      </bottom>
      <diagonal/>
    </border>
    <border>
      <left style="medium">
        <color rgb="FFFF0000"/>
      </left>
      <right/>
      <top style="medium">
        <color rgb="FFFF0000"/>
      </top>
      <bottom/>
      <diagonal/>
    </border>
    <border>
      <left/>
      <right style="medium">
        <color rgb="FFFF0000"/>
      </right>
      <top style="medium">
        <color rgb="FFFF0000"/>
      </top>
      <bottom/>
      <diagonal/>
    </border>
    <border>
      <left style="thin">
        <color indexed="64"/>
      </left>
      <right style="medium">
        <color rgb="FFFF0000"/>
      </right>
      <top style="thin">
        <color indexed="64"/>
      </top>
      <bottom style="medium">
        <color rgb="FFFF0000"/>
      </bottom>
      <diagonal/>
    </border>
    <border>
      <left style="thin">
        <color theme="4" tint="0.39997558519241921"/>
      </left>
      <right/>
      <top style="thin">
        <color theme="4" tint="0.39997558519241921"/>
      </top>
      <bottom/>
      <diagonal/>
    </border>
    <border>
      <left style="thin">
        <color theme="4" tint="0.39997558519241921"/>
      </left>
      <right/>
      <top/>
      <bottom/>
      <diagonal/>
    </border>
    <border>
      <left style="thin">
        <color indexed="64"/>
      </left>
      <right/>
      <top style="thin">
        <color indexed="64"/>
      </top>
      <bottom style="thick">
        <color indexed="64"/>
      </bottom>
      <diagonal/>
    </border>
    <border>
      <left style="medium">
        <color rgb="FF000000"/>
      </left>
      <right/>
      <top/>
      <bottom style="medium">
        <color rgb="FF000000"/>
      </bottom>
      <diagonal/>
    </border>
    <border>
      <left/>
      <right style="thin">
        <color rgb="FF000000"/>
      </right>
      <top/>
      <bottom style="medium">
        <color rgb="FF000000"/>
      </bottom>
      <diagonal/>
    </border>
    <border>
      <left/>
      <right/>
      <top/>
      <bottom style="medium">
        <color theme="0" tint="-0.14996795556505021"/>
      </bottom>
      <diagonal/>
    </border>
    <border>
      <left/>
      <right style="thin">
        <color theme="4" tint="0.39997558519241921"/>
      </right>
      <top style="thin">
        <color theme="4" tint="0.39997558519241921"/>
      </top>
      <bottom/>
      <diagonal/>
    </border>
    <border>
      <left style="medium">
        <color rgb="FF000000"/>
      </left>
      <right/>
      <top/>
      <bottom/>
      <diagonal/>
    </border>
    <border>
      <left style="thin">
        <color rgb="FF000000"/>
      </left>
      <right style="thin">
        <color rgb="FF000000"/>
      </right>
      <top style="thin">
        <color indexed="64"/>
      </top>
      <bottom style="thin">
        <color rgb="FF000000"/>
      </bottom>
      <diagonal/>
    </border>
    <border>
      <left style="thin">
        <color rgb="FF000000"/>
      </left>
      <right style="thin">
        <color rgb="FF000000"/>
      </right>
      <top style="thin">
        <color rgb="FF000000"/>
      </top>
      <bottom style="medium">
        <color rgb="FF000000"/>
      </bottom>
      <diagonal/>
    </border>
    <border>
      <left style="thin">
        <color indexed="64"/>
      </left>
      <right/>
      <top style="medium">
        <color rgb="FF000000"/>
      </top>
      <bottom/>
      <diagonal/>
    </border>
    <border>
      <left/>
      <right style="medium">
        <color rgb="FF000000"/>
      </right>
      <top style="medium">
        <color rgb="FF000000"/>
      </top>
      <bottom/>
      <diagonal/>
    </border>
    <border>
      <left style="thin">
        <color indexed="64"/>
      </left>
      <right style="medium">
        <color rgb="FF000000"/>
      </right>
      <top style="thin">
        <color indexed="64"/>
      </top>
      <bottom style="thin">
        <color indexed="64"/>
      </bottom>
      <diagonal/>
    </border>
    <border>
      <left/>
      <right style="thin">
        <color rgb="FF000000"/>
      </right>
      <top style="thin">
        <color indexed="64"/>
      </top>
      <bottom style="thin">
        <color rgb="FF000000"/>
      </bottom>
      <diagonal/>
    </border>
    <border>
      <left/>
      <right style="thin">
        <color rgb="FF000000"/>
      </right>
      <top style="thin">
        <color rgb="FF000000"/>
      </top>
      <bottom style="medium">
        <color rgb="FF000000"/>
      </bottom>
      <diagonal/>
    </border>
    <border>
      <left/>
      <right style="medium">
        <color rgb="FF000000"/>
      </right>
      <top/>
      <bottom style="thin">
        <color indexed="64"/>
      </bottom>
      <diagonal/>
    </border>
    <border>
      <left/>
      <right/>
      <top style="thin">
        <color theme="4" tint="0.39997558519241921"/>
      </top>
      <bottom/>
      <diagonal/>
    </border>
    <border>
      <left style="hair">
        <color auto="1"/>
      </left>
      <right style="hair">
        <color auto="1"/>
      </right>
      <top style="hair">
        <color auto="1"/>
      </top>
      <bottom style="hair">
        <color auto="1"/>
      </bottom>
      <diagonal/>
    </border>
    <border>
      <left style="hair">
        <color auto="1"/>
      </left>
      <right style="hair">
        <color auto="1"/>
      </right>
      <top style="hair">
        <color auto="1"/>
      </top>
      <bottom/>
      <diagonal/>
    </border>
    <border>
      <left/>
      <right/>
      <top style="medium">
        <color rgb="FF000000"/>
      </top>
      <bottom style="thin">
        <color indexed="64"/>
      </bottom>
      <diagonal/>
    </border>
    <border>
      <left/>
      <right style="medium">
        <color rgb="FF000000"/>
      </right>
      <top style="medium">
        <color rgb="FF000000"/>
      </top>
      <bottom style="thin">
        <color indexed="64"/>
      </bottom>
      <diagonal/>
    </border>
    <border>
      <left/>
      <right style="medium">
        <color rgb="FF000000"/>
      </right>
      <top style="thin">
        <color indexed="64"/>
      </top>
      <bottom style="medium">
        <color auto="1"/>
      </bottom>
      <diagonal/>
    </border>
    <border>
      <left/>
      <right style="medium">
        <color rgb="FF000000"/>
      </right>
      <top style="medium">
        <color auto="1"/>
      </top>
      <bottom style="medium">
        <color auto="1"/>
      </bottom>
      <diagonal/>
    </border>
    <border>
      <left/>
      <right style="medium">
        <color rgb="FF000000"/>
      </right>
      <top style="medium">
        <color indexed="64"/>
      </top>
      <bottom style="thin">
        <color indexed="64"/>
      </bottom>
      <diagonal/>
    </border>
    <border>
      <left style="thin">
        <color rgb="FF000000"/>
      </left>
      <right style="medium">
        <color rgb="FF000000"/>
      </right>
      <top style="thin">
        <color indexed="64"/>
      </top>
      <bottom style="thin">
        <color rgb="FF000000"/>
      </bottom>
      <diagonal/>
    </border>
    <border>
      <left style="thin">
        <color rgb="FF000000"/>
      </left>
      <right style="medium">
        <color rgb="FF000000"/>
      </right>
      <top style="thin">
        <color rgb="FF000000"/>
      </top>
      <bottom style="medium">
        <color rgb="FF000000"/>
      </bottom>
      <diagonal/>
    </border>
    <border>
      <left/>
      <right style="medium">
        <color rgb="FF000000"/>
      </right>
      <top/>
      <bottom style="medium">
        <color rgb="FF000000"/>
      </bottom>
      <diagonal/>
    </border>
    <border>
      <left style="thin">
        <color rgb="FF000000"/>
      </left>
      <right style="thin">
        <color rgb="FF000000"/>
      </right>
      <top style="thin">
        <color rgb="FF000000"/>
      </top>
      <bottom/>
      <diagonal/>
    </border>
    <border>
      <left/>
      <right/>
      <top style="medium">
        <color rgb="FF000000"/>
      </top>
      <bottom style="medium">
        <color indexed="64"/>
      </bottom>
      <diagonal/>
    </border>
    <border>
      <left style="thick">
        <color indexed="64"/>
      </left>
      <right/>
      <top style="medium">
        <color rgb="FF000000"/>
      </top>
      <bottom style="medium">
        <color indexed="64"/>
      </bottom>
      <diagonal/>
    </border>
    <border>
      <left style="thin">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top/>
      <bottom style="thin">
        <color indexed="64"/>
      </bottom>
      <diagonal/>
    </border>
    <border>
      <left style="medium">
        <color rgb="FF000000"/>
      </left>
      <right/>
      <top style="thin">
        <color indexed="64"/>
      </top>
      <bottom/>
      <diagonal/>
    </border>
    <border>
      <left/>
      <right style="medium">
        <color rgb="FF000000"/>
      </right>
      <top style="thin">
        <color rgb="FF000000"/>
      </top>
      <bottom/>
      <diagonal/>
    </border>
    <border>
      <left/>
      <right style="medium">
        <color rgb="FF000000"/>
      </right>
      <top/>
      <bottom style="thin">
        <color rgb="FF000000"/>
      </bottom>
      <diagonal/>
    </border>
    <border>
      <left style="thick">
        <color indexed="64"/>
      </left>
      <right/>
      <top/>
      <bottom style="medium">
        <color rgb="FF000000"/>
      </bottom>
      <diagonal/>
    </border>
    <border>
      <left style="thin">
        <color rgb="FF000000"/>
      </left>
      <right/>
      <top/>
      <bottom style="medium">
        <color rgb="FF000000"/>
      </bottom>
      <diagonal/>
    </border>
    <border>
      <left style="thin">
        <color rgb="FF000000"/>
      </left>
      <right style="medium">
        <color rgb="FF000000"/>
      </right>
      <top style="medium">
        <color rgb="FF000000"/>
      </top>
      <bottom/>
      <diagonal/>
    </border>
    <border>
      <left/>
      <right style="thin">
        <color rgb="FF000000"/>
      </right>
      <top style="medium">
        <color rgb="FF000000"/>
      </top>
      <bottom style="thin">
        <color rgb="FF000000"/>
      </bottom>
      <diagonal/>
    </border>
    <border>
      <left style="thin">
        <color rgb="FF000000"/>
      </left>
      <right style="medium">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style="medium">
        <color rgb="FF000000"/>
      </right>
      <top/>
      <bottom style="thin">
        <color rgb="FF000000"/>
      </bottom>
      <diagonal/>
    </border>
    <border>
      <left/>
      <right style="medium">
        <color rgb="FF000000"/>
      </right>
      <top/>
      <bottom/>
      <diagonal/>
    </border>
    <border>
      <left/>
      <right style="medium">
        <color rgb="FF000000"/>
      </right>
      <top style="thin">
        <color indexed="64"/>
      </top>
      <bottom style="medium">
        <color rgb="FF000000"/>
      </bottom>
      <diagonal/>
    </border>
    <border>
      <left/>
      <right style="thick">
        <color indexed="64"/>
      </right>
      <top/>
      <bottom style="medium">
        <color rgb="FF000000"/>
      </bottom>
      <diagonal/>
    </border>
    <border>
      <left/>
      <right/>
      <top/>
      <bottom style="hair">
        <color auto="1"/>
      </bottom>
      <diagonal/>
    </border>
    <border>
      <left/>
      <right style="hair">
        <color auto="1"/>
      </right>
      <top/>
      <bottom style="hair">
        <color auto="1"/>
      </bottom>
      <diagonal/>
    </border>
    <border>
      <left/>
      <right/>
      <top style="thick">
        <color theme="0"/>
      </top>
      <bottom style="thick">
        <color theme="0"/>
      </bottom>
      <diagonal/>
    </border>
    <border>
      <left style="thin">
        <color indexed="64"/>
      </left>
      <right style="hair">
        <color auto="1"/>
      </right>
      <top style="hair">
        <color auto="1"/>
      </top>
      <bottom/>
      <diagonal/>
    </border>
    <border>
      <left style="hair">
        <color auto="1"/>
      </left>
      <right style="thin">
        <color indexed="64"/>
      </right>
      <top style="hair">
        <color auto="1"/>
      </top>
      <bottom/>
      <diagonal/>
    </border>
    <border>
      <left style="thin">
        <color indexed="64"/>
      </left>
      <right/>
      <top/>
      <bottom style="thick">
        <color theme="0"/>
      </bottom>
      <diagonal/>
    </border>
    <border>
      <left/>
      <right style="thin">
        <color indexed="64"/>
      </right>
      <top/>
      <bottom style="thick">
        <color theme="0"/>
      </bottom>
      <diagonal/>
    </border>
    <border>
      <left style="thin">
        <color indexed="64"/>
      </left>
      <right/>
      <top style="thick">
        <color theme="0"/>
      </top>
      <bottom style="thick">
        <color theme="0"/>
      </bottom>
      <diagonal/>
    </border>
    <border>
      <left/>
      <right style="thin">
        <color indexed="64"/>
      </right>
      <top style="thick">
        <color theme="0"/>
      </top>
      <bottom style="thick">
        <color theme="0"/>
      </bottom>
      <diagonal/>
    </border>
    <border>
      <left style="hair">
        <color auto="1"/>
      </left>
      <right style="thin">
        <color indexed="64"/>
      </right>
      <top style="hair">
        <color auto="1"/>
      </top>
      <bottom style="hair">
        <color auto="1"/>
      </bottom>
      <diagonal/>
    </border>
    <border>
      <left style="thin">
        <color indexed="64"/>
      </left>
      <right/>
      <top/>
      <bottom style="hair">
        <color auto="1"/>
      </bottom>
      <diagonal/>
    </border>
    <border>
      <left style="thin">
        <color indexed="64"/>
      </left>
      <right style="hair">
        <color auto="1"/>
      </right>
      <top style="hair">
        <color auto="1"/>
      </top>
      <bottom style="hair">
        <color auto="1"/>
      </bottom>
      <diagonal/>
    </border>
    <border>
      <left style="thin">
        <color indexed="64"/>
      </left>
      <right/>
      <top style="hair">
        <color auto="1"/>
      </top>
      <bottom/>
      <diagonal/>
    </border>
    <border>
      <left/>
      <right/>
      <top style="hair">
        <color auto="1"/>
      </top>
      <bottom/>
      <diagonal/>
    </border>
    <border>
      <left/>
      <right style="thin">
        <color indexed="64"/>
      </right>
      <top style="hair">
        <color auto="1"/>
      </top>
      <bottom/>
      <diagonal/>
    </border>
    <border>
      <left style="hair">
        <color auto="1"/>
      </left>
      <right/>
      <top style="hair">
        <color auto="1"/>
      </top>
      <bottom style="hair">
        <color auto="1"/>
      </bottom>
      <diagonal/>
    </border>
    <border>
      <left/>
      <right/>
      <top style="hair">
        <color auto="1"/>
      </top>
      <bottom style="hair">
        <color auto="1"/>
      </bottom>
      <diagonal/>
    </border>
    <border>
      <left/>
      <right style="thin">
        <color indexed="64"/>
      </right>
      <top style="hair">
        <color auto="1"/>
      </top>
      <bottom style="hair">
        <color auto="1"/>
      </bottom>
      <diagonal/>
    </border>
    <border>
      <left/>
      <right/>
      <top style="hair">
        <color auto="1"/>
      </top>
      <bottom style="medium">
        <color auto="1"/>
      </bottom>
      <diagonal/>
    </border>
    <border>
      <left style="thin">
        <color theme="2"/>
      </left>
      <right style="thin">
        <color indexed="64"/>
      </right>
      <top style="thin">
        <color theme="2"/>
      </top>
      <bottom style="thin">
        <color theme="2"/>
      </bottom>
      <diagonal/>
    </border>
    <border>
      <left style="thin">
        <color indexed="64"/>
      </left>
      <right style="thin">
        <color theme="2"/>
      </right>
      <top style="thin">
        <color theme="2"/>
      </top>
      <bottom style="thin">
        <color theme="2"/>
      </bottom>
      <diagonal/>
    </border>
  </borders>
  <cellStyleXfs count="8">
    <xf numFmtId="0" fontId="0" fillId="0" borderId="0"/>
    <xf numFmtId="167" fontId="1" fillId="0" borderId="0" applyFont="0" applyFill="0" applyBorder="0" applyAlignment="0" applyProtection="0"/>
    <xf numFmtId="9" fontId="1" fillId="0" borderId="0" applyFont="0" applyFill="0" applyBorder="0" applyAlignment="0" applyProtection="0"/>
    <xf numFmtId="0" fontId="2" fillId="2" borderId="0" applyNumberFormat="0" applyBorder="0" applyAlignment="0" applyProtection="0"/>
    <xf numFmtId="0" fontId="7" fillId="0" borderId="0" applyNumberFormat="0" applyFill="0" applyBorder="0" applyAlignment="0" applyProtection="0"/>
    <xf numFmtId="0" fontId="21" fillId="0" borderId="0"/>
    <xf numFmtId="0" fontId="26" fillId="30" borderId="0" applyNumberFormat="0" applyBorder="0" applyAlignment="0" applyProtection="0"/>
    <xf numFmtId="0" fontId="31" fillId="31" borderId="0" applyNumberFormat="0" applyBorder="0" applyAlignment="0" applyProtection="0"/>
  </cellStyleXfs>
  <cellXfs count="1665">
    <xf numFmtId="0" fontId="0" fillId="0" borderId="0" xfId="0"/>
    <xf numFmtId="0" fontId="3" fillId="3" borderId="1" xfId="0" applyFont="1" applyFill="1" applyBorder="1"/>
    <xf numFmtId="0" fontId="3" fillId="3" borderId="2" xfId="0" applyFont="1" applyFill="1" applyBorder="1"/>
    <xf numFmtId="0" fontId="3" fillId="3" borderId="3" xfId="0" applyFont="1" applyFill="1" applyBorder="1"/>
    <xf numFmtId="0" fontId="0" fillId="0" borderId="0" xfId="0" applyAlignment="1">
      <alignment horizontal="center"/>
    </xf>
    <xf numFmtId="14" fontId="0" fillId="0" borderId="0" xfId="0" applyNumberFormat="1"/>
    <xf numFmtId="49" fontId="0" fillId="0" borderId="0" xfId="0" applyNumberFormat="1"/>
    <xf numFmtId="0" fontId="0" fillId="0" borderId="0" xfId="0" applyAlignment="1">
      <alignment horizontal="center" vertical="center"/>
    </xf>
    <xf numFmtId="0" fontId="0" fillId="4" borderId="0" xfId="0" applyFill="1" applyProtection="1">
      <protection locked="0"/>
    </xf>
    <xf numFmtId="0" fontId="0" fillId="4" borderId="0" xfId="0" applyFill="1" applyAlignment="1" applyProtection="1">
      <alignment vertical="center"/>
      <protection locked="0"/>
    </xf>
    <xf numFmtId="0" fontId="0" fillId="4" borderId="11" xfId="0" applyFill="1" applyBorder="1" applyProtection="1">
      <protection locked="0" hidden="1"/>
    </xf>
    <xf numFmtId="0" fontId="0" fillId="4" borderId="19" xfId="0" applyFill="1" applyBorder="1" applyAlignment="1" applyProtection="1">
      <alignment vertical="top"/>
      <protection locked="0" hidden="1"/>
    </xf>
    <xf numFmtId="0" fontId="0" fillId="4" borderId="25" xfId="0" applyFill="1" applyBorder="1" applyProtection="1">
      <protection locked="0" hidden="1"/>
    </xf>
    <xf numFmtId="0" fontId="0" fillId="0" borderId="10" xfId="0" applyBorder="1" applyProtection="1">
      <protection locked="0"/>
    </xf>
    <xf numFmtId="0" fontId="0" fillId="4" borderId="0" xfId="0" applyFill="1"/>
    <xf numFmtId="0" fontId="0" fillId="4" borderId="0" xfId="0" applyFill="1" applyAlignment="1">
      <alignment vertical="center"/>
    </xf>
    <xf numFmtId="0" fontId="0" fillId="4" borderId="0" xfId="0" applyFill="1" applyAlignment="1">
      <alignment horizontal="center"/>
    </xf>
    <xf numFmtId="0" fontId="0" fillId="4" borderId="15" xfId="0" applyFill="1" applyBorder="1" applyAlignment="1">
      <alignment vertical="top"/>
    </xf>
    <xf numFmtId="0" fontId="0" fillId="4" borderId="59" xfId="0" applyFill="1" applyBorder="1" applyAlignment="1">
      <alignment vertical="top"/>
    </xf>
    <xf numFmtId="0" fontId="0" fillId="4" borderId="38" xfId="0" applyFill="1" applyBorder="1" applyAlignment="1">
      <alignment vertical="top"/>
    </xf>
    <xf numFmtId="0" fontId="0" fillId="4" borderId="0" xfId="0" applyFill="1" applyAlignment="1">
      <alignment horizontal="left" vertical="top"/>
    </xf>
    <xf numFmtId="0" fontId="0" fillId="4" borderId="73" xfId="0" applyFill="1" applyBorder="1" applyAlignment="1">
      <alignment vertical="top"/>
    </xf>
    <xf numFmtId="0" fontId="0" fillId="4" borderId="11" xfId="0" applyFill="1" applyBorder="1" applyAlignment="1" applyProtection="1">
      <alignment horizontal="center"/>
      <protection locked="0" hidden="1"/>
    </xf>
    <xf numFmtId="0" fontId="0" fillId="4" borderId="38" xfId="0" applyFill="1" applyBorder="1" applyProtection="1">
      <protection locked="0" hidden="1"/>
    </xf>
    <xf numFmtId="0" fontId="0" fillId="4" borderId="25" xfId="0" applyFill="1" applyBorder="1" applyAlignment="1" applyProtection="1">
      <alignment horizontal="center"/>
      <protection locked="0" hidden="1"/>
    </xf>
    <xf numFmtId="0" fontId="0" fillId="4" borderId="10" xfId="0" applyFill="1" applyBorder="1"/>
    <xf numFmtId="0" fontId="0" fillId="5" borderId="19" xfId="0" applyFill="1" applyBorder="1"/>
    <xf numFmtId="0" fontId="0" fillId="0" borderId="19" xfId="0" applyBorder="1"/>
    <xf numFmtId="0" fontId="0" fillId="0" borderId="0" xfId="0" applyAlignment="1">
      <alignment horizontal="center" wrapText="1"/>
    </xf>
    <xf numFmtId="0" fontId="0" fillId="0" borderId="23" xfId="0" applyBorder="1"/>
    <xf numFmtId="0" fontId="0" fillId="0" borderId="86" xfId="0" applyBorder="1"/>
    <xf numFmtId="0" fontId="0" fillId="0" borderId="19" xfId="0" applyBorder="1" applyAlignment="1">
      <alignment horizontal="center" vertical="top"/>
    </xf>
    <xf numFmtId="0" fontId="0" fillId="0" borderId="19" xfId="0" applyBorder="1" applyAlignment="1">
      <alignment vertical="top"/>
    </xf>
    <xf numFmtId="0" fontId="0" fillId="0" borderId="84" xfId="0" applyBorder="1" applyAlignment="1">
      <alignment vertical="top"/>
    </xf>
    <xf numFmtId="0" fontId="0" fillId="0" borderId="21" xfId="0" applyBorder="1" applyAlignment="1">
      <alignment vertical="top"/>
    </xf>
    <xf numFmtId="0" fontId="0" fillId="0" borderId="22" xfId="0" applyBorder="1" applyAlignment="1">
      <alignment vertical="top"/>
    </xf>
    <xf numFmtId="0" fontId="0" fillId="4" borderId="54" xfId="0" applyFill="1" applyBorder="1" applyAlignment="1">
      <alignment vertical="top"/>
    </xf>
    <xf numFmtId="0" fontId="6" fillId="4" borderId="0" xfId="0" applyFont="1" applyFill="1" applyAlignment="1">
      <alignment horizontal="center"/>
    </xf>
    <xf numFmtId="0" fontId="0" fillId="4" borderId="0" xfId="0" applyFill="1" applyAlignment="1">
      <alignment vertical="top"/>
    </xf>
    <xf numFmtId="0" fontId="0" fillId="4" borderId="0" xfId="0" applyFill="1" applyAlignment="1">
      <alignment horizontal="center" vertical="center"/>
    </xf>
    <xf numFmtId="0" fontId="0" fillId="6" borderId="90" xfId="0" applyFill="1" applyBorder="1"/>
    <xf numFmtId="0" fontId="0" fillId="5" borderId="50" xfId="0" applyFill="1" applyBorder="1" applyAlignment="1">
      <alignment horizontal="center" vertical="center"/>
    </xf>
    <xf numFmtId="0" fontId="0" fillId="5" borderId="17" xfId="0" applyFill="1" applyBorder="1" applyAlignment="1">
      <alignment horizontal="center" vertical="center" wrapText="1"/>
    </xf>
    <xf numFmtId="0" fontId="0" fillId="5" borderId="91" xfId="0" applyFill="1" applyBorder="1" applyAlignment="1">
      <alignment horizontal="center" vertical="center" wrapText="1"/>
    </xf>
    <xf numFmtId="0" fontId="0" fillId="0" borderId="80" xfId="0" applyBorder="1" applyAlignment="1">
      <alignment horizontal="center" vertical="center"/>
    </xf>
    <xf numFmtId="0" fontId="0" fillId="0" borderId="92" xfId="0" applyBorder="1" applyAlignment="1">
      <alignment horizontal="center" vertical="center"/>
    </xf>
    <xf numFmtId="0" fontId="0" fillId="0" borderId="19" xfId="0" applyBorder="1" applyAlignment="1">
      <alignment horizontal="center" vertical="center"/>
    </xf>
    <xf numFmtId="0" fontId="0" fillId="0" borderId="72" xfId="0" applyBorder="1" applyAlignment="1">
      <alignment horizontal="center" vertical="center"/>
    </xf>
    <xf numFmtId="0" fontId="0" fillId="0" borderId="19" xfId="0" applyBorder="1" applyAlignment="1">
      <alignment horizontal="center" vertical="center" wrapText="1"/>
    </xf>
    <xf numFmtId="0" fontId="0" fillId="0" borderId="72" xfId="0" applyBorder="1" applyAlignment="1">
      <alignment horizontal="center" vertical="center" wrapText="1"/>
    </xf>
    <xf numFmtId="0" fontId="0" fillId="0" borderId="19" xfId="0" applyBorder="1" applyAlignment="1">
      <alignment vertical="center"/>
    </xf>
    <xf numFmtId="0" fontId="0" fillId="0" borderId="72" xfId="0" applyBorder="1" applyAlignment="1">
      <alignment vertical="center"/>
    </xf>
    <xf numFmtId="0" fontId="0" fillId="0" borderId="84" xfId="0" applyBorder="1" applyAlignment="1">
      <alignment horizontal="center" vertical="center"/>
    </xf>
    <xf numFmtId="0" fontId="0" fillId="0" borderId="93" xfId="0" applyBorder="1" applyAlignment="1">
      <alignment horizontal="center" vertical="center"/>
    </xf>
    <xf numFmtId="0" fontId="0" fillId="8" borderId="0" xfId="0" applyFill="1"/>
    <xf numFmtId="169" fontId="0" fillId="0" borderId="0" xfId="0" applyNumberFormat="1"/>
    <xf numFmtId="0" fontId="0" fillId="6" borderId="19" xfId="0" applyFill="1" applyBorder="1" applyAlignment="1">
      <alignment horizontal="center" vertical="center"/>
    </xf>
    <xf numFmtId="0" fontId="0" fillId="6" borderId="37" xfId="0" applyFill="1" applyBorder="1" applyAlignment="1">
      <alignment horizontal="center" vertical="center"/>
    </xf>
    <xf numFmtId="0" fontId="0" fillId="6" borderId="19" xfId="0" applyFill="1" applyBorder="1"/>
    <xf numFmtId="169" fontId="0" fillId="0" borderId="19" xfId="0" applyNumberFormat="1" applyBorder="1" applyAlignment="1">
      <alignment horizontal="center" vertical="center"/>
    </xf>
    <xf numFmtId="0" fontId="0" fillId="5" borderId="0" xfId="0" applyFill="1" applyAlignment="1">
      <alignment horizontal="center"/>
    </xf>
    <xf numFmtId="10" fontId="0" fillId="0" borderId="0" xfId="0" applyNumberFormat="1"/>
    <xf numFmtId="169" fontId="0" fillId="0" borderId="0" xfId="0" applyNumberFormat="1" applyAlignment="1">
      <alignment horizontal="center"/>
    </xf>
    <xf numFmtId="169" fontId="0" fillId="0" borderId="0" xfId="0" applyNumberFormat="1" applyAlignment="1">
      <alignment horizontal="center" vertical="center"/>
    </xf>
    <xf numFmtId="3" fontId="0" fillId="0" borderId="0" xfId="0" applyNumberFormat="1" applyAlignment="1">
      <alignment horizontal="center"/>
    </xf>
    <xf numFmtId="2" fontId="0" fillId="0" borderId="0" xfId="0" applyNumberFormat="1" applyAlignment="1">
      <alignment horizontal="center"/>
    </xf>
    <xf numFmtId="170" fontId="0" fillId="0" borderId="0" xfId="0" applyNumberFormat="1" applyAlignment="1">
      <alignment horizontal="center"/>
    </xf>
    <xf numFmtId="0" fontId="0" fillId="6" borderId="11" xfId="0" applyFill="1" applyBorder="1" applyAlignment="1">
      <alignment horizontal="center" vertical="center"/>
    </xf>
    <xf numFmtId="0" fontId="0" fillId="6" borderId="59" xfId="0" applyFill="1" applyBorder="1" applyAlignment="1">
      <alignment horizontal="center" vertical="center"/>
    </xf>
    <xf numFmtId="0" fontId="4" fillId="5" borderId="97" xfId="0" applyFont="1" applyFill="1" applyBorder="1"/>
    <xf numFmtId="0" fontId="4" fillId="4" borderId="0" xfId="0" applyFont="1" applyFill="1"/>
    <xf numFmtId="0" fontId="0" fillId="5" borderId="102" xfId="0" applyFill="1" applyBorder="1"/>
    <xf numFmtId="0" fontId="0" fillId="5" borderId="106" xfId="0" applyFill="1" applyBorder="1" applyAlignment="1">
      <alignment horizontal="left"/>
    </xf>
    <xf numFmtId="0" fontId="4" fillId="5" borderId="0" xfId="0" applyFont="1" applyFill="1"/>
    <xf numFmtId="0" fontId="0" fillId="5" borderId="0" xfId="0" applyFill="1"/>
    <xf numFmtId="0" fontId="10" fillId="5" borderId="0" xfId="0" applyFont="1" applyFill="1"/>
    <xf numFmtId="0" fontId="10" fillId="0" borderId="0" xfId="0" applyFont="1"/>
    <xf numFmtId="0" fontId="10" fillId="5" borderId="0" xfId="0" applyFont="1" applyFill="1" applyAlignment="1">
      <alignment horizontal="center"/>
    </xf>
    <xf numFmtId="0" fontId="6" fillId="0" borderId="0" xfId="0" applyFont="1" applyAlignment="1">
      <alignment horizontal="center"/>
    </xf>
    <xf numFmtId="0" fontId="6" fillId="5" borderId="0" xfId="0" applyFont="1" applyFill="1"/>
    <xf numFmtId="0" fontId="0" fillId="5" borderId="109" xfId="0" applyFill="1" applyBorder="1"/>
    <xf numFmtId="0" fontId="4" fillId="5" borderId="0" xfId="0" applyFont="1" applyFill="1" applyAlignment="1">
      <alignment horizontal="left" indent="3"/>
    </xf>
    <xf numFmtId="0" fontId="4" fillId="5" borderId="0" xfId="0" applyFont="1" applyFill="1" applyAlignment="1">
      <alignment horizontal="center"/>
    </xf>
    <xf numFmtId="167" fontId="0" fillId="5" borderId="0" xfId="1" applyFont="1" applyFill="1" applyAlignment="1"/>
    <xf numFmtId="167" fontId="0" fillId="4" borderId="0" xfId="1" applyFont="1" applyFill="1" applyAlignment="1">
      <alignment horizontal="center"/>
    </xf>
    <xf numFmtId="0" fontId="12" fillId="5" borderId="0" xfId="0" applyFont="1" applyFill="1" applyAlignment="1">
      <alignment horizontal="left" wrapText="1"/>
    </xf>
    <xf numFmtId="0" fontId="13" fillId="5" borderId="0" xfId="0" applyFont="1" applyFill="1" applyAlignment="1">
      <alignment horizontal="left" wrapText="1"/>
    </xf>
    <xf numFmtId="0" fontId="4" fillId="6" borderId="20" xfId="0" applyFont="1" applyFill="1" applyBorder="1" applyAlignment="1">
      <alignment horizontal="center" vertical="center"/>
    </xf>
    <xf numFmtId="0" fontId="14" fillId="0" borderId="0" xfId="0" applyFont="1"/>
    <xf numFmtId="10" fontId="14" fillId="0" borderId="0" xfId="0" applyNumberFormat="1" applyFont="1"/>
    <xf numFmtId="0" fontId="10" fillId="0" borderId="0" xfId="0" applyFont="1" applyAlignment="1">
      <alignment horizontal="center"/>
    </xf>
    <xf numFmtId="0" fontId="0" fillId="0" borderId="19" xfId="0" applyBorder="1" applyAlignment="1">
      <alignment horizontal="center"/>
    </xf>
    <xf numFmtId="0" fontId="0" fillId="0" borderId="0" xfId="0" applyAlignment="1">
      <alignment horizontal="left"/>
    </xf>
    <xf numFmtId="0" fontId="0" fillId="17" borderId="0" xfId="0" applyFill="1"/>
    <xf numFmtId="0" fontId="0" fillId="18" borderId="0" xfId="0" applyFill="1"/>
    <xf numFmtId="0" fontId="0" fillId="19" borderId="0" xfId="0" applyFill="1"/>
    <xf numFmtId="0" fontId="0" fillId="20" borderId="0" xfId="0" applyFill="1"/>
    <xf numFmtId="0" fontId="0" fillId="21" borderId="0" xfId="0" applyFill="1"/>
    <xf numFmtId="169" fontId="0" fillId="5" borderId="19" xfId="0" applyNumberFormat="1" applyFill="1" applyBorder="1" applyAlignment="1">
      <alignment horizontal="center"/>
    </xf>
    <xf numFmtId="0" fontId="0" fillId="5" borderId="19" xfId="0" applyFill="1" applyBorder="1" applyAlignment="1">
      <alignment horizontal="center"/>
    </xf>
    <xf numFmtId="169" fontId="0" fillId="5" borderId="19" xfId="0" applyNumberFormat="1" applyFill="1" applyBorder="1" applyAlignment="1">
      <alignment horizontal="center" vertical="center"/>
    </xf>
    <xf numFmtId="0" fontId="0" fillId="0" borderId="11" xfId="0" applyBorder="1"/>
    <xf numFmtId="0" fontId="0" fillId="22" borderId="0" xfId="0" applyFill="1"/>
    <xf numFmtId="171" fontId="0" fillId="0" borderId="0" xfId="0" applyNumberFormat="1" applyAlignment="1">
      <alignment horizontal="center"/>
    </xf>
    <xf numFmtId="0" fontId="0" fillId="23" borderId="0" xfId="0" applyFill="1"/>
    <xf numFmtId="0" fontId="4" fillId="0" borderId="9" xfId="0" applyFont="1" applyBorder="1" applyAlignment="1">
      <alignment horizontal="center"/>
    </xf>
    <xf numFmtId="0" fontId="0" fillId="0" borderId="111" xfId="0" applyBorder="1"/>
    <xf numFmtId="169" fontId="4" fillId="0" borderId="112" xfId="0" applyNumberFormat="1" applyFont="1" applyBorder="1" applyAlignment="1">
      <alignment horizontal="center"/>
    </xf>
    <xf numFmtId="169" fontId="4" fillId="0" borderId="113" xfId="0" applyNumberFormat="1" applyFont="1" applyBorder="1" applyAlignment="1">
      <alignment horizontal="center"/>
    </xf>
    <xf numFmtId="169" fontId="4" fillId="0" borderId="114" xfId="0" applyNumberFormat="1" applyFont="1" applyBorder="1" applyAlignment="1">
      <alignment horizontal="center"/>
    </xf>
    <xf numFmtId="169" fontId="0" fillId="0" borderId="115" xfId="0" applyNumberFormat="1" applyBorder="1" applyAlignment="1">
      <alignment horizontal="center"/>
    </xf>
    <xf numFmtId="0" fontId="0" fillId="0" borderId="116" xfId="0" applyBorder="1"/>
    <xf numFmtId="169" fontId="0" fillId="0" borderId="8" xfId="0" applyNumberFormat="1" applyBorder="1" applyAlignment="1">
      <alignment horizontal="center"/>
    </xf>
    <xf numFmtId="169" fontId="0" fillId="0" borderId="117" xfId="0" applyNumberFormat="1" applyBorder="1" applyAlignment="1">
      <alignment horizontal="center"/>
    </xf>
    <xf numFmtId="169" fontId="0" fillId="0" borderId="118" xfId="0" applyNumberFormat="1" applyBorder="1" applyAlignment="1">
      <alignment horizontal="center"/>
    </xf>
    <xf numFmtId="1" fontId="0" fillId="0" borderId="0" xfId="0" applyNumberFormat="1" applyAlignment="1">
      <alignment horizontal="center"/>
    </xf>
    <xf numFmtId="0" fontId="0" fillId="0" borderId="98" xfId="0" applyBorder="1"/>
    <xf numFmtId="0" fontId="0" fillId="0" borderId="99" xfId="0" applyBorder="1"/>
    <xf numFmtId="0" fontId="0" fillId="6" borderId="20" xfId="0" applyFill="1" applyBorder="1" applyAlignment="1">
      <alignment horizontal="center" vertical="center"/>
    </xf>
    <xf numFmtId="0" fontId="0" fillId="4" borderId="37" xfId="0" applyFill="1" applyBorder="1" applyAlignment="1">
      <alignment horizontal="center" vertical="center"/>
    </xf>
    <xf numFmtId="169" fontId="0" fillId="0" borderId="97" xfId="0" applyNumberFormat="1" applyBorder="1"/>
    <xf numFmtId="169" fontId="0" fillId="0" borderId="98" xfId="0" applyNumberFormat="1" applyBorder="1"/>
    <xf numFmtId="169" fontId="0" fillId="0" borderId="99" xfId="0" applyNumberFormat="1" applyBorder="1"/>
    <xf numFmtId="0" fontId="0" fillId="5" borderId="36" xfId="0" applyFill="1" applyBorder="1"/>
    <xf numFmtId="0" fontId="0" fillId="0" borderId="0" xfId="0" quotePrefix="1" applyAlignment="1">
      <alignment horizontal="center"/>
    </xf>
    <xf numFmtId="0" fontId="0" fillId="0" borderId="0" xfId="0" quotePrefix="1"/>
    <xf numFmtId="0" fontId="0" fillId="0" borderId="37" xfId="0" applyBorder="1"/>
    <xf numFmtId="0" fontId="6" fillId="0" borderId="0" xfId="0" applyFont="1"/>
    <xf numFmtId="0" fontId="16" fillId="0" borderId="0" xfId="0" applyFont="1"/>
    <xf numFmtId="0" fontId="0" fillId="0" borderId="20" xfId="0" applyBorder="1" applyAlignment="1">
      <alignment vertical="center"/>
    </xf>
    <xf numFmtId="0" fontId="0" fillId="0" borderId="37" xfId="0" applyBorder="1" applyAlignment="1">
      <alignment horizontal="left" wrapText="1"/>
    </xf>
    <xf numFmtId="0" fontId="4" fillId="0" borderId="0" xfId="0" applyFont="1"/>
    <xf numFmtId="0" fontId="0" fillId="0" borderId="0" xfId="0" applyAlignment="1">
      <alignment horizontal="left" vertical="center"/>
    </xf>
    <xf numFmtId="0" fontId="0" fillId="0" borderId="0" xfId="0" applyAlignment="1">
      <alignment wrapText="1"/>
    </xf>
    <xf numFmtId="0" fontId="0" fillId="0" borderId="0" xfId="0" applyAlignment="1">
      <alignment vertical="center"/>
    </xf>
    <xf numFmtId="0" fontId="0" fillId="0" borderId="0" xfId="0" applyAlignment="1">
      <alignment vertical="center" wrapText="1"/>
    </xf>
    <xf numFmtId="0" fontId="0" fillId="5" borderId="54" xfId="0" applyFill="1" applyBorder="1"/>
    <xf numFmtId="0" fontId="0" fillId="5" borderId="58" xfId="0" applyFill="1" applyBorder="1"/>
    <xf numFmtId="0" fontId="0" fillId="0" borderId="54" xfId="0" applyBorder="1"/>
    <xf numFmtId="0" fontId="0" fillId="4" borderId="29" xfId="0" applyFill="1" applyBorder="1"/>
    <xf numFmtId="0" fontId="0" fillId="4" borderId="96" xfId="0" applyFill="1" applyBorder="1"/>
    <xf numFmtId="0" fontId="0" fillId="4" borderId="82" xfId="0" applyFill="1" applyBorder="1"/>
    <xf numFmtId="0" fontId="0" fillId="4" borderId="89" xfId="0" applyFill="1" applyBorder="1"/>
    <xf numFmtId="0" fontId="0" fillId="4" borderId="119" xfId="0" applyFill="1" applyBorder="1"/>
    <xf numFmtId="0" fontId="4" fillId="5" borderId="78" xfId="0" applyFont="1" applyFill="1" applyBorder="1"/>
    <xf numFmtId="0" fontId="4" fillId="5" borderId="79" xfId="0" applyFont="1" applyFill="1" applyBorder="1"/>
    <xf numFmtId="0" fontId="0" fillId="4" borderId="120" xfId="0" applyFill="1" applyBorder="1"/>
    <xf numFmtId="0" fontId="0" fillId="4" borderId="121" xfId="0" applyFill="1" applyBorder="1" applyAlignment="1">
      <alignment horizontal="center"/>
    </xf>
    <xf numFmtId="0" fontId="0" fillId="4" borderId="41" xfId="0" applyFill="1" applyBorder="1"/>
    <xf numFmtId="0" fontId="4" fillId="5" borderId="86" xfId="0" applyFont="1" applyFill="1" applyBorder="1" applyAlignment="1">
      <alignment horizontal="center"/>
    </xf>
    <xf numFmtId="0" fontId="0" fillId="4" borderId="81" xfId="0" applyFill="1" applyBorder="1" applyAlignment="1">
      <alignment horizontal="left"/>
    </xf>
    <xf numFmtId="0" fontId="0" fillId="4" borderId="119" xfId="0" applyFill="1" applyBorder="1" applyAlignment="1">
      <alignment horizontal="center"/>
    </xf>
    <xf numFmtId="0" fontId="0" fillId="4" borderId="82" xfId="0" applyFill="1" applyBorder="1" applyAlignment="1">
      <alignment horizontal="center"/>
    </xf>
    <xf numFmtId="0" fontId="0" fillId="4" borderId="81" xfId="0" applyFill="1" applyBorder="1" applyAlignment="1">
      <alignment horizontal="center"/>
    </xf>
    <xf numFmtId="0" fontId="4" fillId="0" borderId="0" xfId="0" applyFont="1" applyAlignment="1">
      <alignment horizontal="center"/>
    </xf>
    <xf numFmtId="9" fontId="0" fillId="0" borderId="0" xfId="0" applyNumberFormat="1"/>
    <xf numFmtId="0" fontId="0" fillId="4" borderId="30" xfId="0" applyFill="1" applyBorder="1" applyProtection="1">
      <protection locked="0" hidden="1"/>
    </xf>
    <xf numFmtId="0" fontId="0" fillId="4" borderId="0" xfId="0" applyFill="1" applyAlignment="1" applyProtection="1">
      <alignment horizontal="left" vertical="top"/>
      <protection locked="0"/>
    </xf>
    <xf numFmtId="0" fontId="0" fillId="4" borderId="0" xfId="0" applyFill="1" applyAlignment="1" applyProtection="1">
      <alignment horizontal="left"/>
      <protection locked="0"/>
    </xf>
    <xf numFmtId="2" fontId="0" fillId="4" borderId="0" xfId="0" applyNumberFormat="1" applyFill="1" applyProtection="1">
      <protection locked="0"/>
    </xf>
    <xf numFmtId="9" fontId="0" fillId="4" borderId="0" xfId="0" applyNumberFormat="1" applyFill="1" applyProtection="1">
      <protection locked="0"/>
    </xf>
    <xf numFmtId="168" fontId="0" fillId="0" borderId="0" xfId="0" applyNumberFormat="1"/>
    <xf numFmtId="0" fontId="0" fillId="5" borderId="124" xfId="0" applyFill="1" applyBorder="1" applyAlignment="1">
      <alignment horizontal="left"/>
    </xf>
    <xf numFmtId="0" fontId="0" fillId="5" borderId="45" xfId="0" applyFill="1" applyBorder="1" applyProtection="1">
      <protection locked="0" hidden="1"/>
    </xf>
    <xf numFmtId="0" fontId="0" fillId="5" borderId="46" xfId="0" applyFill="1" applyBorder="1" applyProtection="1">
      <protection locked="0" hidden="1"/>
    </xf>
    <xf numFmtId="0" fontId="0" fillId="5" borderId="47" xfId="0" applyFill="1" applyBorder="1" applyProtection="1">
      <protection locked="0" hidden="1"/>
    </xf>
    <xf numFmtId="0" fontId="0" fillId="4" borderId="0" xfId="0" applyFill="1" applyProtection="1">
      <protection locked="0" hidden="1"/>
    </xf>
    <xf numFmtId="14" fontId="0" fillId="4" borderId="54" xfId="0" applyNumberFormat="1" applyFill="1" applyBorder="1" applyAlignment="1" applyProtection="1">
      <alignment horizontal="left"/>
      <protection locked="0" hidden="1"/>
    </xf>
    <xf numFmtId="14" fontId="0" fillId="4" borderId="60" xfId="0" applyNumberFormat="1" applyFill="1" applyBorder="1" applyAlignment="1" applyProtection="1">
      <alignment horizontal="left"/>
      <protection locked="0" hidden="1"/>
    </xf>
    <xf numFmtId="168" fontId="0" fillId="4" borderId="0" xfId="0" applyNumberFormat="1" applyFill="1" applyProtection="1">
      <protection locked="0"/>
    </xf>
    <xf numFmtId="2" fontId="0" fillId="0" borderId="0" xfId="0" applyNumberFormat="1"/>
    <xf numFmtId="9" fontId="0" fillId="23" borderId="0" xfId="0" applyNumberFormat="1" applyFill="1"/>
    <xf numFmtId="10" fontId="0" fillId="23" borderId="0" xfId="0" applyNumberFormat="1" applyFill="1"/>
    <xf numFmtId="0" fontId="0" fillId="4" borderId="0" xfId="0" applyFill="1" applyProtection="1">
      <protection hidden="1"/>
    </xf>
    <xf numFmtId="0" fontId="0" fillId="5" borderId="81" xfId="0" applyFill="1" applyBorder="1"/>
    <xf numFmtId="0" fontId="4" fillId="5" borderId="133" xfId="0" applyFont="1" applyFill="1" applyBorder="1"/>
    <xf numFmtId="0" fontId="4" fillId="5" borderId="135" xfId="0" applyFont="1" applyFill="1" applyBorder="1" applyAlignment="1">
      <alignment horizontal="left"/>
    </xf>
    <xf numFmtId="0" fontId="0" fillId="4" borderId="88" xfId="0" applyFill="1" applyBorder="1"/>
    <xf numFmtId="0" fontId="0" fillId="4" borderId="81" xfId="0" applyFill="1" applyBorder="1"/>
    <xf numFmtId="14" fontId="0" fillId="4" borderId="0" xfId="0" applyNumberFormat="1" applyFill="1"/>
    <xf numFmtId="0" fontId="4" fillId="4" borderId="59" xfId="0" applyFont="1" applyFill="1" applyBorder="1" applyAlignment="1">
      <alignment vertical="top"/>
    </xf>
    <xf numFmtId="0" fontId="4" fillId="4" borderId="54" xfId="0" applyFont="1" applyFill="1" applyBorder="1" applyAlignment="1">
      <alignment vertical="top"/>
    </xf>
    <xf numFmtId="0" fontId="0" fillId="4" borderId="78" xfId="0" applyFill="1" applyBorder="1" applyAlignment="1">
      <alignment horizontal="center" vertical="center"/>
    </xf>
    <xf numFmtId="49" fontId="0" fillId="4" borderId="35" xfId="0" applyNumberFormat="1" applyFill="1" applyBorder="1" applyAlignment="1">
      <alignment vertical="center"/>
    </xf>
    <xf numFmtId="0" fontId="5" fillId="4" borderId="13" xfId="0" applyFont="1" applyFill="1" applyBorder="1" applyAlignment="1" applyProtection="1">
      <alignment horizontal="center" vertical="top"/>
      <protection locked="0" hidden="1"/>
    </xf>
    <xf numFmtId="0" fontId="5" fillId="4" borderId="64" xfId="0" applyFont="1" applyFill="1" applyBorder="1" applyAlignment="1" applyProtection="1">
      <alignment horizontal="center" vertical="top"/>
      <protection locked="0" hidden="1"/>
    </xf>
    <xf numFmtId="0" fontId="5" fillId="4" borderId="64" xfId="0" applyFont="1" applyFill="1" applyBorder="1" applyAlignment="1" applyProtection="1">
      <alignment horizontal="center" vertical="center"/>
      <protection locked="0" hidden="1"/>
    </xf>
    <xf numFmtId="0" fontId="0" fillId="4" borderId="26" xfId="0" applyFill="1" applyBorder="1" applyProtection="1">
      <protection locked="0" hidden="1"/>
    </xf>
    <xf numFmtId="0" fontId="0" fillId="4" borderId="20" xfId="0" applyFill="1" applyBorder="1" applyProtection="1">
      <protection locked="0" hidden="1"/>
    </xf>
    <xf numFmtId="0" fontId="0" fillId="4" borderId="23" xfId="0" applyFill="1" applyBorder="1" applyProtection="1">
      <protection locked="0" hidden="1"/>
    </xf>
    <xf numFmtId="0" fontId="18" fillId="4" borderId="0" xfId="0" applyFont="1" applyFill="1" applyAlignment="1">
      <alignment horizontal="center"/>
    </xf>
    <xf numFmtId="0" fontId="0" fillId="4" borderId="51" xfId="0" applyFill="1" applyBorder="1" applyProtection="1">
      <protection locked="0"/>
    </xf>
    <xf numFmtId="0" fontId="0" fillId="4" borderId="52" xfId="0" applyFill="1" applyBorder="1" applyProtection="1">
      <protection locked="0"/>
    </xf>
    <xf numFmtId="0" fontId="4" fillId="0" borderId="49" xfId="0" applyFont="1" applyBorder="1" applyAlignment="1">
      <alignment vertical="center"/>
    </xf>
    <xf numFmtId="0" fontId="4" fillId="0" borderId="75" xfId="0" applyFont="1" applyBorder="1" applyAlignment="1">
      <alignment vertical="center"/>
    </xf>
    <xf numFmtId="0" fontId="4" fillId="0" borderId="41" xfId="0" applyFont="1" applyBorder="1" applyAlignment="1">
      <alignment horizontal="center" vertical="center"/>
    </xf>
    <xf numFmtId="0" fontId="4" fillId="0" borderId="44" xfId="0" applyFont="1" applyBorder="1" applyAlignment="1">
      <alignment horizontal="center" vertical="center"/>
    </xf>
    <xf numFmtId="0" fontId="0" fillId="4" borderId="138" xfId="0" applyFill="1" applyBorder="1" applyAlignment="1">
      <alignment vertical="top"/>
    </xf>
    <xf numFmtId="0" fontId="0" fillId="4" borderId="139" xfId="0" applyFill="1" applyBorder="1" applyAlignment="1">
      <alignment vertical="top"/>
    </xf>
    <xf numFmtId="0" fontId="0" fillId="4" borderId="140" xfId="0" applyFill="1" applyBorder="1"/>
    <xf numFmtId="2" fontId="0" fillId="4" borderId="141" xfId="0" applyNumberFormat="1" applyFill="1" applyBorder="1" applyAlignment="1">
      <alignment horizontal="center"/>
    </xf>
    <xf numFmtId="0" fontId="0" fillId="4" borderId="84" xfId="0" applyFill="1" applyBorder="1"/>
    <xf numFmtId="2" fontId="0" fillId="4" borderId="93" xfId="0" applyNumberFormat="1" applyFill="1" applyBorder="1" applyAlignment="1">
      <alignment horizontal="center"/>
    </xf>
    <xf numFmtId="0" fontId="0" fillId="4" borderId="41" xfId="0" applyFill="1" applyBorder="1" applyAlignment="1" applyProtection="1">
      <alignment horizontal="left" vertical="top"/>
      <protection locked="0" hidden="1"/>
    </xf>
    <xf numFmtId="0" fontId="0" fillId="5" borderId="4" xfId="0" applyFill="1" applyBorder="1" applyProtection="1">
      <protection locked="0" hidden="1"/>
    </xf>
    <xf numFmtId="0" fontId="0" fillId="5" borderId="5" xfId="0" applyFill="1" applyBorder="1" applyAlignment="1" applyProtection="1">
      <alignment horizontal="center"/>
      <protection locked="0" hidden="1"/>
    </xf>
    <xf numFmtId="0" fontId="0" fillId="5" borderId="5" xfId="0" applyFill="1" applyBorder="1" applyAlignment="1" applyProtection="1">
      <alignment horizontal="center" vertical="center" wrapText="1"/>
      <protection locked="0" hidden="1"/>
    </xf>
    <xf numFmtId="0" fontId="0" fillId="5" borderId="0" xfId="0" applyFill="1" applyAlignment="1" applyProtection="1">
      <alignment horizontal="center"/>
      <protection locked="0" hidden="1"/>
    </xf>
    <xf numFmtId="0" fontId="0" fillId="5" borderId="19" xfId="0" applyFill="1" applyBorder="1" applyAlignment="1" applyProtection="1">
      <alignment horizontal="center"/>
      <protection locked="0" hidden="1"/>
    </xf>
    <xf numFmtId="0" fontId="0" fillId="5" borderId="5" xfId="0" applyFill="1" applyBorder="1" applyAlignment="1" applyProtection="1">
      <alignment horizontal="center" wrapText="1"/>
      <protection locked="0" hidden="1"/>
    </xf>
    <xf numFmtId="0" fontId="0" fillId="5" borderId="12" xfId="0" applyFill="1" applyBorder="1" applyAlignment="1" applyProtection="1">
      <alignment horizontal="center"/>
      <protection locked="0" hidden="1"/>
    </xf>
    <xf numFmtId="0" fontId="0" fillId="5" borderId="8" xfId="0" applyFill="1" applyBorder="1" applyAlignment="1" applyProtection="1">
      <alignment horizontal="center" wrapText="1"/>
      <protection locked="0" hidden="1"/>
    </xf>
    <xf numFmtId="0" fontId="0" fillId="4" borderId="17" xfId="0" applyFill="1" applyBorder="1" applyAlignment="1" applyProtection="1">
      <alignment horizontal="center" vertical="top"/>
      <protection locked="0" hidden="1"/>
    </xf>
    <xf numFmtId="0" fontId="0" fillId="4" borderId="19" xfId="0" applyFill="1" applyBorder="1" applyAlignment="1" applyProtection="1">
      <alignment horizontal="center"/>
      <protection locked="0" hidden="1"/>
    </xf>
    <xf numFmtId="0" fontId="0" fillId="4" borderId="63" xfId="0" applyFill="1" applyBorder="1" applyProtection="1">
      <protection locked="0" hidden="1"/>
    </xf>
    <xf numFmtId="0" fontId="0" fillId="4" borderId="30" xfId="0" applyFill="1" applyBorder="1" applyAlignment="1" applyProtection="1">
      <alignment horizontal="center" vertical="top"/>
      <protection locked="0" hidden="1"/>
    </xf>
    <xf numFmtId="0" fontId="0" fillId="4" borderId="28" xfId="0" applyFill="1" applyBorder="1" applyProtection="1">
      <protection locked="0" hidden="1"/>
    </xf>
    <xf numFmtId="0" fontId="0" fillId="4" borderId="35" xfId="0" applyFill="1" applyBorder="1" applyAlignment="1" applyProtection="1">
      <alignment vertical="top"/>
      <protection locked="0" hidden="1"/>
    </xf>
    <xf numFmtId="0" fontId="0" fillId="4" borderId="30" xfId="0" applyFill="1" applyBorder="1" applyAlignment="1" applyProtection="1">
      <alignment vertical="top"/>
      <protection locked="0" hidden="1"/>
    </xf>
    <xf numFmtId="0" fontId="0" fillId="5" borderId="8" xfId="0" applyFill="1" applyBorder="1" applyAlignment="1" applyProtection="1">
      <alignment horizontal="center" vertical="center" wrapText="1"/>
      <protection locked="0" hidden="1"/>
    </xf>
    <xf numFmtId="0" fontId="0" fillId="6" borderId="154" xfId="0" applyFill="1" applyBorder="1" applyAlignment="1" applyProtection="1">
      <alignment horizontal="center" vertical="center"/>
      <protection locked="0" hidden="1"/>
    </xf>
    <xf numFmtId="0" fontId="0" fillId="4" borderId="149" xfId="0" applyFill="1" applyBorder="1" applyProtection="1">
      <protection locked="0" hidden="1"/>
    </xf>
    <xf numFmtId="0" fontId="0" fillId="4" borderId="56" xfId="0" applyFill="1" applyBorder="1" applyProtection="1">
      <protection locked="0" hidden="1"/>
    </xf>
    <xf numFmtId="1" fontId="0" fillId="4" borderId="0" xfId="0" applyNumberFormat="1" applyFill="1" applyProtection="1">
      <protection locked="0"/>
    </xf>
    <xf numFmtId="0" fontId="5" fillId="5" borderId="11" xfId="0" applyFont="1" applyFill="1" applyBorder="1" applyAlignment="1" applyProtection="1">
      <alignment horizontal="center" vertical="top"/>
      <protection locked="0" hidden="1"/>
    </xf>
    <xf numFmtId="0" fontId="0" fillId="5" borderId="30" xfId="0" applyFill="1" applyBorder="1" applyProtection="1">
      <protection locked="0" hidden="1"/>
    </xf>
    <xf numFmtId="0" fontId="0" fillId="5" borderId="30" xfId="0" applyFill="1" applyBorder="1" applyAlignment="1" applyProtection="1">
      <alignment horizontal="left" vertical="top"/>
      <protection locked="0" hidden="1"/>
    </xf>
    <xf numFmtId="0" fontId="0" fillId="5" borderId="19" xfId="0" applyFill="1" applyBorder="1" applyProtection="1">
      <protection locked="0" hidden="1"/>
    </xf>
    <xf numFmtId="0" fontId="0" fillId="5" borderId="19" xfId="0" applyFill="1" applyBorder="1" applyAlignment="1" applyProtection="1">
      <alignment vertical="top"/>
      <protection locked="0" hidden="1"/>
    </xf>
    <xf numFmtId="0" fontId="0" fillId="5" borderId="22" xfId="0" applyFill="1" applyBorder="1" applyProtection="1">
      <protection locked="0" hidden="1"/>
    </xf>
    <xf numFmtId="0" fontId="0" fillId="5" borderId="21" xfId="0" applyFill="1" applyBorder="1" applyProtection="1">
      <protection locked="0" hidden="1"/>
    </xf>
    <xf numFmtId="0" fontId="0" fillId="5" borderId="23" xfId="0" applyFill="1" applyBorder="1" applyAlignment="1" applyProtection="1">
      <alignment horizontal="center" vertical="center"/>
      <protection locked="0" hidden="1"/>
    </xf>
    <xf numFmtId="2" fontId="0" fillId="5" borderId="25" xfId="0" applyNumberFormat="1" applyFill="1" applyBorder="1" applyAlignment="1" applyProtection="1">
      <alignment horizontal="center" vertical="center"/>
      <protection locked="0" hidden="1"/>
    </xf>
    <xf numFmtId="0" fontId="0" fillId="5" borderId="11" xfId="0" applyFill="1" applyBorder="1" applyAlignment="1" applyProtection="1">
      <alignment horizontal="left" vertical="top"/>
      <protection locked="0" hidden="1"/>
    </xf>
    <xf numFmtId="0" fontId="0" fillId="5" borderId="25" xfId="0" applyFill="1" applyBorder="1" applyAlignment="1" applyProtection="1">
      <alignment horizontal="center" vertical="center"/>
      <protection locked="0" hidden="1"/>
    </xf>
    <xf numFmtId="0" fontId="0" fillId="6" borderId="11" xfId="0" applyFill="1" applyBorder="1" applyProtection="1">
      <protection locked="0" hidden="1"/>
    </xf>
    <xf numFmtId="0" fontId="5" fillId="6" borderId="11" xfId="0" applyFont="1" applyFill="1" applyBorder="1" applyAlignment="1" applyProtection="1">
      <alignment horizontal="center" vertical="top"/>
      <protection locked="0" hidden="1"/>
    </xf>
    <xf numFmtId="0" fontId="0" fillId="6" borderId="17" xfId="0" applyFill="1" applyBorder="1" applyProtection="1">
      <protection locked="0" hidden="1"/>
    </xf>
    <xf numFmtId="0" fontId="5" fillId="6" borderId="17" xfId="0" applyFont="1" applyFill="1" applyBorder="1" applyAlignment="1" applyProtection="1">
      <alignment vertical="top"/>
      <protection locked="0" hidden="1"/>
    </xf>
    <xf numFmtId="0" fontId="0" fillId="6" borderId="19" xfId="0" applyFill="1" applyBorder="1" applyProtection="1">
      <protection locked="0" hidden="1"/>
    </xf>
    <xf numFmtId="0" fontId="0" fillId="6" borderId="19" xfId="0" applyFill="1" applyBorder="1" applyAlignment="1" applyProtection="1">
      <alignment vertical="top"/>
      <protection locked="0" hidden="1"/>
    </xf>
    <xf numFmtId="0" fontId="0" fillId="6" borderId="0" xfId="0" applyFill="1" applyAlignment="1" applyProtection="1">
      <alignment horizontal="center"/>
      <protection locked="0" hidden="1"/>
    </xf>
    <xf numFmtId="0" fontId="0" fillId="6" borderId="19" xfId="0" applyFill="1" applyBorder="1" applyAlignment="1" applyProtection="1">
      <alignment horizontal="center"/>
      <protection locked="0" hidden="1"/>
    </xf>
    <xf numFmtId="0" fontId="0" fillId="6" borderId="25" xfId="0" applyFill="1" applyBorder="1" applyProtection="1">
      <protection locked="0" hidden="1"/>
    </xf>
    <xf numFmtId="0" fontId="0" fillId="6" borderId="22" xfId="0" applyFill="1" applyBorder="1" applyProtection="1">
      <protection locked="0" hidden="1"/>
    </xf>
    <xf numFmtId="0" fontId="0" fillId="6" borderId="21" xfId="0" applyFill="1" applyBorder="1" applyProtection="1">
      <protection locked="0" hidden="1"/>
    </xf>
    <xf numFmtId="0" fontId="0" fillId="6" borderId="23" xfId="0" applyFill="1" applyBorder="1" applyAlignment="1" applyProtection="1">
      <alignment horizontal="center" vertical="center"/>
      <protection locked="0" hidden="1"/>
    </xf>
    <xf numFmtId="2" fontId="0" fillId="6" borderId="23" xfId="0" applyNumberFormat="1" applyFill="1" applyBorder="1" applyAlignment="1" applyProtection="1">
      <alignment horizontal="center" vertical="center"/>
      <protection locked="0" hidden="1"/>
    </xf>
    <xf numFmtId="0" fontId="0" fillId="6" borderId="30" xfId="0" applyFill="1" applyBorder="1" applyProtection="1">
      <protection locked="0" hidden="1"/>
    </xf>
    <xf numFmtId="0" fontId="0" fillId="6" borderId="30" xfId="0" applyFill="1" applyBorder="1" applyAlignment="1" applyProtection="1">
      <alignment horizontal="left" vertical="top"/>
      <protection locked="0" hidden="1"/>
    </xf>
    <xf numFmtId="2" fontId="0" fillId="6" borderId="25" xfId="0" applyNumberFormat="1" applyFill="1" applyBorder="1" applyAlignment="1" applyProtection="1">
      <alignment horizontal="center" vertical="center"/>
      <protection locked="0" hidden="1"/>
    </xf>
    <xf numFmtId="0" fontId="0" fillId="6" borderId="11" xfId="0" applyFill="1" applyBorder="1" applyAlignment="1" applyProtection="1">
      <alignment horizontal="left" vertical="top"/>
      <protection locked="0" hidden="1"/>
    </xf>
    <xf numFmtId="0" fontId="0" fillId="6" borderId="25" xfId="0" applyFill="1" applyBorder="1" applyAlignment="1" applyProtection="1">
      <alignment horizontal="center" vertical="center"/>
      <protection locked="0" hidden="1"/>
    </xf>
    <xf numFmtId="0" fontId="0" fillId="6" borderId="23" xfId="0" applyFill="1" applyBorder="1" applyProtection="1">
      <protection locked="0" hidden="1"/>
    </xf>
    <xf numFmtId="0" fontId="0" fillId="5" borderId="17" xfId="0" applyFill="1" applyBorder="1" applyProtection="1">
      <protection locked="0" hidden="1"/>
    </xf>
    <xf numFmtId="0" fontId="0" fillId="5" borderId="23" xfId="0" applyFill="1" applyBorder="1" applyProtection="1">
      <protection locked="0" hidden="1"/>
    </xf>
    <xf numFmtId="0" fontId="0" fillId="0" borderId="171" xfId="0" applyBorder="1"/>
    <xf numFmtId="0" fontId="0" fillId="0" borderId="120" xfId="0" applyBorder="1" applyAlignment="1">
      <alignment horizontal="center"/>
    </xf>
    <xf numFmtId="0" fontId="0" fillId="0" borderId="175" xfId="0" applyBorder="1" applyAlignment="1">
      <alignment horizontal="center"/>
    </xf>
    <xf numFmtId="0" fontId="0" fillId="5" borderId="176" xfId="0" applyFill="1" applyBorder="1"/>
    <xf numFmtId="0" fontId="0" fillId="5" borderId="76" xfId="0" applyFill="1" applyBorder="1"/>
    <xf numFmtId="0" fontId="0" fillId="0" borderId="177" xfId="0" applyBorder="1"/>
    <xf numFmtId="0" fontId="0" fillId="0" borderId="20" xfId="0" applyBorder="1"/>
    <xf numFmtId="0" fontId="0" fillId="5" borderId="177" xfId="0" applyFill="1" applyBorder="1"/>
    <xf numFmtId="0" fontId="0" fillId="5" borderId="20" xfId="0" applyFill="1" applyBorder="1"/>
    <xf numFmtId="0" fontId="0" fillId="0" borderId="178" xfId="0" applyBorder="1"/>
    <xf numFmtId="0" fontId="0" fillId="0" borderId="26" xfId="0" applyBorder="1"/>
    <xf numFmtId="169" fontId="0" fillId="0" borderId="97" xfId="0" applyNumberFormat="1" applyBorder="1" applyAlignment="1">
      <alignment horizontal="center" vertical="center"/>
    </xf>
    <xf numFmtId="169" fontId="0" fillId="0" borderId="98" xfId="0" applyNumberFormat="1" applyBorder="1" applyAlignment="1">
      <alignment horizontal="center" vertical="center"/>
    </xf>
    <xf numFmtId="0" fontId="0" fillId="5" borderId="56" xfId="0" applyFill="1" applyBorder="1"/>
    <xf numFmtId="0" fontId="0" fillId="5" borderId="56" xfId="0" applyFill="1" applyBorder="1" applyAlignment="1">
      <alignment horizontal="right"/>
    </xf>
    <xf numFmtId="169" fontId="0" fillId="0" borderId="99" xfId="0" applyNumberFormat="1" applyBorder="1" applyAlignment="1">
      <alignment horizontal="center" vertical="center"/>
    </xf>
    <xf numFmtId="0" fontId="0" fillId="4" borderId="19" xfId="0" applyFill="1" applyBorder="1"/>
    <xf numFmtId="0" fontId="0" fillId="29" borderId="182" xfId="0" applyFill="1" applyBorder="1"/>
    <xf numFmtId="0" fontId="0" fillId="0" borderId="182" xfId="0" applyBorder="1"/>
    <xf numFmtId="0" fontId="0" fillId="5" borderId="80" xfId="0" applyFill="1" applyBorder="1"/>
    <xf numFmtId="0" fontId="0" fillId="5" borderId="84" xfId="0" applyFill="1" applyBorder="1"/>
    <xf numFmtId="0" fontId="0" fillId="5" borderId="23" xfId="0" applyFill="1" applyBorder="1"/>
    <xf numFmtId="0" fontId="0" fillId="5" borderId="24" xfId="0" applyFill="1" applyBorder="1"/>
    <xf numFmtId="0" fontId="0" fillId="5" borderId="21" xfId="0" applyFill="1" applyBorder="1"/>
    <xf numFmtId="0" fontId="0" fillId="5" borderId="87" xfId="0" applyFill="1" applyBorder="1"/>
    <xf numFmtId="0" fontId="0" fillId="5" borderId="38" xfId="0" applyFill="1" applyBorder="1"/>
    <xf numFmtId="0" fontId="6" fillId="4" borderId="18" xfId="0" applyFont="1" applyFill="1" applyBorder="1" applyAlignment="1">
      <alignment horizontal="center"/>
    </xf>
    <xf numFmtId="0" fontId="4" fillId="5" borderId="19" xfId="0" applyFont="1" applyFill="1" applyBorder="1" applyAlignment="1">
      <alignment vertical="center"/>
    </xf>
    <xf numFmtId="0" fontId="4" fillId="5" borderId="84" xfId="0" applyFont="1" applyFill="1" applyBorder="1" applyAlignment="1">
      <alignment vertical="center"/>
    </xf>
    <xf numFmtId="0" fontId="0" fillId="4" borderId="54" xfId="0" applyFill="1" applyBorder="1" applyAlignment="1" applyProtection="1">
      <alignment horizontal="left"/>
      <protection locked="0" hidden="1"/>
    </xf>
    <xf numFmtId="0" fontId="0" fillId="6" borderId="155" xfId="0" applyFill="1" applyBorder="1" applyAlignment="1" applyProtection="1">
      <alignment horizontal="center" vertical="center"/>
      <protection locked="0" hidden="1"/>
    </xf>
    <xf numFmtId="2" fontId="0" fillId="4" borderId="11" xfId="0" applyNumberFormat="1" applyFill="1" applyBorder="1" applyAlignment="1" applyProtection="1">
      <alignment horizontal="center"/>
      <protection locked="0" hidden="1"/>
    </xf>
    <xf numFmtId="2" fontId="0" fillId="4" borderId="19" xfId="0" applyNumberFormat="1" applyFill="1" applyBorder="1" applyAlignment="1" applyProtection="1">
      <alignment horizontal="center"/>
      <protection locked="0" hidden="1"/>
    </xf>
    <xf numFmtId="1" fontId="0" fillId="0" borderId="19" xfId="0" applyNumberFormat="1" applyBorder="1" applyAlignment="1" applyProtection="1">
      <alignment horizontal="center"/>
      <protection locked="0" hidden="1"/>
    </xf>
    <xf numFmtId="1" fontId="0" fillId="4" borderId="19" xfId="0" applyNumberFormat="1" applyFill="1" applyBorder="1" applyAlignment="1" applyProtection="1">
      <alignment horizontal="center"/>
      <protection locked="0" hidden="1"/>
    </xf>
    <xf numFmtId="2" fontId="4" fillId="4" borderId="19" xfId="0" applyNumberFormat="1" applyFont="1" applyFill="1" applyBorder="1" applyAlignment="1" applyProtection="1">
      <alignment horizontal="center"/>
      <protection locked="0" hidden="1"/>
    </xf>
    <xf numFmtId="0" fontId="0" fillId="0" borderId="0" xfId="0" applyAlignment="1">
      <alignment horizontal="right" vertical="center"/>
    </xf>
    <xf numFmtId="172" fontId="0" fillId="0" borderId="19" xfId="0" applyNumberFormat="1" applyBorder="1" applyAlignment="1">
      <alignment horizontal="center" vertical="center"/>
    </xf>
    <xf numFmtId="172" fontId="0" fillId="0" borderId="23" xfId="0" applyNumberFormat="1" applyBorder="1" applyAlignment="1">
      <alignment horizontal="center" vertical="center"/>
    </xf>
    <xf numFmtId="172" fontId="0" fillId="0" borderId="11" xfId="0" applyNumberFormat="1" applyBorder="1" applyAlignment="1">
      <alignment horizontal="center" vertical="center"/>
    </xf>
    <xf numFmtId="0" fontId="0" fillId="8" borderId="19" xfId="0" applyFill="1" applyBorder="1"/>
    <xf numFmtId="172" fontId="0" fillId="0" borderId="20" xfId="0" applyNumberFormat="1" applyBorder="1" applyAlignment="1">
      <alignment horizontal="center" vertical="center"/>
    </xf>
    <xf numFmtId="0" fontId="4" fillId="0" borderId="183" xfId="0" applyFont="1" applyBorder="1" applyAlignment="1">
      <alignment horizontal="right"/>
    </xf>
    <xf numFmtId="172" fontId="0" fillId="0" borderId="175" xfId="0" applyNumberFormat="1" applyBorder="1" applyAlignment="1">
      <alignment horizontal="center"/>
    </xf>
    <xf numFmtId="172" fontId="0" fillId="0" borderId="184" xfId="0" applyNumberFormat="1" applyBorder="1" applyAlignment="1">
      <alignment horizontal="center"/>
    </xf>
    <xf numFmtId="172" fontId="0" fillId="0" borderId="0" xfId="0" applyNumberFormat="1" applyAlignment="1">
      <alignment horizontal="center" vertical="center"/>
    </xf>
    <xf numFmtId="0" fontId="0" fillId="4" borderId="167" xfId="0" applyFill="1" applyBorder="1"/>
    <xf numFmtId="0" fontId="0" fillId="4" borderId="168" xfId="0" applyFill="1" applyBorder="1"/>
    <xf numFmtId="0" fontId="0" fillId="4" borderId="169" xfId="0" applyFill="1" applyBorder="1"/>
    <xf numFmtId="0" fontId="0" fillId="4" borderId="170" xfId="0" applyFill="1" applyBorder="1"/>
    <xf numFmtId="0" fontId="0" fillId="4" borderId="171" xfId="0" applyFill="1" applyBorder="1"/>
    <xf numFmtId="0" fontId="0" fillId="4" borderId="97" xfId="0" applyFill="1" applyBorder="1"/>
    <xf numFmtId="0" fontId="0" fillId="4" borderId="98" xfId="0" applyFill="1" applyBorder="1"/>
    <xf numFmtId="0" fontId="0" fillId="4" borderId="99" xfId="0" applyFill="1" applyBorder="1"/>
    <xf numFmtId="0" fontId="0" fillId="4" borderId="179" xfId="0" applyFill="1" applyBorder="1"/>
    <xf numFmtId="0" fontId="0" fillId="4" borderId="180" xfId="0" applyFill="1" applyBorder="1"/>
    <xf numFmtId="0" fontId="0" fillId="4" borderId="181" xfId="0" applyFill="1" applyBorder="1"/>
    <xf numFmtId="0" fontId="18" fillId="0" borderId="0" xfId="0" applyFont="1"/>
    <xf numFmtId="0" fontId="0" fillId="0" borderId="38" xfId="0" applyBorder="1"/>
    <xf numFmtId="0" fontId="0" fillId="0" borderId="62" xfId="0" applyBorder="1"/>
    <xf numFmtId="0" fontId="0" fillId="0" borderId="63" xfId="0" applyBorder="1"/>
    <xf numFmtId="0" fontId="0" fillId="0" borderId="36" xfId="0" applyBorder="1"/>
    <xf numFmtId="0" fontId="0" fillId="0" borderId="59" xfId="0" applyBorder="1"/>
    <xf numFmtId="0" fontId="0" fillId="0" borderId="58" xfId="0" applyBorder="1"/>
    <xf numFmtId="0" fontId="0" fillId="4" borderId="120" xfId="0" applyFill="1" applyBorder="1" applyAlignment="1">
      <alignment horizontal="center" vertical="center"/>
    </xf>
    <xf numFmtId="49" fontId="0" fillId="4" borderId="185" xfId="0" applyNumberFormat="1" applyFill="1" applyBorder="1" applyAlignment="1">
      <alignment vertical="center"/>
    </xf>
    <xf numFmtId="0" fontId="0" fillId="4" borderId="19" xfId="0" applyFill="1" applyBorder="1" applyAlignment="1" applyProtection="1">
      <alignment horizontal="center" vertical="top"/>
      <protection locked="0" hidden="1"/>
    </xf>
    <xf numFmtId="0" fontId="0" fillId="5" borderId="0" xfId="0" applyFill="1" applyAlignment="1">
      <alignment horizontal="left"/>
    </xf>
    <xf numFmtId="168" fontId="0" fillId="5" borderId="0" xfId="0" applyNumberFormat="1" applyFill="1" applyAlignment="1">
      <alignment horizontal="right"/>
    </xf>
    <xf numFmtId="0" fontId="30" fillId="4" borderId="19" xfId="0" applyFont="1" applyFill="1" applyBorder="1"/>
    <xf numFmtId="0" fontId="30" fillId="4" borderId="11" xfId="0" applyFont="1" applyFill="1" applyBorder="1"/>
    <xf numFmtId="0" fontId="0" fillId="4" borderId="0" xfId="0" applyFill="1" applyAlignment="1">
      <alignment wrapText="1"/>
    </xf>
    <xf numFmtId="0" fontId="0" fillId="4" borderId="15" xfId="0" applyFill="1" applyBorder="1" applyAlignment="1">
      <alignment vertical="top" wrapText="1"/>
    </xf>
    <xf numFmtId="0" fontId="0" fillId="4" borderId="59" xfId="0" applyFill="1" applyBorder="1" applyAlignment="1">
      <alignment vertical="top" wrapText="1"/>
    </xf>
    <xf numFmtId="0" fontId="0" fillId="4" borderId="38" xfId="0" applyFill="1" applyBorder="1" applyAlignment="1">
      <alignment vertical="top" wrapText="1"/>
    </xf>
    <xf numFmtId="0" fontId="0" fillId="4" borderId="73" xfId="0" applyFill="1" applyBorder="1" applyAlignment="1">
      <alignment vertical="top" wrapText="1"/>
    </xf>
    <xf numFmtId="0" fontId="0" fillId="5" borderId="78" xfId="0" applyFill="1" applyBorder="1"/>
    <xf numFmtId="0" fontId="2" fillId="2" borderId="0" xfId="3"/>
    <xf numFmtId="169" fontId="2" fillId="2" borderId="0" xfId="3" applyNumberFormat="1"/>
    <xf numFmtId="2" fontId="0" fillId="0" borderId="57" xfId="0" applyNumberFormat="1" applyBorder="1"/>
    <xf numFmtId="2" fontId="0" fillId="0" borderId="19" xfId="0" applyNumberFormat="1" applyBorder="1" applyAlignment="1">
      <alignment horizontal="center"/>
    </xf>
    <xf numFmtId="169" fontId="0" fillId="0" borderId="186" xfId="0" applyNumberFormat="1" applyBorder="1" applyAlignment="1">
      <alignment horizontal="center" vertical="center"/>
    </xf>
    <xf numFmtId="0" fontId="0" fillId="29" borderId="187" xfId="0" applyFill="1" applyBorder="1"/>
    <xf numFmtId="0" fontId="0" fillId="0" borderId="187" xfId="0" applyBorder="1"/>
    <xf numFmtId="0" fontId="0" fillId="0" borderId="21" xfId="0" applyBorder="1"/>
    <xf numFmtId="169" fontId="0" fillId="0" borderId="19" xfId="0" applyNumberFormat="1" applyBorder="1"/>
    <xf numFmtId="169" fontId="0" fillId="0" borderId="19" xfId="0" applyNumberFormat="1" applyBorder="1" applyAlignment="1">
      <alignment horizontal="center"/>
    </xf>
    <xf numFmtId="0" fontId="0" fillId="4" borderId="188" xfId="0" applyFill="1" applyBorder="1" applyProtection="1">
      <protection locked="0" hidden="1"/>
    </xf>
    <xf numFmtId="0" fontId="0" fillId="4" borderId="65" xfId="0" applyFill="1" applyBorder="1" applyProtection="1">
      <protection locked="0" hidden="1"/>
    </xf>
    <xf numFmtId="0" fontId="0" fillId="0" borderId="149" xfId="0" applyBorder="1" applyProtection="1">
      <protection locked="0" hidden="1"/>
    </xf>
    <xf numFmtId="0" fontId="0" fillId="0" borderId="22" xfId="0" applyBorder="1" applyProtection="1">
      <protection locked="0" hidden="1"/>
    </xf>
    <xf numFmtId="0" fontId="0" fillId="0" borderId="19" xfId="0" applyBorder="1" applyAlignment="1">
      <alignment horizontal="left"/>
    </xf>
    <xf numFmtId="0" fontId="31" fillId="31" borderId="19" xfId="7" applyBorder="1"/>
    <xf numFmtId="0" fontId="10" fillId="0" borderId="19" xfId="7" applyFont="1" applyFill="1" applyBorder="1"/>
    <xf numFmtId="0" fontId="0" fillId="32" borderId="19" xfId="0" applyFill="1" applyBorder="1"/>
    <xf numFmtId="168" fontId="18" fillId="5" borderId="129" xfId="0" applyNumberFormat="1" applyFont="1" applyFill="1" applyBorder="1" applyAlignment="1">
      <alignment horizontal="center"/>
    </xf>
    <xf numFmtId="168" fontId="18" fillId="5" borderId="132" xfId="0" applyNumberFormat="1" applyFont="1" applyFill="1" applyBorder="1" applyAlignment="1">
      <alignment horizontal="center"/>
    </xf>
    <xf numFmtId="0" fontId="3" fillId="3" borderId="189" xfId="0" applyFont="1" applyFill="1" applyBorder="1"/>
    <xf numFmtId="0" fontId="0" fillId="29" borderId="189" xfId="0" applyFill="1" applyBorder="1"/>
    <xf numFmtId="0" fontId="31" fillId="0" borderId="19" xfId="7" applyFill="1" applyBorder="1"/>
    <xf numFmtId="0" fontId="31" fillId="15" borderId="19" xfId="7" applyFill="1" applyBorder="1"/>
    <xf numFmtId="0" fontId="0" fillId="4" borderId="66" xfId="0" applyFill="1" applyBorder="1"/>
    <xf numFmtId="0" fontId="0" fillId="4" borderId="32" xfId="0" applyFill="1" applyBorder="1" applyAlignment="1">
      <alignment wrapText="1"/>
    </xf>
    <xf numFmtId="0" fontId="0" fillId="5" borderId="190" xfId="0" applyFill="1" applyBorder="1"/>
    <xf numFmtId="168" fontId="0" fillId="5" borderId="107" xfId="0" applyNumberFormat="1" applyFill="1" applyBorder="1"/>
    <xf numFmtId="0" fontId="0" fillId="5" borderId="103" xfId="0" applyFill="1" applyBorder="1"/>
    <xf numFmtId="168" fontId="0" fillId="5" borderId="102" xfId="0" applyNumberFormat="1" applyFill="1" applyBorder="1"/>
    <xf numFmtId="0" fontId="0" fillId="0" borderId="0" xfId="0" applyAlignment="1">
      <alignment vertical="top"/>
    </xf>
    <xf numFmtId="168" fontId="18" fillId="4" borderId="134" xfId="0" applyNumberFormat="1" applyFont="1" applyFill="1" applyBorder="1" applyAlignment="1">
      <alignment horizontal="center"/>
    </xf>
    <xf numFmtId="0" fontId="0" fillId="4" borderId="32" xfId="0" applyFill="1" applyBorder="1" applyAlignment="1">
      <alignment horizontal="center"/>
    </xf>
    <xf numFmtId="0" fontId="0" fillId="4" borderId="79" xfId="0" applyFill="1" applyBorder="1" applyAlignment="1">
      <alignment horizontal="center"/>
    </xf>
    <xf numFmtId="168" fontId="18" fillId="0" borderId="23" xfId="0" applyNumberFormat="1" applyFont="1" applyBorder="1" applyAlignment="1">
      <alignment horizontal="center"/>
    </xf>
    <xf numFmtId="168" fontId="29" fillId="4" borderId="192" xfId="0" applyNumberFormat="1" applyFont="1" applyFill="1" applyBorder="1" applyAlignment="1">
      <alignment horizontal="center"/>
    </xf>
    <xf numFmtId="0" fontId="4" fillId="5" borderId="120" xfId="0" applyFont="1" applyFill="1" applyBorder="1"/>
    <xf numFmtId="0" fontId="0" fillId="5" borderId="122" xfId="0" applyFill="1" applyBorder="1"/>
    <xf numFmtId="0" fontId="0" fillId="5" borderId="119" xfId="0" applyFill="1" applyBorder="1"/>
    <xf numFmtId="0" fontId="4" fillId="5" borderId="120" xfId="0" applyFont="1" applyFill="1" applyBorder="1" applyAlignment="1">
      <alignment horizontal="left"/>
    </xf>
    <xf numFmtId="0" fontId="37" fillId="0" borderId="0" xfId="0" applyFont="1"/>
    <xf numFmtId="0" fontId="7" fillId="4" borderId="0" xfId="4" applyFill="1" applyBorder="1" applyAlignment="1">
      <alignment wrapText="1"/>
    </xf>
    <xf numFmtId="0" fontId="18" fillId="5" borderId="86" xfId="0" applyFont="1" applyFill="1" applyBorder="1" applyAlignment="1">
      <alignment horizontal="center"/>
    </xf>
    <xf numFmtId="168" fontId="18" fillId="5" borderId="127" xfId="0" applyNumberFormat="1" applyFont="1" applyFill="1" applyBorder="1" applyAlignment="1">
      <alignment horizontal="center"/>
    </xf>
    <xf numFmtId="168" fontId="18" fillId="5" borderId="194" xfId="0" applyNumberFormat="1" applyFont="1" applyFill="1" applyBorder="1" applyAlignment="1">
      <alignment horizontal="center"/>
    </xf>
    <xf numFmtId="168" fontId="18" fillId="5" borderId="195" xfId="0" applyNumberFormat="1" applyFont="1" applyFill="1" applyBorder="1" applyAlignment="1">
      <alignment horizontal="center"/>
    </xf>
    <xf numFmtId="168" fontId="18" fillId="5" borderId="121" xfId="0" applyNumberFormat="1" applyFont="1" applyFill="1" applyBorder="1" applyAlignment="1">
      <alignment horizontal="center"/>
    </xf>
    <xf numFmtId="0" fontId="8" fillId="5" borderId="81" xfId="0" applyFont="1" applyFill="1" applyBorder="1" applyAlignment="1">
      <alignment horizontal="right" vertical="center" wrapText="1"/>
    </xf>
    <xf numFmtId="0" fontId="8" fillId="5" borderId="41" xfId="0" applyFont="1" applyFill="1" applyBorder="1" applyAlignment="1">
      <alignment horizontal="right" vertical="center" wrapText="1"/>
    </xf>
    <xf numFmtId="0" fontId="8" fillId="5" borderId="82" xfId="0" applyFont="1" applyFill="1" applyBorder="1" applyAlignment="1">
      <alignment horizontal="right" vertical="center" wrapText="1"/>
    </xf>
    <xf numFmtId="0" fontId="0" fillId="0" borderId="196" xfId="0" applyBorder="1"/>
    <xf numFmtId="0" fontId="0" fillId="29" borderId="197" xfId="0" applyFill="1" applyBorder="1"/>
    <xf numFmtId="0" fontId="0" fillId="0" borderId="197" xfId="0" applyBorder="1"/>
    <xf numFmtId="9" fontId="14" fillId="0" borderId="0" xfId="0" applyNumberFormat="1" applyFont="1"/>
    <xf numFmtId="0" fontId="39" fillId="0" borderId="0" xfId="0" applyFont="1"/>
    <xf numFmtId="2" fontId="0" fillId="0" borderId="198" xfId="0" applyNumberFormat="1" applyBorder="1" applyAlignment="1">
      <alignment horizontal="center"/>
    </xf>
    <xf numFmtId="0" fontId="0" fillId="0" borderId="199" xfId="0" applyBorder="1"/>
    <xf numFmtId="0" fontId="0" fillId="0" borderId="200" xfId="0" applyBorder="1"/>
    <xf numFmtId="0" fontId="0" fillId="4" borderId="21" xfId="0" applyFill="1" applyBorder="1" applyAlignment="1">
      <alignment vertical="top" wrapText="1"/>
    </xf>
    <xf numFmtId="14" fontId="0" fillId="4" borderId="22" xfId="0" applyNumberFormat="1" applyFill="1" applyBorder="1" applyAlignment="1">
      <alignment vertical="top"/>
    </xf>
    <xf numFmtId="20" fontId="0" fillId="0" borderId="0" xfId="0" applyNumberFormat="1"/>
    <xf numFmtId="0" fontId="26" fillId="30" borderId="0" xfId="6" applyAlignment="1">
      <alignment horizontal="center"/>
    </xf>
    <xf numFmtId="2" fontId="0" fillId="0" borderId="204" xfId="0" applyNumberFormat="1" applyBorder="1" applyAlignment="1">
      <alignment horizontal="center"/>
    </xf>
    <xf numFmtId="2" fontId="0" fillId="0" borderId="21" xfId="0" applyNumberFormat="1" applyBorder="1" applyAlignment="1">
      <alignment horizontal="center"/>
    </xf>
    <xf numFmtId="0" fontId="4" fillId="5" borderId="19" xfId="0" applyFont="1" applyFill="1" applyBorder="1"/>
    <xf numFmtId="2" fontId="0" fillId="0" borderId="19" xfId="0" applyNumberFormat="1" applyBorder="1"/>
    <xf numFmtId="0" fontId="0" fillId="5" borderId="23" xfId="0" applyFill="1" applyBorder="1" applyAlignment="1">
      <alignment horizontal="center" vertical="center"/>
    </xf>
    <xf numFmtId="0" fontId="0" fillId="5" borderId="19" xfId="0" applyFill="1" applyBorder="1" applyAlignment="1">
      <alignment horizontal="center" vertical="center"/>
    </xf>
    <xf numFmtId="0" fontId="0" fillId="0" borderId="11" xfId="0" applyBorder="1" applyAlignment="1">
      <alignment horizontal="center" vertical="center"/>
    </xf>
    <xf numFmtId="169" fontId="0" fillId="0" borderId="138" xfId="0" applyNumberFormat="1" applyBorder="1"/>
    <xf numFmtId="169" fontId="0" fillId="0" borderId="134" xfId="0" applyNumberFormat="1" applyBorder="1"/>
    <xf numFmtId="169" fontId="0" fillId="0" borderId="201" xfId="0" applyNumberFormat="1" applyBorder="1"/>
    <xf numFmtId="0" fontId="4" fillId="22" borderId="19" xfId="0" applyFont="1" applyFill="1" applyBorder="1" applyAlignment="1">
      <alignment horizontal="center" vertical="center"/>
    </xf>
    <xf numFmtId="0" fontId="0" fillId="5" borderId="19" xfId="0" applyFill="1" applyBorder="1" applyAlignment="1">
      <alignment horizontal="center" vertical="center" wrapText="1"/>
    </xf>
    <xf numFmtId="0" fontId="0" fillId="5" borderId="23" xfId="0" applyFill="1" applyBorder="1" applyAlignment="1">
      <alignment horizontal="center" vertical="center" wrapText="1"/>
    </xf>
    <xf numFmtId="0" fontId="0" fillId="5" borderId="23" xfId="0" applyFill="1" applyBorder="1" applyAlignment="1">
      <alignment horizontal="center" wrapText="1"/>
    </xf>
    <xf numFmtId="0" fontId="40" fillId="0" borderId="19" xfId="0" applyFont="1" applyBorder="1" applyAlignment="1">
      <alignment horizontal="center" vertical="center"/>
    </xf>
    <xf numFmtId="0" fontId="41" fillId="0" borderId="19" xfId="0" applyFont="1" applyBorder="1" applyAlignment="1">
      <alignment horizontal="center" vertical="center"/>
    </xf>
    <xf numFmtId="0" fontId="0" fillId="0" borderId="62" xfId="0" applyBorder="1" applyAlignment="1">
      <alignment horizontal="center" vertical="center"/>
    </xf>
    <xf numFmtId="0" fontId="0" fillId="0" borderId="0" xfId="0" applyAlignment="1">
      <alignment vertical="top" wrapText="1"/>
    </xf>
    <xf numFmtId="0" fontId="0" fillId="0" borderId="19" xfId="0" applyBorder="1" applyAlignment="1">
      <alignment vertical="top" wrapText="1"/>
    </xf>
    <xf numFmtId="0" fontId="42" fillId="0" borderId="0" xfId="0" applyFont="1"/>
    <xf numFmtId="0" fontId="0" fillId="0" borderId="189" xfId="0" applyBorder="1"/>
    <xf numFmtId="0" fontId="0" fillId="15" borderId="0" xfId="0" applyFill="1"/>
    <xf numFmtId="0" fontId="0" fillId="15" borderId="19" xfId="0" applyFill="1" applyBorder="1"/>
    <xf numFmtId="0" fontId="0" fillId="15" borderId="20" xfId="0" applyFill="1" applyBorder="1"/>
    <xf numFmtId="0" fontId="4" fillId="5" borderId="86" xfId="0" applyFont="1" applyFill="1" applyBorder="1" applyAlignment="1">
      <alignment horizontal="left" vertical="center"/>
    </xf>
    <xf numFmtId="0" fontId="0" fillId="12" borderId="58" xfId="0" applyFill="1" applyBorder="1" applyAlignment="1">
      <alignment horizontal="center" vertical="center"/>
    </xf>
    <xf numFmtId="0" fontId="0" fillId="9" borderId="11" xfId="0" applyFill="1" applyBorder="1" applyAlignment="1">
      <alignment horizontal="center" vertical="center"/>
    </xf>
    <xf numFmtId="0" fontId="0" fillId="10" borderId="11" xfId="0" applyFill="1" applyBorder="1" applyAlignment="1">
      <alignment horizontal="center" vertical="center"/>
    </xf>
    <xf numFmtId="0" fontId="0" fillId="34" borderId="11" xfId="0" applyFill="1" applyBorder="1" applyAlignment="1">
      <alignment horizontal="center" vertical="center"/>
    </xf>
    <xf numFmtId="0" fontId="0" fillId="35" borderId="11" xfId="0" applyFill="1" applyBorder="1" applyAlignment="1">
      <alignment horizontal="center" vertical="center"/>
    </xf>
    <xf numFmtId="0" fontId="0" fillId="28" borderId="11" xfId="0" applyFill="1" applyBorder="1" applyAlignment="1">
      <alignment horizontal="center" vertical="center"/>
    </xf>
    <xf numFmtId="0" fontId="0" fillId="13" borderId="11" xfId="0" applyFill="1" applyBorder="1" applyAlignment="1">
      <alignment horizontal="center" vertical="center"/>
    </xf>
    <xf numFmtId="0" fontId="0" fillId="24" borderId="11" xfId="0" applyFill="1" applyBorder="1" applyAlignment="1">
      <alignment horizontal="center" vertical="center"/>
    </xf>
    <xf numFmtId="0" fontId="0" fillId="11" borderId="11" xfId="0" applyFill="1" applyBorder="1" applyAlignment="1">
      <alignment horizontal="center" vertical="center" wrapText="1"/>
    </xf>
    <xf numFmtId="0" fontId="0" fillId="32" borderId="11" xfId="0" applyFill="1" applyBorder="1" applyAlignment="1">
      <alignment horizontal="center" vertical="center"/>
    </xf>
    <xf numFmtId="0" fontId="0" fillId="12" borderId="22" xfId="0" applyFill="1" applyBorder="1" applyAlignment="1">
      <alignment horizontal="center" vertical="center"/>
    </xf>
    <xf numFmtId="0" fontId="0" fillId="9" borderId="19" xfId="0" applyFill="1" applyBorder="1" applyAlignment="1">
      <alignment horizontal="center" vertical="center"/>
    </xf>
    <xf numFmtId="0" fontId="0" fillId="10" borderId="19" xfId="0" applyFill="1" applyBorder="1" applyAlignment="1">
      <alignment horizontal="center" vertical="center"/>
    </xf>
    <xf numFmtId="0" fontId="0" fillId="34" borderId="19" xfId="0" applyFill="1" applyBorder="1" applyAlignment="1">
      <alignment horizontal="center" vertical="center"/>
    </xf>
    <xf numFmtId="0" fontId="0" fillId="35" borderId="19" xfId="0" applyFill="1" applyBorder="1" applyAlignment="1">
      <alignment horizontal="center" vertical="center"/>
    </xf>
    <xf numFmtId="0" fontId="0" fillId="28" borderId="19" xfId="0" applyFill="1" applyBorder="1" applyAlignment="1">
      <alignment horizontal="center" vertical="center" wrapText="1"/>
    </xf>
    <xf numFmtId="0" fontId="0" fillId="13" borderId="19" xfId="0" applyFill="1" applyBorder="1" applyAlignment="1">
      <alignment horizontal="center" vertical="center" wrapText="1"/>
    </xf>
    <xf numFmtId="0" fontId="0" fillId="24" borderId="19" xfId="0" applyFill="1" applyBorder="1" applyAlignment="1">
      <alignment horizontal="center" vertical="center"/>
    </xf>
    <xf numFmtId="0" fontId="0" fillId="11" borderId="19" xfId="0" applyFill="1" applyBorder="1" applyAlignment="1">
      <alignment horizontal="center" vertical="center"/>
    </xf>
    <xf numFmtId="0" fontId="0" fillId="32" borderId="19" xfId="0" applyFill="1" applyBorder="1" applyAlignment="1">
      <alignment horizontal="center" vertical="center"/>
    </xf>
    <xf numFmtId="0" fontId="0" fillId="9" borderId="19" xfId="0" applyFill="1" applyBorder="1" applyAlignment="1">
      <alignment horizontal="center" vertical="center" wrapText="1"/>
    </xf>
    <xf numFmtId="0" fontId="0" fillId="10" borderId="19" xfId="0" applyFill="1" applyBorder="1" applyAlignment="1">
      <alignment horizontal="center" vertical="center" wrapText="1"/>
    </xf>
    <xf numFmtId="0" fontId="0" fillId="34" borderId="19" xfId="0" applyFill="1" applyBorder="1" applyAlignment="1">
      <alignment horizontal="center" vertical="center" wrapText="1"/>
    </xf>
    <xf numFmtId="0" fontId="0" fillId="35" borderId="19" xfId="0" applyFill="1" applyBorder="1" applyAlignment="1">
      <alignment horizontal="center" vertical="center" wrapText="1"/>
    </xf>
    <xf numFmtId="0" fontId="0" fillId="28" borderId="19" xfId="0" applyFill="1" applyBorder="1" applyAlignment="1">
      <alignment horizontal="center" vertical="center"/>
    </xf>
    <xf numFmtId="0" fontId="0" fillId="13" borderId="19" xfId="0" applyFill="1" applyBorder="1" applyAlignment="1">
      <alignment horizontal="center" vertical="center"/>
    </xf>
    <xf numFmtId="0" fontId="4" fillId="5" borderId="86" xfId="0" applyFont="1" applyFill="1" applyBorder="1" applyAlignment="1">
      <alignment horizontal="left" vertical="center" wrapText="1"/>
    </xf>
    <xf numFmtId="0" fontId="0" fillId="12" borderId="22" xfId="0" applyFill="1" applyBorder="1" applyAlignment="1">
      <alignment horizontal="center" vertical="center" wrapText="1"/>
    </xf>
    <xf numFmtId="0" fontId="0" fillId="24" borderId="19" xfId="0" applyFill="1" applyBorder="1" applyAlignment="1">
      <alignment horizontal="center" vertical="center" wrapText="1"/>
    </xf>
    <xf numFmtId="0" fontId="0" fillId="11" borderId="19" xfId="0" applyFill="1" applyBorder="1" applyAlignment="1">
      <alignment horizontal="center" vertical="center" wrapText="1"/>
    </xf>
    <xf numFmtId="0" fontId="0" fillId="32" borderId="19" xfId="0" applyFill="1" applyBorder="1" applyAlignment="1">
      <alignment horizontal="center" vertical="center" wrapText="1"/>
    </xf>
    <xf numFmtId="0" fontId="0" fillId="0" borderId="205" xfId="0" applyBorder="1"/>
    <xf numFmtId="0" fontId="2" fillId="2" borderId="19" xfId="3" applyBorder="1" applyAlignment="1">
      <alignment horizontal="center" vertical="center"/>
    </xf>
    <xf numFmtId="0" fontId="40" fillId="29" borderId="19" xfId="0" applyFont="1" applyFill="1" applyBorder="1" applyAlignment="1">
      <alignment horizontal="center" vertical="center"/>
    </xf>
    <xf numFmtId="0" fontId="41" fillId="0" borderId="0" xfId="0" applyFont="1" applyAlignment="1">
      <alignment horizontal="center" vertical="center"/>
    </xf>
    <xf numFmtId="0" fontId="41" fillId="29" borderId="19" xfId="0" applyFont="1" applyFill="1" applyBorder="1" applyAlignment="1">
      <alignment horizontal="center" vertical="center"/>
    </xf>
    <xf numFmtId="0" fontId="0" fillId="4" borderId="10" xfId="0" applyFill="1" applyBorder="1" applyAlignment="1" applyProtection="1">
      <alignment vertical="top"/>
      <protection locked="0" hidden="1"/>
    </xf>
    <xf numFmtId="0" fontId="0" fillId="4" borderId="62" xfId="0" applyFill="1" applyBorder="1" applyAlignment="1" applyProtection="1">
      <alignment vertical="top"/>
      <protection locked="0"/>
    </xf>
    <xf numFmtId="0" fontId="0" fillId="4" borderId="0" xfId="0" applyFill="1" applyAlignment="1" applyProtection="1">
      <alignment vertical="top"/>
      <protection locked="0"/>
    </xf>
    <xf numFmtId="2" fontId="0" fillId="0" borderId="0" xfId="2" applyNumberFormat="1" applyFont="1"/>
    <xf numFmtId="1" fontId="0" fillId="0" borderId="0" xfId="0" applyNumberFormat="1"/>
    <xf numFmtId="0" fontId="0" fillId="5" borderId="11" xfId="0" applyFill="1" applyBorder="1" applyAlignment="1" applyProtection="1">
      <alignment horizontal="center"/>
      <protection locked="0" hidden="1"/>
    </xf>
    <xf numFmtId="0" fontId="5" fillId="5" borderId="64" xfId="0" applyFont="1" applyFill="1" applyBorder="1" applyAlignment="1" applyProtection="1">
      <alignment horizontal="center" vertical="top"/>
      <protection locked="0" hidden="1"/>
    </xf>
    <xf numFmtId="0" fontId="0" fillId="5" borderId="30" xfId="0" applyFill="1" applyBorder="1" applyAlignment="1" applyProtection="1">
      <alignment horizontal="center" vertical="top"/>
      <protection locked="0" hidden="1"/>
    </xf>
    <xf numFmtId="0" fontId="0" fillId="5" borderId="11" xfId="0" applyFill="1" applyBorder="1" applyProtection="1">
      <protection locked="0" hidden="1"/>
    </xf>
    <xf numFmtId="0" fontId="0" fillId="5" borderId="19" xfId="0" applyFill="1" applyBorder="1" applyAlignment="1" applyProtection="1">
      <alignment horizontal="center" vertical="top"/>
      <protection locked="0" hidden="1"/>
    </xf>
    <xf numFmtId="0" fontId="0" fillId="5" borderId="20" xfId="0" applyFill="1" applyBorder="1" applyProtection="1">
      <protection locked="0" hidden="1"/>
    </xf>
    <xf numFmtId="0" fontId="0" fillId="5" borderId="25" xfId="0" applyFill="1" applyBorder="1" applyProtection="1">
      <protection locked="0" hidden="1"/>
    </xf>
    <xf numFmtId="0" fontId="0" fillId="5" borderId="25" xfId="0" applyFill="1" applyBorder="1" applyAlignment="1" applyProtection="1">
      <alignment horizontal="center"/>
      <protection locked="0" hidden="1"/>
    </xf>
    <xf numFmtId="0" fontId="0" fillId="5" borderId="41" xfId="0" applyFill="1" applyBorder="1" applyAlignment="1" applyProtection="1">
      <alignment horizontal="left" vertical="top"/>
      <protection locked="0" hidden="1"/>
    </xf>
    <xf numFmtId="0" fontId="0" fillId="5" borderId="26" xfId="0" applyFill="1" applyBorder="1" applyProtection="1">
      <protection locked="0" hidden="1"/>
    </xf>
    <xf numFmtId="0" fontId="0" fillId="5" borderId="63" xfId="0" applyFill="1" applyBorder="1" applyProtection="1">
      <protection locked="0" hidden="1"/>
    </xf>
    <xf numFmtId="0" fontId="0" fillId="5" borderId="38" xfId="0" applyFill="1" applyBorder="1" applyProtection="1">
      <protection locked="0" hidden="1"/>
    </xf>
    <xf numFmtId="0" fontId="0" fillId="5" borderId="28" xfId="0" applyFill="1" applyBorder="1" applyProtection="1">
      <protection locked="0" hidden="1"/>
    </xf>
    <xf numFmtId="0" fontId="31" fillId="4" borderId="0" xfId="7" applyFill="1" applyAlignment="1"/>
    <xf numFmtId="0" fontId="31" fillId="4" borderId="0" xfId="7" applyFill="1"/>
    <xf numFmtId="14" fontId="0" fillId="0" borderId="62" xfId="0" applyNumberFormat="1" applyBorder="1"/>
    <xf numFmtId="0" fontId="0" fillId="0" borderId="37" xfId="0" applyBorder="1" applyAlignment="1">
      <alignment horizontal="right"/>
    </xf>
    <xf numFmtId="0" fontId="19" fillId="0" borderId="37" xfId="0" applyFont="1" applyBorder="1" applyAlignment="1">
      <alignment horizontal="right"/>
    </xf>
    <xf numFmtId="0" fontId="16" fillId="0" borderId="38" xfId="0" applyFont="1" applyBorder="1"/>
    <xf numFmtId="0" fontId="18" fillId="0" borderId="38" xfId="0" applyFont="1" applyBorder="1"/>
    <xf numFmtId="169" fontId="0" fillId="4" borderId="0" xfId="0" applyNumberFormat="1" applyFill="1" applyAlignment="1" applyProtection="1">
      <alignment vertical="top"/>
      <protection locked="0"/>
    </xf>
    <xf numFmtId="9" fontId="0" fillId="4" borderId="0" xfId="2" applyFont="1" applyFill="1" applyProtection="1">
      <protection locked="0" hidden="1"/>
    </xf>
    <xf numFmtId="169" fontId="27" fillId="4" borderId="0" xfId="0" applyNumberFormat="1" applyFont="1" applyFill="1" applyProtection="1">
      <protection locked="0" hidden="1"/>
    </xf>
    <xf numFmtId="9" fontId="27" fillId="4" borderId="0" xfId="2" applyFont="1" applyFill="1" applyProtection="1">
      <protection locked="0" hidden="1"/>
    </xf>
    <xf numFmtId="0" fontId="3" fillId="3" borderId="206" xfId="0" applyFont="1" applyFill="1" applyBorder="1" applyAlignment="1">
      <alignment horizontal="center" wrapText="1"/>
    </xf>
    <xf numFmtId="0" fontId="3" fillId="3" borderId="0" xfId="0" applyFont="1" applyFill="1" applyAlignment="1">
      <alignment horizontal="center" wrapText="1"/>
    </xf>
    <xf numFmtId="0" fontId="0" fillId="8" borderId="0" xfId="0" applyFill="1" applyAlignment="1">
      <alignment horizontal="center"/>
    </xf>
    <xf numFmtId="0" fontId="0" fillId="4" borderId="210" xfId="0" applyFill="1" applyBorder="1"/>
    <xf numFmtId="1" fontId="0" fillId="8" borderId="0" xfId="0" applyNumberFormat="1" applyFill="1" applyAlignment="1">
      <alignment horizontal="center"/>
    </xf>
    <xf numFmtId="0" fontId="0" fillId="4" borderId="12" xfId="0" applyFill="1" applyBorder="1" applyAlignment="1" applyProtection="1">
      <alignment horizontal="center"/>
      <protection locked="0" hidden="1"/>
    </xf>
    <xf numFmtId="0" fontId="0" fillId="5" borderId="20" xfId="0" applyFill="1" applyBorder="1" applyAlignment="1" applyProtection="1">
      <alignment horizontal="center"/>
      <protection locked="0" hidden="1"/>
    </xf>
    <xf numFmtId="0" fontId="0" fillId="4" borderId="20" xfId="0" applyFill="1" applyBorder="1" applyAlignment="1" applyProtection="1">
      <alignment horizontal="center"/>
      <protection locked="0" hidden="1"/>
    </xf>
    <xf numFmtId="0" fontId="0" fillId="4" borderId="30" xfId="0" applyFill="1" applyBorder="1" applyAlignment="1" applyProtection="1">
      <alignment horizontal="center"/>
      <protection locked="0" hidden="1"/>
    </xf>
    <xf numFmtId="0" fontId="0" fillId="4" borderId="76" xfId="0" applyFill="1" applyBorder="1" applyAlignment="1" applyProtection="1">
      <alignment horizontal="center"/>
      <protection locked="0" hidden="1"/>
    </xf>
    <xf numFmtId="0" fontId="0" fillId="4" borderId="27" xfId="0" applyFill="1" applyBorder="1" applyProtection="1">
      <protection locked="0" hidden="1"/>
    </xf>
    <xf numFmtId="172" fontId="0" fillId="0" borderId="19" xfId="0" applyNumberFormat="1" applyBorder="1"/>
    <xf numFmtId="171" fontId="0" fillId="4" borderId="144" xfId="0" applyNumberFormat="1" applyFill="1" applyBorder="1" applyAlignment="1">
      <alignment horizontal="center" vertical="center" wrapText="1"/>
    </xf>
    <xf numFmtId="171" fontId="0" fillId="5" borderId="60" xfId="0" applyNumberFormat="1" applyFill="1" applyBorder="1" applyAlignment="1">
      <alignment horizontal="center" vertical="center" wrapText="1"/>
    </xf>
    <xf numFmtId="171" fontId="0" fillId="4" borderId="60" xfId="0" applyNumberFormat="1" applyFill="1" applyBorder="1" applyAlignment="1">
      <alignment horizontal="center" vertical="center" wrapText="1"/>
    </xf>
    <xf numFmtId="171" fontId="0" fillId="5" borderId="57" xfId="0" applyNumberFormat="1" applyFill="1" applyBorder="1" applyAlignment="1">
      <alignment horizontal="center" vertical="center" wrapText="1"/>
    </xf>
    <xf numFmtId="171" fontId="0" fillId="4" borderId="17" xfId="0" applyNumberFormat="1" applyFill="1" applyBorder="1" applyAlignment="1">
      <alignment horizontal="center" vertical="center" wrapText="1"/>
    </xf>
    <xf numFmtId="171" fontId="0" fillId="5" borderId="11" xfId="0" applyNumberFormat="1" applyFill="1" applyBorder="1" applyAlignment="1">
      <alignment horizontal="center" vertical="center" wrapText="1"/>
    </xf>
    <xf numFmtId="171" fontId="0" fillId="4" borderId="11" xfId="0" applyNumberFormat="1" applyFill="1" applyBorder="1" applyAlignment="1">
      <alignment horizontal="center" vertical="center" wrapText="1"/>
    </xf>
    <xf numFmtId="171" fontId="0" fillId="5" borderId="19" xfId="0" applyNumberFormat="1" applyFill="1" applyBorder="1" applyAlignment="1">
      <alignment horizontal="center" vertical="center" wrapText="1"/>
    </xf>
    <xf numFmtId="0" fontId="0" fillId="5" borderId="7" xfId="0" applyFill="1" applyBorder="1" applyAlignment="1">
      <alignment horizontal="center"/>
    </xf>
    <xf numFmtId="0" fontId="0" fillId="5" borderId="118" xfId="0" applyFill="1" applyBorder="1" applyAlignment="1">
      <alignment horizontal="center"/>
    </xf>
    <xf numFmtId="0" fontId="0" fillId="6" borderId="20" xfId="0" applyFill="1" applyBorder="1" applyProtection="1">
      <protection locked="0" hidden="1"/>
    </xf>
    <xf numFmtId="0" fontId="0" fillId="6" borderId="63" xfId="0" applyFill="1" applyBorder="1" applyProtection="1">
      <protection locked="0" hidden="1"/>
    </xf>
    <xf numFmtId="0" fontId="0" fillId="6" borderId="38" xfId="0" applyFill="1" applyBorder="1" applyProtection="1">
      <protection locked="0" hidden="1"/>
    </xf>
    <xf numFmtId="0" fontId="0" fillId="4" borderId="0" xfId="0" applyFill="1" applyAlignment="1">
      <alignment horizontal="left" vertical="center"/>
    </xf>
    <xf numFmtId="0" fontId="4" fillId="4" borderId="0" xfId="0" applyFont="1" applyFill="1" applyAlignment="1">
      <alignment horizontal="left" vertical="center" wrapText="1"/>
    </xf>
    <xf numFmtId="0" fontId="0" fillId="4" borderId="0" xfId="0" applyFill="1" applyAlignment="1">
      <alignment horizontal="center" vertical="center" wrapText="1"/>
    </xf>
    <xf numFmtId="0" fontId="0" fillId="12" borderId="135" xfId="0" applyFill="1" applyBorder="1" applyAlignment="1">
      <alignment horizontal="center" vertical="center"/>
    </xf>
    <xf numFmtId="0" fontId="0" fillId="9" borderId="25" xfId="0" applyFill="1" applyBorder="1" applyAlignment="1">
      <alignment horizontal="center" vertical="center"/>
    </xf>
    <xf numFmtId="0" fontId="0" fillId="10" borderId="25" xfId="0" applyFill="1" applyBorder="1" applyAlignment="1">
      <alignment horizontal="center" vertical="center"/>
    </xf>
    <xf numFmtId="0" fontId="0" fillId="34" borderId="25" xfId="0" applyFill="1" applyBorder="1" applyAlignment="1">
      <alignment horizontal="center" vertical="center"/>
    </xf>
    <xf numFmtId="0" fontId="0" fillId="28" borderId="25" xfId="0" applyFill="1" applyBorder="1" applyAlignment="1">
      <alignment horizontal="center" vertical="center"/>
    </xf>
    <xf numFmtId="0" fontId="0" fillId="13" borderId="25" xfId="0" applyFill="1" applyBorder="1" applyAlignment="1">
      <alignment horizontal="center" vertical="center"/>
    </xf>
    <xf numFmtId="0" fontId="0" fillId="24" borderId="25" xfId="0" applyFill="1" applyBorder="1" applyAlignment="1">
      <alignment horizontal="center" vertical="center" wrapText="1"/>
    </xf>
    <xf numFmtId="0" fontId="0" fillId="11" borderId="25" xfId="0" applyFill="1" applyBorder="1" applyAlignment="1">
      <alignment horizontal="center" vertical="center"/>
    </xf>
    <xf numFmtId="0" fontId="0" fillId="32" borderId="25" xfId="0" applyFill="1" applyBorder="1" applyAlignment="1">
      <alignment horizontal="center" vertical="center"/>
    </xf>
    <xf numFmtId="0" fontId="0" fillId="23" borderId="201" xfId="0" applyFill="1" applyBorder="1" applyAlignment="1">
      <alignment horizontal="center" vertical="center"/>
    </xf>
    <xf numFmtId="0" fontId="0" fillId="23" borderId="138" xfId="0" applyFill="1" applyBorder="1" applyAlignment="1">
      <alignment horizontal="center" vertical="center"/>
    </xf>
    <xf numFmtId="0" fontId="0" fillId="23" borderId="134" xfId="0" applyFill="1" applyBorder="1" applyAlignment="1">
      <alignment horizontal="center" vertical="center"/>
    </xf>
    <xf numFmtId="0" fontId="0" fillId="23" borderId="134" xfId="0" applyFill="1" applyBorder="1" applyAlignment="1">
      <alignment horizontal="center" vertical="center" wrapText="1"/>
    </xf>
    <xf numFmtId="0" fontId="3" fillId="3" borderId="205" xfId="0" applyFont="1" applyFill="1" applyBorder="1"/>
    <xf numFmtId="0" fontId="3" fillId="3" borderId="211" xfId="0" applyFont="1" applyFill="1" applyBorder="1"/>
    <xf numFmtId="0" fontId="0" fillId="29" borderId="205" xfId="0" applyFill="1" applyBorder="1"/>
    <xf numFmtId="0" fontId="0" fillId="29" borderId="211" xfId="0" applyFill="1" applyBorder="1"/>
    <xf numFmtId="0" fontId="0" fillId="0" borderId="211" xfId="0" applyBorder="1"/>
    <xf numFmtId="0" fontId="46" fillId="4" borderId="0" xfId="7" applyFont="1" applyFill="1" applyAlignment="1"/>
    <xf numFmtId="0" fontId="20" fillId="4" borderId="0" xfId="0" applyFont="1" applyFill="1"/>
    <xf numFmtId="0" fontId="20" fillId="5" borderId="5" xfId="0" applyFont="1" applyFill="1" applyBorder="1" applyAlignment="1" applyProtection="1">
      <alignment horizontal="center"/>
      <protection locked="0" hidden="1"/>
    </xf>
    <xf numFmtId="0" fontId="0" fillId="5" borderId="25" xfId="0" applyFill="1" applyBorder="1" applyAlignment="1" applyProtection="1">
      <alignment horizontal="center" vertical="center" wrapText="1"/>
      <protection locked="0" hidden="1"/>
    </xf>
    <xf numFmtId="0" fontId="0" fillId="0" borderId="25" xfId="0" applyBorder="1" applyAlignment="1" applyProtection="1">
      <alignment horizontal="center" vertical="center" wrapText="1"/>
      <protection locked="0" hidden="1"/>
    </xf>
    <xf numFmtId="169" fontId="2" fillId="21" borderId="0" xfId="3" applyNumberFormat="1" applyFill="1"/>
    <xf numFmtId="169" fontId="0" fillId="21" borderId="0" xfId="0" applyNumberFormat="1" applyFill="1"/>
    <xf numFmtId="9" fontId="0" fillId="28" borderId="0" xfId="0" applyNumberFormat="1" applyFill="1"/>
    <xf numFmtId="168" fontId="0" fillId="4" borderId="21" xfId="0" applyNumberFormat="1" applyFill="1" applyBorder="1" applyAlignment="1" applyProtection="1">
      <alignment horizontal="center"/>
      <protection locked="0" hidden="1"/>
    </xf>
    <xf numFmtId="165" fontId="0" fillId="0" borderId="0" xfId="0" applyNumberFormat="1"/>
    <xf numFmtId="168" fontId="0" fillId="4" borderId="59" xfId="0" applyNumberFormat="1" applyFill="1" applyBorder="1" applyAlignment="1" applyProtection="1">
      <alignment horizontal="center"/>
      <protection locked="0" hidden="1"/>
    </xf>
    <xf numFmtId="168" fontId="0" fillId="0" borderId="19" xfId="0" applyNumberFormat="1" applyBorder="1" applyAlignment="1" applyProtection="1">
      <alignment horizontal="center"/>
      <protection locked="0" hidden="1"/>
    </xf>
    <xf numFmtId="168" fontId="0" fillId="4" borderId="19" xfId="0" applyNumberFormat="1" applyFill="1" applyBorder="1" applyAlignment="1" applyProtection="1">
      <alignment horizontal="center"/>
      <protection locked="0" hidden="1"/>
    </xf>
    <xf numFmtId="168" fontId="4" fillId="4" borderId="21" xfId="0" applyNumberFormat="1" applyFont="1" applyFill="1" applyBorder="1" applyAlignment="1" applyProtection="1">
      <alignment horizontal="center"/>
      <protection locked="0" hidden="1"/>
    </xf>
    <xf numFmtId="4" fontId="4" fillId="4" borderId="148" xfId="0" applyNumberFormat="1" applyFont="1" applyFill="1" applyBorder="1" applyAlignment="1" applyProtection="1">
      <alignment horizontal="center"/>
      <protection locked="0" hidden="1"/>
    </xf>
    <xf numFmtId="168" fontId="0" fillId="4" borderId="158" xfId="0" applyNumberFormat="1" applyFill="1" applyBorder="1" applyAlignment="1" applyProtection="1">
      <alignment horizontal="center"/>
      <protection locked="0" hidden="1"/>
    </xf>
    <xf numFmtId="0" fontId="0" fillId="6" borderId="215" xfId="0" applyFill="1" applyBorder="1" applyAlignment="1" applyProtection="1">
      <alignment horizontal="center" vertical="center"/>
      <protection locked="0" hidden="1"/>
    </xf>
    <xf numFmtId="169" fontId="0" fillId="4" borderId="19" xfId="0" applyNumberFormat="1" applyFill="1" applyBorder="1" applyAlignment="1" applyProtection="1">
      <alignment horizontal="center"/>
      <protection locked="0" hidden="1"/>
    </xf>
    <xf numFmtId="4" fontId="4" fillId="4" borderId="19" xfId="0" applyNumberFormat="1" applyFont="1" applyFill="1" applyBorder="1" applyAlignment="1" applyProtection="1">
      <alignment horizontal="center"/>
      <protection locked="0" hidden="1"/>
    </xf>
    <xf numFmtId="0" fontId="0" fillId="6" borderId="216" xfId="0" applyFill="1" applyBorder="1" applyAlignment="1" applyProtection="1">
      <alignment horizontal="center" vertical="center"/>
      <protection locked="0" hidden="1"/>
    </xf>
    <xf numFmtId="9" fontId="0" fillId="4" borderId="217" xfId="0" applyNumberFormat="1" applyFill="1" applyBorder="1" applyAlignment="1" applyProtection="1">
      <alignment horizontal="center"/>
      <protection locked="0" hidden="1"/>
    </xf>
    <xf numFmtId="169" fontId="0" fillId="4" borderId="21" xfId="0" applyNumberFormat="1" applyFill="1" applyBorder="1" applyAlignment="1" applyProtection="1">
      <alignment horizontal="center"/>
      <protection locked="0" hidden="1"/>
    </xf>
    <xf numFmtId="4" fontId="0" fillId="4" borderId="21" xfId="0" applyNumberFormat="1" applyFill="1" applyBorder="1" applyAlignment="1" applyProtection="1">
      <alignment horizontal="center"/>
      <protection locked="0" hidden="1"/>
    </xf>
    <xf numFmtId="169" fontId="0" fillId="4" borderId="220" xfId="0" applyNumberFormat="1" applyFill="1" applyBorder="1" applyAlignment="1" applyProtection="1">
      <alignment horizontal="center"/>
      <protection locked="0" hidden="1"/>
    </xf>
    <xf numFmtId="0" fontId="20" fillId="6" borderId="154" xfId="0" applyFont="1" applyFill="1" applyBorder="1" applyAlignment="1" applyProtection="1">
      <alignment horizontal="center" vertical="center" shrinkToFit="1"/>
      <protection locked="0" hidden="1"/>
    </xf>
    <xf numFmtId="0" fontId="3" fillId="3" borderId="221" xfId="0" applyFont="1" applyFill="1" applyBorder="1"/>
    <xf numFmtId="0" fontId="0" fillId="29" borderId="221" xfId="0" applyFill="1" applyBorder="1"/>
    <xf numFmtId="9" fontId="0" fillId="0" borderId="221" xfId="0" applyNumberFormat="1" applyBorder="1"/>
    <xf numFmtId="0" fontId="0" fillId="0" borderId="221" xfId="0" applyBorder="1"/>
    <xf numFmtId="10" fontId="0" fillId="29" borderId="221" xfId="0" applyNumberFormat="1" applyFill="1" applyBorder="1"/>
    <xf numFmtId="10" fontId="0" fillId="0" borderId="221" xfId="0" applyNumberFormat="1" applyBorder="1"/>
    <xf numFmtId="0" fontId="3" fillId="3" borderId="0" xfId="0" applyFont="1" applyFill="1"/>
    <xf numFmtId="0" fontId="0" fillId="29" borderId="2" xfId="0" applyFill="1" applyBorder="1"/>
    <xf numFmtId="0" fontId="0" fillId="29" borderId="3" xfId="0" applyFill="1" applyBorder="1"/>
    <xf numFmtId="0" fontId="51" fillId="0" borderId="0" xfId="0" applyFont="1"/>
    <xf numFmtId="0" fontId="52" fillId="4" borderId="0" xfId="0" applyFont="1" applyFill="1" applyAlignment="1">
      <alignment horizontal="left" vertical="center" wrapText="1" indent="2"/>
    </xf>
    <xf numFmtId="0" fontId="52" fillId="4" borderId="0" xfId="0" applyFont="1" applyFill="1" applyAlignment="1">
      <alignment horizontal="left" wrapText="1" indent="2"/>
    </xf>
    <xf numFmtId="0" fontId="8" fillId="0" borderId="0" xfId="0" applyFont="1"/>
    <xf numFmtId="0" fontId="20" fillId="0" borderId="0" xfId="0" applyFont="1"/>
    <xf numFmtId="0" fontId="50" fillId="0" borderId="0" xfId="0" applyFont="1" applyAlignment="1">
      <alignment horizontal="center" vertical="center" wrapText="1"/>
    </xf>
    <xf numFmtId="0" fontId="52" fillId="0" borderId="0" xfId="0" applyFont="1"/>
    <xf numFmtId="0" fontId="0" fillId="0" borderId="61" xfId="0" applyBorder="1" applyAlignment="1" applyProtection="1">
      <alignment vertical="top" wrapText="1"/>
      <protection locked="0" hidden="1"/>
    </xf>
    <xf numFmtId="0" fontId="0" fillId="0" borderId="62" xfId="0" applyBorder="1" applyAlignment="1" applyProtection="1">
      <alignment vertical="top" wrapText="1"/>
      <protection locked="0" hidden="1"/>
    </xf>
    <xf numFmtId="0" fontId="0" fillId="0" borderId="10" xfId="0" applyBorder="1" applyAlignment="1" applyProtection="1">
      <alignment vertical="top" wrapText="1"/>
      <protection locked="0" hidden="1"/>
    </xf>
    <xf numFmtId="0" fontId="0" fillId="6" borderId="155" xfId="0" applyFill="1" applyBorder="1" applyAlignment="1" applyProtection="1">
      <alignment vertical="center"/>
      <protection locked="0" hidden="1"/>
    </xf>
    <xf numFmtId="0" fontId="0" fillId="6" borderId="233" xfId="0" applyFill="1" applyBorder="1" applyAlignment="1" applyProtection="1">
      <alignment vertical="center"/>
      <protection locked="0" hidden="1"/>
    </xf>
    <xf numFmtId="0" fontId="0" fillId="4" borderId="238" xfId="0" applyFill="1" applyBorder="1" applyAlignment="1" applyProtection="1">
      <alignment horizontal="left"/>
      <protection locked="0" hidden="1"/>
    </xf>
    <xf numFmtId="0" fontId="0" fillId="4" borderId="0" xfId="0" applyFill="1" applyAlignment="1" applyProtection="1">
      <alignment vertical="top"/>
      <protection locked="0" hidden="1"/>
    </xf>
    <xf numFmtId="168" fontId="0" fillId="4" borderId="0" xfId="0" applyNumberFormat="1" applyFill="1" applyAlignment="1" applyProtection="1">
      <alignment horizontal="center"/>
      <protection locked="0" hidden="1"/>
    </xf>
    <xf numFmtId="0" fontId="0" fillId="0" borderId="0" xfId="0" applyAlignment="1" applyProtection="1">
      <alignment vertical="top" wrapText="1"/>
      <protection locked="0" hidden="1"/>
    </xf>
    <xf numFmtId="0" fontId="0" fillId="4" borderId="242" xfId="0" applyFill="1" applyBorder="1" applyAlignment="1" applyProtection="1">
      <alignment vertical="top"/>
      <protection locked="0" hidden="1"/>
    </xf>
    <xf numFmtId="0" fontId="0" fillId="4" borderId="150" xfId="0" applyFill="1" applyBorder="1" applyAlignment="1" applyProtection="1">
      <alignment vertical="top"/>
      <protection locked="0" hidden="1"/>
    </xf>
    <xf numFmtId="0" fontId="0" fillId="0" borderId="21" xfId="0" applyBorder="1" applyAlignment="1" applyProtection="1">
      <alignment vertical="top" wrapText="1"/>
      <protection locked="0" hidden="1"/>
    </xf>
    <xf numFmtId="0" fontId="0" fillId="4" borderId="21" xfId="0" applyFill="1" applyBorder="1" applyAlignment="1" applyProtection="1">
      <alignment horizontal="center" vertical="top"/>
      <protection locked="0" hidden="1"/>
    </xf>
    <xf numFmtId="0" fontId="10" fillId="0" borderId="0" xfId="0" applyFont="1" applyAlignment="1">
      <alignment horizontal="center" vertical="center"/>
    </xf>
    <xf numFmtId="0" fontId="50" fillId="6" borderId="222" xfId="0" applyFont="1" applyFill="1" applyBorder="1" applyAlignment="1">
      <alignment horizontal="center" vertical="center" wrapText="1"/>
    </xf>
    <xf numFmtId="165" fontId="28" fillId="8" borderId="222" xfId="0" applyNumberFormat="1" applyFont="1" applyFill="1" applyBorder="1" applyAlignment="1">
      <alignment horizontal="center" vertical="center" wrapText="1"/>
    </xf>
    <xf numFmtId="0" fontId="50" fillId="8" borderId="222" xfId="0" applyFont="1" applyFill="1" applyBorder="1" applyAlignment="1">
      <alignment horizontal="center" vertical="center" wrapText="1"/>
    </xf>
    <xf numFmtId="0" fontId="19" fillId="0" borderId="0" xfId="0" applyFont="1"/>
    <xf numFmtId="165" fontId="56" fillId="39" borderId="19" xfId="0" applyNumberFormat="1" applyFont="1" applyFill="1" applyBorder="1" applyAlignment="1">
      <alignment horizontal="center" vertical="center" wrapText="1"/>
    </xf>
    <xf numFmtId="165" fontId="16" fillId="4" borderId="19" xfId="0" applyNumberFormat="1" applyFont="1" applyFill="1" applyBorder="1" applyAlignment="1">
      <alignment horizontal="center" vertical="center" wrapText="1"/>
    </xf>
    <xf numFmtId="0" fontId="54" fillId="39" borderId="19" xfId="0" applyFont="1" applyFill="1" applyBorder="1" applyAlignment="1">
      <alignment horizontal="center" vertical="center" wrapText="1"/>
    </xf>
    <xf numFmtId="0" fontId="16" fillId="4" borderId="19" xfId="0" applyFont="1" applyFill="1" applyBorder="1" applyAlignment="1">
      <alignment horizontal="center" vertical="center" wrapText="1"/>
    </xf>
    <xf numFmtId="0" fontId="54" fillId="5" borderId="223" xfId="0" applyFont="1" applyFill="1" applyBorder="1" applyAlignment="1">
      <alignment horizontal="center" vertical="center" wrapText="1"/>
    </xf>
    <xf numFmtId="0" fontId="54" fillId="4" borderId="223" xfId="0" applyFont="1" applyFill="1" applyBorder="1" applyAlignment="1">
      <alignment horizontal="center" vertical="center" wrapText="1"/>
    </xf>
    <xf numFmtId="0" fontId="54" fillId="5" borderId="19" xfId="0" applyFont="1" applyFill="1" applyBorder="1" applyAlignment="1">
      <alignment horizontal="center" vertical="center" wrapText="1"/>
    </xf>
    <xf numFmtId="0" fontId="54" fillId="4" borderId="19" xfId="0" applyFont="1" applyFill="1" applyBorder="1" applyAlignment="1">
      <alignment horizontal="center" vertical="center" wrapText="1"/>
    </xf>
    <xf numFmtId="2" fontId="50" fillId="6" borderId="222" xfId="0" applyNumberFormat="1" applyFont="1" applyFill="1" applyBorder="1" applyAlignment="1">
      <alignment horizontal="center" vertical="center" wrapText="1"/>
    </xf>
    <xf numFmtId="164" fontId="0" fillId="0" borderId="221" xfId="0" applyNumberFormat="1" applyBorder="1"/>
    <xf numFmtId="0" fontId="52" fillId="4" borderId="37" xfId="0" applyFont="1" applyFill="1" applyBorder="1" applyAlignment="1">
      <alignment horizontal="left" vertical="center" wrapText="1" indent="2"/>
    </xf>
    <xf numFmtId="0" fontId="52" fillId="4" borderId="36" xfId="0" applyFont="1" applyFill="1" applyBorder="1" applyAlignment="1">
      <alignment horizontal="left" vertical="center" wrapText="1" indent="2"/>
    </xf>
    <xf numFmtId="0" fontId="54" fillId="5" borderId="255" xfId="0" applyFont="1" applyFill="1" applyBorder="1" applyAlignment="1">
      <alignment horizontal="center" vertical="center" wrapText="1"/>
    </xf>
    <xf numFmtId="0" fontId="54" fillId="4" borderId="256" xfId="0" applyFont="1" applyFill="1" applyBorder="1" applyAlignment="1">
      <alignment horizontal="center" vertical="center" wrapText="1"/>
    </xf>
    <xf numFmtId="0" fontId="54" fillId="4" borderId="261" xfId="0" applyFont="1" applyFill="1" applyBorder="1" applyAlignment="1">
      <alignment horizontal="center" vertical="center" wrapText="1"/>
    </xf>
    <xf numFmtId="165" fontId="29" fillId="0" borderId="19" xfId="0" applyNumberFormat="1" applyFont="1" applyBorder="1" applyAlignment="1">
      <alignment horizontal="center" vertical="center"/>
    </xf>
    <xf numFmtId="0" fontId="61" fillId="0" borderId="37" xfId="0" applyFont="1" applyBorder="1" applyAlignment="1">
      <alignment horizontal="center" vertical="center"/>
    </xf>
    <xf numFmtId="0" fontId="52" fillId="0" borderId="0" xfId="0" applyFont="1" applyAlignment="1">
      <alignment horizontal="center" vertical="center"/>
    </xf>
    <xf numFmtId="0" fontId="52" fillId="0" borderId="36" xfId="0" applyFont="1" applyBorder="1" applyAlignment="1">
      <alignment horizontal="center" vertical="center"/>
    </xf>
    <xf numFmtId="0" fontId="47" fillId="38" borderId="262" xfId="0" applyFont="1" applyFill="1" applyBorder="1" applyAlignment="1">
      <alignment horizontal="center" vertical="center" wrapText="1"/>
    </xf>
    <xf numFmtId="0" fontId="47" fillId="38" borderId="252" xfId="0" applyFont="1" applyFill="1" applyBorder="1" applyAlignment="1">
      <alignment horizontal="center" vertical="center" wrapText="1"/>
    </xf>
    <xf numFmtId="0" fontId="47" fillId="38" borderId="253" xfId="0" applyFont="1" applyFill="1" applyBorder="1" applyAlignment="1">
      <alignment horizontal="center" vertical="center" wrapText="1"/>
    </xf>
    <xf numFmtId="0" fontId="0" fillId="6" borderId="62" xfId="0" applyFill="1" applyBorder="1" applyAlignment="1" applyProtection="1">
      <alignment horizontal="left"/>
      <protection locked="0" hidden="1"/>
    </xf>
    <xf numFmtId="0" fontId="0" fillId="4" borderId="54" xfId="0" applyFill="1" applyBorder="1" applyAlignment="1" applyProtection="1">
      <alignment horizontal="center"/>
      <protection locked="0" hidden="1"/>
    </xf>
    <xf numFmtId="0" fontId="0" fillId="6" borderId="56" xfId="0" applyFill="1" applyBorder="1" applyAlignment="1" applyProtection="1">
      <alignment horizontal="left"/>
      <protection locked="0" hidden="1"/>
    </xf>
    <xf numFmtId="0" fontId="0" fillId="6" borderId="233" xfId="0" applyFill="1" applyBorder="1" applyAlignment="1" applyProtection="1">
      <alignment horizontal="left" vertical="center"/>
      <protection locked="0" hidden="1"/>
    </xf>
    <xf numFmtId="0" fontId="0" fillId="6" borderId="19" xfId="0" applyFill="1" applyBorder="1" applyAlignment="1" applyProtection="1">
      <alignment horizontal="center" vertical="center" wrapText="1"/>
      <protection locked="0" hidden="1"/>
    </xf>
    <xf numFmtId="0" fontId="0" fillId="6" borderId="25" xfId="0" applyFill="1" applyBorder="1" applyAlignment="1" applyProtection="1">
      <alignment horizontal="center" vertical="center" wrapText="1"/>
      <protection locked="0" hidden="1"/>
    </xf>
    <xf numFmtId="0" fontId="0" fillId="5" borderId="19" xfId="0" applyFill="1" applyBorder="1" applyAlignment="1" applyProtection="1">
      <alignment horizontal="center" vertical="center" wrapText="1"/>
      <protection locked="0" hidden="1"/>
    </xf>
    <xf numFmtId="0" fontId="0" fillId="40" borderId="0" xfId="0" applyFill="1"/>
    <xf numFmtId="165" fontId="29" fillId="41" borderId="19" xfId="0" applyNumberFormat="1" applyFont="1" applyFill="1" applyBorder="1" applyAlignment="1">
      <alignment horizontal="center" vertical="center"/>
    </xf>
    <xf numFmtId="0" fontId="0" fillId="4" borderId="264" xfId="0" applyFill="1" applyBorder="1"/>
    <xf numFmtId="0" fontId="0" fillId="0" borderId="265" xfId="0" applyBorder="1"/>
    <xf numFmtId="0" fontId="0" fillId="4" borderId="265" xfId="0" applyFill="1" applyBorder="1"/>
    <xf numFmtId="0" fontId="0" fillId="4" borderId="266" xfId="0" applyFill="1" applyBorder="1"/>
    <xf numFmtId="0" fontId="50" fillId="6" borderId="261" xfId="0" applyFont="1" applyFill="1" applyBorder="1" applyAlignment="1">
      <alignment horizontal="center" vertical="center" wrapText="1"/>
    </xf>
    <xf numFmtId="2" fontId="50" fillId="6" borderId="261" xfId="0" applyNumberFormat="1" applyFont="1" applyFill="1" applyBorder="1" applyAlignment="1">
      <alignment horizontal="center" vertical="center" wrapText="1"/>
    </xf>
    <xf numFmtId="0" fontId="0" fillId="0" borderId="56" xfId="0" applyBorder="1" applyAlignment="1" applyProtection="1">
      <alignment vertical="top" wrapText="1"/>
      <protection locked="0" hidden="1"/>
    </xf>
    <xf numFmtId="0" fontId="0" fillId="4" borderId="56" xfId="0" applyFill="1" applyBorder="1" applyAlignment="1" applyProtection="1">
      <alignment horizontal="center" vertical="top"/>
      <protection locked="0" hidden="1"/>
    </xf>
    <xf numFmtId="0" fontId="0" fillId="6" borderId="17" xfId="0" applyFill="1" applyBorder="1" applyAlignment="1" applyProtection="1">
      <alignment horizontal="center" vertical="center" wrapText="1"/>
      <protection locked="0" hidden="1"/>
    </xf>
    <xf numFmtId="0" fontId="0" fillId="6" borderId="17" xfId="0" applyFill="1" applyBorder="1" applyAlignment="1" applyProtection="1">
      <alignment vertical="center"/>
      <protection locked="0" hidden="1"/>
    </xf>
    <xf numFmtId="0" fontId="0" fillId="6" borderId="19" xfId="0" applyFill="1" applyBorder="1" applyAlignment="1" applyProtection="1">
      <alignment vertical="center"/>
      <protection locked="0" hidden="1"/>
    </xf>
    <xf numFmtId="0" fontId="0" fillId="6" borderId="72" xfId="0" applyFill="1" applyBorder="1" applyAlignment="1" applyProtection="1">
      <alignment horizontal="center" vertical="center" wrapText="1"/>
      <protection locked="0" hidden="1"/>
    </xf>
    <xf numFmtId="0" fontId="0" fillId="6" borderId="72" xfId="0" applyFill="1" applyBorder="1" applyAlignment="1" applyProtection="1">
      <alignment vertical="center"/>
      <protection locked="0" hidden="1"/>
    </xf>
    <xf numFmtId="0" fontId="0" fillId="5" borderId="17" xfId="0" applyFill="1" applyBorder="1" applyAlignment="1" applyProtection="1">
      <alignment horizontal="center" vertical="center" wrapText="1"/>
      <protection locked="0" hidden="1"/>
    </xf>
    <xf numFmtId="0" fontId="0" fillId="5" borderId="17" xfId="0" applyFill="1" applyBorder="1" applyAlignment="1" applyProtection="1">
      <alignment vertical="center"/>
      <protection locked="0" hidden="1"/>
    </xf>
    <xf numFmtId="0" fontId="0" fillId="5" borderId="19" xfId="0" applyFill="1" applyBorder="1" applyAlignment="1" applyProtection="1">
      <alignment vertical="center"/>
      <protection locked="0" hidden="1"/>
    </xf>
    <xf numFmtId="0" fontId="0" fillId="5" borderId="72" xfId="0" applyFill="1" applyBorder="1" applyAlignment="1" applyProtection="1">
      <alignment horizontal="center" vertical="center" wrapText="1"/>
      <protection locked="0" hidden="1"/>
    </xf>
    <xf numFmtId="0" fontId="0" fillId="5" borderId="72" xfId="0" applyFill="1" applyBorder="1" applyAlignment="1" applyProtection="1">
      <alignment vertical="center"/>
      <protection locked="0" hidden="1"/>
    </xf>
    <xf numFmtId="0" fontId="0" fillId="6" borderId="25" xfId="0" applyFill="1" applyBorder="1" applyAlignment="1" applyProtection="1">
      <alignment vertical="center"/>
      <protection locked="0" hidden="1"/>
    </xf>
    <xf numFmtId="0" fontId="0" fillId="6" borderId="17" xfId="0" applyFill="1" applyBorder="1" applyAlignment="1" applyProtection="1">
      <alignment horizontal="center" vertical="center"/>
      <protection locked="0" hidden="1"/>
    </xf>
    <xf numFmtId="0" fontId="0" fillId="6" borderId="19" xfId="0" applyFill="1" applyBorder="1" applyAlignment="1" applyProtection="1">
      <alignment horizontal="center" vertical="center"/>
      <protection locked="0" hidden="1"/>
    </xf>
    <xf numFmtId="0" fontId="0" fillId="6" borderId="72" xfId="0" applyFill="1" applyBorder="1" applyAlignment="1" applyProtection="1">
      <alignment horizontal="center" vertical="center"/>
      <protection locked="0" hidden="1"/>
    </xf>
    <xf numFmtId="168" fontId="54" fillId="4" borderId="19" xfId="0" applyNumberFormat="1" applyFont="1" applyFill="1" applyBorder="1" applyAlignment="1">
      <alignment horizontal="center" vertical="center" wrapText="1"/>
    </xf>
    <xf numFmtId="168" fontId="54" fillId="5" borderId="19" xfId="0" applyNumberFormat="1" applyFont="1" applyFill="1" applyBorder="1" applyAlignment="1">
      <alignment horizontal="center" vertical="center" wrapText="1"/>
    </xf>
    <xf numFmtId="169" fontId="0" fillId="32" borderId="19" xfId="0" applyNumberFormat="1" applyFill="1" applyBorder="1"/>
    <xf numFmtId="2" fontId="0" fillId="32" borderId="19" xfId="0" applyNumberFormat="1" applyFill="1" applyBorder="1"/>
    <xf numFmtId="0" fontId="0" fillId="5" borderId="12" xfId="0" applyFill="1" applyBorder="1" applyAlignment="1" applyProtection="1">
      <alignment horizontal="center" vertical="center" wrapText="1"/>
      <protection locked="0" hidden="1"/>
    </xf>
    <xf numFmtId="0" fontId="4" fillId="42" borderId="260" xfId="0" applyFont="1" applyFill="1" applyBorder="1" applyAlignment="1">
      <alignment horizontal="center" vertical="center" wrapText="1"/>
    </xf>
    <xf numFmtId="0" fontId="47" fillId="0" borderId="262" xfId="0" applyFont="1" applyBorder="1" applyAlignment="1">
      <alignment horizontal="center" vertical="center" wrapText="1"/>
    </xf>
    <xf numFmtId="0" fontId="47" fillId="0" borderId="252" xfId="0" applyFont="1" applyBorder="1" applyAlignment="1">
      <alignment horizontal="center" vertical="center" wrapText="1"/>
    </xf>
    <xf numFmtId="0" fontId="47" fillId="0" borderId="253" xfId="0" applyFont="1" applyBorder="1" applyAlignment="1">
      <alignment horizontal="center" vertical="center" wrapText="1"/>
    </xf>
    <xf numFmtId="164" fontId="28" fillId="8" borderId="222" xfId="0" applyNumberFormat="1" applyFont="1" applyFill="1" applyBorder="1" applyAlignment="1">
      <alignment horizontal="center" vertical="center" wrapText="1"/>
    </xf>
    <xf numFmtId="0" fontId="0" fillId="4" borderId="36" xfId="0" applyFill="1" applyBorder="1"/>
    <xf numFmtId="0" fontId="0" fillId="4" borderId="62" xfId="0" applyFill="1" applyBorder="1" applyProtection="1">
      <protection locked="0" hidden="1"/>
    </xf>
    <xf numFmtId="0" fontId="0" fillId="4" borderId="62" xfId="0" applyFill="1" applyBorder="1" applyProtection="1">
      <protection locked="0"/>
    </xf>
    <xf numFmtId="0" fontId="0" fillId="4" borderId="151" xfId="0" applyFill="1" applyBorder="1" applyAlignment="1" applyProtection="1">
      <alignment horizontal="center"/>
      <protection locked="0"/>
    </xf>
    <xf numFmtId="0" fontId="0" fillId="4" borderId="216" xfId="0" applyFill="1" applyBorder="1" applyAlignment="1" applyProtection="1">
      <alignment horizontal="center"/>
      <protection locked="0"/>
    </xf>
    <xf numFmtId="0" fontId="0" fillId="4" borderId="0" xfId="0" applyFill="1" applyAlignment="1" applyProtection="1">
      <alignment horizontal="center"/>
      <protection locked="0"/>
    </xf>
    <xf numFmtId="0" fontId="0" fillId="4" borderId="249" xfId="0" applyFill="1" applyBorder="1" applyAlignment="1" applyProtection="1">
      <alignment horizontal="center"/>
      <protection locked="0"/>
    </xf>
    <xf numFmtId="0" fontId="0" fillId="4" borderId="150" xfId="0" applyFill="1" applyBorder="1" applyAlignment="1" applyProtection="1">
      <alignment horizontal="center"/>
      <protection locked="0"/>
    </xf>
    <xf numFmtId="0" fontId="0" fillId="4" borderId="231" xfId="0" applyFill="1" applyBorder="1" applyAlignment="1" applyProtection="1">
      <alignment horizontal="center"/>
      <protection locked="0"/>
    </xf>
    <xf numFmtId="168" fontId="4" fillId="4" borderId="161" xfId="0" applyNumberFormat="1" applyFont="1" applyFill="1" applyBorder="1" applyAlignment="1" applyProtection="1">
      <alignment horizontal="center" vertical="center"/>
      <protection locked="0" hidden="1"/>
    </xf>
    <xf numFmtId="168" fontId="4" fillId="4" borderId="162" xfId="0" applyNumberFormat="1" applyFont="1" applyFill="1" applyBorder="1" applyAlignment="1" applyProtection="1">
      <alignment horizontal="center" vertical="center"/>
      <protection locked="0" hidden="1"/>
    </xf>
    <xf numFmtId="168" fontId="4" fillId="4" borderId="163" xfId="0" applyNumberFormat="1" applyFont="1" applyFill="1" applyBorder="1" applyAlignment="1" applyProtection="1">
      <alignment horizontal="center" vertical="center"/>
      <protection locked="0" hidden="1"/>
    </xf>
    <xf numFmtId="168" fontId="4" fillId="4" borderId="243" xfId="0" applyNumberFormat="1" applyFont="1" applyFill="1" applyBorder="1" applyAlignment="1" applyProtection="1">
      <alignment horizontal="center" vertical="center"/>
      <protection locked="0" hidden="1"/>
    </xf>
    <xf numFmtId="168" fontId="4" fillId="4" borderId="150" xfId="0" applyNumberFormat="1" applyFont="1" applyFill="1" applyBorder="1" applyAlignment="1" applyProtection="1">
      <alignment horizontal="center" vertical="center"/>
      <protection locked="0" hidden="1"/>
    </xf>
    <xf numFmtId="168" fontId="4" fillId="4" borderId="209" xfId="0" applyNumberFormat="1" applyFont="1" applyFill="1" applyBorder="1" applyAlignment="1" applyProtection="1">
      <alignment horizontal="center" vertical="center"/>
      <protection locked="0" hidden="1"/>
    </xf>
    <xf numFmtId="9" fontId="0" fillId="37" borderId="160" xfId="0" applyNumberFormat="1" applyFill="1" applyBorder="1" applyAlignment="1" applyProtection="1">
      <alignment horizontal="center"/>
      <protection locked="0" hidden="1"/>
    </xf>
    <xf numFmtId="9" fontId="0" fillId="37" borderId="147" xfId="0" applyNumberFormat="1" applyFill="1" applyBorder="1" applyAlignment="1" applyProtection="1">
      <alignment horizontal="center"/>
      <protection locked="0" hidden="1"/>
    </xf>
    <xf numFmtId="9" fontId="0" fillId="37" borderId="244" xfId="0" applyNumberFormat="1" applyFill="1" applyBorder="1" applyAlignment="1" applyProtection="1">
      <alignment horizontal="center"/>
      <protection locked="0" hidden="1"/>
    </xf>
    <xf numFmtId="9" fontId="0" fillId="4" borderId="163" xfId="0" quotePrefix="1" applyNumberFormat="1" applyFill="1" applyBorder="1" applyAlignment="1" applyProtection="1">
      <alignment horizontal="center"/>
      <protection locked="0" hidden="1"/>
    </xf>
    <xf numFmtId="9" fontId="0" fillId="4" borderId="232" xfId="0" applyNumberFormat="1" applyFill="1" applyBorder="1" applyAlignment="1" applyProtection="1">
      <alignment horizontal="center"/>
      <protection locked="0" hidden="1"/>
    </xf>
    <xf numFmtId="9" fontId="0" fillId="4" borderId="246" xfId="0" applyNumberFormat="1" applyFill="1" applyBorder="1" applyAlignment="1" applyProtection="1">
      <alignment horizontal="center"/>
      <protection locked="0" hidden="1"/>
    </xf>
    <xf numFmtId="0" fontId="14" fillId="0" borderId="0" xfId="0" applyFont="1" applyAlignment="1">
      <alignment horizontal="left" vertical="center" wrapText="1"/>
    </xf>
    <xf numFmtId="0" fontId="0" fillId="0" borderId="19" xfId="0" applyBorder="1" applyAlignment="1">
      <alignment horizontal="center"/>
    </xf>
    <xf numFmtId="0" fontId="0" fillId="4" borderId="80" xfId="0" applyFill="1" applyBorder="1" applyAlignment="1" applyProtection="1">
      <alignment horizontal="right" vertical="top"/>
      <protection locked="0" hidden="1"/>
    </xf>
    <xf numFmtId="0" fontId="0" fillId="4" borderId="19" xfId="0" applyFill="1" applyBorder="1" applyAlignment="1" applyProtection="1">
      <alignment horizontal="right" vertical="top"/>
      <protection locked="0" hidden="1"/>
    </xf>
    <xf numFmtId="0" fontId="0" fillId="0" borderId="80" xfId="0" applyBorder="1" applyAlignment="1" applyProtection="1">
      <alignment horizontal="right"/>
      <protection locked="0" hidden="1"/>
    </xf>
    <xf numFmtId="0" fontId="0" fillId="0" borderId="19" xfId="0" applyBorder="1" applyAlignment="1" applyProtection="1">
      <alignment horizontal="right"/>
      <protection locked="0" hidden="1"/>
    </xf>
    <xf numFmtId="2" fontId="0" fillId="4" borderId="159" xfId="0" applyNumberFormat="1" applyFill="1" applyBorder="1" applyAlignment="1" applyProtection="1">
      <alignment horizontal="center"/>
      <protection locked="0" hidden="1"/>
    </xf>
    <xf numFmtId="2" fontId="0" fillId="4" borderId="157" xfId="0" applyNumberFormat="1" applyFill="1" applyBorder="1" applyAlignment="1" applyProtection="1">
      <alignment horizontal="center"/>
      <protection locked="0" hidden="1"/>
    </xf>
    <xf numFmtId="0" fontId="0" fillId="4" borderId="21" xfId="0" applyFill="1" applyBorder="1" applyAlignment="1" applyProtection="1">
      <alignment horizontal="center"/>
      <protection locked="0" hidden="1"/>
    </xf>
    <xf numFmtId="0" fontId="0" fillId="4" borderId="22" xfId="0" applyFill="1" applyBorder="1" applyAlignment="1" applyProtection="1">
      <alignment horizontal="center"/>
      <protection locked="0" hidden="1"/>
    </xf>
    <xf numFmtId="0" fontId="0" fillId="0" borderId="239" xfId="0" applyBorder="1" applyAlignment="1">
      <alignment horizontal="center" vertical="center" wrapText="1"/>
    </xf>
    <xf numFmtId="0" fontId="0" fillId="0" borderId="62" xfId="0" applyBorder="1" applyAlignment="1">
      <alignment horizontal="center" vertical="center" wrapText="1"/>
    </xf>
    <xf numFmtId="0" fontId="0" fillId="0" borderId="39" xfId="0" applyBorder="1" applyAlignment="1">
      <alignment horizontal="center" vertical="center" wrapText="1"/>
    </xf>
    <xf numFmtId="0" fontId="0" fillId="0" borderId="212" xfId="0" applyBorder="1" applyAlignment="1">
      <alignment horizontal="center" vertical="center" wrapText="1"/>
    </xf>
    <xf numFmtId="0" fontId="0" fillId="0" borderId="0" xfId="0" applyAlignment="1">
      <alignment horizontal="center" vertical="center" wrapText="1"/>
    </xf>
    <xf numFmtId="0" fontId="0" fillId="0" borderId="18" xfId="0" applyBorder="1" applyAlignment="1">
      <alignment horizontal="center" vertical="center" wrapText="1"/>
    </xf>
    <xf numFmtId="0" fontId="0" fillId="0" borderId="208" xfId="0" applyBorder="1" applyAlignment="1">
      <alignment horizontal="center" vertical="center" wrapText="1"/>
    </xf>
    <xf numFmtId="0" fontId="0" fillId="0" borderId="150" xfId="0" applyBorder="1" applyAlignment="1">
      <alignment horizontal="center" vertical="center" wrapText="1"/>
    </xf>
    <xf numFmtId="0" fontId="0" fillId="0" borderId="251" xfId="0" applyBorder="1" applyAlignment="1">
      <alignment horizontal="center" vertical="center" wrapText="1"/>
    </xf>
    <xf numFmtId="0" fontId="0" fillId="4" borderId="148" xfId="0" applyFill="1" applyBorder="1" applyAlignment="1" applyProtection="1">
      <alignment horizontal="center"/>
      <protection locked="0" hidden="1"/>
    </xf>
    <xf numFmtId="0" fontId="0" fillId="4" borderId="156" xfId="0" applyFill="1" applyBorder="1" applyAlignment="1" applyProtection="1">
      <alignment horizontal="right"/>
      <protection locked="0" hidden="1"/>
    </xf>
    <xf numFmtId="0" fontId="0" fillId="4" borderId="157" xfId="0" applyFill="1" applyBorder="1" applyAlignment="1" applyProtection="1">
      <alignment horizontal="right"/>
      <protection locked="0" hidden="1"/>
    </xf>
    <xf numFmtId="0" fontId="0" fillId="4" borderId="159" xfId="0" applyFill="1" applyBorder="1" applyAlignment="1" applyProtection="1">
      <alignment horizontal="center"/>
      <protection locked="0" hidden="1"/>
    </xf>
    <xf numFmtId="0" fontId="0" fillId="4" borderId="250" xfId="0" applyFill="1" applyBorder="1" applyAlignment="1" applyProtection="1">
      <alignment horizontal="center"/>
      <protection locked="0" hidden="1"/>
    </xf>
    <xf numFmtId="0" fontId="4" fillId="4" borderId="149" xfId="0" applyFont="1" applyFill="1" applyBorder="1" applyAlignment="1" applyProtection="1">
      <alignment horizontal="right"/>
      <protection locked="0" hidden="1"/>
    </xf>
    <xf numFmtId="0" fontId="4" fillId="4" borderId="22" xfId="0" applyFont="1" applyFill="1" applyBorder="1" applyAlignment="1" applyProtection="1">
      <alignment horizontal="right"/>
      <protection locked="0" hidden="1"/>
    </xf>
    <xf numFmtId="0" fontId="0" fillId="4" borderId="62" xfId="0" applyFill="1" applyBorder="1" applyAlignment="1" applyProtection="1">
      <alignment horizontal="center" vertical="top"/>
      <protection locked="0"/>
    </xf>
    <xf numFmtId="0" fontId="0" fillId="4" borderId="63" xfId="0" applyFill="1" applyBorder="1" applyAlignment="1" applyProtection="1">
      <alignment horizontal="center" vertical="top"/>
      <protection locked="0"/>
    </xf>
    <xf numFmtId="0" fontId="0" fillId="4" borderId="0" xfId="0" applyFill="1" applyAlignment="1" applyProtection="1">
      <alignment horizontal="center" vertical="top"/>
      <protection locked="0"/>
    </xf>
    <xf numFmtId="0" fontId="0" fillId="4" borderId="36" xfId="0" applyFill="1" applyBorder="1" applyAlignment="1" applyProtection="1">
      <alignment horizontal="center" vertical="top"/>
      <protection locked="0"/>
    </xf>
    <xf numFmtId="0" fontId="0" fillId="4" borderId="54" xfId="0" applyFill="1" applyBorder="1" applyAlignment="1" applyProtection="1">
      <alignment horizontal="center" vertical="top"/>
      <protection locked="0"/>
    </xf>
    <xf numFmtId="0" fontId="0" fillId="4" borderId="58" xfId="0" applyFill="1" applyBorder="1" applyAlignment="1" applyProtection="1">
      <alignment horizontal="center" vertical="top"/>
      <protection locked="0"/>
    </xf>
    <xf numFmtId="0" fontId="0" fillId="5" borderId="38" xfId="0" applyFill="1" applyBorder="1" applyAlignment="1" applyProtection="1">
      <alignment horizontal="center" vertical="center"/>
      <protection locked="0"/>
    </xf>
    <xf numFmtId="0" fontId="0" fillId="5" borderId="62" xfId="0" applyFill="1" applyBorder="1" applyAlignment="1" applyProtection="1">
      <alignment horizontal="center" vertical="center"/>
      <protection locked="0"/>
    </xf>
    <xf numFmtId="0" fontId="0" fillId="5" borderId="37" xfId="0" applyFill="1" applyBorder="1" applyAlignment="1" applyProtection="1">
      <alignment horizontal="center" vertical="center"/>
      <protection locked="0"/>
    </xf>
    <xf numFmtId="0" fontId="0" fillId="5" borderId="0" xfId="0" applyFill="1" applyAlignment="1" applyProtection="1">
      <alignment horizontal="center" vertical="center"/>
      <protection locked="0"/>
    </xf>
    <xf numFmtId="0" fontId="0" fillId="5" borderId="59" xfId="0" applyFill="1" applyBorder="1" applyAlignment="1" applyProtection="1">
      <alignment horizontal="center" vertical="center"/>
      <protection locked="0"/>
    </xf>
    <xf numFmtId="0" fontId="0" fillId="5" borderId="54" xfId="0" applyFill="1" applyBorder="1" applyAlignment="1" applyProtection="1">
      <alignment horizontal="center" vertical="center"/>
      <protection locked="0"/>
    </xf>
    <xf numFmtId="14" fontId="4" fillId="4" borderId="214" xfId="0" applyNumberFormat="1" applyFont="1" applyFill="1" applyBorder="1" applyAlignment="1" applyProtection="1">
      <alignment horizontal="center" vertical="center"/>
      <protection locked="0" hidden="1"/>
    </xf>
    <xf numFmtId="14" fontId="4" fillId="4" borderId="230" xfId="0" applyNumberFormat="1" applyFont="1" applyFill="1" applyBorder="1" applyAlignment="1" applyProtection="1">
      <alignment horizontal="center" vertical="center"/>
      <protection locked="0" hidden="1"/>
    </xf>
    <xf numFmtId="0" fontId="4" fillId="6" borderId="145" xfId="0" applyFont="1" applyFill="1" applyBorder="1" applyAlignment="1" applyProtection="1">
      <alignment horizontal="center" vertical="center"/>
      <protection locked="0" hidden="1"/>
    </xf>
    <xf numFmtId="0" fontId="4" fillId="4" borderId="146" xfId="0" applyFont="1" applyFill="1" applyBorder="1" applyAlignment="1" applyProtection="1">
      <alignment horizontal="center" vertical="center" wrapText="1"/>
      <protection locked="0" hidden="1"/>
    </xf>
    <xf numFmtId="0" fontId="4" fillId="4" borderId="145" xfId="0" applyFont="1" applyFill="1" applyBorder="1" applyAlignment="1" applyProtection="1">
      <alignment horizontal="center" vertical="center" wrapText="1"/>
      <protection locked="0" hidden="1"/>
    </xf>
    <xf numFmtId="0" fontId="4" fillId="4" borderId="146" xfId="0" applyFont="1" applyFill="1" applyBorder="1" applyAlignment="1" applyProtection="1">
      <alignment horizontal="center" vertical="center"/>
      <protection locked="0" hidden="1"/>
    </xf>
    <xf numFmtId="0" fontId="4" fillId="4" borderId="145" xfId="0" applyFont="1" applyFill="1" applyBorder="1" applyAlignment="1" applyProtection="1">
      <alignment horizontal="center" vertical="center"/>
      <protection locked="0" hidden="1"/>
    </xf>
    <xf numFmtId="0" fontId="4" fillId="4" borderId="219" xfId="0" applyFont="1" applyFill="1" applyBorder="1" applyAlignment="1" applyProtection="1">
      <alignment horizontal="center" vertical="center"/>
      <protection locked="0" hidden="1"/>
    </xf>
    <xf numFmtId="0" fontId="4" fillId="4" borderId="214" xfId="0" applyFont="1" applyFill="1" applyBorder="1" applyAlignment="1" applyProtection="1">
      <alignment horizontal="center" vertical="center"/>
      <protection locked="0" hidden="1"/>
    </xf>
    <xf numFmtId="3" fontId="10" fillId="6" borderId="162" xfId="0" applyNumberFormat="1" applyFont="1" applyFill="1" applyBorder="1" applyAlignment="1" applyProtection="1">
      <alignment horizontal="center" vertical="center"/>
      <protection locked="0" hidden="1"/>
    </xf>
    <xf numFmtId="3" fontId="10" fillId="6" borderId="163" xfId="0" applyNumberFormat="1" applyFont="1" applyFill="1" applyBorder="1" applyAlignment="1" applyProtection="1">
      <alignment horizontal="center" vertical="center"/>
      <protection locked="0" hidden="1"/>
    </xf>
    <xf numFmtId="3" fontId="10" fillId="6" borderId="165" xfId="0" applyNumberFormat="1" applyFont="1" applyFill="1" applyBorder="1" applyAlignment="1" applyProtection="1">
      <alignment horizontal="center" vertical="center"/>
      <protection locked="0" hidden="1"/>
    </xf>
    <xf numFmtId="3" fontId="10" fillId="6" borderId="166" xfId="0" applyNumberFormat="1" applyFont="1" applyFill="1" applyBorder="1" applyAlignment="1" applyProtection="1">
      <alignment horizontal="center" vertical="center"/>
      <protection locked="0" hidden="1"/>
    </xf>
    <xf numFmtId="0" fontId="0" fillId="6" borderId="12" xfId="0" applyFill="1" applyBorder="1" applyAlignment="1" applyProtection="1">
      <alignment horizontal="center" vertical="center" wrapText="1"/>
      <protection locked="0" hidden="1"/>
    </xf>
    <xf numFmtId="0" fontId="0" fillId="6" borderId="20" xfId="0" applyFill="1" applyBorder="1" applyAlignment="1" applyProtection="1">
      <alignment horizontal="center" vertical="center" wrapText="1"/>
      <protection locked="0" hidden="1"/>
    </xf>
    <xf numFmtId="0" fontId="0" fillId="6" borderId="26" xfId="0" applyFill="1" applyBorder="1" applyAlignment="1" applyProtection="1">
      <alignment horizontal="center" vertical="center" wrapText="1"/>
      <protection locked="0" hidden="1"/>
    </xf>
    <xf numFmtId="0" fontId="0" fillId="6" borderId="123" xfId="0" applyFill="1" applyBorder="1" applyAlignment="1" applyProtection="1">
      <alignment horizontal="center" vertical="center" wrapText="1"/>
      <protection locked="0" hidden="1"/>
    </xf>
    <xf numFmtId="0" fontId="4" fillId="4" borderId="237" xfId="0" applyFont="1" applyFill="1" applyBorder="1" applyAlignment="1" applyProtection="1">
      <alignment horizontal="center" vertical="center" wrapText="1"/>
      <protection locked="0" hidden="1"/>
    </xf>
    <xf numFmtId="0" fontId="0" fillId="4" borderId="145" xfId="0" applyFill="1" applyBorder="1" applyAlignment="1" applyProtection="1">
      <alignment horizontal="center" vertical="center" wrapText="1"/>
      <protection locked="0" hidden="1"/>
    </xf>
    <xf numFmtId="0" fontId="0" fillId="4" borderId="237" xfId="0" applyFill="1" applyBorder="1" applyAlignment="1" applyProtection="1">
      <alignment horizontal="center" vertical="center" wrapText="1"/>
      <protection locked="0" hidden="1"/>
    </xf>
    <xf numFmtId="168" fontId="10" fillId="6" borderId="161" xfId="0" applyNumberFormat="1" applyFont="1" applyFill="1" applyBorder="1" applyAlignment="1" applyProtection="1">
      <alignment horizontal="center" vertical="center"/>
      <protection locked="0" hidden="1"/>
    </xf>
    <xf numFmtId="168" fontId="10" fillId="6" borderId="240" xfId="0" applyNumberFormat="1" applyFont="1" applyFill="1" applyBorder="1" applyAlignment="1" applyProtection="1">
      <alignment horizontal="center" vertical="center"/>
      <protection locked="0" hidden="1"/>
    </xf>
    <xf numFmtId="168" fontId="10" fillId="6" borderId="164" xfId="0" applyNumberFormat="1" applyFont="1" applyFill="1" applyBorder="1" applyAlignment="1" applyProtection="1">
      <alignment horizontal="center" vertical="center"/>
      <protection locked="0" hidden="1"/>
    </xf>
    <xf numFmtId="168" fontId="10" fillId="6" borderId="241" xfId="0" applyNumberFormat="1" applyFont="1" applyFill="1" applyBorder="1" applyAlignment="1" applyProtection="1">
      <alignment horizontal="center" vertical="center"/>
      <protection locked="0" hidden="1"/>
    </xf>
    <xf numFmtId="0" fontId="0" fillId="6" borderId="27" xfId="0" applyFill="1" applyBorder="1" applyAlignment="1" applyProtection="1">
      <alignment horizontal="right"/>
      <protection locked="0" hidden="1"/>
    </xf>
    <xf numFmtId="0" fontId="0" fillId="6" borderId="28" xfId="0" applyFill="1" applyBorder="1" applyAlignment="1" applyProtection="1">
      <alignment horizontal="right"/>
      <protection locked="0" hidden="1"/>
    </xf>
    <xf numFmtId="0" fontId="0" fillId="6" borderId="15" xfId="0" applyFill="1" applyBorder="1" applyAlignment="1" applyProtection="1">
      <alignment horizontal="center" vertical="center" wrapText="1"/>
      <protection locked="0" hidden="1"/>
    </xf>
    <xf numFmtId="0" fontId="0" fillId="6" borderId="37" xfId="0" applyFill="1" applyBorder="1" applyAlignment="1" applyProtection="1">
      <alignment horizontal="center" vertical="center" wrapText="1"/>
      <protection locked="0" hidden="1"/>
    </xf>
    <xf numFmtId="0" fontId="0" fillId="6" borderId="43" xfId="0" applyFill="1" applyBorder="1" applyAlignment="1" applyProtection="1">
      <alignment horizontal="center" vertical="center" wrapText="1"/>
      <protection locked="0" hidden="1"/>
    </xf>
    <xf numFmtId="0" fontId="0" fillId="5" borderId="12" xfId="0" applyFill="1" applyBorder="1" applyAlignment="1" applyProtection="1">
      <alignment horizontal="center" vertical="center"/>
      <protection locked="0" hidden="1"/>
    </xf>
    <xf numFmtId="0" fontId="0" fillId="5" borderId="20" xfId="0" applyFill="1" applyBorder="1" applyAlignment="1" applyProtection="1">
      <alignment horizontal="center" vertical="center"/>
      <protection locked="0" hidden="1"/>
    </xf>
    <xf numFmtId="0" fontId="0" fillId="5" borderId="26" xfId="0" applyFill="1" applyBorder="1" applyAlignment="1" applyProtection="1">
      <alignment horizontal="center" vertical="center"/>
      <protection locked="0" hidden="1"/>
    </xf>
    <xf numFmtId="0" fontId="0" fillId="5" borderId="21" xfId="0" applyFill="1" applyBorder="1" applyAlignment="1" applyProtection="1">
      <alignment horizontal="center"/>
      <protection locked="0" hidden="1"/>
    </xf>
    <xf numFmtId="0" fontId="0" fillId="5" borderId="22" xfId="0" applyFill="1" applyBorder="1" applyAlignment="1" applyProtection="1">
      <alignment horizontal="center"/>
      <protection locked="0" hidden="1"/>
    </xf>
    <xf numFmtId="0" fontId="0" fillId="6" borderId="27" xfId="0" applyFill="1" applyBorder="1" applyAlignment="1" applyProtection="1">
      <alignment horizontal="left" vertical="top"/>
      <protection locked="0" hidden="1"/>
    </xf>
    <xf numFmtId="0" fontId="0" fillId="6" borderId="29" xfId="0" applyFill="1" applyBorder="1" applyAlignment="1" applyProtection="1">
      <alignment horizontal="left" vertical="top"/>
      <protection locked="0" hidden="1"/>
    </xf>
    <xf numFmtId="0" fontId="0" fillId="6" borderId="28" xfId="0" applyFill="1" applyBorder="1" applyAlignment="1" applyProtection="1">
      <alignment horizontal="left" vertical="top"/>
      <protection locked="0" hidden="1"/>
    </xf>
    <xf numFmtId="0" fontId="0" fillId="6" borderId="12" xfId="0" applyFill="1" applyBorder="1" applyAlignment="1" applyProtection="1">
      <alignment horizontal="center" vertical="center"/>
      <protection locked="0" hidden="1"/>
    </xf>
    <xf numFmtId="0" fontId="0" fillId="6" borderId="20" xfId="0" applyFill="1" applyBorder="1" applyAlignment="1" applyProtection="1">
      <alignment horizontal="center" vertical="center"/>
      <protection locked="0" hidden="1"/>
    </xf>
    <xf numFmtId="0" fontId="0" fillId="6" borderId="26" xfId="0" applyFill="1" applyBorder="1" applyAlignment="1" applyProtection="1">
      <alignment horizontal="center" vertical="center"/>
      <protection locked="0" hidden="1"/>
    </xf>
    <xf numFmtId="0" fontId="0" fillId="6" borderId="15" xfId="0" applyFill="1" applyBorder="1" applyAlignment="1" applyProtection="1">
      <alignment horizontal="right"/>
      <protection locked="0" hidden="1"/>
    </xf>
    <xf numFmtId="0" fontId="0" fillId="6" borderId="16" xfId="0" applyFill="1" applyBorder="1" applyAlignment="1" applyProtection="1">
      <alignment horizontal="right"/>
      <protection locked="0" hidden="1"/>
    </xf>
    <xf numFmtId="0" fontId="0" fillId="6" borderId="21" xfId="0" applyFill="1" applyBorder="1" applyAlignment="1" applyProtection="1">
      <alignment horizontal="right"/>
      <protection locked="0" hidden="1"/>
    </xf>
    <xf numFmtId="0" fontId="0" fillId="6" borderId="22" xfId="0" applyFill="1" applyBorder="1" applyAlignment="1" applyProtection="1">
      <alignment horizontal="right"/>
      <protection locked="0" hidden="1"/>
    </xf>
    <xf numFmtId="0" fontId="0" fillId="5" borderId="27" xfId="0" applyFill="1" applyBorder="1" applyAlignment="1" applyProtection="1">
      <alignment horizontal="right"/>
      <protection locked="0" hidden="1"/>
    </xf>
    <xf numFmtId="0" fontId="0" fillId="5" borderId="28" xfId="0" applyFill="1" applyBorder="1" applyAlignment="1" applyProtection="1">
      <alignment horizontal="right"/>
      <protection locked="0" hidden="1"/>
    </xf>
    <xf numFmtId="0" fontId="0" fillId="5" borderId="27" xfId="0" applyFill="1" applyBorder="1" applyAlignment="1" applyProtection="1">
      <alignment horizontal="left" vertical="top"/>
      <protection locked="0" hidden="1"/>
    </xf>
    <xf numFmtId="0" fontId="0" fillId="5" borderId="29" xfId="0" applyFill="1" applyBorder="1" applyAlignment="1" applyProtection="1">
      <alignment horizontal="left" vertical="top"/>
      <protection locked="0" hidden="1"/>
    </xf>
    <xf numFmtId="0" fontId="0" fillId="5" borderId="28" xfId="0" applyFill="1" applyBorder="1" applyAlignment="1" applyProtection="1">
      <alignment horizontal="left" vertical="top"/>
      <protection locked="0" hidden="1"/>
    </xf>
    <xf numFmtId="0" fontId="0" fillId="5" borderId="12" xfId="0" applyFill="1" applyBorder="1" applyAlignment="1" applyProtection="1">
      <alignment horizontal="center" vertical="center" wrapText="1"/>
      <protection locked="0" hidden="1"/>
    </xf>
    <xf numFmtId="0" fontId="0" fillId="5" borderId="20" xfId="0" applyFill="1" applyBorder="1" applyAlignment="1" applyProtection="1">
      <alignment horizontal="center" vertical="center" wrapText="1"/>
      <protection locked="0" hidden="1"/>
    </xf>
    <xf numFmtId="0" fontId="0" fillId="5" borderId="26" xfId="0" applyFill="1" applyBorder="1" applyAlignment="1" applyProtection="1">
      <alignment horizontal="center" vertical="center" wrapText="1"/>
      <protection locked="0" hidden="1"/>
    </xf>
    <xf numFmtId="0" fontId="0" fillId="5" borderId="15" xfId="0" applyFill="1" applyBorder="1" applyAlignment="1" applyProtection="1">
      <alignment horizontal="right"/>
      <protection locked="0" hidden="1"/>
    </xf>
    <xf numFmtId="0" fontId="0" fillId="5" borderId="16" xfId="0" applyFill="1" applyBorder="1" applyAlignment="1" applyProtection="1">
      <alignment horizontal="right"/>
      <protection locked="0" hidden="1"/>
    </xf>
    <xf numFmtId="0" fontId="0" fillId="5" borderId="21" xfId="0" applyFill="1" applyBorder="1" applyAlignment="1" applyProtection="1">
      <alignment horizontal="right"/>
      <protection locked="0" hidden="1"/>
    </xf>
    <xf numFmtId="0" fontId="0" fillId="5" borderId="22" xfId="0" applyFill="1" applyBorder="1" applyAlignment="1" applyProtection="1">
      <alignment horizontal="right"/>
      <protection locked="0" hidden="1"/>
    </xf>
    <xf numFmtId="0" fontId="0" fillId="0" borderId="80" xfId="0" applyBorder="1" applyAlignment="1" applyProtection="1">
      <alignment horizontal="right" vertical="top"/>
      <protection locked="0" hidden="1"/>
    </xf>
    <xf numFmtId="0" fontId="0" fillId="0" borderId="19" xfId="0" applyBorder="1" applyAlignment="1" applyProtection="1">
      <alignment horizontal="right" vertical="top"/>
      <protection locked="0" hidden="1"/>
    </xf>
    <xf numFmtId="0" fontId="0" fillId="6" borderId="21" xfId="0" applyFill="1" applyBorder="1" applyAlignment="1" applyProtection="1">
      <alignment horizontal="center"/>
      <protection locked="0" hidden="1"/>
    </xf>
    <xf numFmtId="0" fontId="0" fillId="6" borderId="22" xfId="0" applyFill="1" applyBorder="1" applyAlignment="1" applyProtection="1">
      <alignment horizontal="center"/>
      <protection locked="0" hidden="1"/>
    </xf>
    <xf numFmtId="0" fontId="0" fillId="6" borderId="13" xfId="0" applyFill="1" applyBorder="1" applyAlignment="1" applyProtection="1">
      <alignment horizontal="center"/>
      <protection locked="0" hidden="1"/>
    </xf>
    <xf numFmtId="0" fontId="0" fillId="6" borderId="14" xfId="0" applyFill="1" applyBorder="1" applyAlignment="1" applyProtection="1">
      <alignment horizontal="center"/>
      <protection locked="0" hidden="1"/>
    </xf>
    <xf numFmtId="0" fontId="0" fillId="6" borderId="10" xfId="0" applyFill="1" applyBorder="1" applyAlignment="1" applyProtection="1">
      <alignment horizontal="center" vertical="center"/>
      <protection locked="0" hidden="1"/>
    </xf>
    <xf numFmtId="0" fontId="0" fillId="5" borderId="13" xfId="0" applyFill="1" applyBorder="1" applyAlignment="1" applyProtection="1">
      <alignment horizontal="center"/>
      <protection locked="0" hidden="1"/>
    </xf>
    <xf numFmtId="0" fontId="0" fillId="5" borderId="14" xfId="0" applyFill="1" applyBorder="1" applyAlignment="1" applyProtection="1">
      <alignment horizontal="center"/>
      <protection locked="0" hidden="1"/>
    </xf>
    <xf numFmtId="0" fontId="0" fillId="5" borderId="123" xfId="0" applyFill="1" applyBorder="1" applyAlignment="1" applyProtection="1">
      <alignment horizontal="center" vertical="center" wrapText="1"/>
      <protection locked="0" hidden="1"/>
    </xf>
    <xf numFmtId="0" fontId="0" fillId="6" borderId="123" xfId="0" applyFill="1" applyBorder="1" applyAlignment="1" applyProtection="1">
      <alignment horizontal="center" vertical="center"/>
      <protection locked="0" hidden="1"/>
    </xf>
    <xf numFmtId="0" fontId="0" fillId="5" borderId="123" xfId="0" applyFill="1" applyBorder="1" applyAlignment="1" applyProtection="1">
      <alignment horizontal="center" vertical="center"/>
      <protection locked="0" hidden="1"/>
    </xf>
    <xf numFmtId="0" fontId="0" fillId="6" borderId="11" xfId="0" applyFill="1" applyBorder="1" applyAlignment="1" applyProtection="1">
      <alignment horizontal="center" vertical="center" wrapText="1"/>
      <protection locked="0" hidden="1"/>
    </xf>
    <xf numFmtId="0" fontId="0" fillId="6" borderId="19" xfId="0" applyFill="1" applyBorder="1" applyAlignment="1" applyProtection="1">
      <alignment horizontal="center" vertical="center" wrapText="1"/>
      <protection locked="0" hidden="1"/>
    </xf>
    <xf numFmtId="0" fontId="0" fillId="6" borderId="25" xfId="0" applyFill="1" applyBorder="1" applyAlignment="1" applyProtection="1">
      <alignment horizontal="center" vertical="center" wrapText="1"/>
      <protection locked="0" hidden="1"/>
    </xf>
    <xf numFmtId="15" fontId="0" fillId="6" borderId="12" xfId="0" applyNumberFormat="1" applyFill="1" applyBorder="1" applyAlignment="1" applyProtection="1">
      <alignment horizontal="center" vertical="center" wrapText="1"/>
      <protection locked="0" hidden="1"/>
    </xf>
    <xf numFmtId="15" fontId="0" fillId="6" borderId="20" xfId="0" applyNumberFormat="1" applyFill="1" applyBorder="1" applyAlignment="1" applyProtection="1">
      <alignment horizontal="center" vertical="center" wrapText="1"/>
      <protection locked="0" hidden="1"/>
    </xf>
    <xf numFmtId="15" fontId="0" fillId="6" borderId="123" xfId="0" applyNumberFormat="1" applyFill="1" applyBorder="1" applyAlignment="1" applyProtection="1">
      <alignment horizontal="center" vertical="center" wrapText="1"/>
      <protection locked="0" hidden="1"/>
    </xf>
    <xf numFmtId="0" fontId="0" fillId="6" borderId="0" xfId="0" applyFill="1" applyAlignment="1" applyProtection="1">
      <alignment horizontal="center"/>
      <protection locked="0" hidden="1"/>
    </xf>
    <xf numFmtId="15" fontId="0" fillId="5" borderId="12" xfId="0" applyNumberFormat="1" applyFill="1" applyBorder="1" applyAlignment="1" applyProtection="1">
      <alignment horizontal="center" vertical="center" wrapText="1"/>
      <protection locked="0" hidden="1"/>
    </xf>
    <xf numFmtId="15" fontId="0" fillId="5" borderId="20" xfId="0" applyNumberFormat="1" applyFill="1" applyBorder="1" applyAlignment="1" applyProtection="1">
      <alignment horizontal="center" vertical="center" wrapText="1"/>
      <protection locked="0" hidden="1"/>
    </xf>
    <xf numFmtId="15" fontId="0" fillId="5" borderId="123" xfId="0" applyNumberFormat="1" applyFill="1" applyBorder="1" applyAlignment="1" applyProtection="1">
      <alignment horizontal="center" vertical="center" wrapText="1"/>
      <protection locked="0" hidden="1"/>
    </xf>
    <xf numFmtId="0" fontId="0" fillId="5" borderId="6" xfId="0" applyFill="1" applyBorder="1" applyAlignment="1" applyProtection="1">
      <alignment horizontal="center"/>
      <protection locked="0" hidden="1"/>
    </xf>
    <xf numFmtId="0" fontId="0" fillId="5" borderId="7" xfId="0" applyFill="1" applyBorder="1" applyAlignment="1" applyProtection="1">
      <alignment horizontal="center"/>
      <protection locked="0" hidden="1"/>
    </xf>
    <xf numFmtId="0" fontId="0" fillId="5" borderId="8" xfId="0" applyFill="1" applyBorder="1" applyAlignment="1" applyProtection="1">
      <alignment horizontal="center"/>
      <protection locked="0" hidden="1"/>
    </xf>
    <xf numFmtId="0" fontId="0" fillId="6" borderId="152" xfId="0" applyFill="1" applyBorder="1" applyAlignment="1" applyProtection="1">
      <alignment horizontal="center" vertical="center"/>
      <protection locked="0" hidden="1"/>
    </xf>
    <xf numFmtId="0" fontId="0" fillId="6" borderId="233" xfId="0" applyFill="1" applyBorder="1" applyAlignment="1" applyProtection="1">
      <alignment horizontal="center" vertical="center"/>
      <protection locked="0" hidden="1"/>
    </xf>
    <xf numFmtId="0" fontId="0" fillId="6" borderId="153" xfId="0" applyFill="1" applyBorder="1" applyAlignment="1" applyProtection="1">
      <alignment horizontal="center" vertical="center"/>
      <protection locked="0" hidden="1"/>
    </xf>
    <xf numFmtId="0" fontId="0" fillId="6" borderId="234" xfId="0" applyFill="1" applyBorder="1" applyAlignment="1" applyProtection="1">
      <alignment horizontal="left" vertical="center"/>
      <protection locked="0" hidden="1"/>
    </xf>
    <xf numFmtId="0" fontId="0" fillId="6" borderId="233" xfId="0" applyFill="1" applyBorder="1" applyAlignment="1" applyProtection="1">
      <alignment horizontal="left" vertical="center"/>
      <protection locked="0" hidden="1"/>
    </xf>
    <xf numFmtId="0" fontId="0" fillId="6" borderId="27" xfId="0" applyFill="1" applyBorder="1" applyAlignment="1" applyProtection="1">
      <alignment horizontal="left" vertical="top" wrapText="1"/>
      <protection locked="0" hidden="1"/>
    </xf>
    <xf numFmtId="0" fontId="0" fillId="4" borderId="34" xfId="0" applyFill="1" applyBorder="1" applyAlignment="1" applyProtection="1">
      <alignment horizontal="center" vertical="top"/>
      <protection locked="0" hidden="1"/>
    </xf>
    <xf numFmtId="0" fontId="0" fillId="4" borderId="32" xfId="0" applyFill="1" applyBorder="1" applyAlignment="1" applyProtection="1">
      <alignment horizontal="center" vertical="top"/>
      <protection locked="0" hidden="1"/>
    </xf>
    <xf numFmtId="0" fontId="0" fillId="4" borderId="33" xfId="0" applyFill="1" applyBorder="1" applyAlignment="1" applyProtection="1">
      <alignment horizontal="center" vertical="top"/>
      <protection locked="0" hidden="1"/>
    </xf>
    <xf numFmtId="0" fontId="0" fillId="4" borderId="37" xfId="0" applyFill="1" applyBorder="1" applyAlignment="1" applyProtection="1">
      <alignment horizontal="center" vertical="top"/>
      <protection locked="0" hidden="1"/>
    </xf>
    <xf numFmtId="0" fontId="0" fillId="4" borderId="0" xfId="0" applyFill="1" applyAlignment="1" applyProtection="1">
      <alignment horizontal="center" vertical="top"/>
      <protection locked="0" hidden="1"/>
    </xf>
    <xf numFmtId="0" fontId="0" fillId="4" borderId="36" xfId="0" applyFill="1" applyBorder="1" applyAlignment="1" applyProtection="1">
      <alignment horizontal="center" vertical="top"/>
      <protection locked="0" hidden="1"/>
    </xf>
    <xf numFmtId="0" fontId="0" fillId="4" borderId="43" xfId="0" applyFill="1" applyBorder="1" applyAlignment="1" applyProtection="1">
      <alignment horizontal="center" vertical="top"/>
      <protection locked="0" hidden="1"/>
    </xf>
    <xf numFmtId="0" fontId="0" fillId="4" borderId="41" xfId="0" applyFill="1" applyBorder="1" applyAlignment="1" applyProtection="1">
      <alignment horizontal="center" vertical="top"/>
      <protection locked="0" hidden="1"/>
    </xf>
    <xf numFmtId="0" fontId="0" fillId="4" borderId="42" xfId="0" applyFill="1" applyBorder="1" applyAlignment="1" applyProtection="1">
      <alignment horizontal="center" vertical="top"/>
      <protection locked="0" hidden="1"/>
    </xf>
    <xf numFmtId="0" fontId="0" fillId="4" borderId="31" xfId="0" applyFill="1" applyBorder="1" applyAlignment="1" applyProtection="1">
      <alignment horizontal="center" vertical="center" wrapText="1"/>
      <protection locked="0" hidden="1"/>
    </xf>
    <xf numFmtId="0" fontId="0" fillId="4" borderId="33" xfId="0" applyFill="1" applyBorder="1" applyAlignment="1" applyProtection="1">
      <alignment horizontal="center" vertical="center"/>
      <protection locked="0" hidden="1"/>
    </xf>
    <xf numFmtId="0" fontId="0" fillId="4" borderId="10" xfId="0" applyFill="1" applyBorder="1" applyAlignment="1" applyProtection="1">
      <alignment horizontal="center" vertical="center"/>
      <protection locked="0" hidden="1"/>
    </xf>
    <xf numFmtId="0" fontId="0" fillId="4" borderId="36" xfId="0" applyFill="1" applyBorder="1" applyAlignment="1" applyProtection="1">
      <alignment horizontal="center" vertical="center"/>
      <protection locked="0" hidden="1"/>
    </xf>
    <xf numFmtId="0" fontId="0" fillId="4" borderId="40" xfId="0" applyFill="1" applyBorder="1" applyAlignment="1" applyProtection="1">
      <alignment horizontal="center" vertical="center"/>
      <protection locked="0" hidden="1"/>
    </xf>
    <xf numFmtId="0" fontId="0" fillId="4" borderId="42" xfId="0" applyFill="1" applyBorder="1" applyAlignment="1" applyProtection="1">
      <alignment horizontal="center" vertical="center"/>
      <protection locked="0" hidden="1"/>
    </xf>
    <xf numFmtId="0" fontId="20" fillId="4" borderId="33" xfId="0" applyFont="1" applyFill="1" applyBorder="1" applyAlignment="1" applyProtection="1">
      <alignment horizontal="center" vertical="center"/>
      <protection locked="0" hidden="1"/>
    </xf>
    <xf numFmtId="0" fontId="20" fillId="4" borderId="36" xfId="0" applyFont="1" applyFill="1" applyBorder="1" applyAlignment="1" applyProtection="1">
      <alignment horizontal="center" vertical="center"/>
      <protection locked="0" hidden="1"/>
    </xf>
    <xf numFmtId="0" fontId="20" fillId="4" borderId="42" xfId="0" applyFont="1" applyFill="1" applyBorder="1" applyAlignment="1" applyProtection="1">
      <alignment horizontal="center" vertical="center"/>
      <protection locked="0" hidden="1"/>
    </xf>
    <xf numFmtId="0" fontId="0" fillId="6" borderId="151" xfId="0" applyFill="1" applyBorder="1" applyAlignment="1" applyProtection="1">
      <alignment horizontal="center" vertical="center"/>
      <protection locked="0" hidden="1"/>
    </xf>
    <xf numFmtId="0" fontId="0" fillId="6" borderId="216" xfId="0" applyFill="1" applyBorder="1" applyAlignment="1" applyProtection="1">
      <alignment horizontal="center" vertical="center"/>
      <protection locked="0" hidden="1"/>
    </xf>
    <xf numFmtId="0" fontId="0" fillId="4" borderId="212" xfId="0" applyFill="1" applyBorder="1" applyAlignment="1" applyProtection="1">
      <alignment horizontal="center" vertical="center"/>
      <protection locked="0" hidden="1"/>
    </xf>
    <xf numFmtId="0" fontId="0" fillId="4" borderId="0" xfId="0" applyFill="1" applyAlignment="1" applyProtection="1">
      <alignment horizontal="center" vertical="center"/>
      <protection locked="0" hidden="1"/>
    </xf>
    <xf numFmtId="0" fontId="0" fillId="4" borderId="238" xfId="0" applyFill="1" applyBorder="1" applyAlignment="1" applyProtection="1">
      <alignment horizontal="center" vertical="center"/>
      <protection locked="0" hidden="1"/>
    </xf>
    <xf numFmtId="0" fontId="0" fillId="4" borderId="54" xfId="0" applyFill="1" applyBorder="1" applyAlignment="1" applyProtection="1">
      <alignment horizontal="center" vertical="center"/>
      <protection locked="0" hidden="1"/>
    </xf>
    <xf numFmtId="0" fontId="0" fillId="4" borderId="37" xfId="0" applyFill="1" applyBorder="1" applyAlignment="1" applyProtection="1">
      <alignment horizontal="center" vertical="center"/>
      <protection locked="0" hidden="1"/>
    </xf>
    <xf numFmtId="0" fontId="0" fillId="4" borderId="18" xfId="0" applyFill="1" applyBorder="1" applyAlignment="1" applyProtection="1">
      <alignment horizontal="center" vertical="center"/>
      <protection locked="0" hidden="1"/>
    </xf>
    <xf numFmtId="0" fontId="0" fillId="4" borderId="59" xfId="0" applyFill="1" applyBorder="1" applyAlignment="1" applyProtection="1">
      <alignment horizontal="center" vertical="center"/>
      <protection locked="0" hidden="1"/>
    </xf>
    <xf numFmtId="0" fontId="0" fillId="4" borderId="60" xfId="0" applyFill="1" applyBorder="1" applyAlignment="1" applyProtection="1">
      <alignment horizontal="center" vertical="center"/>
      <protection locked="0" hidden="1"/>
    </xf>
    <xf numFmtId="0" fontId="0" fillId="4" borderId="53" xfId="0" applyFill="1" applyBorder="1" applyAlignment="1" applyProtection="1">
      <alignment horizontal="left"/>
      <protection locked="0" hidden="1"/>
    </xf>
    <xf numFmtId="0" fontId="0" fillId="4" borderId="54" xfId="0" applyFill="1" applyBorder="1" applyAlignment="1" applyProtection="1">
      <alignment horizontal="left"/>
      <protection locked="0" hidden="1"/>
    </xf>
    <xf numFmtId="0" fontId="0" fillId="6" borderId="61" xfId="0" applyFill="1" applyBorder="1" applyAlignment="1" applyProtection="1">
      <alignment horizontal="left"/>
      <protection locked="0" hidden="1"/>
    </xf>
    <xf numFmtId="0" fontId="0" fillId="6" borderId="62" xfId="0" applyFill="1" applyBorder="1" applyAlignment="1" applyProtection="1">
      <alignment horizontal="left"/>
      <protection locked="0" hidden="1"/>
    </xf>
    <xf numFmtId="168" fontId="10" fillId="6" borderId="162" xfId="0" applyNumberFormat="1" applyFont="1" applyFill="1" applyBorder="1" applyAlignment="1" applyProtection="1">
      <alignment horizontal="center" vertical="center"/>
      <protection locked="0" hidden="1"/>
    </xf>
    <xf numFmtId="168" fontId="10" fillId="6" borderId="163" xfId="0" applyNumberFormat="1" applyFont="1" applyFill="1" applyBorder="1" applyAlignment="1" applyProtection="1">
      <alignment horizontal="center" vertical="center"/>
      <protection locked="0" hidden="1"/>
    </xf>
    <xf numFmtId="168" fontId="10" fillId="6" borderId="165" xfId="0" applyNumberFormat="1" applyFont="1" applyFill="1" applyBorder="1" applyAlignment="1" applyProtection="1">
      <alignment horizontal="center" vertical="center"/>
      <protection locked="0" hidden="1"/>
    </xf>
    <xf numFmtId="168" fontId="10" fillId="6" borderId="166" xfId="0" applyNumberFormat="1" applyFont="1" applyFill="1" applyBorder="1" applyAlignment="1" applyProtection="1">
      <alignment horizontal="center" vertical="center"/>
      <protection locked="0" hidden="1"/>
    </xf>
    <xf numFmtId="0" fontId="0" fillId="0" borderId="149" xfId="0" applyBorder="1" applyAlignment="1" applyProtection="1">
      <alignment horizontal="left"/>
      <protection locked="0" hidden="1"/>
    </xf>
    <xf numFmtId="0" fontId="0" fillId="0" borderId="22" xfId="0" applyBorder="1" applyAlignment="1" applyProtection="1">
      <alignment horizontal="left"/>
      <protection locked="0" hidden="1"/>
    </xf>
    <xf numFmtId="0" fontId="0" fillId="6" borderId="149" xfId="0" applyFill="1" applyBorder="1" applyAlignment="1" applyProtection="1">
      <alignment horizontal="center"/>
      <protection locked="0" hidden="1"/>
    </xf>
    <xf numFmtId="0" fontId="0" fillId="6" borderId="56" xfId="0" applyFill="1" applyBorder="1" applyAlignment="1" applyProtection="1">
      <alignment horizontal="center"/>
      <protection locked="0" hidden="1"/>
    </xf>
    <xf numFmtId="0" fontId="0" fillId="6" borderId="21" xfId="0" applyFill="1" applyBorder="1" applyAlignment="1" applyProtection="1">
      <alignment horizontal="left"/>
      <protection locked="0" hidden="1"/>
    </xf>
    <xf numFmtId="0" fontId="0" fillId="6" borderId="57" xfId="0" applyFill="1" applyBorder="1" applyAlignment="1" applyProtection="1">
      <alignment horizontal="left"/>
      <protection locked="0" hidden="1"/>
    </xf>
    <xf numFmtId="0" fontId="0" fillId="4" borderId="149" xfId="0" applyFill="1" applyBorder="1" applyAlignment="1" applyProtection="1">
      <alignment horizontal="left"/>
      <protection locked="0" hidden="1"/>
    </xf>
    <xf numFmtId="0" fontId="0" fillId="4" borderId="22" xfId="0" applyFill="1" applyBorder="1" applyAlignment="1" applyProtection="1">
      <alignment horizontal="left"/>
      <protection locked="0" hidden="1"/>
    </xf>
    <xf numFmtId="49" fontId="0" fillId="4" borderId="239" xfId="0" applyNumberFormat="1" applyFill="1" applyBorder="1" applyAlignment="1" applyProtection="1">
      <alignment horizontal="center" vertical="center"/>
      <protection locked="0" hidden="1"/>
    </xf>
    <xf numFmtId="49" fontId="0" fillId="4" borderId="62" xfId="0" applyNumberFormat="1" applyFill="1" applyBorder="1" applyAlignment="1" applyProtection="1">
      <alignment horizontal="center" vertical="center"/>
      <protection locked="0" hidden="1"/>
    </xf>
    <xf numFmtId="49" fontId="0" fillId="4" borderId="63" xfId="0" applyNumberFormat="1" applyFill="1" applyBorder="1" applyAlignment="1" applyProtection="1">
      <alignment horizontal="center" vertical="center"/>
      <protection locked="0" hidden="1"/>
    </xf>
    <xf numFmtId="49" fontId="0" fillId="4" borderId="212" xfId="0" applyNumberFormat="1" applyFill="1" applyBorder="1" applyAlignment="1" applyProtection="1">
      <alignment horizontal="center" vertical="center"/>
      <protection locked="0" hidden="1"/>
    </xf>
    <xf numFmtId="49" fontId="0" fillId="4" borderId="0" xfId="0" applyNumberFormat="1" applyFill="1" applyAlignment="1" applyProtection="1">
      <alignment horizontal="center" vertical="center"/>
      <protection locked="0" hidden="1"/>
    </xf>
    <xf numFmtId="49" fontId="0" fillId="4" borderId="36" xfId="0" applyNumberFormat="1" applyFill="1" applyBorder="1" applyAlignment="1" applyProtection="1">
      <alignment horizontal="center" vertical="center"/>
      <protection locked="0" hidden="1"/>
    </xf>
    <xf numFmtId="14" fontId="0" fillId="4" borderId="38" xfId="0" applyNumberFormat="1" applyFill="1" applyBorder="1" applyAlignment="1" applyProtection="1">
      <alignment horizontal="center" vertical="center"/>
      <protection locked="0" hidden="1"/>
    </xf>
    <xf numFmtId="14" fontId="0" fillId="4" borderId="62" xfId="0" applyNumberFormat="1" applyFill="1" applyBorder="1" applyAlignment="1" applyProtection="1">
      <alignment horizontal="center" vertical="center"/>
      <protection locked="0" hidden="1"/>
    </xf>
    <xf numFmtId="14" fontId="0" fillId="4" borderId="37" xfId="0" applyNumberFormat="1" applyFill="1" applyBorder="1" applyAlignment="1" applyProtection="1">
      <alignment horizontal="center" vertical="center"/>
      <protection locked="0" hidden="1"/>
    </xf>
    <xf numFmtId="14" fontId="0" fillId="4" borderId="0" xfId="0" applyNumberFormat="1" applyFill="1" applyAlignment="1" applyProtection="1">
      <alignment horizontal="center" vertical="center"/>
      <protection locked="0" hidden="1"/>
    </xf>
    <xf numFmtId="0" fontId="0" fillId="6" borderId="239" xfId="0" applyFill="1" applyBorder="1" applyAlignment="1" applyProtection="1">
      <alignment horizontal="center"/>
      <protection locked="0" hidden="1"/>
    </xf>
    <xf numFmtId="0" fontId="0" fillId="6" borderId="62" xfId="0" applyFill="1" applyBorder="1" applyAlignment="1" applyProtection="1">
      <alignment horizontal="center"/>
      <protection locked="0" hidden="1"/>
    </xf>
    <xf numFmtId="0" fontId="0" fillId="6" borderId="63" xfId="0" applyFill="1" applyBorder="1" applyAlignment="1" applyProtection="1">
      <alignment horizontal="center"/>
      <protection locked="0" hidden="1"/>
    </xf>
    <xf numFmtId="0" fontId="0" fillId="6" borderId="38" xfId="0" applyFill="1" applyBorder="1" applyAlignment="1" applyProtection="1">
      <alignment horizontal="left"/>
      <protection locked="0" hidden="1"/>
    </xf>
    <xf numFmtId="0" fontId="0" fillId="6" borderId="39" xfId="0" applyFill="1" applyBorder="1" applyAlignment="1" applyProtection="1">
      <alignment horizontal="left"/>
      <protection locked="0" hidden="1"/>
    </xf>
    <xf numFmtId="0" fontId="0" fillId="4" borderId="53" xfId="0" applyFill="1" applyBorder="1" applyAlignment="1" applyProtection="1">
      <alignment horizontal="center"/>
      <protection locked="0" hidden="1"/>
    </xf>
    <xf numFmtId="0" fontId="0" fillId="4" borderId="54" xfId="0" applyFill="1" applyBorder="1" applyAlignment="1" applyProtection="1">
      <alignment horizontal="center"/>
      <protection locked="0" hidden="1"/>
    </xf>
    <xf numFmtId="0" fontId="0" fillId="6" borderId="55" xfId="0" applyFill="1" applyBorder="1" applyAlignment="1" applyProtection="1">
      <alignment horizontal="left"/>
      <protection locked="0" hidden="1"/>
    </xf>
    <xf numFmtId="0" fontId="0" fillId="6" borderId="56" xfId="0" applyFill="1" applyBorder="1" applyAlignment="1" applyProtection="1">
      <alignment horizontal="left"/>
      <protection locked="0" hidden="1"/>
    </xf>
    <xf numFmtId="166" fontId="0" fillId="4" borderId="239" xfId="0" applyNumberFormat="1" applyFill="1" applyBorder="1" applyAlignment="1" applyProtection="1">
      <alignment horizontal="center" vertical="center"/>
      <protection locked="0" hidden="1"/>
    </xf>
    <xf numFmtId="0" fontId="0" fillId="4" borderId="62" xfId="0" applyFill="1" applyBorder="1" applyAlignment="1" applyProtection="1">
      <alignment horizontal="center" vertical="center"/>
      <protection locked="0" hidden="1"/>
    </xf>
    <xf numFmtId="0" fontId="0" fillId="4" borderId="38" xfId="0" applyFill="1" applyBorder="1" applyAlignment="1" applyProtection="1">
      <alignment horizontal="center" vertical="center"/>
      <protection locked="0" hidden="1"/>
    </xf>
    <xf numFmtId="0" fontId="0" fillId="4" borderId="39" xfId="0" applyFill="1" applyBorder="1" applyAlignment="1" applyProtection="1">
      <alignment horizontal="center" vertical="center"/>
      <protection locked="0" hidden="1"/>
    </xf>
    <xf numFmtId="0" fontId="0" fillId="0" borderId="55" xfId="0" applyBorder="1" applyAlignment="1" applyProtection="1">
      <alignment horizontal="right" vertical="top"/>
      <protection locked="0" hidden="1"/>
    </xf>
    <xf numFmtId="0" fontId="0" fillId="0" borderId="56" xfId="0" applyBorder="1" applyAlignment="1" applyProtection="1">
      <alignment horizontal="right" vertical="top"/>
      <protection locked="0" hidden="1"/>
    </xf>
    <xf numFmtId="0" fontId="0" fillId="0" borderId="22" xfId="0" applyBorder="1" applyAlignment="1" applyProtection="1">
      <alignment horizontal="right" vertical="top"/>
      <protection locked="0" hidden="1"/>
    </xf>
    <xf numFmtId="169" fontId="0" fillId="6" borderId="224" xfId="0" applyNumberFormat="1" applyFill="1" applyBorder="1" applyAlignment="1" applyProtection="1">
      <alignment horizontal="center" shrinkToFit="1"/>
      <protection locked="0" hidden="1"/>
    </xf>
    <xf numFmtId="169" fontId="0" fillId="6" borderId="225" xfId="0" applyNumberFormat="1" applyFill="1" applyBorder="1" applyAlignment="1" applyProtection="1">
      <alignment horizontal="center" shrinkToFit="1"/>
      <protection locked="0" hidden="1"/>
    </xf>
    <xf numFmtId="0" fontId="0" fillId="4" borderId="56" xfId="0" applyFill="1" applyBorder="1" applyAlignment="1" applyProtection="1">
      <alignment horizontal="left"/>
      <protection locked="0" hidden="1"/>
    </xf>
    <xf numFmtId="168" fontId="0" fillId="4" borderId="21" xfId="0" applyNumberFormat="1" applyFill="1" applyBorder="1" applyAlignment="1" applyProtection="1">
      <alignment horizontal="center"/>
      <protection locked="0" hidden="1"/>
    </xf>
    <xf numFmtId="168" fontId="0" fillId="4" borderId="56" xfId="0" applyNumberFormat="1" applyFill="1" applyBorder="1" applyAlignment="1" applyProtection="1">
      <alignment horizontal="center"/>
      <protection locked="0" hidden="1"/>
    </xf>
    <xf numFmtId="168" fontId="0" fillId="4" borderId="148" xfId="0" applyNumberFormat="1" applyFill="1" applyBorder="1" applyAlignment="1" applyProtection="1">
      <alignment horizontal="center"/>
      <protection locked="0" hidden="1"/>
    </xf>
    <xf numFmtId="0" fontId="0" fillId="4" borderId="28" xfId="0" applyFill="1" applyBorder="1" applyAlignment="1" applyProtection="1">
      <alignment horizontal="left"/>
      <protection locked="0" hidden="1"/>
    </xf>
    <xf numFmtId="0" fontId="0" fillId="4" borderId="25" xfId="0" applyFill="1" applyBorder="1" applyAlignment="1" applyProtection="1">
      <alignment horizontal="left"/>
      <protection locked="0" hidden="1"/>
    </xf>
    <xf numFmtId="9" fontId="0" fillId="4" borderId="27" xfId="0" applyNumberFormat="1" applyFill="1" applyBorder="1" applyAlignment="1" applyProtection="1">
      <alignment horizontal="center"/>
      <protection locked="0" hidden="1"/>
    </xf>
    <xf numFmtId="9" fontId="0" fillId="4" borderId="29" xfId="0" applyNumberFormat="1" applyFill="1" applyBorder="1" applyAlignment="1" applyProtection="1">
      <alignment horizontal="center"/>
      <protection locked="0" hidden="1"/>
    </xf>
    <xf numFmtId="9" fontId="0" fillId="4" borderId="226" xfId="0" applyNumberFormat="1" applyFill="1" applyBorder="1" applyAlignment="1" applyProtection="1">
      <alignment horizontal="center"/>
      <protection locked="0" hidden="1"/>
    </xf>
    <xf numFmtId="0" fontId="0" fillId="4" borderId="19" xfId="0" applyFill="1" applyBorder="1" applyAlignment="1" applyProtection="1">
      <alignment horizontal="left"/>
      <protection locked="0" hidden="1"/>
    </xf>
    <xf numFmtId="0" fontId="0" fillId="4" borderId="149" xfId="0" applyFill="1" applyBorder="1" applyAlignment="1" applyProtection="1">
      <alignment horizontal="center"/>
      <protection locked="0" hidden="1"/>
    </xf>
    <xf numFmtId="0" fontId="0" fillId="4" borderId="56" xfId="0" applyFill="1" applyBorder="1" applyAlignment="1" applyProtection="1">
      <alignment horizontal="center" shrinkToFit="1"/>
      <protection locked="0" hidden="1"/>
    </xf>
    <xf numFmtId="0" fontId="0" fillId="4" borderId="22" xfId="0" applyFill="1" applyBorder="1" applyAlignment="1" applyProtection="1">
      <alignment horizontal="center" shrinkToFit="1"/>
      <protection locked="0" hidden="1"/>
    </xf>
    <xf numFmtId="169" fontId="0" fillId="4" borderId="21" xfId="0" applyNumberFormat="1" applyFill="1" applyBorder="1" applyAlignment="1" applyProtection="1">
      <alignment horizontal="left"/>
      <protection locked="0" hidden="1"/>
    </xf>
    <xf numFmtId="169" fontId="0" fillId="4" borderId="56" xfId="0" applyNumberFormat="1" applyFill="1" applyBorder="1" applyAlignment="1" applyProtection="1">
      <alignment horizontal="left"/>
      <protection locked="0" hidden="1"/>
    </xf>
    <xf numFmtId="169" fontId="0" fillId="4" borderId="148" xfId="0" applyNumberFormat="1" applyFill="1" applyBorder="1" applyAlignment="1" applyProtection="1">
      <alignment horizontal="left"/>
      <protection locked="0" hidden="1"/>
    </xf>
    <xf numFmtId="0" fontId="0" fillId="4" borderId="66" xfId="0" applyFill="1" applyBorder="1" applyAlignment="1" applyProtection="1">
      <alignment horizontal="center" shrinkToFit="1"/>
      <protection locked="0" hidden="1"/>
    </xf>
    <xf numFmtId="0" fontId="0" fillId="4" borderId="65" xfId="0" applyFill="1" applyBorder="1" applyAlignment="1" applyProtection="1">
      <alignment horizontal="center" shrinkToFit="1"/>
      <protection locked="0" hidden="1"/>
    </xf>
    <xf numFmtId="169" fontId="0" fillId="4" borderId="64" xfId="0" applyNumberFormat="1" applyFill="1" applyBorder="1" applyAlignment="1" applyProtection="1">
      <alignment horizontal="left"/>
      <protection locked="0" hidden="1"/>
    </xf>
    <xf numFmtId="169" fontId="0" fillId="4" borderId="66" xfId="0" applyNumberFormat="1" applyFill="1" applyBorder="1" applyAlignment="1" applyProtection="1">
      <alignment horizontal="left"/>
      <protection locked="0" hidden="1"/>
    </xf>
    <xf numFmtId="169" fontId="0" fillId="4" borderId="228" xfId="0" applyNumberFormat="1" applyFill="1" applyBorder="1" applyAlignment="1" applyProtection="1">
      <alignment horizontal="left"/>
      <protection locked="0" hidden="1"/>
    </xf>
    <xf numFmtId="0" fontId="4" fillId="4" borderId="122" xfId="0" applyFont="1" applyFill="1" applyBorder="1" applyAlignment="1" applyProtection="1">
      <alignment horizontal="center"/>
      <protection locked="0" hidden="1"/>
    </xf>
    <xf numFmtId="168" fontId="4" fillId="4" borderId="125" xfId="0" applyNumberFormat="1" applyFont="1" applyFill="1" applyBorder="1" applyAlignment="1" applyProtection="1">
      <alignment horizontal="center"/>
      <protection locked="0" hidden="1"/>
    </xf>
    <xf numFmtId="168" fontId="4" fillId="4" borderId="122" xfId="0" applyNumberFormat="1" applyFont="1" applyFill="1" applyBorder="1" applyAlignment="1" applyProtection="1">
      <alignment horizontal="center"/>
      <protection locked="0" hidden="1"/>
    </xf>
    <xf numFmtId="168" fontId="4" fillId="4" borderId="227" xfId="0" applyNumberFormat="1" applyFont="1" applyFill="1" applyBorder="1" applyAlignment="1" applyProtection="1">
      <alignment horizontal="center"/>
      <protection locked="0" hidden="1"/>
    </xf>
    <xf numFmtId="169" fontId="0" fillId="4" borderId="213" xfId="0" applyNumberFormat="1" applyFill="1" applyBorder="1" applyAlignment="1" applyProtection="1">
      <alignment horizontal="left"/>
      <protection locked="0"/>
    </xf>
    <xf numFmtId="169" fontId="0" fillId="4" borderId="229" xfId="0" applyNumberFormat="1" applyFill="1" applyBorder="1" applyAlignment="1" applyProtection="1">
      <alignment horizontal="left"/>
      <protection locked="0"/>
    </xf>
    <xf numFmtId="169" fontId="0" fillId="4" borderId="214" xfId="0" applyNumberFormat="1" applyFill="1" applyBorder="1" applyAlignment="1" applyProtection="1">
      <alignment horizontal="left"/>
      <protection locked="0"/>
    </xf>
    <xf numFmtId="169" fontId="0" fillId="4" borderId="230" xfId="0" applyNumberFormat="1" applyFill="1" applyBorder="1" applyAlignment="1" applyProtection="1">
      <alignment horizontal="left"/>
      <protection locked="0"/>
    </xf>
    <xf numFmtId="0" fontId="0" fillId="4" borderId="218" xfId="0" applyFill="1" applyBorder="1" applyAlignment="1" applyProtection="1">
      <alignment horizontal="center"/>
      <protection locked="0"/>
    </xf>
    <xf numFmtId="0" fontId="0" fillId="4" borderId="213" xfId="0" applyFill="1" applyBorder="1" applyAlignment="1" applyProtection="1">
      <alignment horizontal="center"/>
      <protection locked="0"/>
    </xf>
    <xf numFmtId="0" fontId="0" fillId="4" borderId="219" xfId="0" applyFill="1" applyBorder="1" applyAlignment="1" applyProtection="1">
      <alignment horizontal="center"/>
      <protection locked="0"/>
    </xf>
    <xf numFmtId="0" fontId="0" fillId="4" borderId="214" xfId="0" applyFill="1" applyBorder="1" applyAlignment="1" applyProtection="1">
      <alignment horizontal="center"/>
      <protection locked="0"/>
    </xf>
    <xf numFmtId="169" fontId="0" fillId="6" borderId="0" xfId="0" applyNumberFormat="1" applyFill="1" applyAlignment="1" applyProtection="1">
      <alignment horizontal="center" vertical="center"/>
      <protection locked="0" hidden="1"/>
    </xf>
    <xf numFmtId="169" fontId="0" fillId="6" borderId="249" xfId="0" applyNumberFormat="1" applyFill="1" applyBorder="1" applyAlignment="1" applyProtection="1">
      <alignment horizontal="center" vertical="center"/>
      <protection locked="0" hidden="1"/>
    </xf>
    <xf numFmtId="168" fontId="2" fillId="2" borderId="27" xfId="3" applyNumberFormat="1" applyBorder="1" applyAlignment="1" applyProtection="1">
      <alignment horizontal="center" vertical="center"/>
      <protection locked="0" hidden="1"/>
    </xf>
    <xf numFmtId="168" fontId="2" fillId="2" borderId="142" xfId="3" applyNumberFormat="1" applyBorder="1" applyAlignment="1" applyProtection="1">
      <alignment horizontal="center" vertical="center"/>
      <protection locked="0" hidden="1"/>
    </xf>
    <xf numFmtId="0" fontId="0" fillId="6" borderId="64" xfId="0" applyFill="1" applyBorder="1" applyAlignment="1" applyProtection="1">
      <alignment horizontal="center"/>
      <protection locked="0" hidden="1"/>
    </xf>
    <xf numFmtId="0" fontId="0" fillId="6" borderId="143" xfId="0" applyFill="1" applyBorder="1" applyAlignment="1" applyProtection="1">
      <alignment horizontal="center"/>
      <protection locked="0" hidden="1"/>
    </xf>
    <xf numFmtId="2" fontId="0" fillId="4" borderId="23" xfId="0" applyNumberFormat="1" applyFill="1" applyBorder="1" applyAlignment="1" applyProtection="1">
      <alignment horizontal="center" vertical="center"/>
      <protection locked="0" hidden="1"/>
    </xf>
    <xf numFmtId="2" fontId="0" fillId="4" borderId="26" xfId="0" applyNumberFormat="1" applyFill="1" applyBorder="1" applyAlignment="1" applyProtection="1">
      <alignment horizontal="center" vertical="center"/>
      <protection locked="0" hidden="1"/>
    </xf>
    <xf numFmtId="9" fontId="0" fillId="4" borderId="39" xfId="2" applyFont="1" applyFill="1" applyBorder="1" applyAlignment="1" applyProtection="1">
      <alignment horizontal="center" vertical="center"/>
      <protection locked="0" hidden="1"/>
    </xf>
    <xf numFmtId="9" fontId="0" fillId="4" borderId="44" xfId="2" applyFont="1" applyFill="1" applyBorder="1" applyAlignment="1" applyProtection="1">
      <alignment horizontal="center" vertical="center"/>
      <protection locked="0" hidden="1"/>
    </xf>
    <xf numFmtId="0" fontId="52" fillId="6" borderId="247" xfId="0" applyFont="1" applyFill="1" applyBorder="1" applyAlignment="1" applyProtection="1">
      <alignment horizontal="center"/>
      <protection locked="0" hidden="1"/>
    </xf>
    <xf numFmtId="0" fontId="52" fillId="6" borderId="248" xfId="0" applyFont="1" applyFill="1" applyBorder="1" applyAlignment="1" applyProtection="1">
      <alignment horizontal="center"/>
      <protection locked="0" hidden="1"/>
    </xf>
    <xf numFmtId="168" fontId="57" fillId="6" borderId="232" xfId="0" applyNumberFormat="1" applyFont="1" applyFill="1" applyBorder="1" applyAlignment="1" applyProtection="1">
      <alignment horizontal="center" vertical="center"/>
      <protection locked="0" hidden="1"/>
    </xf>
    <xf numFmtId="0" fontId="4" fillId="6" borderId="146" xfId="0" applyFont="1" applyFill="1" applyBorder="1" applyAlignment="1" applyProtection="1">
      <alignment horizontal="center" vertical="center"/>
      <protection locked="0" hidden="1"/>
    </xf>
    <xf numFmtId="0" fontId="57" fillId="6" borderId="146" xfId="0" applyFont="1" applyFill="1" applyBorder="1" applyAlignment="1" applyProtection="1">
      <alignment horizontal="center" vertical="center"/>
      <protection locked="0" hidden="1"/>
    </xf>
    <xf numFmtId="0" fontId="57" fillId="6" borderId="145" xfId="0" applyFont="1" applyFill="1" applyBorder="1" applyAlignment="1" applyProtection="1">
      <alignment horizontal="center" vertical="center"/>
      <protection locked="0" hidden="1"/>
    </xf>
    <xf numFmtId="0" fontId="4" fillId="6" borderId="245" xfId="0" applyFont="1" applyFill="1" applyBorder="1" applyAlignment="1" applyProtection="1">
      <alignment horizontal="center" vertical="center"/>
      <protection locked="0" hidden="1"/>
    </xf>
    <xf numFmtId="0" fontId="4" fillId="6" borderId="235" xfId="0" applyFont="1" applyFill="1" applyBorder="1" applyAlignment="1" applyProtection="1">
      <alignment horizontal="center" vertical="center"/>
      <protection locked="0" hidden="1"/>
    </xf>
    <xf numFmtId="168" fontId="4" fillId="4" borderId="146" xfId="0" applyNumberFormat="1" applyFont="1" applyFill="1" applyBorder="1" applyAlignment="1" applyProtection="1">
      <alignment horizontal="center" vertical="center"/>
      <protection locked="0" hidden="1"/>
    </xf>
    <xf numFmtId="168" fontId="4" fillId="4" borderId="145" xfId="0" applyNumberFormat="1" applyFont="1" applyFill="1" applyBorder="1" applyAlignment="1" applyProtection="1">
      <alignment horizontal="center" vertical="center"/>
      <protection locked="0" hidden="1"/>
    </xf>
    <xf numFmtId="168" fontId="0" fillId="6" borderId="21" xfId="0" applyNumberFormat="1" applyFill="1" applyBorder="1" applyAlignment="1" applyProtection="1">
      <alignment horizontal="center" vertical="center"/>
      <protection locked="0" hidden="1"/>
    </xf>
    <xf numFmtId="168" fontId="0" fillId="6" borderId="57" xfId="0" applyNumberFormat="1" applyFill="1" applyBorder="1" applyAlignment="1" applyProtection="1">
      <alignment horizontal="center" vertical="center"/>
      <protection locked="0" hidden="1"/>
    </xf>
    <xf numFmtId="0" fontId="52" fillId="6" borderId="166" xfId="0" applyFont="1" applyFill="1" applyBorder="1" applyAlignment="1" applyProtection="1">
      <alignment horizontal="center"/>
      <protection locked="0" hidden="1"/>
    </xf>
    <xf numFmtId="168" fontId="57" fillId="6" borderId="163" xfId="0" applyNumberFormat="1" applyFont="1" applyFill="1" applyBorder="1" applyAlignment="1" applyProtection="1">
      <alignment horizontal="center" vertical="center"/>
      <protection locked="0" hidden="1"/>
    </xf>
    <xf numFmtId="0" fontId="4" fillId="25" borderId="245" xfId="0" applyFont="1" applyFill="1" applyBorder="1" applyAlignment="1" applyProtection="1">
      <alignment horizontal="center" vertical="center"/>
      <protection locked="0" hidden="1"/>
    </xf>
    <xf numFmtId="0" fontId="4" fillId="25" borderId="235" xfId="0" applyFont="1" applyFill="1" applyBorder="1" applyAlignment="1" applyProtection="1">
      <alignment horizontal="center" vertical="center"/>
      <protection locked="0" hidden="1"/>
    </xf>
    <xf numFmtId="0" fontId="3" fillId="27" borderId="235" xfId="0" applyFont="1" applyFill="1" applyBorder="1" applyAlignment="1" applyProtection="1">
      <alignment horizontal="center" vertical="center"/>
      <protection locked="0" hidden="1"/>
    </xf>
    <xf numFmtId="168" fontId="16" fillId="12" borderId="146" xfId="0" applyNumberFormat="1" applyFont="1" applyFill="1" applyBorder="1" applyAlignment="1" applyProtection="1">
      <alignment horizontal="center" vertical="center"/>
      <protection locked="0" hidden="1"/>
    </xf>
    <xf numFmtId="168" fontId="16" fillId="12" borderId="145" xfId="0" applyNumberFormat="1" applyFont="1" applyFill="1" applyBorder="1" applyAlignment="1" applyProtection="1">
      <alignment horizontal="center" vertical="center"/>
      <protection locked="0" hidden="1"/>
    </xf>
    <xf numFmtId="168" fontId="16" fillId="12" borderId="219" xfId="0" applyNumberFormat="1" applyFont="1" applyFill="1" applyBorder="1" applyAlignment="1" applyProtection="1">
      <alignment horizontal="center" vertical="center"/>
      <protection locked="0" hidden="1"/>
    </xf>
    <xf numFmtId="168" fontId="16" fillId="12" borderId="214" xfId="0" applyNumberFormat="1" applyFont="1" applyFill="1" applyBorder="1" applyAlignment="1" applyProtection="1">
      <alignment horizontal="center" vertical="center"/>
      <protection locked="0" hidden="1"/>
    </xf>
    <xf numFmtId="168" fontId="47" fillId="15" borderId="145" xfId="0" applyNumberFormat="1" applyFont="1" applyFill="1" applyBorder="1" applyAlignment="1" applyProtection="1">
      <alignment horizontal="center" vertical="center"/>
      <protection locked="0" hidden="1"/>
    </xf>
    <xf numFmtId="168" fontId="47" fillId="15" borderId="214" xfId="0" applyNumberFormat="1" applyFont="1" applyFill="1" applyBorder="1" applyAlignment="1" applyProtection="1">
      <alignment horizontal="center" vertical="center"/>
      <protection locked="0" hidden="1"/>
    </xf>
    <xf numFmtId="0" fontId="0" fillId="5" borderId="64" xfId="0" applyFill="1" applyBorder="1" applyAlignment="1" applyProtection="1">
      <alignment horizontal="center"/>
      <protection locked="0" hidden="1"/>
    </xf>
    <xf numFmtId="0" fontId="0" fillId="5" borderId="143" xfId="0" applyFill="1" applyBorder="1" applyAlignment="1" applyProtection="1">
      <alignment horizontal="center"/>
      <protection locked="0" hidden="1"/>
    </xf>
    <xf numFmtId="168" fontId="0" fillId="5" borderId="21" xfId="0" applyNumberFormat="1" applyFill="1" applyBorder="1" applyAlignment="1" applyProtection="1">
      <alignment horizontal="center" vertical="center"/>
      <protection locked="0" hidden="1"/>
    </xf>
    <xf numFmtId="168" fontId="0" fillId="5" borderId="57" xfId="0" applyNumberFormat="1" applyFill="1" applyBorder="1" applyAlignment="1" applyProtection="1">
      <alignment horizontal="center" vertical="center"/>
      <protection locked="0" hidden="1"/>
    </xf>
    <xf numFmtId="168" fontId="2" fillId="2" borderId="38" xfId="3" applyNumberFormat="1" applyBorder="1" applyAlignment="1" applyProtection="1">
      <alignment horizontal="center" vertical="center"/>
      <protection locked="0" hidden="1"/>
    </xf>
    <xf numFmtId="168" fontId="2" fillId="2" borderId="39" xfId="3" applyNumberFormat="1" applyBorder="1" applyAlignment="1" applyProtection="1">
      <alignment horizontal="center" vertical="center"/>
      <protection locked="0" hidden="1"/>
    </xf>
    <xf numFmtId="0" fontId="0" fillId="6" borderId="144" xfId="0" applyFill="1" applyBorder="1" applyAlignment="1" applyProtection="1">
      <alignment horizontal="center"/>
      <protection locked="0" hidden="1"/>
    </xf>
    <xf numFmtId="0" fontId="0" fillId="5" borderId="6" xfId="0" applyFill="1" applyBorder="1" applyAlignment="1" applyProtection="1">
      <alignment horizontal="center" vertical="center" wrapText="1" shrinkToFit="1"/>
      <protection locked="0" hidden="1"/>
    </xf>
    <xf numFmtId="0" fontId="0" fillId="5" borderId="118" xfId="0" applyFill="1" applyBorder="1" applyAlignment="1" applyProtection="1">
      <alignment horizontal="center" vertical="center" wrapText="1" shrinkToFit="1"/>
      <protection locked="0" hidden="1"/>
    </xf>
    <xf numFmtId="9" fontId="48" fillId="12" borderId="235" xfId="0" applyNumberFormat="1" applyFont="1" applyFill="1" applyBorder="1" applyAlignment="1" applyProtection="1">
      <alignment horizontal="center" vertical="center"/>
      <protection locked="0" hidden="1"/>
    </xf>
    <xf numFmtId="9" fontId="48" fillId="12" borderId="236" xfId="0" applyNumberFormat="1" applyFont="1" applyFill="1" applyBorder="1" applyAlignment="1" applyProtection="1">
      <alignment horizontal="center" vertical="center"/>
      <protection locked="0" hidden="1"/>
    </xf>
    <xf numFmtId="9" fontId="48" fillId="12" borderId="145" xfId="0" applyNumberFormat="1" applyFont="1" applyFill="1" applyBorder="1" applyAlignment="1" applyProtection="1">
      <alignment horizontal="center" vertical="center"/>
      <protection locked="0" hidden="1"/>
    </xf>
    <xf numFmtId="9" fontId="48" fillId="12" borderId="237" xfId="0" applyNumberFormat="1" applyFont="1" applyFill="1" applyBorder="1" applyAlignment="1" applyProtection="1">
      <alignment horizontal="center" vertical="center"/>
      <protection locked="0" hidden="1"/>
    </xf>
    <xf numFmtId="9" fontId="3" fillId="15" borderId="145" xfId="0" applyNumberFormat="1" applyFont="1" applyFill="1" applyBorder="1" applyAlignment="1" applyProtection="1">
      <alignment horizontal="center" vertical="center"/>
      <protection locked="0" hidden="1"/>
    </xf>
    <xf numFmtId="9" fontId="3" fillId="15" borderId="237" xfId="0" applyNumberFormat="1" applyFont="1" applyFill="1" applyBorder="1" applyAlignment="1" applyProtection="1">
      <alignment horizontal="center" vertical="center"/>
      <protection locked="0" hidden="1"/>
    </xf>
    <xf numFmtId="9" fontId="57" fillId="6" borderId="145" xfId="0" applyNumberFormat="1" applyFont="1" applyFill="1" applyBorder="1" applyAlignment="1" applyProtection="1">
      <alignment horizontal="center" vertical="center"/>
      <protection locked="0" hidden="1"/>
    </xf>
    <xf numFmtId="9" fontId="57" fillId="6" borderId="237" xfId="0" applyNumberFormat="1" applyFont="1" applyFill="1" applyBorder="1" applyAlignment="1" applyProtection="1">
      <alignment horizontal="center" vertical="center"/>
      <protection locked="0" hidden="1"/>
    </xf>
    <xf numFmtId="9" fontId="57" fillId="6" borderId="232" xfId="0" applyNumberFormat="1" applyFont="1" applyFill="1" applyBorder="1" applyAlignment="1" applyProtection="1">
      <alignment horizontal="center" vertical="center"/>
      <protection locked="0" hidden="1"/>
    </xf>
    <xf numFmtId="9" fontId="57" fillId="6" borderId="246" xfId="0" applyNumberFormat="1" applyFont="1" applyFill="1" applyBorder="1" applyAlignment="1" applyProtection="1">
      <alignment horizontal="center" vertical="center"/>
      <protection locked="0" hidden="1"/>
    </xf>
    <xf numFmtId="9" fontId="4" fillId="26" borderId="235" xfId="0" applyNumberFormat="1" applyFont="1" applyFill="1" applyBorder="1" applyAlignment="1" applyProtection="1">
      <alignment horizontal="center" vertical="center"/>
      <protection locked="0" hidden="1"/>
    </xf>
    <xf numFmtId="9" fontId="4" fillId="26" borderId="236" xfId="0" applyNumberFormat="1" applyFont="1" applyFill="1" applyBorder="1" applyAlignment="1" applyProtection="1">
      <alignment horizontal="center" vertical="center"/>
      <protection locked="0" hidden="1"/>
    </xf>
    <xf numFmtId="168" fontId="16" fillId="13" borderId="145" xfId="0" applyNumberFormat="1" applyFont="1" applyFill="1" applyBorder="1" applyAlignment="1" applyProtection="1">
      <alignment horizontal="center" vertical="center"/>
      <protection locked="0" hidden="1"/>
    </xf>
    <xf numFmtId="168" fontId="16" fillId="13" borderId="237" xfId="0" applyNumberFormat="1" applyFont="1" applyFill="1" applyBorder="1" applyAlignment="1" applyProtection="1">
      <alignment horizontal="center" vertical="center"/>
      <protection locked="0" hidden="1"/>
    </xf>
    <xf numFmtId="168" fontId="16" fillId="13" borderId="214" xfId="0" applyNumberFormat="1" applyFont="1" applyFill="1" applyBorder="1" applyAlignment="1" applyProtection="1">
      <alignment horizontal="center" vertical="center"/>
      <protection locked="0" hidden="1"/>
    </xf>
    <xf numFmtId="168" fontId="16" fillId="13" borderId="230" xfId="0" applyNumberFormat="1" applyFont="1" applyFill="1" applyBorder="1" applyAlignment="1" applyProtection="1">
      <alignment horizontal="center" vertical="center"/>
      <protection locked="0" hidden="1"/>
    </xf>
    <xf numFmtId="3" fontId="0" fillId="6" borderId="64" xfId="0" applyNumberFormat="1" applyFill="1" applyBorder="1" applyAlignment="1" applyProtection="1">
      <alignment horizontal="center"/>
      <protection locked="0" hidden="1"/>
    </xf>
    <xf numFmtId="3" fontId="0" fillId="6" borderId="143" xfId="0" applyNumberFormat="1" applyFill="1" applyBorder="1" applyAlignment="1" applyProtection="1">
      <alignment horizontal="center"/>
      <protection locked="0" hidden="1"/>
    </xf>
    <xf numFmtId="0" fontId="0" fillId="0" borderId="21" xfId="0" applyBorder="1" applyAlignment="1">
      <alignment horizontal="left" vertical="top"/>
    </xf>
    <xf numFmtId="0" fontId="0" fillId="0" borderId="22" xfId="0" applyBorder="1" applyAlignment="1">
      <alignment horizontal="left" vertical="top"/>
    </xf>
    <xf numFmtId="14" fontId="0" fillId="0" borderId="19" xfId="0" applyNumberFormat="1" applyBorder="1" applyAlignment="1">
      <alignment horizontal="center"/>
    </xf>
    <xf numFmtId="0" fontId="0" fillId="0" borderId="19" xfId="0" applyBorder="1" applyAlignment="1">
      <alignment horizontal="left" vertical="top" wrapText="1"/>
    </xf>
    <xf numFmtId="0" fontId="0" fillId="0" borderId="21" xfId="0" applyBorder="1" applyAlignment="1">
      <alignment horizontal="center"/>
    </xf>
    <xf numFmtId="0" fontId="0" fillId="0" borderId="22" xfId="0" applyBorder="1" applyAlignment="1">
      <alignment horizontal="center"/>
    </xf>
    <xf numFmtId="0" fontId="0" fillId="0" borderId="19" xfId="0" applyBorder="1" applyAlignment="1">
      <alignment horizontal="left"/>
    </xf>
    <xf numFmtId="0" fontId="0" fillId="0" borderId="21" xfId="0" applyBorder="1" applyAlignment="1">
      <alignment horizontal="left"/>
    </xf>
    <xf numFmtId="0" fontId="0" fillId="0" borderId="22" xfId="0" applyBorder="1" applyAlignment="1">
      <alignment horizontal="left"/>
    </xf>
    <xf numFmtId="0" fontId="4" fillId="0" borderId="0" xfId="0" applyFont="1" applyAlignment="1">
      <alignment horizontal="left" vertical="center" wrapText="1"/>
    </xf>
    <xf numFmtId="0" fontId="0" fillId="0" borderId="56" xfId="0" applyBorder="1" applyAlignment="1">
      <alignment horizontal="left" vertical="top"/>
    </xf>
    <xf numFmtId="0" fontId="0" fillId="0" borderId="19" xfId="0" applyBorder="1" applyAlignment="1">
      <alignment horizontal="left" vertical="top"/>
    </xf>
    <xf numFmtId="0" fontId="0" fillId="0" borderId="0" xfId="0" applyAlignment="1">
      <alignment horizontal="left"/>
    </xf>
    <xf numFmtId="0" fontId="0" fillId="5" borderId="78" xfId="0" applyFill="1" applyBorder="1" applyAlignment="1">
      <alignment horizontal="center"/>
    </xf>
    <xf numFmtId="0" fontId="0" fillId="5" borderId="32" xfId="0" applyFill="1" applyBorder="1" applyAlignment="1">
      <alignment horizontal="center"/>
    </xf>
    <xf numFmtId="0" fontId="0" fillId="5" borderId="79" xfId="0" applyFill="1" applyBorder="1" applyAlignment="1">
      <alignment horizontal="center"/>
    </xf>
    <xf numFmtId="0" fontId="0" fillId="5" borderId="88" xfId="0" applyFill="1" applyBorder="1" applyAlignment="1">
      <alignment horizontal="center"/>
    </xf>
    <xf numFmtId="0" fontId="0" fillId="5" borderId="0" xfId="0" applyFill="1" applyAlignment="1">
      <alignment horizontal="center"/>
    </xf>
    <xf numFmtId="0" fontId="0" fillId="5" borderId="89" xfId="0" applyFill="1" applyBorder="1" applyAlignment="1">
      <alignment horizontal="center"/>
    </xf>
    <xf numFmtId="0" fontId="0" fillId="5" borderId="41" xfId="0" applyFill="1" applyBorder="1" applyAlignment="1">
      <alignment horizontal="center"/>
    </xf>
    <xf numFmtId="0" fontId="0" fillId="5" borderId="82" xfId="0" applyFill="1" applyBorder="1" applyAlignment="1">
      <alignment horizontal="center"/>
    </xf>
    <xf numFmtId="14" fontId="0" fillId="5" borderId="19" xfId="0" applyNumberFormat="1" applyFill="1" applyBorder="1" applyAlignment="1">
      <alignment horizontal="center" vertical="center"/>
    </xf>
    <xf numFmtId="0" fontId="0" fillId="5" borderId="19" xfId="0" applyFill="1" applyBorder="1" applyAlignment="1">
      <alignment horizontal="center"/>
    </xf>
    <xf numFmtId="0" fontId="18" fillId="4" borderId="19" xfId="0" applyFont="1" applyFill="1" applyBorder="1" applyAlignment="1">
      <alignment horizontal="center" vertical="center"/>
    </xf>
    <xf numFmtId="0" fontId="0" fillId="5" borderId="120" xfId="0" applyFill="1" applyBorder="1" applyAlignment="1">
      <alignment horizontal="left" vertical="center" shrinkToFit="1"/>
    </xf>
    <xf numFmtId="0" fontId="0" fillId="5" borderId="122" xfId="0" applyFill="1" applyBorder="1" applyAlignment="1">
      <alignment horizontal="left" vertical="center" shrinkToFit="1"/>
    </xf>
    <xf numFmtId="0" fontId="0" fillId="5" borderId="119" xfId="0" applyFill="1" applyBorder="1" applyAlignment="1">
      <alignment horizontal="left" vertical="center" shrinkToFit="1"/>
    </xf>
    <xf numFmtId="0" fontId="19" fillId="5" borderId="128" xfId="0" applyFont="1" applyFill="1" applyBorder="1" applyAlignment="1">
      <alignment horizontal="left"/>
    </xf>
    <xf numFmtId="0" fontId="19" fillId="5" borderId="104" xfId="0" applyFont="1" applyFill="1" applyBorder="1" applyAlignment="1">
      <alignment horizontal="left"/>
    </xf>
    <xf numFmtId="0" fontId="0" fillId="4" borderId="81" xfId="0" applyFill="1" applyBorder="1" applyAlignment="1">
      <alignment horizontal="left" vertical="top"/>
    </xf>
    <xf numFmtId="0" fontId="0" fillId="4" borderId="41" xfId="0" applyFill="1" applyBorder="1" applyAlignment="1">
      <alignment horizontal="left" vertical="top"/>
    </xf>
    <xf numFmtId="0" fontId="20" fillId="4" borderId="78" xfId="0" applyFont="1" applyFill="1" applyBorder="1" applyAlignment="1">
      <alignment horizontal="left" vertical="top" wrapText="1" shrinkToFit="1"/>
    </xf>
    <xf numFmtId="0" fontId="20" fillId="4" borderId="32" xfId="0" applyFont="1" applyFill="1" applyBorder="1" applyAlignment="1">
      <alignment horizontal="left" vertical="top" wrapText="1" shrinkToFit="1"/>
    </xf>
    <xf numFmtId="0" fontId="20" fillId="4" borderId="79" xfId="0" applyFont="1" applyFill="1" applyBorder="1" applyAlignment="1">
      <alignment horizontal="left" vertical="top" wrapText="1" shrinkToFit="1"/>
    </xf>
    <xf numFmtId="0" fontId="20" fillId="4" borderId="88" xfId="0" applyFont="1" applyFill="1" applyBorder="1" applyAlignment="1">
      <alignment horizontal="left" vertical="top" wrapText="1" shrinkToFit="1"/>
    </xf>
    <xf numFmtId="0" fontId="20" fillId="4" borderId="0" xfId="0" applyFont="1" applyFill="1" applyAlignment="1">
      <alignment horizontal="left" vertical="top" wrapText="1" shrinkToFit="1"/>
    </xf>
    <xf numFmtId="0" fontId="20" fillId="4" borderId="89" xfId="0" applyFont="1" applyFill="1" applyBorder="1" applyAlignment="1">
      <alignment horizontal="left" vertical="top" wrapText="1" shrinkToFit="1"/>
    </xf>
    <xf numFmtId="0" fontId="36" fillId="28" borderId="38" xfId="0" applyFont="1" applyFill="1" applyBorder="1" applyAlignment="1">
      <alignment horizontal="right" vertical="center"/>
    </xf>
    <xf numFmtId="0" fontId="36" fillId="28" borderId="62" xfId="0" applyFont="1" applyFill="1" applyBorder="1" applyAlignment="1">
      <alignment horizontal="right" vertical="center"/>
    </xf>
    <xf numFmtId="0" fontId="36" fillId="28" borderId="59" xfId="0" applyFont="1" applyFill="1" applyBorder="1" applyAlignment="1">
      <alignment horizontal="right" vertical="center"/>
    </xf>
    <xf numFmtId="0" fontId="36" fillId="28" borderId="54" xfId="0" applyFont="1" applyFill="1" applyBorder="1" applyAlignment="1">
      <alignment horizontal="right" vertical="center"/>
    </xf>
    <xf numFmtId="0" fontId="0" fillId="5" borderId="104" xfId="0" applyFill="1" applyBorder="1" applyAlignment="1">
      <alignment horizontal="left"/>
    </xf>
    <xf numFmtId="0" fontId="0" fillId="5" borderId="105" xfId="0" applyFill="1" applyBorder="1" applyAlignment="1">
      <alignment horizontal="left"/>
    </xf>
    <xf numFmtId="0" fontId="0" fillId="5" borderId="100" xfId="0" applyFill="1" applyBorder="1" applyAlignment="1">
      <alignment horizontal="left"/>
    </xf>
    <xf numFmtId="0" fontId="0" fillId="5" borderId="101" xfId="0" applyFill="1" applyBorder="1" applyAlignment="1">
      <alignment horizontal="left"/>
    </xf>
    <xf numFmtId="0" fontId="0" fillId="0" borderId="0" xfId="0" applyAlignment="1">
      <alignment horizontal="center"/>
    </xf>
    <xf numFmtId="0" fontId="4" fillId="5" borderId="133" xfId="0" applyFont="1" applyFill="1" applyBorder="1" applyAlignment="1">
      <alignment horizontal="center"/>
    </xf>
    <xf numFmtId="0" fontId="4" fillId="5" borderId="19" xfId="0" applyFont="1" applyFill="1" applyBorder="1" applyAlignment="1">
      <alignment horizontal="center"/>
    </xf>
    <xf numFmtId="0" fontId="4" fillId="5" borderId="134" xfId="0" applyFont="1" applyFill="1" applyBorder="1" applyAlignment="1">
      <alignment horizontal="center"/>
    </xf>
    <xf numFmtId="0" fontId="4" fillId="0" borderId="78" xfId="0" applyFont="1" applyBorder="1" applyAlignment="1">
      <alignment horizontal="left" vertical="top" wrapText="1"/>
    </xf>
    <xf numFmtId="0" fontId="4" fillId="0" borderId="32" xfId="0" applyFont="1" applyBorder="1" applyAlignment="1">
      <alignment horizontal="left" vertical="top" wrapText="1"/>
    </xf>
    <xf numFmtId="0" fontId="4" fillId="0" borderId="79" xfId="0" applyFont="1" applyBorder="1" applyAlignment="1">
      <alignment horizontal="left" vertical="top" wrapText="1"/>
    </xf>
    <xf numFmtId="0" fontId="4" fillId="0" borderId="88" xfId="0" applyFont="1" applyBorder="1" applyAlignment="1">
      <alignment horizontal="left" vertical="top" wrapText="1"/>
    </xf>
    <xf numFmtId="0" fontId="4" fillId="0" borderId="0" xfId="0" applyFont="1" applyAlignment="1">
      <alignment horizontal="left" vertical="top" wrapText="1"/>
    </xf>
    <xf numFmtId="0" fontId="4" fillId="0" borderId="89" xfId="0" applyFont="1" applyBorder="1" applyAlignment="1">
      <alignment horizontal="left" vertical="top" wrapText="1"/>
    </xf>
    <xf numFmtId="0" fontId="4" fillId="0" borderId="81" xfId="0" applyFont="1" applyBorder="1" applyAlignment="1">
      <alignment horizontal="left" vertical="top" wrapText="1"/>
    </xf>
    <xf numFmtId="0" fontId="4" fillId="0" borderId="41" xfId="0" applyFont="1" applyBorder="1" applyAlignment="1">
      <alignment horizontal="left" vertical="top" wrapText="1"/>
    </xf>
    <xf numFmtId="0" fontId="4" fillId="0" borderId="82" xfId="0" applyFont="1" applyBorder="1" applyAlignment="1">
      <alignment horizontal="left" vertical="top" wrapText="1"/>
    </xf>
    <xf numFmtId="0" fontId="4" fillId="5" borderId="78" xfId="0" applyFont="1" applyFill="1" applyBorder="1" applyAlignment="1">
      <alignment horizontal="center"/>
    </xf>
    <xf numFmtId="0" fontId="4" fillId="5" borderId="32" xfId="0" applyFont="1" applyFill="1" applyBorder="1" applyAlignment="1">
      <alignment horizontal="center"/>
    </xf>
    <xf numFmtId="0" fontId="4" fillId="5" borderId="79" xfId="0" applyFont="1" applyFill="1" applyBorder="1" applyAlignment="1">
      <alignment horizontal="center"/>
    </xf>
    <xf numFmtId="0" fontId="4" fillId="5" borderId="120" xfId="0" applyFont="1" applyFill="1" applyBorder="1" applyAlignment="1">
      <alignment horizontal="left"/>
    </xf>
    <xf numFmtId="0" fontId="4" fillId="5" borderId="122" xfId="0" applyFont="1" applyFill="1" applyBorder="1" applyAlignment="1">
      <alignment horizontal="left"/>
    </xf>
    <xf numFmtId="0" fontId="4" fillId="5" borderId="119" xfId="0" applyFont="1" applyFill="1" applyBorder="1" applyAlignment="1">
      <alignment horizontal="left"/>
    </xf>
    <xf numFmtId="0" fontId="19" fillId="5" borderId="130" xfId="0" applyFont="1" applyFill="1" applyBorder="1" applyAlignment="1">
      <alignment horizontal="left"/>
    </xf>
    <xf numFmtId="0" fontId="19" fillId="5" borderId="131" xfId="0" applyFont="1" applyFill="1" applyBorder="1" applyAlignment="1">
      <alignment horizontal="left"/>
    </xf>
    <xf numFmtId="0" fontId="18" fillId="4" borderId="21" xfId="0" applyFont="1" applyFill="1" applyBorder="1" applyAlignment="1">
      <alignment horizontal="right"/>
    </xf>
    <xf numFmtId="0" fontId="18" fillId="4" borderId="56" xfId="0" applyFont="1" applyFill="1" applyBorder="1" applyAlignment="1">
      <alignment horizontal="right"/>
    </xf>
    <xf numFmtId="0" fontId="18" fillId="4" borderId="22" xfId="0" applyFont="1" applyFill="1" applyBorder="1" applyAlignment="1">
      <alignment horizontal="right"/>
    </xf>
    <xf numFmtId="0" fontId="6" fillId="0" borderId="78" xfId="0" applyFont="1" applyBorder="1" applyAlignment="1">
      <alignment horizontal="left" vertical="center"/>
    </xf>
    <xf numFmtId="0" fontId="6" fillId="0" borderId="32" xfId="0" applyFont="1" applyBorder="1" applyAlignment="1">
      <alignment horizontal="left" vertical="center"/>
    </xf>
    <xf numFmtId="0" fontId="6" fillId="0" borderId="79" xfId="0" applyFont="1" applyBorder="1" applyAlignment="1">
      <alignment horizontal="left" vertical="center"/>
    </xf>
    <xf numFmtId="0" fontId="6" fillId="0" borderId="81" xfId="0" applyFont="1" applyBorder="1" applyAlignment="1">
      <alignment horizontal="left" vertical="center"/>
    </xf>
    <xf numFmtId="0" fontId="6" fillId="0" borderId="41" xfId="0" applyFont="1" applyBorder="1" applyAlignment="1">
      <alignment horizontal="left" vertical="center"/>
    </xf>
    <xf numFmtId="0" fontId="6" fillId="0" borderId="82" xfId="0" applyFont="1" applyBorder="1" applyAlignment="1">
      <alignment horizontal="left" vertical="center"/>
    </xf>
    <xf numFmtId="0" fontId="19" fillId="5" borderId="126" xfId="0" applyFont="1" applyFill="1" applyBorder="1" applyAlignment="1">
      <alignment horizontal="left"/>
    </xf>
    <xf numFmtId="0" fontId="19" fillId="5" borderId="100" xfId="0" applyFont="1" applyFill="1" applyBorder="1" applyAlignment="1">
      <alignment horizontal="left"/>
    </xf>
    <xf numFmtId="0" fontId="38" fillId="5" borderId="78" xfId="0" applyFont="1" applyFill="1" applyBorder="1" applyAlignment="1">
      <alignment horizontal="right"/>
    </xf>
    <xf numFmtId="0" fontId="38" fillId="5" borderId="32" xfId="0" applyFont="1" applyFill="1" applyBorder="1" applyAlignment="1">
      <alignment horizontal="right"/>
    </xf>
    <xf numFmtId="0" fontId="38" fillId="5" borderId="79" xfId="0" applyFont="1" applyFill="1" applyBorder="1" applyAlignment="1">
      <alignment horizontal="right"/>
    </xf>
    <xf numFmtId="0" fontId="38" fillId="5" borderId="88" xfId="0" applyFont="1" applyFill="1" applyBorder="1" applyAlignment="1">
      <alignment horizontal="right"/>
    </xf>
    <xf numFmtId="0" fontId="38" fillId="5" borderId="0" xfId="0" applyFont="1" applyFill="1" applyAlignment="1">
      <alignment horizontal="right"/>
    </xf>
    <xf numFmtId="0" fontId="38" fillId="5" borderId="89" xfId="0" applyFont="1" applyFill="1" applyBorder="1" applyAlignment="1">
      <alignment horizontal="right"/>
    </xf>
    <xf numFmtId="0" fontId="18" fillId="5" borderId="120" xfId="0" applyFont="1" applyFill="1" applyBorder="1" applyAlignment="1">
      <alignment horizontal="left"/>
    </xf>
    <xf numFmtId="0" fontId="18" fillId="5" borderId="122" xfId="0" applyFont="1" applyFill="1" applyBorder="1" applyAlignment="1">
      <alignment horizontal="left"/>
    </xf>
    <xf numFmtId="0" fontId="18" fillId="5" borderId="119" xfId="0" applyFont="1" applyFill="1" applyBorder="1" applyAlignment="1">
      <alignment horizontal="left"/>
    </xf>
    <xf numFmtId="0" fontId="0" fillId="5" borderId="19" xfId="0" applyFill="1" applyBorder="1" applyAlignment="1">
      <alignment horizontal="left"/>
    </xf>
    <xf numFmtId="9" fontId="28" fillId="16" borderId="193" xfId="0" applyNumberFormat="1" applyFont="1" applyFill="1" applyBorder="1" applyAlignment="1">
      <alignment horizontal="center" vertical="center"/>
    </xf>
    <xf numFmtId="9" fontId="28" fillId="16" borderId="121" xfId="0" applyNumberFormat="1" applyFont="1" applyFill="1" applyBorder="1" applyAlignment="1">
      <alignment horizontal="center" vertical="center"/>
    </xf>
    <xf numFmtId="14" fontId="18" fillId="4" borderId="38" xfId="0" applyNumberFormat="1" applyFont="1" applyFill="1" applyBorder="1" applyAlignment="1">
      <alignment horizontal="center" vertical="center"/>
    </xf>
    <xf numFmtId="14" fontId="18" fillId="4" borderId="63" xfId="0" applyNumberFormat="1" applyFont="1" applyFill="1" applyBorder="1" applyAlignment="1">
      <alignment horizontal="center" vertical="center"/>
    </xf>
    <xf numFmtId="14" fontId="18" fillId="4" borderId="59" xfId="0" applyNumberFormat="1" applyFont="1" applyFill="1" applyBorder="1" applyAlignment="1">
      <alignment horizontal="center" vertical="center"/>
    </xf>
    <xf numFmtId="14" fontId="18" fillId="4" borderId="58" xfId="0" applyNumberFormat="1" applyFont="1" applyFill="1" applyBorder="1" applyAlignment="1">
      <alignment horizontal="center" vertical="center"/>
    </xf>
    <xf numFmtId="0" fontId="0" fillId="5" borderId="23" xfId="0" applyFill="1" applyBorder="1" applyAlignment="1">
      <alignment horizontal="center" vertical="center"/>
    </xf>
    <xf numFmtId="0" fontId="0" fillId="5" borderId="20" xfId="0" applyFill="1" applyBorder="1" applyAlignment="1">
      <alignment horizontal="center" vertical="center"/>
    </xf>
    <xf numFmtId="0" fontId="0" fillId="5" borderId="11" xfId="0" applyFill="1" applyBorder="1" applyAlignment="1">
      <alignment horizontal="center" vertical="center"/>
    </xf>
    <xf numFmtId="0" fontId="18" fillId="4" borderId="38" xfId="0" applyFont="1" applyFill="1" applyBorder="1" applyAlignment="1">
      <alignment horizontal="center" vertical="center"/>
    </xf>
    <xf numFmtId="0" fontId="18" fillId="4" borderId="62" xfId="0" applyFont="1" applyFill="1" applyBorder="1" applyAlignment="1">
      <alignment horizontal="center" vertical="center"/>
    </xf>
    <xf numFmtId="0" fontId="18" fillId="4" borderId="63" xfId="0" applyFont="1" applyFill="1" applyBorder="1" applyAlignment="1">
      <alignment horizontal="center" vertical="center"/>
    </xf>
    <xf numFmtId="0" fontId="18" fillId="4" borderId="37" xfId="0" applyFont="1" applyFill="1" applyBorder="1" applyAlignment="1">
      <alignment horizontal="center" vertical="center"/>
    </xf>
    <xf numFmtId="0" fontId="18" fillId="4" borderId="0" xfId="0" applyFont="1" applyFill="1" applyAlignment="1">
      <alignment horizontal="center" vertical="center"/>
    </xf>
    <xf numFmtId="0" fontId="18" fillId="4" borderId="36" xfId="0" applyFont="1" applyFill="1" applyBorder="1" applyAlignment="1">
      <alignment horizontal="center" vertical="center"/>
    </xf>
    <xf numFmtId="0" fontId="18" fillId="4" borderId="59" xfId="0" applyFont="1" applyFill="1" applyBorder="1" applyAlignment="1">
      <alignment horizontal="center" vertical="center"/>
    </xf>
    <xf numFmtId="0" fontId="18" fillId="4" borderId="54" xfId="0" applyFont="1" applyFill="1" applyBorder="1" applyAlignment="1">
      <alignment horizontal="center" vertical="center"/>
    </xf>
    <xf numFmtId="0" fontId="18" fillId="4" borderId="58" xfId="0" applyFont="1" applyFill="1" applyBorder="1" applyAlignment="1">
      <alignment horizontal="center" vertical="center"/>
    </xf>
    <xf numFmtId="0" fontId="4" fillId="4" borderId="38" xfId="0" applyFont="1" applyFill="1" applyBorder="1" applyAlignment="1">
      <alignment horizontal="center" vertical="center"/>
    </xf>
    <xf numFmtId="0" fontId="4" fillId="4" borderId="62" xfId="0" applyFont="1" applyFill="1" applyBorder="1" applyAlignment="1">
      <alignment horizontal="center" vertical="center"/>
    </xf>
    <xf numFmtId="0" fontId="4" fillId="4" borderId="63" xfId="0" applyFont="1" applyFill="1" applyBorder="1" applyAlignment="1">
      <alignment horizontal="center" vertical="center"/>
    </xf>
    <xf numFmtId="0" fontId="4" fillId="4" borderId="37" xfId="0" applyFont="1" applyFill="1" applyBorder="1" applyAlignment="1">
      <alignment horizontal="center" vertical="center"/>
    </xf>
    <xf numFmtId="0" fontId="4" fillId="4" borderId="0" xfId="0" applyFont="1" applyFill="1" applyAlignment="1">
      <alignment horizontal="center" vertical="center"/>
    </xf>
    <xf numFmtId="0" fontId="4" fillId="4" borderId="36" xfId="0" applyFont="1" applyFill="1" applyBorder="1" applyAlignment="1">
      <alignment horizontal="center" vertical="center"/>
    </xf>
    <xf numFmtId="0" fontId="4" fillId="4" borderId="59" xfId="0" applyFont="1" applyFill="1" applyBorder="1" applyAlignment="1">
      <alignment horizontal="center" vertical="center"/>
    </xf>
    <xf numFmtId="0" fontId="4" fillId="4" borderId="54" xfId="0" applyFont="1" applyFill="1" applyBorder="1" applyAlignment="1">
      <alignment horizontal="center" vertical="center"/>
    </xf>
    <xf numFmtId="0" fontId="4" fillId="4" borderId="58" xfId="0" applyFont="1" applyFill="1" applyBorder="1" applyAlignment="1">
      <alignment horizontal="center" vertical="center"/>
    </xf>
    <xf numFmtId="0" fontId="4" fillId="4" borderId="0" xfId="0" applyFont="1" applyFill="1" applyAlignment="1">
      <alignment horizontal="center" wrapText="1"/>
    </xf>
    <xf numFmtId="0" fontId="4" fillId="4" borderId="89" xfId="0" applyFont="1" applyFill="1" applyBorder="1" applyAlignment="1">
      <alignment horizontal="center" wrapText="1"/>
    </xf>
    <xf numFmtId="0" fontId="18" fillId="4" borderId="19" xfId="0" applyFont="1" applyFill="1" applyBorder="1" applyAlignment="1">
      <alignment horizontal="left" vertical="center"/>
    </xf>
    <xf numFmtId="0" fontId="0" fillId="5" borderId="19" xfId="0" applyFill="1" applyBorder="1" applyAlignment="1">
      <alignment horizontal="left" vertical="center"/>
    </xf>
    <xf numFmtId="0" fontId="4" fillId="0" borderId="0" xfId="0" applyFont="1" applyAlignment="1">
      <alignment horizontal="center"/>
    </xf>
    <xf numFmtId="0" fontId="4" fillId="0" borderId="89" xfId="0" applyFont="1" applyBorder="1" applyAlignment="1">
      <alignment horizontal="center"/>
    </xf>
    <xf numFmtId="0" fontId="32" fillId="33" borderId="120" xfId="0" applyFont="1" applyFill="1" applyBorder="1" applyAlignment="1">
      <alignment horizontal="center" vertical="top"/>
    </xf>
    <xf numFmtId="0" fontId="32" fillId="33" borderId="122" xfId="0" applyFont="1" applyFill="1" applyBorder="1" applyAlignment="1">
      <alignment horizontal="center" vertical="top"/>
    </xf>
    <xf numFmtId="0" fontId="32" fillId="33" borderId="119" xfId="0" applyFont="1" applyFill="1" applyBorder="1" applyAlignment="1">
      <alignment horizontal="center" vertical="top"/>
    </xf>
    <xf numFmtId="0" fontId="35" fillId="28" borderId="38" xfId="0" applyFont="1" applyFill="1" applyBorder="1" applyAlignment="1">
      <alignment horizontal="right" vertical="center"/>
    </xf>
    <xf numFmtId="0" fontId="35" fillId="28" borderId="62" xfId="0" applyFont="1" applyFill="1" applyBorder="1" applyAlignment="1">
      <alignment horizontal="right" vertical="center"/>
    </xf>
    <xf numFmtId="0" fontId="35" fillId="28" borderId="63" xfId="0" applyFont="1" applyFill="1" applyBorder="1" applyAlignment="1">
      <alignment horizontal="right" vertical="center"/>
    </xf>
    <xf numFmtId="0" fontId="35" fillId="28" borderId="59" xfId="0" applyFont="1" applyFill="1" applyBorder="1" applyAlignment="1">
      <alignment horizontal="right" vertical="center"/>
    </xf>
    <xf numFmtId="0" fontId="35" fillId="28" borderId="54" xfId="0" applyFont="1" applyFill="1" applyBorder="1" applyAlignment="1">
      <alignment horizontal="right" vertical="center"/>
    </xf>
    <xf numFmtId="0" fontId="35" fillId="28" borderId="58" xfId="0" applyFont="1" applyFill="1" applyBorder="1" applyAlignment="1">
      <alignment horizontal="right" vertical="center"/>
    </xf>
    <xf numFmtId="168" fontId="6" fillId="28" borderId="38" xfId="0" applyNumberFormat="1" applyFont="1" applyFill="1" applyBorder="1" applyAlignment="1">
      <alignment horizontal="center" vertical="center"/>
    </xf>
    <xf numFmtId="168" fontId="6" fillId="28" borderId="136" xfId="0" applyNumberFormat="1" applyFont="1" applyFill="1" applyBorder="1" applyAlignment="1">
      <alignment horizontal="center" vertical="center"/>
    </xf>
    <xf numFmtId="168" fontId="6" fillId="28" borderId="37" xfId="0" applyNumberFormat="1" applyFont="1" applyFill="1" applyBorder="1" applyAlignment="1">
      <alignment horizontal="center" vertical="center"/>
    </xf>
    <xf numFmtId="168" fontId="6" fillId="28" borderId="89" xfId="0" applyNumberFormat="1" applyFont="1" applyFill="1" applyBorder="1" applyAlignment="1">
      <alignment horizontal="center" vertical="center"/>
    </xf>
    <xf numFmtId="0" fontId="34" fillId="0" borderId="78" xfId="0" applyFont="1" applyBorder="1" applyAlignment="1">
      <alignment horizontal="left" vertical="center"/>
    </xf>
    <xf numFmtId="0" fontId="34" fillId="0" borderId="32" xfId="0" applyFont="1" applyBorder="1" applyAlignment="1">
      <alignment horizontal="left" vertical="center"/>
    </xf>
    <xf numFmtId="0" fontId="34" fillId="0" borderId="79" xfId="0" applyFont="1" applyBorder="1" applyAlignment="1">
      <alignment horizontal="left" vertical="center"/>
    </xf>
    <xf numFmtId="0" fontId="34" fillId="0" borderId="81" xfId="0" applyFont="1" applyBorder="1" applyAlignment="1">
      <alignment horizontal="left" vertical="center"/>
    </xf>
    <xf numFmtId="0" fontId="34" fillId="0" borderId="41" xfId="0" applyFont="1" applyBorder="1" applyAlignment="1">
      <alignment horizontal="left" vertical="center"/>
    </xf>
    <xf numFmtId="0" fontId="34" fillId="0" borderId="82" xfId="0" applyFont="1" applyBorder="1" applyAlignment="1">
      <alignment horizontal="left" vertical="center"/>
    </xf>
    <xf numFmtId="168" fontId="0" fillId="0" borderId="38" xfId="0" applyNumberFormat="1" applyBorder="1" applyAlignment="1">
      <alignment horizontal="center"/>
    </xf>
    <xf numFmtId="168" fontId="0" fillId="0" borderId="136" xfId="0" applyNumberFormat="1" applyBorder="1" applyAlignment="1">
      <alignment horizontal="center"/>
    </xf>
    <xf numFmtId="9" fontId="0" fillId="0" borderId="21" xfId="0" applyNumberFormat="1" applyBorder="1" applyAlignment="1">
      <alignment horizontal="center"/>
    </xf>
    <xf numFmtId="9" fontId="0" fillId="0" borderId="186" xfId="0" applyNumberFormat="1" applyBorder="1" applyAlignment="1">
      <alignment horizontal="center"/>
    </xf>
    <xf numFmtId="168" fontId="0" fillId="0" borderId="21" xfId="0" applyNumberFormat="1" applyBorder="1" applyAlignment="1">
      <alignment horizontal="center"/>
    </xf>
    <xf numFmtId="168" fontId="0" fillId="0" borderId="186" xfId="0" applyNumberFormat="1" applyBorder="1" applyAlignment="1">
      <alignment horizontal="center"/>
    </xf>
    <xf numFmtId="168" fontId="0" fillId="0" borderId="43" xfId="0" applyNumberFormat="1" applyBorder="1" applyAlignment="1">
      <alignment horizontal="center"/>
    </xf>
    <xf numFmtId="168" fontId="0" fillId="0" borderId="82" xfId="0" applyNumberFormat="1" applyBorder="1" applyAlignment="1">
      <alignment horizontal="center"/>
    </xf>
    <xf numFmtId="168" fontId="29" fillId="28" borderId="136" xfId="0" applyNumberFormat="1" applyFont="1" applyFill="1" applyBorder="1" applyAlignment="1">
      <alignment horizontal="center" vertical="center"/>
    </xf>
    <xf numFmtId="168" fontId="29" fillId="28" borderId="191" xfId="0" applyNumberFormat="1" applyFont="1" applyFill="1" applyBorder="1" applyAlignment="1">
      <alignment horizontal="center" vertical="center"/>
    </xf>
    <xf numFmtId="0" fontId="0" fillId="38" borderId="38" xfId="0" applyFill="1" applyBorder="1" applyAlignment="1">
      <alignment horizontal="center"/>
    </xf>
    <xf numFmtId="0" fontId="0" fillId="38" borderId="62" xfId="0" applyFill="1" applyBorder="1" applyAlignment="1">
      <alignment horizontal="center"/>
    </xf>
    <xf numFmtId="0" fontId="0" fillId="38" borderId="63" xfId="0" applyFill="1" applyBorder="1" applyAlignment="1">
      <alignment horizontal="center"/>
    </xf>
    <xf numFmtId="2" fontId="63" fillId="4" borderId="37" xfId="0" applyNumberFormat="1" applyFont="1" applyFill="1" applyBorder="1" applyAlignment="1">
      <alignment horizontal="center" vertical="center" wrapText="1"/>
    </xf>
    <xf numFmtId="2" fontId="63" fillId="4" borderId="0" xfId="0" applyNumberFormat="1" applyFont="1" applyFill="1" applyAlignment="1">
      <alignment horizontal="center" vertical="center" wrapText="1"/>
    </xf>
    <xf numFmtId="2" fontId="63" fillId="4" borderId="36" xfId="0" applyNumberFormat="1" applyFont="1" applyFill="1" applyBorder="1" applyAlignment="1">
      <alignment horizontal="center" vertical="center" wrapText="1"/>
    </xf>
    <xf numFmtId="0" fontId="53" fillId="38" borderId="37" xfId="0" applyFont="1" applyFill="1" applyBorder="1" applyAlignment="1">
      <alignment horizontal="center" vertical="center" wrapText="1"/>
    </xf>
    <xf numFmtId="0" fontId="53" fillId="38" borderId="0" xfId="0" applyFont="1" applyFill="1" applyAlignment="1">
      <alignment horizontal="center" vertical="center" wrapText="1"/>
    </xf>
    <xf numFmtId="0" fontId="53" fillId="38" borderId="36" xfId="0" applyFont="1" applyFill="1" applyBorder="1" applyAlignment="1">
      <alignment horizontal="center" vertical="center" wrapText="1"/>
    </xf>
    <xf numFmtId="0" fontId="6" fillId="43" borderId="259" xfId="0" applyFont="1" applyFill="1" applyBorder="1" applyAlignment="1">
      <alignment horizontal="center" vertical="center"/>
    </xf>
    <xf numFmtId="0" fontId="6" fillId="43" borderId="254" xfId="0" applyFont="1" applyFill="1" applyBorder="1" applyAlignment="1">
      <alignment horizontal="center" vertical="center"/>
    </xf>
    <xf numFmtId="0" fontId="0" fillId="42" borderId="254" xfId="0" applyFill="1" applyBorder="1" applyAlignment="1">
      <alignment wrapText="1"/>
    </xf>
    <xf numFmtId="0" fontId="0" fillId="42" borderId="260" xfId="0" applyFill="1" applyBorder="1" applyAlignment="1">
      <alignment wrapText="1"/>
    </xf>
    <xf numFmtId="0" fontId="50" fillId="5" borderId="21" xfId="0" applyFont="1" applyFill="1" applyBorder="1" applyAlignment="1">
      <alignment horizontal="left" vertical="center" wrapText="1" indent="2"/>
    </xf>
    <xf numFmtId="0" fontId="50" fillId="5" borderId="22" xfId="0" applyFont="1" applyFill="1" applyBorder="1" applyAlignment="1">
      <alignment horizontal="left" wrapText="1" indent="2"/>
    </xf>
    <xf numFmtId="15" fontId="50" fillId="0" borderId="21" xfId="0" applyNumberFormat="1" applyFont="1" applyBorder="1" applyAlignment="1">
      <alignment horizontal="center" vertical="center" wrapText="1"/>
    </xf>
    <xf numFmtId="0" fontId="50" fillId="0" borderId="56" xfId="0" applyFont="1" applyBorder="1" applyAlignment="1">
      <alignment horizontal="center" vertical="center" wrapText="1"/>
    </xf>
    <xf numFmtId="0" fontId="50" fillId="0" borderId="22" xfId="0" applyFont="1" applyBorder="1" applyAlignment="1">
      <alignment horizontal="center" vertical="center" wrapText="1"/>
    </xf>
    <xf numFmtId="0" fontId="50" fillId="5" borderId="22" xfId="0" applyFont="1" applyFill="1" applyBorder="1" applyAlignment="1">
      <alignment horizontal="left" vertical="center" wrapText="1" indent="2"/>
    </xf>
    <xf numFmtId="0" fontId="20" fillId="0" borderId="257" xfId="0" applyFont="1" applyBorder="1" applyAlignment="1">
      <alignment horizontal="center"/>
    </xf>
    <xf numFmtId="0" fontId="20" fillId="0" borderId="109" xfId="0" applyFont="1" applyBorder="1" applyAlignment="1">
      <alignment horizontal="center"/>
    </xf>
    <xf numFmtId="0" fontId="20" fillId="0" borderId="258" xfId="0" applyFont="1" applyBorder="1" applyAlignment="1">
      <alignment horizontal="center"/>
    </xf>
    <xf numFmtId="0" fontId="0" fillId="4" borderId="37" xfId="0" applyFill="1" applyBorder="1" applyAlignment="1">
      <alignment horizontal="center"/>
    </xf>
    <xf numFmtId="0" fontId="0" fillId="4" borderId="0" xfId="0" applyFill="1" applyAlignment="1">
      <alignment horizontal="center"/>
    </xf>
    <xf numFmtId="0" fontId="0" fillId="4" borderId="36" xfId="0" applyFill="1" applyBorder="1" applyAlignment="1">
      <alignment horizontal="center"/>
    </xf>
    <xf numFmtId="0" fontId="50" fillId="0" borderId="21" xfId="0" applyFont="1" applyBorder="1" applyAlignment="1">
      <alignment horizontal="center" vertical="center" wrapText="1"/>
    </xf>
    <xf numFmtId="0" fontId="51" fillId="0" borderId="56" xfId="0" applyFont="1" applyBorder="1" applyAlignment="1">
      <alignment horizontal="center" vertical="center" wrapText="1"/>
    </xf>
    <xf numFmtId="0" fontId="51" fillId="0" borderId="22" xfId="0" applyFont="1" applyBorder="1" applyAlignment="1">
      <alignment horizontal="center" vertical="center" wrapText="1"/>
    </xf>
    <xf numFmtId="0" fontId="64" fillId="38" borderId="54" xfId="0" applyFont="1" applyFill="1" applyBorder="1" applyAlignment="1">
      <alignment horizontal="center" vertical="center"/>
    </xf>
    <xf numFmtId="0" fontId="6" fillId="38" borderId="54" xfId="0" applyFont="1" applyFill="1" applyBorder="1" applyAlignment="1">
      <alignment horizontal="center" vertical="center"/>
    </xf>
    <xf numFmtId="0" fontId="6" fillId="38" borderId="58" xfId="0" applyFont="1" applyFill="1" applyBorder="1" applyAlignment="1">
      <alignment horizontal="center" vertical="center"/>
    </xf>
    <xf numFmtId="0" fontId="49" fillId="38" borderId="59" xfId="0" applyFont="1" applyFill="1" applyBorder="1" applyAlignment="1">
      <alignment horizontal="center" vertical="center"/>
    </xf>
    <xf numFmtId="0" fontId="49" fillId="38" borderId="54" xfId="0" applyFont="1" applyFill="1" applyBorder="1" applyAlignment="1">
      <alignment horizontal="center" vertical="center"/>
    </xf>
    <xf numFmtId="0" fontId="28" fillId="8" borderId="263" xfId="0" applyFont="1" applyFill="1" applyBorder="1" applyAlignment="1">
      <alignment horizontal="center" vertical="center" wrapText="1"/>
    </xf>
    <xf numFmtId="0" fontId="28" fillId="8" borderId="222" xfId="0" applyFont="1" applyFill="1" applyBorder="1" applyAlignment="1">
      <alignment horizontal="center" vertical="center" wrapText="1"/>
    </xf>
    <xf numFmtId="0" fontId="61" fillId="0" borderId="37" xfId="0" applyFont="1" applyBorder="1" applyAlignment="1">
      <alignment horizontal="center" vertical="center" wrapText="1"/>
    </xf>
    <xf numFmtId="0" fontId="61" fillId="0" borderId="0" xfId="0" applyFont="1" applyAlignment="1">
      <alignment horizontal="center" vertical="center" wrapText="1"/>
    </xf>
    <xf numFmtId="0" fontId="61" fillId="0" borderId="59" xfId="0" applyFont="1" applyBorder="1" applyAlignment="1">
      <alignment horizontal="center" vertical="center" wrapText="1"/>
    </xf>
    <xf numFmtId="0" fontId="61" fillId="0" borderId="54" xfId="0" applyFont="1" applyBorder="1" applyAlignment="1">
      <alignment horizontal="center" vertical="center" wrapText="1"/>
    </xf>
    <xf numFmtId="0" fontId="52" fillId="0" borderId="0" xfId="0" applyFont="1" applyAlignment="1">
      <alignment horizontal="left" vertical="center" wrapText="1"/>
    </xf>
    <xf numFmtId="0" fontId="52" fillId="0" borderId="36" xfId="0" applyFont="1" applyBorder="1" applyAlignment="1">
      <alignment horizontal="left" vertical="center" wrapText="1"/>
    </xf>
    <xf numFmtId="0" fontId="52" fillId="0" borderId="54" xfId="0" applyFont="1" applyBorder="1" applyAlignment="1">
      <alignment horizontal="left" vertical="center" wrapText="1"/>
    </xf>
    <xf numFmtId="0" fontId="52" fillId="0" borderId="58" xfId="0" applyFont="1" applyBorder="1" applyAlignment="1">
      <alignment horizontal="left" vertical="center" wrapText="1"/>
    </xf>
    <xf numFmtId="0" fontId="60" fillId="0" borderId="37" xfId="0" applyFont="1" applyBorder="1" applyAlignment="1">
      <alignment horizontal="center" vertical="center"/>
    </xf>
    <xf numFmtId="0" fontId="59" fillId="0" borderId="0" xfId="0" applyFont="1" applyAlignment="1">
      <alignment horizontal="center" vertical="center"/>
    </xf>
    <xf numFmtId="0" fontId="59" fillId="0" borderId="36" xfId="0" applyFont="1" applyBorder="1" applyAlignment="1">
      <alignment horizontal="center" vertical="center"/>
    </xf>
    <xf numFmtId="0" fontId="50" fillId="0" borderId="21" xfId="0" applyFont="1" applyBorder="1" applyAlignment="1">
      <alignment horizontal="left" vertical="center" wrapText="1" indent="2"/>
    </xf>
    <xf numFmtId="0" fontId="50" fillId="0" borderId="56" xfId="0" applyFont="1" applyBorder="1" applyAlignment="1">
      <alignment horizontal="left" vertical="center" wrapText="1" indent="2"/>
    </xf>
    <xf numFmtId="0" fontId="50" fillId="0" borderId="22" xfId="0" applyFont="1" applyBorder="1" applyAlignment="1">
      <alignment horizontal="left" vertical="center" wrapText="1" indent="2"/>
    </xf>
    <xf numFmtId="0" fontId="16" fillId="4" borderId="38" xfId="0" applyFont="1" applyFill="1" applyBorder="1" applyAlignment="1">
      <alignment horizontal="center" vertical="center" wrapText="1"/>
    </xf>
    <xf numFmtId="0" fontId="16" fillId="4" borderId="63" xfId="0" applyFont="1" applyFill="1" applyBorder="1" applyAlignment="1">
      <alignment horizontal="center" vertical="center" wrapText="1"/>
    </xf>
    <xf numFmtId="0" fontId="62" fillId="38" borderId="37" xfId="0" applyFont="1" applyFill="1" applyBorder="1" applyAlignment="1">
      <alignment horizontal="center" vertical="center"/>
    </xf>
    <xf numFmtId="0" fontId="19" fillId="38" borderId="0" xfId="0" applyFont="1" applyFill="1" applyAlignment="1">
      <alignment horizontal="center" vertical="center"/>
    </xf>
    <xf numFmtId="0" fontId="19" fillId="38" borderId="36" xfId="0" applyFont="1" applyFill="1" applyBorder="1" applyAlignment="1">
      <alignment horizontal="center" vertical="center"/>
    </xf>
    <xf numFmtId="0" fontId="55" fillId="39" borderId="37" xfId="0" applyFont="1" applyFill="1" applyBorder="1" applyAlignment="1">
      <alignment horizontal="center"/>
    </xf>
    <xf numFmtId="0" fontId="55" fillId="39" borderId="0" xfId="0" applyFont="1" applyFill="1" applyAlignment="1">
      <alignment horizontal="center"/>
    </xf>
    <xf numFmtId="0" fontId="55" fillId="39" borderId="36" xfId="0" applyFont="1" applyFill="1" applyBorder="1" applyAlignment="1">
      <alignment horizontal="center"/>
    </xf>
    <xf numFmtId="0" fontId="0" fillId="6" borderId="37" xfId="0" applyFill="1" applyBorder="1" applyAlignment="1">
      <alignment horizontal="center"/>
    </xf>
    <xf numFmtId="0" fontId="0" fillId="6" borderId="0" xfId="0" applyFill="1" applyAlignment="1">
      <alignment horizontal="center"/>
    </xf>
    <xf numFmtId="0" fontId="0" fillId="6" borderId="36" xfId="0" applyFill="1" applyBorder="1" applyAlignment="1">
      <alignment horizontal="center"/>
    </xf>
    <xf numFmtId="0" fontId="0" fillId="0" borderId="37" xfId="0" applyBorder="1" applyAlignment="1">
      <alignment horizontal="center"/>
    </xf>
    <xf numFmtId="0" fontId="0" fillId="0" borderId="36" xfId="0" applyBorder="1" applyAlignment="1">
      <alignment horizontal="center"/>
    </xf>
    <xf numFmtId="0" fontId="58" fillId="0" borderId="59" xfId="0" applyFont="1" applyBorder="1" applyAlignment="1">
      <alignment horizontal="center" vertical="center"/>
    </xf>
    <xf numFmtId="0" fontId="58" fillId="0" borderId="54" xfId="0" applyFont="1" applyBorder="1" applyAlignment="1">
      <alignment horizontal="center" vertical="center"/>
    </xf>
    <xf numFmtId="0" fontId="50" fillId="0" borderId="54" xfId="0" applyFont="1" applyBorder="1" applyAlignment="1">
      <alignment horizontal="center" vertical="center"/>
    </xf>
    <xf numFmtId="0" fontId="50" fillId="0" borderId="58" xfId="0" applyFont="1" applyBorder="1" applyAlignment="1">
      <alignment horizontal="center" vertical="center"/>
    </xf>
    <xf numFmtId="0" fontId="49" fillId="38" borderId="58" xfId="0" applyFont="1" applyFill="1" applyBorder="1" applyAlignment="1">
      <alignment horizontal="center" vertical="center"/>
    </xf>
    <xf numFmtId="0" fontId="0" fillId="42" borderId="254" xfId="0" applyFill="1" applyBorder="1" applyAlignment="1">
      <alignment horizontal="left" vertical="center" wrapText="1"/>
    </xf>
    <xf numFmtId="165" fontId="16" fillId="4" borderId="38" xfId="0" applyNumberFormat="1" applyFont="1" applyFill="1" applyBorder="1" applyAlignment="1">
      <alignment horizontal="center" vertical="center" wrapText="1"/>
    </xf>
    <xf numFmtId="165" fontId="16" fillId="4" borderId="37" xfId="0" applyNumberFormat="1" applyFont="1" applyFill="1" applyBorder="1" applyAlignment="1">
      <alignment horizontal="center" vertical="center" wrapText="1"/>
    </xf>
    <xf numFmtId="165" fontId="54" fillId="39" borderId="19" xfId="0" applyNumberFormat="1" applyFont="1" applyFill="1" applyBorder="1" applyAlignment="1">
      <alignment horizontal="center" vertical="center" wrapText="1"/>
    </xf>
    <xf numFmtId="165" fontId="54" fillId="0" borderId="23" xfId="0" applyNumberFormat="1" applyFont="1" applyBorder="1" applyAlignment="1">
      <alignment horizontal="center" vertical="center"/>
    </xf>
    <xf numFmtId="165" fontId="54" fillId="0" borderId="11" xfId="0" applyNumberFormat="1" applyFont="1" applyBorder="1" applyAlignment="1">
      <alignment horizontal="center" vertical="center"/>
    </xf>
    <xf numFmtId="0" fontId="7" fillId="0" borderId="267" xfId="4" applyFill="1" applyBorder="1" applyAlignment="1">
      <alignment horizontal="center" vertical="center" wrapText="1"/>
    </xf>
    <xf numFmtId="0" fontId="7" fillId="0" borderId="268" xfId="4" applyFill="1" applyBorder="1" applyAlignment="1">
      <alignment horizontal="center" vertical="center" wrapText="1"/>
    </xf>
    <xf numFmtId="0" fontId="7" fillId="0" borderId="269" xfId="4" applyFill="1" applyBorder="1" applyAlignment="1">
      <alignment horizontal="center" vertical="center" wrapText="1"/>
    </xf>
    <xf numFmtId="0" fontId="19" fillId="0" borderId="270" xfId="0" applyFont="1" applyBorder="1" applyAlignment="1">
      <alignment horizontal="center"/>
    </xf>
    <xf numFmtId="0" fontId="66" fillId="38" borderId="37" xfId="0" applyFont="1" applyFill="1" applyBorder="1" applyAlignment="1">
      <alignment horizontal="center" vertical="center"/>
    </xf>
    <xf numFmtId="0" fontId="51" fillId="38" borderId="0" xfId="0" applyFont="1" applyFill="1" applyAlignment="1">
      <alignment horizontal="center" vertical="center"/>
    </xf>
    <xf numFmtId="0" fontId="51" fillId="38" borderId="36" xfId="0" applyFont="1" applyFill="1" applyBorder="1" applyAlignment="1">
      <alignment horizontal="center" vertical="center"/>
    </xf>
    <xf numFmtId="0" fontId="22" fillId="4" borderId="168" xfId="0" applyFont="1" applyFill="1" applyBorder="1" applyAlignment="1">
      <alignment horizontal="left" vertical="center"/>
    </xf>
    <xf numFmtId="0" fontId="22" fillId="4" borderId="0" xfId="0" applyFont="1" applyFill="1" applyAlignment="1">
      <alignment horizontal="left" vertical="center"/>
    </xf>
    <xf numFmtId="169" fontId="0" fillId="0" borderId="37" xfId="0" applyNumberFormat="1" applyBorder="1" applyAlignment="1">
      <alignment horizontal="center"/>
    </xf>
    <xf numFmtId="169" fontId="0" fillId="0" borderId="89" xfId="0" applyNumberFormat="1" applyBorder="1" applyAlignment="1">
      <alignment horizontal="center"/>
    </xf>
    <xf numFmtId="0" fontId="7" fillId="4" borderId="0" xfId="4" applyFill="1" applyBorder="1" applyAlignment="1">
      <alignment horizontal="center"/>
    </xf>
    <xf numFmtId="0" fontId="7" fillId="4" borderId="171" xfId="4" applyFill="1" applyBorder="1" applyAlignment="1">
      <alignment horizontal="center"/>
    </xf>
    <xf numFmtId="0" fontId="0" fillId="4" borderId="50" xfId="0" applyFill="1" applyBorder="1" applyAlignment="1">
      <alignment horizontal="left"/>
    </xf>
    <xf numFmtId="0" fontId="0" fillId="4" borderId="172" xfId="0" applyFill="1" applyBorder="1" applyAlignment="1">
      <alignment horizontal="left"/>
    </xf>
    <xf numFmtId="0" fontId="0" fillId="4" borderId="144" xfId="0" applyFill="1" applyBorder="1" applyAlignment="1">
      <alignment horizontal="left"/>
    </xf>
    <xf numFmtId="0" fontId="0" fillId="4" borderId="55" xfId="0" applyFill="1" applyBorder="1" applyAlignment="1">
      <alignment horizontal="left"/>
    </xf>
    <xf numFmtId="0" fontId="0" fillId="4" borderId="56" xfId="0" applyFill="1" applyBorder="1" applyAlignment="1">
      <alignment horizontal="left"/>
    </xf>
    <xf numFmtId="0" fontId="0" fillId="4" borderId="57" xfId="0" applyFill="1" applyBorder="1" applyAlignment="1">
      <alignment horizontal="left"/>
    </xf>
    <xf numFmtId="14" fontId="0" fillId="4" borderId="55" xfId="0" applyNumberFormat="1" applyFill="1" applyBorder="1" applyAlignment="1">
      <alignment horizontal="left"/>
    </xf>
    <xf numFmtId="0" fontId="0" fillId="4" borderId="70" xfId="0" applyFill="1" applyBorder="1" applyAlignment="1">
      <alignment horizontal="left"/>
    </xf>
    <xf numFmtId="0" fontId="0" fillId="4" borderId="173" xfId="0" applyFill="1" applyBorder="1" applyAlignment="1">
      <alignment horizontal="left"/>
    </xf>
    <xf numFmtId="0" fontId="0" fillId="4" borderId="174" xfId="0" applyFill="1" applyBorder="1" applyAlignment="1">
      <alignment horizontal="left"/>
    </xf>
    <xf numFmtId="0" fontId="0" fillId="0" borderId="125" xfId="0" applyBorder="1" applyAlignment="1">
      <alignment horizontal="center"/>
    </xf>
    <xf numFmtId="0" fontId="0" fillId="0" borderId="119" xfId="0" applyBorder="1" applyAlignment="1">
      <alignment horizontal="center"/>
    </xf>
    <xf numFmtId="169" fontId="0" fillId="5" borderId="34" xfId="0" applyNumberFormat="1" applyFill="1" applyBorder="1" applyAlignment="1">
      <alignment horizontal="center"/>
    </xf>
    <xf numFmtId="169" fontId="0" fillId="5" borderId="79" xfId="0" applyNumberFormat="1" applyFill="1" applyBorder="1" applyAlignment="1">
      <alignment horizontal="center"/>
    </xf>
    <xf numFmtId="169" fontId="0" fillId="0" borderId="43" xfId="0" applyNumberFormat="1" applyBorder="1" applyAlignment="1">
      <alignment horizontal="center"/>
    </xf>
    <xf numFmtId="169" fontId="0" fillId="0" borderId="82" xfId="0" applyNumberFormat="1" applyBorder="1" applyAlignment="1">
      <alignment horizontal="center"/>
    </xf>
    <xf numFmtId="169" fontId="0" fillId="5" borderId="37" xfId="0" applyNumberFormat="1" applyFill="1" applyBorder="1" applyAlignment="1">
      <alignment horizontal="center"/>
    </xf>
    <xf numFmtId="169" fontId="0" fillId="5" borderId="89" xfId="0" applyNumberFormat="1" applyFill="1" applyBorder="1" applyAlignment="1">
      <alignment horizontal="center"/>
    </xf>
    <xf numFmtId="0" fontId="0" fillId="0" borderId="48" xfId="0" applyBorder="1" applyAlignment="1">
      <alignment horizontal="left" vertical="top"/>
    </xf>
    <xf numFmtId="0" fontId="0" fillId="0" borderId="49" xfId="0" applyBorder="1" applyAlignment="1">
      <alignment horizontal="left" vertical="top"/>
    </xf>
    <xf numFmtId="0" fontId="0" fillId="0" borderId="75" xfId="0" applyBorder="1" applyAlignment="1">
      <alignment horizontal="left" vertical="top"/>
    </xf>
    <xf numFmtId="0" fontId="0" fillId="0" borderId="10" xfId="0" applyBorder="1" applyAlignment="1">
      <alignment horizontal="left" vertical="top"/>
    </xf>
    <xf numFmtId="0" fontId="0" fillId="0" borderId="0" xfId="0" applyAlignment="1">
      <alignment horizontal="left" vertical="top"/>
    </xf>
    <xf numFmtId="0" fontId="0" fillId="0" borderId="18" xfId="0" applyBorder="1" applyAlignment="1">
      <alignment horizontal="left" vertical="top"/>
    </xf>
    <xf numFmtId="0" fontId="0" fillId="0" borderId="67" xfId="0" applyBorder="1" applyAlignment="1">
      <alignment horizontal="left" vertical="top"/>
    </xf>
    <xf numFmtId="0" fontId="0" fillId="0" borderId="68" xfId="0" applyBorder="1" applyAlignment="1">
      <alignment horizontal="left" vertical="top"/>
    </xf>
    <xf numFmtId="0" fontId="0" fillId="0" borderId="69" xfId="0" applyBorder="1" applyAlignment="1">
      <alignment horizontal="left" vertical="top"/>
    </xf>
    <xf numFmtId="0" fontId="0" fillId="0" borderId="48" xfId="0" applyBorder="1" applyAlignment="1">
      <alignment horizontal="left" vertical="top" wrapText="1"/>
    </xf>
    <xf numFmtId="0" fontId="0" fillId="5" borderId="172" xfId="0" applyFill="1" applyBorder="1" applyAlignment="1">
      <alignment horizontal="right"/>
    </xf>
    <xf numFmtId="0" fontId="0" fillId="0" borderId="56" xfId="0" applyBorder="1" applyAlignment="1">
      <alignment horizontal="center"/>
    </xf>
    <xf numFmtId="0" fontId="0" fillId="5" borderId="56" xfId="0" applyFill="1" applyBorder="1" applyAlignment="1">
      <alignment horizontal="right"/>
    </xf>
    <xf numFmtId="0" fontId="0" fillId="5" borderId="173" xfId="0" applyFill="1" applyBorder="1" applyAlignment="1">
      <alignment horizontal="right"/>
    </xf>
    <xf numFmtId="0" fontId="0" fillId="5" borderId="76" xfId="0" applyFill="1" applyBorder="1" applyAlignment="1" applyProtection="1">
      <alignment horizontal="center" vertical="center" wrapText="1"/>
      <protection locked="0" hidden="1"/>
    </xf>
    <xf numFmtId="0" fontId="0" fillId="5" borderId="11" xfId="0" applyFill="1" applyBorder="1" applyAlignment="1" applyProtection="1">
      <alignment horizontal="center" vertical="center" wrapText="1"/>
      <protection locked="0" hidden="1"/>
    </xf>
    <xf numFmtId="0" fontId="0" fillId="5" borderId="19" xfId="0" applyFill="1" applyBorder="1" applyAlignment="1">
      <alignment horizontal="center" vertical="center" wrapText="1"/>
    </xf>
    <xf numFmtId="0" fontId="0" fillId="5" borderId="25" xfId="0" applyFill="1" applyBorder="1" applyAlignment="1">
      <alignment horizontal="center" vertical="center" wrapText="1"/>
    </xf>
    <xf numFmtId="0" fontId="0" fillId="4" borderId="19" xfId="0" applyFill="1" applyBorder="1" applyAlignment="1">
      <alignment horizontal="center" vertical="center" wrapText="1"/>
    </xf>
    <xf numFmtId="0" fontId="0" fillId="4" borderId="25" xfId="0" applyFill="1" applyBorder="1" applyAlignment="1">
      <alignment horizontal="center" vertical="center" wrapText="1"/>
    </xf>
    <xf numFmtId="0" fontId="0" fillId="4" borderId="37" xfId="0" applyFill="1" applyBorder="1" applyAlignment="1" applyProtection="1">
      <alignment horizontal="left" vertical="top"/>
      <protection locked="0" hidden="1"/>
    </xf>
    <xf numFmtId="0" fontId="0" fillId="4" borderId="0" xfId="0" applyFill="1" applyAlignment="1" applyProtection="1">
      <alignment horizontal="left" vertical="top"/>
      <protection locked="0" hidden="1"/>
    </xf>
    <xf numFmtId="0" fontId="0" fillId="4" borderId="62" xfId="0" applyFill="1" applyBorder="1" applyAlignment="1" applyProtection="1">
      <alignment horizontal="left" vertical="top"/>
      <protection locked="0" hidden="1"/>
    </xf>
    <xf numFmtId="0" fontId="0" fillId="4" borderId="18" xfId="0" applyFill="1" applyBorder="1" applyAlignment="1" applyProtection="1">
      <alignment horizontal="left" vertical="top"/>
      <protection locked="0" hidden="1"/>
    </xf>
    <xf numFmtId="0" fontId="0" fillId="4" borderId="43" xfId="0" applyFill="1" applyBorder="1" applyAlignment="1" applyProtection="1">
      <alignment horizontal="left" vertical="top"/>
      <protection locked="0" hidden="1"/>
    </xf>
    <xf numFmtId="0" fontId="0" fillId="4" borderId="41" xfId="0" applyFill="1" applyBorder="1" applyAlignment="1" applyProtection="1">
      <alignment horizontal="left" vertical="top"/>
      <protection locked="0" hidden="1"/>
    </xf>
    <xf numFmtId="0" fontId="0" fillId="4" borderId="44" xfId="0" applyFill="1" applyBorder="1" applyAlignment="1" applyProtection="1">
      <alignment horizontal="left" vertical="top"/>
      <protection locked="0" hidden="1"/>
    </xf>
    <xf numFmtId="0" fontId="0" fillId="5" borderId="67" xfId="0" applyFill="1" applyBorder="1" applyAlignment="1">
      <alignment horizontal="center"/>
    </xf>
    <xf numFmtId="0" fontId="0" fillId="5" borderId="68" xfId="0" applyFill="1" applyBorder="1" applyAlignment="1">
      <alignment horizontal="center"/>
    </xf>
    <xf numFmtId="0" fontId="0" fillId="5" borderId="69" xfId="0" applyFill="1" applyBorder="1" applyAlignment="1">
      <alignment horizontal="center"/>
    </xf>
    <xf numFmtId="0" fontId="0" fillId="4" borderId="11" xfId="0" applyFill="1" applyBorder="1" applyAlignment="1" applyProtection="1">
      <alignment horizontal="center" vertical="center" wrapText="1"/>
      <protection locked="0" hidden="1"/>
    </xf>
    <xf numFmtId="0" fontId="0" fillId="4" borderId="19" xfId="0" applyFill="1" applyBorder="1" applyAlignment="1" applyProtection="1">
      <alignment horizontal="center" vertical="center" wrapText="1"/>
      <protection locked="0" hidden="1"/>
    </xf>
    <xf numFmtId="0" fontId="0" fillId="4" borderId="25" xfId="0" applyFill="1" applyBorder="1" applyAlignment="1" applyProtection="1">
      <alignment horizontal="center" vertical="center" wrapText="1"/>
      <protection locked="0" hidden="1"/>
    </xf>
    <xf numFmtId="0" fontId="0" fillId="4" borderId="30" xfId="0" applyFill="1" applyBorder="1" applyAlignment="1" applyProtection="1">
      <alignment horizontal="center" vertical="center" wrapText="1"/>
      <protection locked="0" hidden="1"/>
    </xf>
    <xf numFmtId="0" fontId="0" fillId="4" borderId="0" xfId="0" applyFill="1" applyAlignment="1" applyProtection="1">
      <alignment horizontal="center"/>
      <protection locked="0" hidden="1"/>
    </xf>
    <xf numFmtId="0" fontId="0" fillId="4" borderId="20" xfId="0" applyFill="1" applyBorder="1" applyAlignment="1" applyProtection="1">
      <alignment horizontal="center" vertical="center"/>
      <protection locked="0" hidden="1"/>
    </xf>
    <xf numFmtId="0" fontId="0" fillId="4" borderId="26" xfId="0" applyFill="1" applyBorder="1" applyAlignment="1" applyProtection="1">
      <alignment horizontal="center" vertical="center"/>
      <protection locked="0" hidden="1"/>
    </xf>
    <xf numFmtId="0" fontId="0" fillId="4" borderId="76" xfId="0" applyFill="1" applyBorder="1" applyAlignment="1" applyProtection="1">
      <alignment horizontal="center" vertical="center" wrapText="1"/>
      <protection locked="0" hidden="1"/>
    </xf>
    <xf numFmtId="0" fontId="0" fillId="4" borderId="20" xfId="0" applyFill="1" applyBorder="1" applyAlignment="1" applyProtection="1">
      <alignment horizontal="center" vertical="center" wrapText="1"/>
      <protection locked="0" hidden="1"/>
    </xf>
    <xf numFmtId="0" fontId="0" fillId="4" borderId="26" xfId="0" applyFill="1" applyBorder="1" applyAlignment="1" applyProtection="1">
      <alignment horizontal="center" vertical="center" wrapText="1"/>
      <protection locked="0" hidden="1"/>
    </xf>
    <xf numFmtId="0" fontId="0" fillId="4" borderId="57" xfId="0" applyFill="1" applyBorder="1" applyAlignment="1">
      <alignment horizontal="center" vertical="center" wrapText="1"/>
    </xf>
    <xf numFmtId="0" fontId="0" fillId="4" borderId="142" xfId="0" applyFill="1" applyBorder="1" applyAlignment="1">
      <alignment horizontal="center" vertical="center" wrapText="1"/>
    </xf>
    <xf numFmtId="0" fontId="0" fillId="5" borderId="57" xfId="0" applyFill="1" applyBorder="1" applyAlignment="1">
      <alignment horizontal="center" vertical="center" wrapText="1"/>
    </xf>
    <xf numFmtId="0" fontId="0" fillId="5" borderId="142" xfId="0" applyFill="1" applyBorder="1" applyAlignment="1">
      <alignment horizontal="center" vertical="center" wrapText="1"/>
    </xf>
    <xf numFmtId="0" fontId="0" fillId="4" borderId="62" xfId="0" applyFill="1" applyBorder="1" applyAlignment="1">
      <alignment horizontal="center" vertical="top"/>
    </xf>
    <xf numFmtId="0" fontId="0" fillId="4" borderId="63" xfId="0" applyFill="1" applyBorder="1" applyAlignment="1">
      <alignment horizontal="center" vertical="top"/>
    </xf>
    <xf numFmtId="0" fontId="0" fillId="4" borderId="68" xfId="0" applyFill="1" applyBorder="1" applyAlignment="1">
      <alignment horizontal="center" vertical="top"/>
    </xf>
    <xf numFmtId="0" fontId="0" fillId="4" borderId="74" xfId="0" applyFill="1" applyBorder="1" applyAlignment="1">
      <alignment horizontal="center" vertical="top"/>
    </xf>
    <xf numFmtId="0" fontId="0" fillId="4" borderId="38" xfId="0" applyFill="1" applyBorder="1" applyAlignment="1" applyProtection="1">
      <alignment horizontal="center" vertical="top"/>
      <protection locked="0"/>
    </xf>
    <xf numFmtId="0" fontId="0" fillId="4" borderId="73" xfId="0" applyFill="1" applyBorder="1" applyAlignment="1" applyProtection="1">
      <alignment horizontal="center" vertical="top"/>
      <protection locked="0"/>
    </xf>
    <xf numFmtId="0" fontId="0" fillId="4" borderId="68" xfId="0" applyFill="1" applyBorder="1" applyAlignment="1" applyProtection="1">
      <alignment horizontal="center" vertical="top"/>
      <protection locked="0"/>
    </xf>
    <xf numFmtId="4" fontId="0" fillId="4" borderId="23" xfId="0" applyNumberFormat="1" applyFill="1" applyBorder="1" applyAlignment="1" applyProtection="1">
      <alignment horizontal="center" vertical="center"/>
      <protection locked="0" hidden="1"/>
    </xf>
    <xf numFmtId="4" fontId="0" fillId="4" borderId="26" xfId="0" applyNumberFormat="1" applyFill="1" applyBorder="1" applyAlignment="1" applyProtection="1">
      <alignment horizontal="center" vertical="center"/>
      <protection locked="0" hidden="1"/>
    </xf>
    <xf numFmtId="4" fontId="0" fillId="5" borderId="23" xfId="0" applyNumberFormat="1" applyFill="1" applyBorder="1" applyAlignment="1" applyProtection="1">
      <alignment horizontal="center" vertical="center"/>
      <protection locked="0" hidden="1"/>
    </xf>
    <xf numFmtId="4" fontId="0" fillId="5" borderId="26" xfId="0" applyNumberFormat="1" applyFill="1" applyBorder="1" applyAlignment="1" applyProtection="1">
      <alignment horizontal="center" vertical="center"/>
      <protection locked="0" hidden="1"/>
    </xf>
    <xf numFmtId="0" fontId="0" fillId="5" borderId="11" xfId="0" applyFill="1" applyBorder="1" applyAlignment="1" applyProtection="1">
      <alignment horizontal="center" vertical="center"/>
      <protection locked="0" hidden="1"/>
    </xf>
    <xf numFmtId="0" fontId="0" fillId="5" borderId="19" xfId="0" applyFill="1" applyBorder="1" applyAlignment="1" applyProtection="1">
      <alignment horizontal="center" vertical="center"/>
      <protection locked="0" hidden="1"/>
    </xf>
    <xf numFmtId="0" fontId="0" fillId="4" borderId="36" xfId="0" applyFill="1" applyBorder="1" applyAlignment="1" applyProtection="1">
      <alignment horizontal="left" vertical="top"/>
      <protection locked="0" hidden="1"/>
    </xf>
    <xf numFmtId="0" fontId="0" fillId="4" borderId="11" xfId="0" applyFill="1" applyBorder="1" applyAlignment="1" applyProtection="1">
      <alignment horizontal="center" vertical="center"/>
      <protection locked="0" hidden="1"/>
    </xf>
    <xf numFmtId="0" fontId="0" fillId="4" borderId="19" xfId="0" applyFill="1" applyBorder="1" applyAlignment="1" applyProtection="1">
      <alignment horizontal="center" vertical="center"/>
      <protection locked="0" hidden="1"/>
    </xf>
    <xf numFmtId="0" fontId="0" fillId="5" borderId="37" xfId="0" applyFill="1" applyBorder="1" applyAlignment="1" applyProtection="1">
      <alignment horizontal="left" vertical="top"/>
      <protection locked="0" hidden="1"/>
    </xf>
    <xf numFmtId="0" fontId="0" fillId="5" borderId="0" xfId="0" applyFill="1" applyAlignment="1" applyProtection="1">
      <alignment horizontal="left" vertical="top"/>
      <protection locked="0" hidden="1"/>
    </xf>
    <xf numFmtId="0" fontId="0" fillId="5" borderId="36" xfId="0" applyFill="1" applyBorder="1" applyAlignment="1" applyProtection="1">
      <alignment horizontal="left" vertical="top"/>
      <protection locked="0" hidden="1"/>
    </xf>
    <xf numFmtId="0" fontId="20" fillId="4" borderId="20" xfId="0" applyFont="1" applyFill="1" applyBorder="1" applyAlignment="1" applyProtection="1">
      <alignment horizontal="center" vertical="center" wrapText="1"/>
      <protection locked="0" hidden="1"/>
    </xf>
    <xf numFmtId="0" fontId="20" fillId="4" borderId="26" xfId="0" applyFont="1" applyFill="1" applyBorder="1" applyAlignment="1" applyProtection="1">
      <alignment horizontal="center" vertical="center" wrapText="1"/>
      <protection locked="0" hidden="1"/>
    </xf>
    <xf numFmtId="0" fontId="0" fillId="0" borderId="12" xfId="0" applyBorder="1" applyAlignment="1" applyProtection="1">
      <alignment horizontal="center" vertical="center" wrapText="1"/>
      <protection locked="0" hidden="1"/>
    </xf>
    <xf numFmtId="0" fontId="0" fillId="0" borderId="20" xfId="0" applyBorder="1" applyAlignment="1" applyProtection="1">
      <alignment horizontal="center" vertical="center" wrapText="1"/>
      <protection locked="0" hidden="1"/>
    </xf>
    <xf numFmtId="0" fontId="0" fillId="0" borderId="26" xfId="0" applyBorder="1" applyAlignment="1" applyProtection="1">
      <alignment horizontal="center" vertical="center" wrapText="1"/>
      <protection locked="0" hidden="1"/>
    </xf>
    <xf numFmtId="0" fontId="0" fillId="5" borderId="25" xfId="0" applyFill="1" applyBorder="1" applyAlignment="1" applyProtection="1">
      <alignment horizontal="center" vertical="center"/>
      <protection locked="0" hidden="1"/>
    </xf>
    <xf numFmtId="14" fontId="0" fillId="4" borderId="207" xfId="0" applyNumberFormat="1" applyFill="1" applyBorder="1" applyAlignment="1">
      <alignment horizontal="right" vertical="top" wrapText="1"/>
    </xf>
    <xf numFmtId="14" fontId="0" fillId="4" borderId="71" xfId="0" applyNumberFormat="1" applyFill="1" applyBorder="1" applyAlignment="1">
      <alignment horizontal="right" vertical="top" wrapText="1"/>
    </xf>
    <xf numFmtId="20" fontId="0" fillId="4" borderId="38" xfId="0" applyNumberFormat="1" applyFill="1" applyBorder="1" applyAlignment="1" applyProtection="1">
      <alignment horizontal="center" vertical="top"/>
      <protection locked="0"/>
    </xf>
    <xf numFmtId="20" fontId="0" fillId="4" borderId="39" xfId="0" applyNumberFormat="1" applyFill="1" applyBorder="1" applyAlignment="1" applyProtection="1">
      <alignment horizontal="center" vertical="top"/>
      <protection locked="0"/>
    </xf>
    <xf numFmtId="20" fontId="0" fillId="4" borderId="73" xfId="0" applyNumberFormat="1" applyFill="1" applyBorder="1" applyAlignment="1" applyProtection="1">
      <alignment horizontal="center" vertical="top"/>
      <protection locked="0"/>
    </xf>
    <xf numFmtId="20" fontId="0" fillId="4" borderId="69" xfId="0" applyNumberFormat="1" applyFill="1" applyBorder="1" applyAlignment="1" applyProtection="1">
      <alignment horizontal="center" vertical="top"/>
      <protection locked="0"/>
    </xf>
    <xf numFmtId="0" fontId="20" fillId="5" borderId="76" xfId="0" applyFont="1" applyFill="1" applyBorder="1" applyAlignment="1" applyProtection="1">
      <alignment horizontal="center" vertical="center" wrapText="1"/>
      <protection locked="0" hidden="1"/>
    </xf>
    <xf numFmtId="0" fontId="20" fillId="5" borderId="20" xfId="0" applyFont="1" applyFill="1" applyBorder="1" applyAlignment="1" applyProtection="1">
      <alignment horizontal="center" vertical="center" wrapText="1"/>
      <protection locked="0" hidden="1"/>
    </xf>
    <xf numFmtId="0" fontId="20" fillId="5" borderId="26" xfId="0" applyFont="1" applyFill="1" applyBorder="1" applyAlignment="1" applyProtection="1">
      <alignment horizontal="center" vertical="center" wrapText="1"/>
      <protection locked="0" hidden="1"/>
    </xf>
    <xf numFmtId="0" fontId="20" fillId="4" borderId="76" xfId="0" applyFont="1" applyFill="1" applyBorder="1" applyAlignment="1" applyProtection="1">
      <alignment horizontal="center" vertical="center" wrapText="1"/>
      <protection locked="0" hidden="1"/>
    </xf>
    <xf numFmtId="0" fontId="0" fillId="4" borderId="38" xfId="0" applyFill="1" applyBorder="1" applyAlignment="1">
      <alignment horizontal="left" vertical="top"/>
    </xf>
    <xf numFmtId="0" fontId="0" fillId="4" borderId="63" xfId="0" applyFill="1" applyBorder="1" applyAlignment="1">
      <alignment horizontal="left" vertical="top"/>
    </xf>
    <xf numFmtId="0" fontId="0" fillId="4" borderId="73" xfId="0" applyFill="1" applyBorder="1" applyAlignment="1">
      <alignment horizontal="left" vertical="top"/>
    </xf>
    <xf numFmtId="0" fontId="0" fillId="4" borderId="74" xfId="0" applyFill="1" applyBorder="1" applyAlignment="1">
      <alignment horizontal="left" vertical="top"/>
    </xf>
    <xf numFmtId="2" fontId="0" fillId="4" borderId="73" xfId="0" applyNumberFormat="1" applyFill="1" applyBorder="1" applyAlignment="1">
      <alignment horizontal="center" vertical="top" wrapText="1"/>
    </xf>
    <xf numFmtId="2" fontId="0" fillId="4" borderId="74" xfId="0" applyNumberFormat="1" applyFill="1" applyBorder="1" applyAlignment="1">
      <alignment horizontal="center" vertical="top" wrapText="1"/>
    </xf>
    <xf numFmtId="0" fontId="0" fillId="4" borderId="73" xfId="0" applyFill="1" applyBorder="1" applyAlignment="1" applyProtection="1">
      <alignment horizontal="center" vertical="center"/>
      <protection locked="0"/>
    </xf>
    <xf numFmtId="0" fontId="0" fillId="4" borderId="68" xfId="0" applyFill="1" applyBorder="1" applyAlignment="1" applyProtection="1">
      <alignment horizontal="center" vertical="center"/>
      <protection locked="0"/>
    </xf>
    <xf numFmtId="0" fontId="0" fillId="4" borderId="74" xfId="0" applyFill="1" applyBorder="1" applyAlignment="1" applyProtection="1">
      <alignment horizontal="center" vertical="center"/>
      <protection locked="0"/>
    </xf>
    <xf numFmtId="0" fontId="0" fillId="4" borderId="25" xfId="0" applyFill="1" applyBorder="1" applyAlignment="1" applyProtection="1">
      <alignment horizontal="center" vertical="center"/>
      <protection locked="0" hidden="1"/>
    </xf>
    <xf numFmtId="14" fontId="0" fillId="4" borderId="15" xfId="0" applyNumberFormat="1" applyFill="1" applyBorder="1" applyAlignment="1">
      <alignment horizontal="center" vertical="center" wrapText="1"/>
    </xf>
    <xf numFmtId="14" fontId="0" fillId="4" borderId="75" xfId="0" applyNumberFormat="1" applyFill="1" applyBorder="1" applyAlignment="1">
      <alignment horizontal="center" vertical="center" wrapText="1"/>
    </xf>
    <xf numFmtId="14" fontId="0" fillId="4" borderId="59" xfId="0" applyNumberFormat="1" applyFill="1" applyBorder="1" applyAlignment="1">
      <alignment horizontal="center" vertical="center" wrapText="1"/>
    </xf>
    <xf numFmtId="14" fontId="0" fillId="4" borderId="60" xfId="0" applyNumberFormat="1" applyFill="1" applyBorder="1" applyAlignment="1">
      <alignment horizontal="center" vertical="center" wrapText="1"/>
    </xf>
    <xf numFmtId="0" fontId="4" fillId="4" borderId="48" xfId="0" applyFont="1" applyFill="1" applyBorder="1" applyAlignment="1">
      <alignment horizontal="center" vertical="center"/>
    </xf>
    <xf numFmtId="0" fontId="4" fillId="4" borderId="16" xfId="0" applyFont="1" applyFill="1" applyBorder="1" applyAlignment="1">
      <alignment horizontal="center" vertical="center"/>
    </xf>
    <xf numFmtId="0" fontId="4" fillId="4" borderId="10" xfId="0" applyFont="1" applyFill="1" applyBorder="1" applyAlignment="1">
      <alignment horizontal="center" vertical="center"/>
    </xf>
    <xf numFmtId="0" fontId="4" fillId="4" borderId="67" xfId="0" applyFont="1" applyFill="1" applyBorder="1" applyAlignment="1">
      <alignment horizontal="center" vertical="center"/>
    </xf>
    <xf numFmtId="0" fontId="4" fillId="4" borderId="74" xfId="0" applyFont="1" applyFill="1" applyBorder="1" applyAlignment="1">
      <alignment horizontal="center" vertical="center"/>
    </xf>
    <xf numFmtId="0" fontId="0" fillId="4" borderId="49" xfId="0" applyFill="1" applyBorder="1" applyAlignment="1">
      <alignment horizontal="left" vertical="center"/>
    </xf>
    <xf numFmtId="0" fontId="0" fillId="4" borderId="16" xfId="0" applyFill="1" applyBorder="1" applyAlignment="1">
      <alignment horizontal="left" vertical="center"/>
    </xf>
    <xf numFmtId="0" fontId="0" fillId="4" borderId="54" xfId="0" applyFill="1" applyBorder="1" applyAlignment="1">
      <alignment horizontal="left" vertical="center"/>
    </xf>
    <xf numFmtId="0" fontId="0" fillId="4" borderId="58" xfId="0" applyFill="1" applyBorder="1" applyAlignment="1">
      <alignment horizontal="left" vertical="center"/>
    </xf>
    <xf numFmtId="0" fontId="4" fillId="4" borderId="49" xfId="0" applyFont="1" applyFill="1" applyBorder="1" applyAlignment="1">
      <alignment horizontal="center" vertical="center"/>
    </xf>
    <xf numFmtId="0" fontId="0" fillId="4" borderId="15" xfId="0" applyFill="1" applyBorder="1" applyAlignment="1">
      <alignment horizontal="left" vertical="top"/>
    </xf>
    <xf numFmtId="0" fontId="0" fillId="4" borderId="16" xfId="0" applyFill="1" applyBorder="1" applyAlignment="1">
      <alignment horizontal="left" vertical="top"/>
    </xf>
    <xf numFmtId="0" fontId="0" fillId="4" borderId="59" xfId="0" applyFill="1" applyBorder="1" applyAlignment="1">
      <alignment horizontal="left" vertical="top"/>
    </xf>
    <xf numFmtId="0" fontId="0" fillId="4" borderId="58" xfId="0" applyFill="1" applyBorder="1" applyAlignment="1">
      <alignment horizontal="left" vertical="top"/>
    </xf>
    <xf numFmtId="0" fontId="0" fillId="4" borderId="49" xfId="0" applyFill="1" applyBorder="1" applyAlignment="1">
      <alignment horizontal="left" vertical="top"/>
    </xf>
    <xf numFmtId="0" fontId="0" fillId="4" borderId="54" xfId="0" applyFill="1" applyBorder="1" applyAlignment="1">
      <alignment horizontal="left" vertical="top"/>
    </xf>
    <xf numFmtId="4" fontId="0" fillId="4" borderId="38" xfId="0" applyNumberFormat="1" applyFill="1" applyBorder="1" applyAlignment="1">
      <alignment horizontal="center" vertical="top" wrapText="1"/>
    </xf>
    <xf numFmtId="4" fontId="0" fillId="4" borderId="63" xfId="0" applyNumberFormat="1" applyFill="1" applyBorder="1" applyAlignment="1">
      <alignment horizontal="center" vertical="top" wrapText="1"/>
    </xf>
    <xf numFmtId="0" fontId="0" fillId="4" borderId="38" xfId="0" applyFill="1" applyBorder="1" applyAlignment="1">
      <alignment horizontal="center" vertical="top"/>
    </xf>
    <xf numFmtId="0" fontId="0" fillId="4" borderId="62" xfId="0" applyFill="1" applyBorder="1" applyAlignment="1">
      <alignment horizontal="left" vertical="top"/>
    </xf>
    <xf numFmtId="0" fontId="0" fillId="4" borderId="68" xfId="0" applyFill="1" applyBorder="1" applyAlignment="1">
      <alignment horizontal="left" vertical="top"/>
    </xf>
    <xf numFmtId="0" fontId="0" fillId="4" borderId="23" xfId="0" applyFill="1" applyBorder="1" applyAlignment="1" applyProtection="1">
      <alignment horizontal="center" vertical="center" wrapText="1"/>
      <protection locked="0" hidden="1"/>
    </xf>
    <xf numFmtId="0" fontId="0" fillId="4" borderId="12" xfId="0" applyFill="1" applyBorder="1" applyAlignment="1" applyProtection="1">
      <alignment horizontal="center" vertical="center" wrapText="1"/>
      <protection locked="0" hidden="1"/>
    </xf>
    <xf numFmtId="14" fontId="0" fillId="4" borderId="50" xfId="0" applyNumberFormat="1" applyFill="1" applyBorder="1" applyAlignment="1">
      <alignment horizontal="center" vertical="center"/>
    </xf>
    <xf numFmtId="14" fontId="0" fillId="4" borderId="14" xfId="0" applyNumberFormat="1" applyFill="1" applyBorder="1" applyAlignment="1">
      <alignment horizontal="center" vertical="center"/>
    </xf>
    <xf numFmtId="14" fontId="0" fillId="4" borderId="55" xfId="0" applyNumberFormat="1" applyFill="1" applyBorder="1" applyAlignment="1">
      <alignment horizontal="center" vertical="center"/>
    </xf>
    <xf numFmtId="14" fontId="0" fillId="4" borderId="22" xfId="0" applyNumberFormat="1" applyFill="1" applyBorder="1" applyAlignment="1">
      <alignment horizontal="center" vertical="center"/>
    </xf>
    <xf numFmtId="0" fontId="0" fillId="4" borderId="15" xfId="0" applyFill="1" applyBorder="1" applyAlignment="1">
      <alignment horizontal="center" vertical="center"/>
    </xf>
    <xf numFmtId="0" fontId="0" fillId="4" borderId="49" xfId="0" applyFill="1" applyBorder="1" applyAlignment="1">
      <alignment horizontal="center" vertical="center"/>
    </xf>
    <xf numFmtId="0" fontId="0" fillId="4" borderId="59" xfId="0" applyFill="1" applyBorder="1" applyAlignment="1">
      <alignment horizontal="center" vertical="center"/>
    </xf>
    <xf numFmtId="0" fontId="0" fillId="4" borderId="54" xfId="0" applyFill="1" applyBorder="1" applyAlignment="1">
      <alignment horizontal="center" vertical="center"/>
    </xf>
    <xf numFmtId="0" fontId="0" fillId="5" borderId="19" xfId="0" applyFill="1" applyBorder="1" applyAlignment="1" applyProtection="1">
      <alignment horizontal="center" vertical="center" wrapText="1"/>
      <protection locked="0" hidden="1"/>
    </xf>
    <xf numFmtId="0" fontId="0" fillId="5" borderId="25" xfId="0" applyFill="1" applyBorder="1" applyAlignment="1" applyProtection="1">
      <alignment horizontal="center" vertical="center" wrapText="1"/>
      <protection locked="0" hidden="1"/>
    </xf>
    <xf numFmtId="0" fontId="0" fillId="5" borderId="30" xfId="0" applyFill="1" applyBorder="1" applyAlignment="1" applyProtection="1">
      <alignment horizontal="center" vertical="center" wrapText="1"/>
      <protection locked="0" hidden="1"/>
    </xf>
    <xf numFmtId="0" fontId="0" fillId="5" borderId="23" xfId="0" applyFill="1" applyBorder="1" applyAlignment="1" applyProtection="1">
      <alignment horizontal="center" vertical="center" wrapText="1"/>
      <protection locked="0" hidden="1"/>
    </xf>
    <xf numFmtId="0" fontId="0" fillId="5" borderId="65" xfId="0" applyFill="1" applyBorder="1" applyAlignment="1" applyProtection="1">
      <alignment horizontal="center"/>
      <protection locked="0" hidden="1"/>
    </xf>
    <xf numFmtId="0" fontId="0" fillId="5" borderId="32" xfId="0" applyFill="1" applyBorder="1" applyAlignment="1" applyProtection="1">
      <alignment horizontal="center"/>
      <protection locked="0" hidden="1"/>
    </xf>
    <xf numFmtId="0" fontId="0" fillId="5" borderId="33" xfId="0" applyFill="1" applyBorder="1" applyAlignment="1" applyProtection="1">
      <alignment horizontal="center"/>
      <protection locked="0" hidden="1"/>
    </xf>
    <xf numFmtId="0" fontId="0" fillId="5" borderId="0" xfId="0" applyFill="1" applyAlignment="1" applyProtection="1">
      <alignment horizontal="center"/>
      <protection locked="0" hidden="1"/>
    </xf>
    <xf numFmtId="0" fontId="0" fillId="5" borderId="36" xfId="0" applyFill="1" applyBorder="1" applyAlignment="1" applyProtection="1">
      <alignment horizontal="center"/>
      <protection locked="0" hidden="1"/>
    </xf>
    <xf numFmtId="0" fontId="0" fillId="4" borderId="36" xfId="0" applyFill="1" applyBorder="1" applyAlignment="1" applyProtection="1">
      <alignment horizontal="center"/>
      <protection locked="0" hidden="1"/>
    </xf>
    <xf numFmtId="0" fontId="0" fillId="5" borderId="43" xfId="0" applyFill="1" applyBorder="1" applyAlignment="1" applyProtection="1">
      <alignment horizontal="left" vertical="top"/>
      <protection locked="0" hidden="1"/>
    </xf>
    <xf numFmtId="0" fontId="0" fillId="5" borderId="41" xfId="0" applyFill="1" applyBorder="1" applyAlignment="1" applyProtection="1">
      <alignment horizontal="left" vertical="top"/>
      <protection locked="0" hidden="1"/>
    </xf>
    <xf numFmtId="0" fontId="0" fillId="5" borderId="42" xfId="0" applyFill="1" applyBorder="1" applyAlignment="1" applyProtection="1">
      <alignment horizontal="left" vertical="top"/>
      <protection locked="0" hidden="1"/>
    </xf>
    <xf numFmtId="0" fontId="0" fillId="5" borderId="59" xfId="0" applyFill="1" applyBorder="1" applyAlignment="1" applyProtection="1">
      <alignment horizontal="center"/>
      <protection locked="0" hidden="1"/>
    </xf>
    <xf numFmtId="0" fontId="0" fillId="5" borderId="58" xfId="0" applyFill="1" applyBorder="1" applyAlignment="1" applyProtection="1">
      <alignment horizontal="center"/>
      <protection locked="0" hidden="1"/>
    </xf>
    <xf numFmtId="0" fontId="0" fillId="4" borderId="64" xfId="0" applyFill="1" applyBorder="1" applyAlignment="1" applyProtection="1">
      <alignment horizontal="center"/>
      <protection locked="0" hidden="1"/>
    </xf>
    <xf numFmtId="0" fontId="0" fillId="4" borderId="65" xfId="0" applyFill="1" applyBorder="1" applyAlignment="1" applyProtection="1">
      <alignment horizontal="center"/>
      <protection locked="0" hidden="1"/>
    </xf>
    <xf numFmtId="0" fontId="0" fillId="4" borderId="42" xfId="0" applyFill="1" applyBorder="1" applyAlignment="1" applyProtection="1">
      <alignment horizontal="left" vertical="top"/>
      <protection locked="0" hidden="1"/>
    </xf>
    <xf numFmtId="0" fontId="0" fillId="4" borderId="59" xfId="0" applyFill="1" applyBorder="1" applyAlignment="1" applyProtection="1">
      <alignment horizontal="center"/>
      <protection locked="0" hidden="1"/>
    </xf>
    <xf numFmtId="0" fontId="0" fillId="4" borderId="58" xfId="0" applyFill="1" applyBorder="1" applyAlignment="1" applyProtection="1">
      <alignment horizontal="center"/>
      <protection locked="0" hidden="1"/>
    </xf>
    <xf numFmtId="0" fontId="0" fillId="4" borderId="31" xfId="0" applyFill="1" applyBorder="1" applyAlignment="1" applyProtection="1">
      <alignment horizontal="center" vertical="top"/>
      <protection locked="0" hidden="1"/>
    </xf>
    <xf numFmtId="0" fontId="0" fillId="4" borderId="10" xfId="0" applyFill="1" applyBorder="1" applyAlignment="1" applyProtection="1">
      <alignment horizontal="center" vertical="top"/>
      <protection locked="0" hidden="1"/>
    </xf>
    <xf numFmtId="0" fontId="0" fillId="4" borderId="40" xfId="0" applyFill="1" applyBorder="1" applyAlignment="1" applyProtection="1">
      <alignment horizontal="center" vertical="top"/>
      <protection locked="0" hidden="1"/>
    </xf>
    <xf numFmtId="0" fontId="0" fillId="4" borderId="76" xfId="0" applyFill="1" applyBorder="1" applyAlignment="1" applyProtection="1">
      <alignment horizontal="center" vertical="center"/>
      <protection locked="0" hidden="1"/>
    </xf>
    <xf numFmtId="0" fontId="0" fillId="4" borderId="30" xfId="0" applyFill="1" applyBorder="1" applyAlignment="1" applyProtection="1">
      <alignment horizontal="center" vertical="center"/>
      <protection locked="0" hidden="1"/>
    </xf>
    <xf numFmtId="0" fontId="31" fillId="4" borderId="271" xfId="7" applyFill="1" applyBorder="1" applyAlignment="1">
      <alignment horizontal="center" vertical="center"/>
    </xf>
    <xf numFmtId="0" fontId="31" fillId="4" borderId="272" xfId="7" applyFill="1" applyBorder="1" applyAlignment="1">
      <alignment horizontal="center" vertical="center"/>
    </xf>
    <xf numFmtId="14" fontId="0" fillId="4" borderId="15" xfId="0" applyNumberFormat="1" applyFill="1" applyBorder="1" applyAlignment="1">
      <alignment horizontal="left" vertical="top"/>
    </xf>
    <xf numFmtId="14" fontId="0" fillId="4" borderId="49" xfId="0" applyNumberFormat="1" applyFill="1" applyBorder="1" applyAlignment="1">
      <alignment horizontal="left" vertical="top"/>
    </xf>
    <xf numFmtId="14" fontId="0" fillId="4" borderId="16" xfId="0" applyNumberFormat="1" applyFill="1" applyBorder="1" applyAlignment="1">
      <alignment horizontal="left" vertical="top"/>
    </xf>
    <xf numFmtId="14" fontId="0" fillId="4" borderId="59" xfId="0" applyNumberFormat="1" applyFill="1" applyBorder="1" applyAlignment="1">
      <alignment horizontal="left" vertical="top"/>
    </xf>
    <xf numFmtId="14" fontId="0" fillId="4" borderId="54" xfId="0" applyNumberFormat="1" applyFill="1" applyBorder="1" applyAlignment="1">
      <alignment horizontal="left" vertical="top"/>
    </xf>
    <xf numFmtId="14" fontId="0" fillId="4" borderId="58" xfId="0" applyNumberFormat="1" applyFill="1" applyBorder="1" applyAlignment="1">
      <alignment horizontal="left" vertical="top"/>
    </xf>
    <xf numFmtId="0" fontId="0" fillId="0" borderId="11" xfId="0" applyBorder="1" applyAlignment="1" applyProtection="1">
      <alignment horizontal="center" vertical="center" wrapText="1"/>
      <protection locked="0" hidden="1"/>
    </xf>
    <xf numFmtId="0" fontId="0" fillId="4" borderId="55" xfId="0" applyFill="1" applyBorder="1" applyAlignment="1" applyProtection="1">
      <alignment horizontal="center" vertical="center"/>
      <protection locked="0"/>
    </xf>
    <xf numFmtId="0" fontId="0" fillId="4" borderId="22" xfId="0" applyFill="1" applyBorder="1" applyAlignment="1" applyProtection="1">
      <alignment horizontal="center" vertical="center"/>
      <protection locked="0"/>
    </xf>
    <xf numFmtId="0" fontId="0" fillId="4" borderId="70" xfId="0" applyFill="1" applyBorder="1" applyAlignment="1" applyProtection="1">
      <alignment horizontal="center" vertical="center"/>
      <protection locked="0"/>
    </xf>
    <xf numFmtId="0" fontId="0" fillId="4" borderId="71" xfId="0" applyFill="1" applyBorder="1" applyAlignment="1" applyProtection="1">
      <alignment horizontal="center" vertical="center"/>
      <protection locked="0"/>
    </xf>
    <xf numFmtId="0" fontId="0" fillId="4" borderId="38" xfId="0" applyFill="1" applyBorder="1" applyAlignment="1" applyProtection="1">
      <alignment horizontal="center" vertical="center"/>
      <protection locked="0"/>
    </xf>
    <xf numFmtId="0" fontId="0" fillId="4" borderId="62" xfId="0" applyFill="1" applyBorder="1" applyAlignment="1" applyProtection="1">
      <alignment horizontal="center" vertical="center"/>
      <protection locked="0"/>
    </xf>
    <xf numFmtId="0" fontId="4" fillId="4" borderId="64" xfId="0" applyFont="1" applyFill="1" applyBorder="1" applyAlignment="1">
      <alignment horizontal="center" vertical="top"/>
    </xf>
    <xf numFmtId="0" fontId="4" fillId="4" borderId="66" xfId="0" applyFont="1" applyFill="1" applyBorder="1" applyAlignment="1">
      <alignment horizontal="center" vertical="top"/>
    </xf>
    <xf numFmtId="0" fontId="0" fillId="4" borderId="61" xfId="0" applyFill="1" applyBorder="1" applyAlignment="1">
      <alignment horizontal="left" vertical="top" wrapText="1"/>
    </xf>
    <xf numFmtId="0" fontId="0" fillId="4" borderId="62" xfId="0" applyFill="1" applyBorder="1" applyAlignment="1">
      <alignment horizontal="left" vertical="top" wrapText="1"/>
    </xf>
    <xf numFmtId="0" fontId="0" fillId="4" borderId="136" xfId="0" applyFill="1" applyBorder="1" applyAlignment="1">
      <alignment horizontal="left" vertical="top" wrapText="1"/>
    </xf>
    <xf numFmtId="0" fontId="0" fillId="4" borderId="10" xfId="0" applyFill="1" applyBorder="1" applyAlignment="1">
      <alignment horizontal="left" vertical="top" wrapText="1"/>
    </xf>
    <xf numFmtId="0" fontId="0" fillId="4" borderId="0" xfId="0" applyFill="1" applyAlignment="1">
      <alignment horizontal="left" vertical="top" wrapText="1"/>
    </xf>
    <xf numFmtId="0" fontId="0" fillId="4" borderId="89" xfId="0" applyFill="1" applyBorder="1" applyAlignment="1">
      <alignment horizontal="left" vertical="top" wrapText="1"/>
    </xf>
    <xf numFmtId="0" fontId="0" fillId="4" borderId="67" xfId="0" applyFill="1" applyBorder="1" applyAlignment="1">
      <alignment horizontal="left" vertical="top" wrapText="1"/>
    </xf>
    <xf numFmtId="0" fontId="0" fillId="4" borderId="68" xfId="0" applyFill="1" applyBorder="1" applyAlignment="1">
      <alignment horizontal="left" vertical="top" wrapText="1"/>
    </xf>
    <xf numFmtId="0" fontId="0" fillId="4" borderId="137" xfId="0" applyFill="1" applyBorder="1" applyAlignment="1">
      <alignment horizontal="left" vertical="top" wrapText="1"/>
    </xf>
    <xf numFmtId="0" fontId="0" fillId="4" borderId="64" xfId="0" applyFill="1" applyBorder="1" applyAlignment="1">
      <alignment horizontal="center" vertical="top"/>
    </xf>
    <xf numFmtId="0" fontId="0" fillId="4" borderId="66" xfId="0" applyFill="1" applyBorder="1" applyAlignment="1">
      <alignment horizontal="center" vertical="top"/>
    </xf>
    <xf numFmtId="0" fontId="0" fillId="0" borderId="37" xfId="0" applyBorder="1" applyAlignment="1">
      <alignment horizontal="center" vertical="center"/>
    </xf>
    <xf numFmtId="0" fontId="0" fillId="0" borderId="0" xfId="0" applyAlignment="1">
      <alignment horizontal="center" vertical="center"/>
    </xf>
    <xf numFmtId="0" fontId="0" fillId="0" borderId="18" xfId="0" applyBorder="1" applyAlignment="1">
      <alignment horizontal="center" vertical="center"/>
    </xf>
    <xf numFmtId="0" fontId="0" fillId="0" borderId="59" xfId="0" applyBorder="1" applyAlignment="1">
      <alignment horizontal="center" vertical="center"/>
    </xf>
    <xf numFmtId="0" fontId="0" fillId="0" borderId="54" xfId="0" applyBorder="1" applyAlignment="1">
      <alignment horizontal="center" vertical="center"/>
    </xf>
    <xf numFmtId="0" fontId="0" fillId="0" borderId="60" xfId="0" applyBorder="1" applyAlignment="1">
      <alignment horizontal="center" vertical="center"/>
    </xf>
    <xf numFmtId="0" fontId="0" fillId="4" borderId="54" xfId="0" applyFill="1" applyBorder="1" applyAlignment="1">
      <alignment horizontal="center"/>
    </xf>
    <xf numFmtId="0" fontId="4" fillId="4" borderId="83" xfId="0" applyFont="1" applyFill="1" applyBorder="1" applyAlignment="1">
      <alignment horizontal="center" vertical="center"/>
    </xf>
    <xf numFmtId="0" fontId="4" fillId="4" borderId="85" xfId="0" applyFont="1" applyFill="1" applyBorder="1" applyAlignment="1">
      <alignment horizontal="center" vertical="center"/>
    </xf>
    <xf numFmtId="0" fontId="0" fillId="0" borderId="77" xfId="0" applyBorder="1" applyAlignment="1">
      <alignment horizontal="center" vertical="center"/>
    </xf>
    <xf numFmtId="0" fontId="0" fillId="0" borderId="17" xfId="0" applyBorder="1" applyAlignment="1">
      <alignment horizontal="center" vertical="center"/>
    </xf>
    <xf numFmtId="0" fontId="0" fillId="0" borderId="80" xfId="0" applyBorder="1" applyAlignment="1">
      <alignment horizontal="center" vertical="center"/>
    </xf>
    <xf numFmtId="0" fontId="0" fillId="0" borderId="19" xfId="0" applyBorder="1" applyAlignment="1">
      <alignment horizontal="center" vertical="center"/>
    </xf>
    <xf numFmtId="0" fontId="0" fillId="0" borderId="15" xfId="0" applyBorder="1" applyAlignment="1">
      <alignment horizontal="center" vertical="center"/>
    </xf>
    <xf numFmtId="0" fontId="0" fillId="0" borderId="49" xfId="0" applyBorder="1" applyAlignment="1">
      <alignment horizontal="center" vertical="center"/>
    </xf>
    <xf numFmtId="0" fontId="0" fillId="0" borderId="78" xfId="0" applyBorder="1" applyAlignment="1">
      <alignment horizontal="center" vertical="center"/>
    </xf>
    <xf numFmtId="0" fontId="0" fillId="0" borderId="79" xfId="0" applyBorder="1" applyAlignment="1">
      <alignment horizontal="center" vertical="center"/>
    </xf>
    <xf numFmtId="0" fontId="0" fillId="0" borderId="81" xfId="0" applyBorder="1" applyAlignment="1">
      <alignment horizontal="center" vertical="center"/>
    </xf>
    <xf numFmtId="0" fontId="0" fillId="0" borderId="82" xfId="0" applyBorder="1" applyAlignment="1">
      <alignment horizontal="center" vertical="center"/>
    </xf>
    <xf numFmtId="0" fontId="0" fillId="0" borderId="16" xfId="0" applyBorder="1" applyAlignment="1">
      <alignment horizontal="center" vertical="center"/>
    </xf>
    <xf numFmtId="0" fontId="0" fillId="0" borderId="36" xfId="0" applyBorder="1" applyAlignment="1">
      <alignment horizontal="center" vertical="center"/>
    </xf>
    <xf numFmtId="0" fontId="0" fillId="0" borderId="58" xfId="0" applyBorder="1" applyAlignment="1">
      <alignment horizontal="center" vertical="center"/>
    </xf>
    <xf numFmtId="0" fontId="4" fillId="0" borderId="15" xfId="0" applyFont="1" applyBorder="1" applyAlignment="1">
      <alignment horizontal="center"/>
    </xf>
    <xf numFmtId="0" fontId="4" fillId="0" borderId="49" xfId="0" applyFont="1" applyBorder="1" applyAlignment="1">
      <alignment horizontal="center"/>
    </xf>
    <xf numFmtId="0" fontId="4" fillId="0" borderId="75" xfId="0" applyFont="1" applyBorder="1" applyAlignment="1">
      <alignment horizontal="center"/>
    </xf>
    <xf numFmtId="0" fontId="4" fillId="0" borderId="48" xfId="0" applyFont="1" applyBorder="1" applyAlignment="1">
      <alignment horizontal="center" vertical="center"/>
    </xf>
    <xf numFmtId="0" fontId="4" fillId="0" borderId="49" xfId="0" applyFont="1" applyBorder="1" applyAlignment="1">
      <alignment horizontal="center" vertical="center"/>
    </xf>
    <xf numFmtId="0" fontId="4" fillId="0" borderId="40" xfId="0" applyFont="1" applyBorder="1" applyAlignment="1">
      <alignment horizontal="center" vertical="center"/>
    </xf>
    <xf numFmtId="0" fontId="4" fillId="0" borderId="41" xfId="0" applyFont="1" applyBorder="1" applyAlignment="1">
      <alignment horizontal="center" vertical="center"/>
    </xf>
    <xf numFmtId="0" fontId="4" fillId="0" borderId="15" xfId="0" applyFont="1" applyBorder="1" applyAlignment="1">
      <alignment horizontal="center" vertical="center"/>
    </xf>
    <xf numFmtId="0" fontId="4" fillId="0" borderId="75" xfId="0" applyFont="1" applyBorder="1" applyAlignment="1">
      <alignment horizontal="center" vertical="center"/>
    </xf>
    <xf numFmtId="0" fontId="0" fillId="0" borderId="61" xfId="0" applyBorder="1" applyAlignment="1">
      <alignment horizontal="center" vertical="center"/>
    </xf>
    <xf numFmtId="0" fontId="0" fillId="0" borderId="63" xfId="0" applyBorder="1" applyAlignment="1">
      <alignment horizontal="center" vertical="center"/>
    </xf>
    <xf numFmtId="0" fontId="0" fillId="0" borderId="53" xfId="0" applyBorder="1" applyAlignment="1">
      <alignment horizontal="center" vertical="center"/>
    </xf>
    <xf numFmtId="0" fontId="0" fillId="0" borderId="38" xfId="0" applyBorder="1" applyAlignment="1">
      <alignment horizontal="center" vertical="center"/>
    </xf>
    <xf numFmtId="0" fontId="0" fillId="0" borderId="62" xfId="0" applyBorder="1" applyAlignment="1">
      <alignment horizontal="center" vertical="center"/>
    </xf>
    <xf numFmtId="0" fontId="0" fillId="0" borderId="38" xfId="0" applyBorder="1" applyAlignment="1">
      <alignment horizontal="left" vertical="top"/>
    </xf>
    <xf numFmtId="0" fontId="0" fillId="0" borderId="62" xfId="0" applyBorder="1" applyAlignment="1">
      <alignment horizontal="left" vertical="top"/>
    </xf>
    <xf numFmtId="0" fontId="0" fillId="0" borderId="59" xfId="0" applyBorder="1" applyAlignment="1">
      <alignment horizontal="left" vertical="top"/>
    </xf>
    <xf numFmtId="0" fontId="0" fillId="0" borderId="54" xfId="0" applyBorder="1" applyAlignment="1">
      <alignment horizontal="left" vertical="top"/>
    </xf>
    <xf numFmtId="0" fontId="0" fillId="5" borderId="78" xfId="0" applyFill="1" applyBorder="1" applyAlignment="1">
      <alignment horizontal="center" vertical="center"/>
    </xf>
    <xf numFmtId="0" fontId="0" fillId="5" borderId="32" xfId="0" applyFill="1" applyBorder="1" applyAlignment="1">
      <alignment horizontal="center" vertical="center"/>
    </xf>
    <xf numFmtId="0" fontId="0" fillId="5" borderId="79" xfId="0" applyFill="1" applyBorder="1" applyAlignment="1">
      <alignment horizontal="center" vertical="center"/>
    </xf>
    <xf numFmtId="0" fontId="0" fillId="5" borderId="88" xfId="0" applyFill="1" applyBorder="1" applyAlignment="1">
      <alignment horizontal="center" vertical="center"/>
    </xf>
    <xf numFmtId="0" fontId="0" fillId="5" borderId="0" xfId="0" applyFill="1" applyAlignment="1">
      <alignment horizontal="center" vertical="center"/>
    </xf>
    <xf numFmtId="0" fontId="0" fillId="5" borderId="89" xfId="0" applyFill="1" applyBorder="1" applyAlignment="1">
      <alignment horizontal="center" vertical="center"/>
    </xf>
    <xf numFmtId="0" fontId="0" fillId="0" borderId="61" xfId="0" applyBorder="1" applyAlignment="1">
      <alignment horizontal="center" vertical="center" wrapText="1"/>
    </xf>
    <xf numFmtId="0" fontId="0" fillId="0" borderId="63" xfId="0" applyBorder="1" applyAlignment="1">
      <alignment horizontal="center" vertical="center" wrapText="1"/>
    </xf>
    <xf numFmtId="0" fontId="0" fillId="0" borderId="53" xfId="0" applyBorder="1" applyAlignment="1">
      <alignment horizontal="center" vertical="center" wrapText="1"/>
    </xf>
    <xf numFmtId="0" fontId="0" fillId="0" borderId="58" xfId="0" applyBorder="1" applyAlignment="1">
      <alignment horizontal="center" vertical="center" wrapText="1"/>
    </xf>
    <xf numFmtId="0" fontId="0" fillId="0" borderId="39" xfId="0" applyBorder="1" applyAlignment="1">
      <alignment horizontal="left" vertical="top"/>
    </xf>
    <xf numFmtId="0" fontId="0" fillId="0" borderId="37" xfId="0" applyBorder="1" applyAlignment="1">
      <alignment horizontal="left" vertical="top"/>
    </xf>
    <xf numFmtId="0" fontId="0" fillId="0" borderId="73" xfId="0" applyBorder="1" applyAlignment="1">
      <alignment horizontal="left" vertical="top"/>
    </xf>
    <xf numFmtId="3" fontId="0" fillId="0" borderId="38" xfId="0" applyNumberFormat="1" applyBorder="1" applyAlignment="1">
      <alignment horizontal="left" vertical="center"/>
    </xf>
    <xf numFmtId="3" fontId="0" fillId="0" borderId="62" xfId="0" applyNumberFormat="1" applyBorder="1" applyAlignment="1">
      <alignment horizontal="left" vertical="center"/>
    </xf>
    <xf numFmtId="3" fontId="0" fillId="0" borderId="39" xfId="0" applyNumberFormat="1" applyBorder="1" applyAlignment="1">
      <alignment horizontal="left" vertical="center"/>
    </xf>
    <xf numFmtId="3" fontId="0" fillId="0" borderId="59" xfId="0" applyNumberFormat="1" applyBorder="1" applyAlignment="1">
      <alignment horizontal="left" vertical="center"/>
    </xf>
    <xf numFmtId="3" fontId="0" fillId="0" borderId="54" xfId="0" applyNumberFormat="1" applyBorder="1" applyAlignment="1">
      <alignment horizontal="left" vertical="center"/>
    </xf>
    <xf numFmtId="3" fontId="0" fillId="0" borderId="60" xfId="0" applyNumberFormat="1" applyBorder="1" applyAlignment="1">
      <alignment horizontal="left" vertical="center"/>
    </xf>
    <xf numFmtId="0" fontId="0" fillId="0" borderId="38" xfId="0" applyBorder="1" applyAlignment="1">
      <alignment horizontal="left" vertical="center"/>
    </xf>
    <xf numFmtId="0" fontId="0" fillId="0" borderId="62" xfId="0" applyBorder="1" applyAlignment="1">
      <alignment horizontal="left" vertical="center"/>
    </xf>
    <xf numFmtId="0" fontId="0" fillId="0" borderId="39" xfId="0" applyBorder="1" applyAlignment="1">
      <alignment horizontal="left" vertical="center"/>
    </xf>
    <xf numFmtId="0" fontId="0" fillId="0" borderId="59" xfId="0" applyBorder="1" applyAlignment="1">
      <alignment horizontal="left" vertical="center"/>
    </xf>
    <xf numFmtId="0" fontId="0" fillId="0" borderId="54" xfId="0" applyBorder="1" applyAlignment="1">
      <alignment horizontal="left" vertical="center"/>
    </xf>
    <xf numFmtId="0" fontId="0" fillId="0" borderId="60" xfId="0" applyBorder="1" applyAlignment="1">
      <alignment horizontal="left" vertical="center"/>
    </xf>
    <xf numFmtId="0" fontId="0" fillId="0" borderId="67" xfId="0" applyBorder="1" applyAlignment="1">
      <alignment horizontal="center" vertical="center"/>
    </xf>
    <xf numFmtId="0" fontId="0" fillId="0" borderId="74" xfId="0" applyBorder="1" applyAlignment="1">
      <alignment horizontal="center" vertical="center"/>
    </xf>
    <xf numFmtId="0" fontId="0" fillId="0" borderId="73" xfId="0" applyBorder="1" applyAlignment="1">
      <alignment horizontal="center" vertical="center"/>
    </xf>
    <xf numFmtId="0" fontId="0" fillId="0" borderId="68" xfId="0" applyBorder="1" applyAlignment="1">
      <alignment horizontal="center" vertical="center"/>
    </xf>
    <xf numFmtId="0" fontId="0" fillId="4" borderId="83" xfId="0" applyFill="1" applyBorder="1" applyAlignment="1">
      <alignment horizontal="center" vertical="center"/>
    </xf>
    <xf numFmtId="0" fontId="0" fillId="4" borderId="85" xfId="0" applyFill="1" applyBorder="1" applyAlignment="1">
      <alignment horizontal="center" vertical="center"/>
    </xf>
    <xf numFmtId="0" fontId="0" fillId="0" borderId="66" xfId="0" applyBorder="1" applyAlignment="1">
      <alignment horizontal="center" vertical="center"/>
    </xf>
    <xf numFmtId="0" fontId="0" fillId="4" borderId="0" xfId="0" applyFill="1" applyAlignment="1">
      <alignment horizontal="center" vertical="center"/>
    </xf>
    <xf numFmtId="0" fontId="0" fillId="4" borderId="0" xfId="0" applyFill="1" applyAlignment="1">
      <alignment horizontal="left" vertical="center"/>
    </xf>
    <xf numFmtId="0" fontId="0" fillId="4" borderId="0" xfId="0" applyFill="1" applyAlignment="1">
      <alignment horizontal="left" vertical="top"/>
    </xf>
    <xf numFmtId="0" fontId="0" fillId="4" borderId="40" xfId="0" applyFill="1" applyBorder="1" applyAlignment="1">
      <alignment horizontal="left" vertical="top" wrapText="1"/>
    </xf>
    <xf numFmtId="0" fontId="0" fillId="4" borderId="41" xfId="0" applyFill="1" applyBorder="1" applyAlignment="1">
      <alignment horizontal="left" vertical="top" wrapText="1"/>
    </xf>
    <xf numFmtId="0" fontId="0" fillId="4" borderId="82" xfId="0" applyFill="1" applyBorder="1" applyAlignment="1">
      <alignment horizontal="left" vertical="top" wrapText="1"/>
    </xf>
    <xf numFmtId="0" fontId="0" fillId="0" borderId="54" xfId="0" applyBorder="1" applyAlignment="1">
      <alignment horizontal="center"/>
    </xf>
    <xf numFmtId="0" fontId="18" fillId="0" borderId="0" xfId="0" applyFont="1" applyAlignment="1">
      <alignment horizontal="center"/>
    </xf>
    <xf numFmtId="0" fontId="0" fillId="0" borderId="59" xfId="0" applyBorder="1" applyAlignment="1">
      <alignment horizontal="center"/>
    </xf>
    <xf numFmtId="0" fontId="0" fillId="0" borderId="58" xfId="0" applyBorder="1" applyAlignment="1">
      <alignment horizontal="center"/>
    </xf>
    <xf numFmtId="0" fontId="43" fillId="6" borderId="38" xfId="0" applyFont="1" applyFill="1" applyBorder="1" applyAlignment="1">
      <alignment horizontal="center" vertical="center"/>
    </xf>
    <xf numFmtId="0" fontId="43" fillId="6" borderId="63" xfId="0" applyFont="1" applyFill="1" applyBorder="1" applyAlignment="1">
      <alignment horizontal="center" vertical="center"/>
    </xf>
    <xf numFmtId="0" fontId="43" fillId="6" borderId="37" xfId="0" applyFont="1" applyFill="1" applyBorder="1" applyAlignment="1">
      <alignment horizontal="center" vertical="center"/>
    </xf>
    <xf numFmtId="0" fontId="43" fillId="6" borderId="36" xfId="0" applyFont="1" applyFill="1" applyBorder="1" applyAlignment="1">
      <alignment horizontal="center" vertical="center"/>
    </xf>
    <xf numFmtId="0" fontId="43" fillId="6" borderId="59" xfId="0" applyFont="1" applyFill="1" applyBorder="1" applyAlignment="1">
      <alignment horizontal="center" vertical="center"/>
    </xf>
    <xf numFmtId="0" fontId="43" fillId="6" borderId="58" xfId="0" applyFont="1" applyFill="1" applyBorder="1" applyAlignment="1">
      <alignment horizontal="center" vertical="center"/>
    </xf>
    <xf numFmtId="0" fontId="43" fillId="6" borderId="62" xfId="0" applyFont="1" applyFill="1" applyBorder="1" applyAlignment="1">
      <alignment horizontal="center" vertical="center"/>
    </xf>
    <xf numFmtId="0" fontId="43" fillId="6" borderId="0" xfId="0" applyFont="1" applyFill="1" applyAlignment="1">
      <alignment horizontal="center" vertical="center"/>
    </xf>
    <xf numFmtId="0" fontId="43" fillId="6" borderId="54" xfId="0" applyFont="1" applyFill="1" applyBorder="1" applyAlignment="1">
      <alignment horizontal="center" vertical="center"/>
    </xf>
    <xf numFmtId="0" fontId="0" fillId="0" borderId="54" xfId="0" applyBorder="1" applyAlignment="1">
      <alignment horizontal="center" vertical="top"/>
    </xf>
    <xf numFmtId="172" fontId="0" fillId="0" borderId="62" xfId="0" applyNumberFormat="1" applyBorder="1" applyAlignment="1">
      <alignment horizontal="center" vertical="center"/>
    </xf>
    <xf numFmtId="172" fontId="0" fillId="0" borderId="54" xfId="0" applyNumberFormat="1" applyBorder="1" applyAlignment="1">
      <alignment horizontal="center" vertical="center"/>
    </xf>
    <xf numFmtId="0" fontId="0" fillId="0" borderId="19" xfId="0" applyBorder="1" applyAlignment="1">
      <alignment horizontal="center" vertical="center" wrapText="1"/>
    </xf>
    <xf numFmtId="0" fontId="14" fillId="0" borderId="19" xfId="0" applyFont="1" applyBorder="1" applyAlignment="1">
      <alignment horizontal="center"/>
    </xf>
    <xf numFmtId="0" fontId="0" fillId="5" borderId="19" xfId="0" applyFill="1" applyBorder="1" applyAlignment="1">
      <alignment horizontal="center" vertical="center"/>
    </xf>
    <xf numFmtId="0" fontId="0" fillId="0" borderId="0" xfId="0" applyAlignment="1">
      <alignment horizontal="center" wrapText="1"/>
    </xf>
    <xf numFmtId="0" fontId="12" fillId="5" borderId="0" xfId="0" applyFont="1" applyFill="1" applyAlignment="1">
      <alignment horizontal="left" wrapText="1" indent="6"/>
    </xf>
    <xf numFmtId="0" fontId="0" fillId="4" borderId="110" xfId="0" applyFill="1" applyBorder="1" applyAlignment="1">
      <alignment horizontal="center"/>
    </xf>
    <xf numFmtId="0" fontId="13" fillId="5" borderId="78" xfId="0" applyFont="1" applyFill="1" applyBorder="1" applyAlignment="1">
      <alignment horizontal="left" vertical="center" wrapText="1" indent="6"/>
    </xf>
    <xf numFmtId="0" fontId="13" fillId="5" borderId="32" xfId="0" applyFont="1" applyFill="1" applyBorder="1" applyAlignment="1">
      <alignment horizontal="left" vertical="center" wrapText="1" indent="6"/>
    </xf>
    <xf numFmtId="0" fontId="13" fillId="5" borderId="79" xfId="0" applyFont="1" applyFill="1" applyBorder="1" applyAlignment="1">
      <alignment horizontal="left" vertical="center" wrapText="1" indent="6"/>
    </xf>
    <xf numFmtId="0" fontId="13" fillId="5" borderId="88" xfId="0" applyFont="1" applyFill="1" applyBorder="1" applyAlignment="1">
      <alignment horizontal="left" vertical="center" wrapText="1" indent="6"/>
    </xf>
    <xf numFmtId="0" fontId="13" fillId="5" borderId="0" xfId="0" applyFont="1" applyFill="1" applyAlignment="1">
      <alignment horizontal="left" vertical="center" wrapText="1" indent="6"/>
    </xf>
    <xf numFmtId="0" fontId="13" fillId="5" borderId="89" xfId="0" applyFont="1" applyFill="1" applyBorder="1" applyAlignment="1">
      <alignment horizontal="left" vertical="center" wrapText="1" indent="6"/>
    </xf>
    <xf numFmtId="0" fontId="13" fillId="5" borderId="81" xfId="0" applyFont="1" applyFill="1" applyBorder="1" applyAlignment="1">
      <alignment horizontal="left" vertical="center" wrapText="1" indent="6"/>
    </xf>
    <xf numFmtId="0" fontId="13" fillId="5" borderId="41" xfId="0" applyFont="1" applyFill="1" applyBorder="1" applyAlignment="1">
      <alignment horizontal="left" vertical="center" wrapText="1" indent="6"/>
    </xf>
    <xf numFmtId="0" fontId="13" fillId="5" borderId="82" xfId="0" applyFont="1" applyFill="1" applyBorder="1" applyAlignment="1">
      <alignment horizontal="left" vertical="center" wrapText="1" indent="6"/>
    </xf>
    <xf numFmtId="0" fontId="0" fillId="4" borderId="108" xfId="0" applyFill="1" applyBorder="1" applyAlignment="1">
      <alignment horizontal="center" vertical="center"/>
    </xf>
    <xf numFmtId="14" fontId="0" fillId="4" borderId="108" xfId="0" applyNumberFormat="1" applyFill="1" applyBorder="1" applyAlignment="1">
      <alignment horizontal="center" vertical="center"/>
    </xf>
    <xf numFmtId="0" fontId="14" fillId="5" borderId="32" xfId="0" applyFont="1" applyFill="1" applyBorder="1" applyAlignment="1">
      <alignment horizontal="left" vertical="top" wrapText="1"/>
    </xf>
    <xf numFmtId="0" fontId="14" fillId="5" borderId="79" xfId="0" applyFont="1" applyFill="1" applyBorder="1" applyAlignment="1">
      <alignment horizontal="left" vertical="top" wrapText="1"/>
    </xf>
    <xf numFmtId="0" fontId="14" fillId="5" borderId="41" xfId="0" applyFont="1" applyFill="1" applyBorder="1" applyAlignment="1">
      <alignment horizontal="left" vertical="top" wrapText="1"/>
    </xf>
    <xf numFmtId="0" fontId="14" fillId="5" borderId="82" xfId="0" applyFont="1" applyFill="1" applyBorder="1" applyAlignment="1">
      <alignment horizontal="left" vertical="top" wrapText="1"/>
    </xf>
    <xf numFmtId="0" fontId="0" fillId="5" borderId="0" xfId="0" applyFill="1" applyAlignment="1">
      <alignment horizontal="left" vertical="center" wrapText="1" indent="7"/>
    </xf>
    <xf numFmtId="0" fontId="0" fillId="4" borderId="210" xfId="0" applyFill="1" applyBorder="1" applyAlignment="1">
      <alignment horizontal="center"/>
    </xf>
    <xf numFmtId="0" fontId="0" fillId="0" borderId="108" xfId="0" applyBorder="1" applyAlignment="1">
      <alignment horizontal="left"/>
    </xf>
    <xf numFmtId="0" fontId="0" fillId="0" borderId="0" xfId="0" applyAlignment="1">
      <alignment horizontal="center" vertical="top" wrapText="1"/>
    </xf>
    <xf numFmtId="0" fontId="0" fillId="0" borderId="0" xfId="4" applyFont="1" applyFill="1" applyAlignment="1">
      <alignment horizontal="center" vertical="top" wrapText="1"/>
    </xf>
    <xf numFmtId="0" fontId="6" fillId="0" borderId="0" xfId="0" applyFont="1" applyAlignment="1">
      <alignment horizontal="center"/>
    </xf>
    <xf numFmtId="0" fontId="10" fillId="0" borderId="0" xfId="0" applyFont="1" applyAlignment="1">
      <alignment horizontal="center"/>
    </xf>
    <xf numFmtId="0" fontId="11" fillId="0" borderId="0" xfId="0" applyFont="1" applyAlignment="1">
      <alignment horizontal="left" indent="6"/>
    </xf>
    <xf numFmtId="0" fontId="11" fillId="0" borderId="0" xfId="0" applyFont="1" applyAlignment="1">
      <alignment horizontal="left" indent="5"/>
    </xf>
    <xf numFmtId="0" fontId="0" fillId="4" borderId="19" xfId="0" applyFill="1" applyBorder="1" applyAlignment="1">
      <alignment horizontal="center" vertical="center"/>
    </xf>
    <xf numFmtId="0" fontId="20" fillId="4" borderId="19" xfId="0" applyFont="1" applyFill="1" applyBorder="1" applyAlignment="1">
      <alignment horizontal="center" vertical="center"/>
    </xf>
    <xf numFmtId="0" fontId="0" fillId="4" borderId="0" xfId="0" applyFill="1" applyAlignment="1">
      <alignment horizontal="left" wrapText="1"/>
    </xf>
    <xf numFmtId="169" fontId="0" fillId="4" borderId="19" xfId="0" applyNumberFormat="1" applyFill="1" applyBorder="1" applyAlignment="1">
      <alignment horizontal="center" vertical="center"/>
    </xf>
    <xf numFmtId="0" fontId="0" fillId="4" borderId="11" xfId="0" applyFill="1" applyBorder="1" applyAlignment="1">
      <alignment horizontal="left" vertical="top"/>
    </xf>
    <xf numFmtId="0" fontId="4" fillId="4" borderId="0" xfId="0" applyFont="1" applyFill="1" applyAlignment="1">
      <alignment horizontal="center"/>
    </xf>
    <xf numFmtId="0" fontId="30" fillId="4" borderId="19" xfId="0" applyFont="1" applyFill="1" applyBorder="1" applyAlignment="1">
      <alignment horizontal="center" vertical="center"/>
    </xf>
    <xf numFmtId="0" fontId="13" fillId="4" borderId="21" xfId="0" applyFont="1" applyFill="1" applyBorder="1" applyAlignment="1">
      <alignment horizontal="center"/>
    </xf>
    <xf numFmtId="0" fontId="13" fillId="4" borderId="56" xfId="0" applyFont="1" applyFill="1" applyBorder="1" applyAlignment="1">
      <alignment horizontal="center"/>
    </xf>
    <xf numFmtId="0" fontId="13" fillId="4" borderId="22" xfId="0" applyFont="1" applyFill="1" applyBorder="1" applyAlignment="1">
      <alignment horizontal="center"/>
    </xf>
    <xf numFmtId="0" fontId="13" fillId="4" borderId="19" xfId="0" applyFont="1" applyFill="1" applyBorder="1" applyAlignment="1">
      <alignment horizontal="center"/>
    </xf>
    <xf numFmtId="0" fontId="0" fillId="4" borderId="19" xfId="0" applyFill="1" applyBorder="1" applyAlignment="1">
      <alignment horizontal="center"/>
    </xf>
    <xf numFmtId="0" fontId="0" fillId="4" borderId="23" xfId="0" applyFill="1" applyBorder="1" applyAlignment="1">
      <alignment horizontal="left"/>
    </xf>
    <xf numFmtId="0" fontId="0" fillId="4" borderId="19" xfId="0" applyFill="1" applyBorder="1" applyAlignment="1">
      <alignment horizontal="left"/>
    </xf>
    <xf numFmtId="0" fontId="0" fillId="4" borderId="21" xfId="0" applyFill="1" applyBorder="1" applyAlignment="1">
      <alignment horizontal="center" vertical="center"/>
    </xf>
    <xf numFmtId="14" fontId="0" fillId="4" borderId="19" xfId="0" applyNumberFormat="1" applyFill="1" applyBorder="1" applyAlignment="1">
      <alignment horizontal="center"/>
    </xf>
    <xf numFmtId="0" fontId="0" fillId="5" borderId="59" xfId="0" applyFill="1" applyBorder="1" applyAlignment="1">
      <alignment horizontal="center"/>
    </xf>
    <xf numFmtId="0" fontId="0" fillId="5" borderId="54" xfId="0" applyFill="1" applyBorder="1" applyAlignment="1">
      <alignment horizontal="center"/>
    </xf>
    <xf numFmtId="0" fontId="26" fillId="30" borderId="0" xfId="6" applyAlignment="1">
      <alignment horizontal="center"/>
    </xf>
    <xf numFmtId="0" fontId="0" fillId="8" borderId="0" xfId="0" applyFill="1" applyAlignment="1">
      <alignment horizontal="center"/>
    </xf>
    <xf numFmtId="0" fontId="0" fillId="9" borderId="19" xfId="0" applyFill="1" applyBorder="1" applyAlignment="1">
      <alignment horizontal="center"/>
    </xf>
    <xf numFmtId="0" fontId="0" fillId="0" borderId="11" xfId="0" applyBorder="1" applyAlignment="1">
      <alignment horizontal="left"/>
    </xf>
    <xf numFmtId="0" fontId="0" fillId="9" borderId="21" xfId="0" applyFill="1" applyBorder="1" applyAlignment="1">
      <alignment horizontal="center"/>
    </xf>
    <xf numFmtId="0" fontId="0" fillId="9" borderId="22" xfId="0" applyFill="1" applyBorder="1" applyAlignment="1">
      <alignment horizontal="center"/>
    </xf>
    <xf numFmtId="0" fontId="14" fillId="0" borderId="202" xfId="0" applyFont="1" applyBorder="1" applyAlignment="1">
      <alignment horizontal="center"/>
    </xf>
    <xf numFmtId="0" fontId="14" fillId="0" borderId="203" xfId="0" applyFont="1" applyBorder="1" applyAlignment="1">
      <alignment horizontal="center"/>
    </xf>
    <xf numFmtId="0" fontId="0" fillId="5" borderId="36" xfId="0" applyFill="1" applyBorder="1" applyAlignment="1">
      <alignment horizontal="center"/>
    </xf>
    <xf numFmtId="0" fontId="14" fillId="0" borderId="0" xfId="0" applyFont="1" applyAlignment="1">
      <alignment horizontal="center"/>
    </xf>
    <xf numFmtId="0" fontId="3" fillId="36" borderId="54" xfId="0" applyFont="1" applyFill="1" applyBorder="1" applyAlignment="1">
      <alignment horizontal="center"/>
    </xf>
    <xf numFmtId="0" fontId="7" fillId="0" borderId="0" xfId="4" applyFill="1" applyAlignment="1">
      <alignment horizontal="center"/>
    </xf>
    <xf numFmtId="0" fontId="0" fillId="4" borderId="41" xfId="0" applyFill="1" applyBorder="1" applyAlignment="1">
      <alignment horizontal="center"/>
    </xf>
    <xf numFmtId="0" fontId="0" fillId="4" borderId="0" xfId="0" applyFill="1" applyAlignment="1">
      <alignment horizontal="left"/>
    </xf>
    <xf numFmtId="169" fontId="0" fillId="4" borderId="0" xfId="1" applyNumberFormat="1" applyFont="1" applyFill="1" applyAlignment="1">
      <alignment horizontal="center"/>
    </xf>
    <xf numFmtId="167" fontId="0" fillId="4" borderId="0" xfId="1" applyFont="1" applyFill="1" applyBorder="1" applyAlignment="1">
      <alignment horizontal="center"/>
    </xf>
    <xf numFmtId="0" fontId="13" fillId="5" borderId="78" xfId="0" applyFont="1" applyFill="1" applyBorder="1" applyAlignment="1">
      <alignment horizontal="left" wrapText="1" indent="6"/>
    </xf>
    <xf numFmtId="0" fontId="13" fillId="5" borderId="32" xfId="0" applyFont="1" applyFill="1" applyBorder="1" applyAlignment="1">
      <alignment horizontal="left" wrapText="1" indent="6"/>
    </xf>
    <xf numFmtId="0" fontId="13" fillId="5" borderId="79" xfId="0" applyFont="1" applyFill="1" applyBorder="1" applyAlignment="1">
      <alignment horizontal="left" wrapText="1" indent="6"/>
    </xf>
    <xf numFmtId="0" fontId="13" fillId="5" borderId="88" xfId="0" applyFont="1" applyFill="1" applyBorder="1" applyAlignment="1">
      <alignment horizontal="left" wrapText="1" indent="6"/>
    </xf>
    <xf numFmtId="0" fontId="13" fillId="5" borderId="0" xfId="0" applyFont="1" applyFill="1" applyAlignment="1">
      <alignment horizontal="left" wrapText="1" indent="6"/>
    </xf>
    <xf numFmtId="0" fontId="13" fillId="5" borderId="89" xfId="0" applyFont="1" applyFill="1" applyBorder="1" applyAlignment="1">
      <alignment horizontal="left" wrapText="1" indent="6"/>
    </xf>
    <xf numFmtId="0" fontId="13" fillId="5" borderId="81" xfId="0" applyFont="1" applyFill="1" applyBorder="1" applyAlignment="1">
      <alignment horizontal="left" wrapText="1" indent="6"/>
    </xf>
    <xf numFmtId="0" fontId="13" fillId="5" borderId="41" xfId="0" applyFont="1" applyFill="1" applyBorder="1" applyAlignment="1">
      <alignment horizontal="left" wrapText="1" indent="6"/>
    </xf>
    <xf numFmtId="0" fontId="13" fillId="5" borderId="82" xfId="0" applyFont="1" applyFill="1" applyBorder="1" applyAlignment="1">
      <alignment horizontal="left" wrapText="1" indent="6"/>
    </xf>
    <xf numFmtId="0" fontId="22" fillId="4" borderId="168" xfId="0" applyFont="1" applyFill="1" applyBorder="1" applyAlignment="1">
      <alignment horizontal="center" vertical="center"/>
    </xf>
    <xf numFmtId="0" fontId="22" fillId="4" borderId="0" xfId="0" applyFont="1" applyFill="1" applyAlignment="1">
      <alignment horizontal="center" vertical="center"/>
    </xf>
    <xf numFmtId="0" fontId="0" fillId="4" borderId="19" xfId="0" applyFill="1" applyBorder="1" applyAlignment="1" applyProtection="1">
      <alignment horizontal="center"/>
      <protection locked="0"/>
    </xf>
    <xf numFmtId="168" fontId="0" fillId="4" borderId="19" xfId="0" applyNumberFormat="1" applyFill="1" applyBorder="1" applyAlignment="1" applyProtection="1">
      <alignment horizontal="center"/>
      <protection locked="0"/>
    </xf>
    <xf numFmtId="168" fontId="0" fillId="4" borderId="21" xfId="0" applyNumberFormat="1" applyFill="1" applyBorder="1" applyAlignment="1" applyProtection="1">
      <alignment horizontal="center"/>
      <protection locked="0"/>
    </xf>
    <xf numFmtId="168" fontId="0" fillId="4" borderId="56" xfId="0" applyNumberFormat="1" applyFill="1" applyBorder="1" applyAlignment="1" applyProtection="1">
      <alignment horizontal="center"/>
      <protection locked="0"/>
    </xf>
    <xf numFmtId="168" fontId="0" fillId="4" borderId="22" xfId="0" applyNumberFormat="1" applyFill="1" applyBorder="1" applyAlignment="1" applyProtection="1">
      <alignment horizontal="center"/>
      <protection locked="0"/>
    </xf>
    <xf numFmtId="2" fontId="0" fillId="4" borderId="19" xfId="0" applyNumberFormat="1" applyFill="1" applyBorder="1" applyAlignment="1" applyProtection="1">
      <alignment horizontal="center"/>
      <protection locked="0"/>
    </xf>
    <xf numFmtId="0" fontId="0" fillId="5" borderId="0" xfId="0" applyFill="1" applyAlignment="1">
      <alignment horizontal="left"/>
    </xf>
    <xf numFmtId="0" fontId="0" fillId="0" borderId="23" xfId="0" applyBorder="1" applyAlignment="1">
      <alignment horizontal="center" vertical="center"/>
    </xf>
    <xf numFmtId="0" fontId="0" fillId="0" borderId="11" xfId="0" applyBorder="1" applyAlignment="1">
      <alignment horizontal="center" vertical="center"/>
    </xf>
    <xf numFmtId="0" fontId="0" fillId="0" borderId="38" xfId="0" applyBorder="1" applyAlignment="1">
      <alignment horizontal="center"/>
    </xf>
    <xf numFmtId="0" fontId="0" fillId="0" borderId="62" xfId="0" applyBorder="1" applyAlignment="1">
      <alignment horizontal="center"/>
    </xf>
    <xf numFmtId="0" fontId="0" fillId="0" borderId="63" xfId="0" applyBorder="1" applyAlignment="1">
      <alignment horizontal="center"/>
    </xf>
    <xf numFmtId="0" fontId="0" fillId="5" borderId="21" xfId="0" applyFill="1" applyBorder="1" applyAlignment="1">
      <alignment horizontal="center"/>
    </xf>
    <xf numFmtId="0" fontId="0" fillId="5" borderId="22" xfId="0" applyFill="1" applyBorder="1" applyAlignment="1">
      <alignment horizontal="center"/>
    </xf>
    <xf numFmtId="0" fontId="0" fillId="5" borderId="36" xfId="0" applyFill="1" applyBorder="1" applyAlignment="1">
      <alignment horizontal="left"/>
    </xf>
    <xf numFmtId="0" fontId="0" fillId="5" borderId="38" xfId="0" applyFill="1" applyBorder="1" applyAlignment="1">
      <alignment horizontal="center"/>
    </xf>
    <xf numFmtId="0" fontId="0" fillId="5" borderId="63" xfId="0" applyFill="1" applyBorder="1" applyAlignment="1">
      <alignment horizontal="center"/>
    </xf>
    <xf numFmtId="0" fontId="0" fillId="5" borderId="56" xfId="0" applyFill="1" applyBorder="1" applyAlignment="1">
      <alignment horizontal="center"/>
    </xf>
    <xf numFmtId="0" fontId="0" fillId="4" borderId="37" xfId="0" applyFill="1" applyBorder="1" applyAlignment="1">
      <alignment horizontal="left" vertical="top"/>
    </xf>
    <xf numFmtId="0" fontId="0" fillId="4" borderId="36" xfId="0" applyFill="1" applyBorder="1" applyAlignment="1">
      <alignment horizontal="left" vertical="top"/>
    </xf>
    <xf numFmtId="0" fontId="4" fillId="5" borderId="62" xfId="0" applyFont="1" applyFill="1" applyBorder="1" applyAlignment="1">
      <alignment horizontal="center"/>
    </xf>
    <xf numFmtId="0" fontId="4" fillId="5" borderId="63" xfId="0" applyFont="1" applyFill="1" applyBorder="1" applyAlignment="1">
      <alignment horizontal="center"/>
    </xf>
    <xf numFmtId="0" fontId="0" fillId="0" borderId="63" xfId="0" applyBorder="1" applyAlignment="1">
      <alignment horizontal="left" vertical="center"/>
    </xf>
    <xf numFmtId="0" fontId="0" fillId="0" borderId="58" xfId="0" applyBorder="1" applyAlignment="1">
      <alignment horizontal="left" vertical="center"/>
    </xf>
    <xf numFmtId="0" fontId="0" fillId="0" borderId="19" xfId="0" applyBorder="1" applyAlignment="1">
      <alignment horizontal="left" wrapText="1"/>
    </xf>
    <xf numFmtId="0" fontId="0" fillId="0" borderId="19" xfId="0" applyBorder="1" applyAlignment="1">
      <alignment horizontal="right" vertical="center"/>
    </xf>
    <xf numFmtId="0" fontId="15" fillId="4" borderId="0" xfId="0" applyFont="1" applyFill="1" applyAlignment="1">
      <alignment horizontal="center"/>
    </xf>
    <xf numFmtId="0" fontId="0" fillId="10" borderId="21" xfId="0" applyFill="1" applyBorder="1" applyAlignment="1">
      <alignment horizontal="left"/>
    </xf>
    <xf numFmtId="0" fontId="0" fillId="10" borderId="56" xfId="0" applyFill="1" applyBorder="1" applyAlignment="1">
      <alignment horizontal="left"/>
    </xf>
    <xf numFmtId="0" fontId="0" fillId="10" borderId="22" xfId="0" applyFill="1" applyBorder="1" applyAlignment="1">
      <alignment horizontal="left"/>
    </xf>
    <xf numFmtId="0" fontId="0" fillId="6" borderId="21" xfId="0" applyFill="1" applyBorder="1" applyAlignment="1">
      <alignment horizontal="center" vertical="center"/>
    </xf>
    <xf numFmtId="0" fontId="0" fillId="6" borderId="22" xfId="0" applyFill="1" applyBorder="1" applyAlignment="1">
      <alignment horizontal="center" vertical="center"/>
    </xf>
    <xf numFmtId="0" fontId="0" fillId="10" borderId="56" xfId="0" applyFill="1" applyBorder="1" applyAlignment="1">
      <alignment horizontal="center"/>
    </xf>
    <xf numFmtId="169" fontId="0" fillId="0" borderId="21" xfId="0" applyNumberFormat="1" applyBorder="1" applyAlignment="1">
      <alignment horizontal="center"/>
    </xf>
    <xf numFmtId="169" fontId="0" fillId="0" borderId="22" xfId="0" applyNumberFormat="1" applyBorder="1" applyAlignment="1">
      <alignment horizontal="center"/>
    </xf>
    <xf numFmtId="0" fontId="0" fillId="11" borderId="21" xfId="0" applyFill="1" applyBorder="1" applyAlignment="1">
      <alignment horizontal="left"/>
    </xf>
    <xf numFmtId="0" fontId="0" fillId="11" borderId="22" xfId="0" applyFill="1" applyBorder="1" applyAlignment="1">
      <alignment horizontal="left"/>
    </xf>
    <xf numFmtId="0" fontId="0" fillId="11" borderId="56" xfId="0" applyFill="1" applyBorder="1" applyAlignment="1">
      <alignment horizontal="left"/>
    </xf>
    <xf numFmtId="0" fontId="0" fillId="6" borderId="21" xfId="0" applyFill="1" applyBorder="1" applyAlignment="1">
      <alignment horizontal="center"/>
    </xf>
    <xf numFmtId="0" fontId="0" fillId="6" borderId="22" xfId="0" applyFill="1" applyBorder="1" applyAlignment="1">
      <alignment horizontal="center"/>
    </xf>
    <xf numFmtId="0" fontId="0" fillId="11" borderId="56" xfId="0" applyFill="1" applyBorder="1" applyAlignment="1">
      <alignment horizontal="center"/>
    </xf>
    <xf numFmtId="0" fontId="0" fillId="12" borderId="21" xfId="0" applyFill="1" applyBorder="1" applyAlignment="1">
      <alignment horizontal="left"/>
    </xf>
    <xf numFmtId="0" fontId="0" fillId="12" borderId="22" xfId="0" applyFill="1" applyBorder="1" applyAlignment="1">
      <alignment horizontal="left"/>
    </xf>
    <xf numFmtId="0" fontId="0" fillId="12" borderId="56" xfId="0" applyFill="1" applyBorder="1" applyAlignment="1">
      <alignment horizontal="left"/>
    </xf>
    <xf numFmtId="0" fontId="0" fillId="12" borderId="56" xfId="0" applyFill="1" applyBorder="1" applyAlignment="1">
      <alignment horizontal="center"/>
    </xf>
    <xf numFmtId="9" fontId="0" fillId="0" borderId="21" xfId="2" applyFont="1" applyBorder="1" applyAlignment="1">
      <alignment horizontal="center"/>
    </xf>
    <xf numFmtId="9" fontId="0" fillId="0" borderId="22" xfId="2" applyFont="1" applyBorder="1" applyAlignment="1">
      <alignment horizontal="center"/>
    </xf>
    <xf numFmtId="0" fontId="0" fillId="13" borderId="21" xfId="0" applyFill="1" applyBorder="1" applyAlignment="1">
      <alignment horizontal="left"/>
    </xf>
    <xf numFmtId="0" fontId="0" fillId="13" borderId="22" xfId="0" applyFill="1" applyBorder="1" applyAlignment="1">
      <alignment horizontal="left"/>
    </xf>
    <xf numFmtId="0" fontId="0" fillId="13" borderId="56" xfId="0" applyFill="1" applyBorder="1" applyAlignment="1">
      <alignment horizontal="left"/>
    </xf>
    <xf numFmtId="0" fontId="0" fillId="13" borderId="56" xfId="0" applyFill="1" applyBorder="1" applyAlignment="1">
      <alignment horizontal="center"/>
    </xf>
    <xf numFmtId="0" fontId="0" fillId="15" borderId="21" xfId="0" applyFill="1" applyBorder="1" applyAlignment="1">
      <alignment horizontal="left"/>
    </xf>
    <xf numFmtId="0" fontId="0" fillId="15" borderId="22" xfId="0" applyFill="1" applyBorder="1" applyAlignment="1">
      <alignment horizontal="left"/>
    </xf>
    <xf numFmtId="0" fontId="0" fillId="15" borderId="56" xfId="0" applyFill="1" applyBorder="1" applyAlignment="1">
      <alignment horizontal="left"/>
    </xf>
    <xf numFmtId="0" fontId="0" fillId="15" borderId="56" xfId="0" applyFill="1" applyBorder="1" applyAlignment="1">
      <alignment horizontal="center"/>
    </xf>
    <xf numFmtId="0" fontId="0" fillId="14" borderId="21" xfId="0" applyFill="1" applyBorder="1" applyAlignment="1">
      <alignment horizontal="left"/>
    </xf>
    <xf numFmtId="0" fontId="0" fillId="14" borderId="22" xfId="0" applyFill="1" applyBorder="1" applyAlignment="1">
      <alignment horizontal="left"/>
    </xf>
    <xf numFmtId="0" fontId="0" fillId="14" borderId="56" xfId="0" applyFill="1" applyBorder="1" applyAlignment="1">
      <alignment horizontal="left"/>
    </xf>
    <xf numFmtId="0" fontId="0" fillId="14" borderId="56" xfId="0" applyFill="1" applyBorder="1" applyAlignment="1">
      <alignment horizontal="center"/>
    </xf>
    <xf numFmtId="0" fontId="0" fillId="7" borderId="21" xfId="0" applyFill="1" applyBorder="1" applyAlignment="1">
      <alignment horizontal="left"/>
    </xf>
    <xf numFmtId="0" fontId="0" fillId="7" borderId="22" xfId="0" applyFill="1" applyBorder="1" applyAlignment="1">
      <alignment horizontal="left"/>
    </xf>
    <xf numFmtId="0" fontId="0" fillId="7" borderId="56" xfId="0" applyFill="1" applyBorder="1" applyAlignment="1">
      <alignment horizontal="left"/>
    </xf>
    <xf numFmtId="0" fontId="0" fillId="7" borderId="62" xfId="0" applyFill="1" applyBorder="1" applyAlignment="1">
      <alignment horizontal="center"/>
    </xf>
    <xf numFmtId="0" fontId="0" fillId="16" borderId="21" xfId="0" applyFill="1" applyBorder="1" applyAlignment="1">
      <alignment horizontal="left"/>
    </xf>
    <xf numFmtId="0" fontId="0" fillId="16" borderId="22" xfId="0" applyFill="1" applyBorder="1" applyAlignment="1">
      <alignment horizontal="left"/>
    </xf>
    <xf numFmtId="0" fontId="0" fillId="16" borderId="56" xfId="0" applyFill="1" applyBorder="1" applyAlignment="1">
      <alignment horizontal="left"/>
    </xf>
    <xf numFmtId="0" fontId="0" fillId="16" borderId="56" xfId="0" applyFill="1" applyBorder="1" applyAlignment="1">
      <alignment horizontal="center"/>
    </xf>
    <xf numFmtId="0" fontId="0" fillId="19" borderId="21" xfId="0" applyFill="1" applyBorder="1" applyAlignment="1">
      <alignment horizontal="left"/>
    </xf>
    <xf numFmtId="0" fontId="0" fillId="19" borderId="22" xfId="0" applyFill="1" applyBorder="1" applyAlignment="1">
      <alignment horizontal="left"/>
    </xf>
    <xf numFmtId="0" fontId="0" fillId="19" borderId="56" xfId="0" applyFill="1" applyBorder="1" applyAlignment="1">
      <alignment horizontal="left"/>
    </xf>
    <xf numFmtId="0" fontId="0" fillId="17" borderId="21" xfId="0" applyFill="1" applyBorder="1" applyAlignment="1">
      <alignment horizontal="left"/>
    </xf>
    <xf numFmtId="0" fontId="0" fillId="17" borderId="22" xfId="0" applyFill="1" applyBorder="1" applyAlignment="1">
      <alignment horizontal="left"/>
    </xf>
    <xf numFmtId="0" fontId="0" fillId="17" borderId="56" xfId="0" applyFill="1" applyBorder="1" applyAlignment="1">
      <alignment horizontal="left"/>
    </xf>
    <xf numFmtId="0" fontId="0" fillId="18" borderId="21" xfId="0" applyFill="1" applyBorder="1" applyAlignment="1">
      <alignment horizontal="left"/>
    </xf>
    <xf numFmtId="0" fontId="0" fillId="18" borderId="22" xfId="0" applyFill="1" applyBorder="1" applyAlignment="1">
      <alignment horizontal="left"/>
    </xf>
    <xf numFmtId="0" fontId="0" fillId="18" borderId="56" xfId="0" applyFill="1" applyBorder="1" applyAlignment="1">
      <alignment horizontal="left"/>
    </xf>
    <xf numFmtId="0" fontId="0" fillId="21" borderId="21" xfId="0" applyFill="1" applyBorder="1" applyAlignment="1">
      <alignment horizontal="left"/>
    </xf>
    <xf numFmtId="0" fontId="0" fillId="21" borderId="22" xfId="0" applyFill="1" applyBorder="1" applyAlignment="1">
      <alignment horizontal="left"/>
    </xf>
    <xf numFmtId="0" fontId="0" fillId="21" borderId="56" xfId="0" applyFill="1" applyBorder="1" applyAlignment="1">
      <alignment horizontal="left"/>
    </xf>
    <xf numFmtId="0" fontId="0" fillId="20" borderId="21" xfId="0" applyFill="1" applyBorder="1" applyAlignment="1">
      <alignment horizontal="left"/>
    </xf>
    <xf numFmtId="0" fontId="0" fillId="20" borderId="22" xfId="0" applyFill="1" applyBorder="1" applyAlignment="1">
      <alignment horizontal="left"/>
    </xf>
    <xf numFmtId="0" fontId="0" fillId="20" borderId="56" xfId="0" applyFill="1" applyBorder="1" applyAlignment="1">
      <alignment horizontal="left"/>
    </xf>
    <xf numFmtId="0" fontId="0" fillId="23" borderId="21" xfId="0" applyFill="1" applyBorder="1" applyAlignment="1">
      <alignment horizontal="left"/>
    </xf>
    <xf numFmtId="0" fontId="0" fillId="23" borderId="22" xfId="0" applyFill="1" applyBorder="1" applyAlignment="1">
      <alignment horizontal="left"/>
    </xf>
    <xf numFmtId="0" fontId="0" fillId="23" borderId="56" xfId="0" applyFill="1" applyBorder="1" applyAlignment="1">
      <alignment horizontal="left"/>
    </xf>
    <xf numFmtId="0" fontId="0" fillId="5" borderId="37" xfId="0" applyFill="1" applyBorder="1" applyAlignment="1">
      <alignment horizontal="center"/>
    </xf>
    <xf numFmtId="0" fontId="0" fillId="22" borderId="21" xfId="0" applyFill="1" applyBorder="1" applyAlignment="1">
      <alignment horizontal="left"/>
    </xf>
    <xf numFmtId="0" fontId="0" fillId="22" borderId="22" xfId="0" applyFill="1" applyBorder="1" applyAlignment="1">
      <alignment horizontal="left"/>
    </xf>
    <xf numFmtId="0" fontId="0" fillId="22" borderId="56" xfId="0" applyFill="1" applyBorder="1" applyAlignment="1">
      <alignment horizontal="left"/>
    </xf>
    <xf numFmtId="0" fontId="4" fillId="5" borderId="120" xfId="0" applyFont="1" applyFill="1" applyBorder="1" applyAlignment="1">
      <alignment horizontal="center" vertical="center"/>
    </xf>
    <xf numFmtId="0" fontId="4" fillId="5" borderId="119" xfId="0" applyFont="1" applyFill="1" applyBorder="1" applyAlignment="1">
      <alignment horizontal="center" vertical="center"/>
    </xf>
    <xf numFmtId="0" fontId="0" fillId="4" borderId="21" xfId="0" applyFill="1" applyBorder="1" applyAlignment="1">
      <alignment horizontal="left"/>
    </xf>
    <xf numFmtId="0" fontId="0" fillId="4" borderId="22" xfId="0" applyFill="1" applyBorder="1" applyAlignment="1">
      <alignment horizontal="left"/>
    </xf>
    <xf numFmtId="0" fontId="4" fillId="5" borderId="122" xfId="0" applyFont="1" applyFill="1" applyBorder="1" applyAlignment="1">
      <alignment horizontal="center" vertical="center"/>
    </xf>
    <xf numFmtId="0" fontId="4" fillId="5" borderId="94" xfId="0" applyFont="1" applyFill="1" applyBorder="1" applyAlignment="1">
      <alignment horizontal="center"/>
    </xf>
    <xf numFmtId="0" fontId="4" fillId="5" borderId="66" xfId="0" applyFont="1" applyFill="1" applyBorder="1" applyAlignment="1">
      <alignment horizontal="center"/>
    </xf>
    <xf numFmtId="0" fontId="4" fillId="5" borderId="95" xfId="0" applyFont="1" applyFill="1" applyBorder="1" applyAlignment="1">
      <alignment horizontal="center"/>
    </xf>
    <xf numFmtId="0" fontId="0" fillId="0" borderId="19" xfId="0" applyBorder="1" applyAlignment="1">
      <alignment horizontal="left" vertical="center"/>
    </xf>
    <xf numFmtId="0" fontId="0" fillId="7" borderId="27" xfId="0" applyFill="1" applyBorder="1" applyAlignment="1" applyProtection="1">
      <alignment horizontal="left" vertical="top"/>
      <protection locked="0" hidden="1"/>
    </xf>
    <xf numFmtId="0" fontId="0" fillId="7" borderId="29" xfId="0" applyFill="1" applyBorder="1" applyAlignment="1" applyProtection="1">
      <alignment horizontal="left" vertical="top"/>
      <protection locked="0" hidden="1"/>
    </xf>
    <xf numFmtId="0" fontId="0" fillId="7" borderId="28" xfId="0" applyFill="1" applyBorder="1" applyAlignment="1" applyProtection="1">
      <alignment horizontal="left" vertical="top"/>
      <protection locked="0" hidden="1"/>
    </xf>
    <xf numFmtId="0" fontId="0" fillId="0" borderId="19" xfId="0" applyBorder="1" applyAlignment="1"/>
  </cellXfs>
  <cellStyles count="8">
    <cellStyle name="Bad" xfId="7" builtinId="27"/>
    <cellStyle name="Currency" xfId="1" builtinId="4"/>
    <cellStyle name="Good" xfId="3" builtinId="26"/>
    <cellStyle name="Hyperlink" xfId="4" builtinId="8"/>
    <cellStyle name="Neutral" xfId="6" builtinId="28"/>
    <cellStyle name="Normal" xfId="0" builtinId="0"/>
    <cellStyle name="Normal 2" xfId="5" xr:uid="{2A6DCA8D-96F4-4943-BA7B-1DD0F05826BD}"/>
    <cellStyle name="Percent" xfId="2" builtinId="5"/>
  </cellStyles>
  <dxfs count="1189">
    <dxf>
      <alignment horizontal="center" vertical="bottom" textRotation="0" wrapText="0" indent="0" justifyLastLine="0" shrinkToFit="0" readingOrder="0"/>
    </dxf>
    <dxf>
      <numFmt numFmtId="0" formatCode="General"/>
      <alignment horizontal="center" vertical="bottom" textRotation="0" wrapText="0" indent="0" justifyLastLine="0" shrinkToFit="0" readingOrder="0"/>
    </dxf>
    <dxf>
      <alignment horizontal="center" vertical="bottom" textRotation="0" wrapText="0" indent="0" justifyLastLine="0" shrinkToFit="0" readingOrder="0"/>
    </dxf>
    <dxf>
      <numFmt numFmtId="0" formatCode="General"/>
      <alignment horizontal="center" vertical="bottom" textRotation="0" wrapText="0" indent="0" justifyLastLine="0" shrinkToFit="0" readingOrder="0"/>
    </dxf>
    <dxf>
      <alignment horizontal="center" vertical="bottom" textRotation="0" wrapText="0" indent="0" justifyLastLine="0" shrinkToFit="0" readingOrder="0"/>
    </dxf>
    <dxf>
      <numFmt numFmtId="0" formatCode="General"/>
      <alignment horizontal="center" vertical="bottom" textRotation="0" wrapText="0" indent="0" justifyLastLine="0" shrinkToFit="0" readingOrder="0"/>
    </dxf>
    <dxf>
      <alignment horizontal="center" vertical="bottom" textRotation="0" wrapText="0" indent="0" justifyLastLine="0" shrinkToFit="0" readingOrder="0"/>
    </dxf>
    <dxf>
      <numFmt numFmtId="0" formatCode="General"/>
      <alignment horizontal="center" vertical="bottom" textRotation="0" wrapText="0" indent="0" justifyLastLine="0" shrinkToFit="0" readingOrder="0"/>
    </dxf>
    <dxf>
      <alignment horizontal="center" vertical="bottom" textRotation="0" wrapText="0" indent="0" justifyLastLine="0" shrinkToFit="0" readingOrder="0"/>
    </dxf>
    <dxf>
      <numFmt numFmtId="0" formatCode="General"/>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numFmt numFmtId="0" formatCode="General"/>
      <alignment horizontal="center" vertical="bottom" textRotation="0" wrapText="0" indent="0" justifyLastLine="0" shrinkToFit="0" readingOrder="0"/>
    </dxf>
    <dxf>
      <fill>
        <patternFill>
          <bgColor theme="8" tint="0.59996337778862885"/>
        </patternFill>
      </fill>
    </dxf>
    <dxf>
      <fill>
        <patternFill>
          <bgColor theme="8" tint="0.59996337778862885"/>
        </patternFill>
      </fill>
    </dxf>
    <dxf>
      <fill>
        <patternFill>
          <bgColor rgb="FFFF0000"/>
        </patternFill>
      </fill>
    </dxf>
    <dxf>
      <fill>
        <patternFill>
          <bgColor rgb="FFFF0000"/>
        </patternFill>
      </fill>
    </dxf>
    <dxf>
      <font>
        <color rgb="FF9C5700"/>
      </font>
      <fill>
        <patternFill>
          <bgColor rgb="FFFFEB9C"/>
        </patternFill>
      </fill>
    </dxf>
    <dxf>
      <font>
        <color rgb="FF9C0006"/>
      </font>
      <fill>
        <patternFill>
          <bgColor rgb="FFFFC7CE"/>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patternType="none">
          <bgColor auto="1"/>
        </patternFill>
      </fill>
    </dxf>
    <dxf>
      <fill>
        <patternFill>
          <bgColor rgb="FFFF0000"/>
        </patternFill>
      </fill>
    </dxf>
    <dxf>
      <fill>
        <patternFill>
          <bgColor theme="7"/>
        </patternFill>
      </fill>
    </dxf>
    <dxf>
      <font>
        <strike/>
      </font>
      <fill>
        <patternFill>
          <bgColor theme="0" tint="-0.14996795556505021"/>
        </patternFill>
      </fill>
    </dxf>
    <dxf>
      <font>
        <color theme="0"/>
      </font>
      <fill>
        <patternFill>
          <bgColor rgb="FFFF0000"/>
        </patternFill>
      </fill>
    </dxf>
    <dxf>
      <font>
        <color rgb="FF006100"/>
      </font>
      <fill>
        <patternFill>
          <bgColor rgb="FFC6EFCE"/>
        </patternFill>
      </fill>
    </dxf>
    <dxf>
      <font>
        <b/>
        <i val="0"/>
        <color rgb="FFFF0000"/>
      </font>
      <fill>
        <patternFill>
          <bgColor rgb="FFFFC000"/>
        </patternFill>
      </fill>
    </dxf>
    <dxf>
      <fill>
        <patternFill>
          <bgColor theme="7"/>
        </patternFill>
      </fill>
    </dxf>
    <dxf>
      <font>
        <strike/>
        <color theme="0" tint="-0.34998626667073579"/>
      </font>
      <fill>
        <patternFill>
          <bgColor theme="0" tint="-0.14996795556505021"/>
        </patternFill>
      </fill>
    </dxf>
    <dxf>
      <font>
        <strike/>
        <color auto="1"/>
      </font>
      <fill>
        <patternFill>
          <bgColor theme="0" tint="-0.14996795556505021"/>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8" tint="0.59996337778862885"/>
        </patternFill>
      </fill>
    </dxf>
    <dxf>
      <fill>
        <patternFill>
          <bgColor rgb="FFFF0000"/>
        </patternFill>
      </fill>
    </dxf>
    <dxf>
      <fill>
        <patternFill>
          <bgColor rgb="FFFF0000"/>
        </patternFill>
      </fill>
    </dxf>
    <dxf>
      <font>
        <color rgb="FF9C0006"/>
      </font>
      <fill>
        <patternFill>
          <bgColor rgb="FFFFC7CE"/>
        </patternFill>
      </fill>
    </dxf>
    <dxf>
      <fill>
        <patternFill>
          <bgColor theme="4" tint="0.59996337778862885"/>
        </patternFill>
      </fill>
    </dxf>
    <dxf>
      <fill>
        <patternFill>
          <bgColor theme="8" tint="0.59996337778862885"/>
        </patternFill>
      </fill>
    </dxf>
    <dxf>
      <fill>
        <patternFill>
          <bgColor theme="8" tint="0.59996337778862885"/>
        </patternFill>
      </fill>
    </dxf>
    <dxf>
      <font>
        <color auto="1"/>
      </font>
      <fill>
        <patternFill>
          <bgColor rgb="FFFF0000"/>
        </patternFill>
      </fill>
    </dxf>
    <dxf>
      <font>
        <color auto="1"/>
      </font>
      <fill>
        <patternFill>
          <bgColor rgb="FFFF0000"/>
        </patternFill>
      </fill>
    </dxf>
    <dxf>
      <font>
        <color rgb="FF9C0006"/>
      </font>
      <fill>
        <patternFill>
          <bgColor rgb="FFFFC7CE"/>
        </patternFill>
      </fill>
    </dxf>
    <dxf>
      <font>
        <color theme="0"/>
      </font>
      <fill>
        <patternFill>
          <bgColor rgb="FFFF0000"/>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9"/>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patternType="none">
          <bgColor auto="1"/>
        </patternFill>
      </fill>
    </dxf>
    <dxf>
      <fill>
        <patternFill patternType="none">
          <bgColor auto="1"/>
        </patternFill>
      </fill>
    </dxf>
    <dxf>
      <fill>
        <patternFill>
          <bgColor rgb="FFFF0000"/>
        </patternFill>
      </fill>
    </dxf>
    <dxf>
      <fill>
        <patternFill>
          <bgColor rgb="FFFF0000"/>
        </patternFill>
      </fill>
    </dxf>
    <dxf>
      <fill>
        <patternFill patternType="none">
          <bgColor auto="1"/>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patternType="none">
          <bgColor auto="1"/>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patternType="solid">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patternType="none">
          <bgColor auto="1"/>
        </patternFill>
      </fill>
    </dxf>
    <dxf>
      <fill>
        <patternFill>
          <bgColor rgb="FFFF0000"/>
        </patternFill>
      </fill>
    </dxf>
    <dxf>
      <fill>
        <patternFill>
          <bgColor rgb="FFFF0000"/>
        </patternFill>
      </fill>
    </dxf>
    <dxf>
      <fill>
        <patternFill>
          <bgColor rgb="FFFF0000"/>
        </patternFill>
      </fill>
    </dxf>
    <dxf>
      <fill>
        <patternFill patternType="solid">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8" tint="0.59996337778862885"/>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ont>
        <color theme="5"/>
      </font>
      <fill>
        <patternFill>
          <bgColor theme="7" tint="0.59996337778862885"/>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rgb="FFFF0000"/>
        </patternFill>
      </fill>
    </dxf>
    <dxf>
      <fill>
        <patternFill>
          <bgColor rgb="FFFF0000"/>
        </patternFill>
      </fill>
    </dxf>
    <dxf>
      <fill>
        <patternFill>
          <bgColor theme="8" tint="0.59996337778862885"/>
        </patternFill>
      </fill>
    </dxf>
    <dxf>
      <fill>
        <patternFill>
          <bgColor rgb="FFFF0000"/>
        </patternFill>
      </fill>
    </dxf>
    <dxf>
      <fill>
        <patternFill>
          <bgColor rgb="FFFF0000"/>
        </patternFill>
      </fill>
    </dxf>
    <dxf>
      <font>
        <b/>
        <i val="0"/>
      </font>
      <fill>
        <patternFill>
          <bgColor rgb="FFFFC000"/>
        </patternFill>
      </fill>
    </dxf>
    <dxf>
      <fill>
        <patternFill>
          <bgColor rgb="FFFF0000"/>
        </patternFill>
      </fill>
    </dxf>
    <dxf>
      <fill>
        <patternFill>
          <bgColor rgb="FF00B0F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00B0F0"/>
        </patternFill>
      </fill>
    </dxf>
    <dxf>
      <fill>
        <patternFill>
          <bgColor rgb="FFFF0000"/>
        </patternFill>
      </fill>
    </dxf>
    <dxf>
      <fill>
        <patternFill>
          <bgColor theme="8" tint="0.59996337778862885"/>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00B0F0"/>
        </patternFill>
      </fill>
    </dxf>
    <dxf>
      <fill>
        <patternFill>
          <bgColor rgb="FFFF0000"/>
        </patternFill>
      </fill>
    </dxf>
    <dxf>
      <fill>
        <patternFill>
          <bgColor rgb="FF00B0F0"/>
        </patternFill>
      </fill>
    </dxf>
    <dxf>
      <fill>
        <patternFill>
          <bgColor theme="8" tint="0.39994506668294322"/>
        </patternFill>
      </fill>
    </dxf>
    <dxf>
      <fill>
        <patternFill>
          <bgColor rgb="FF00B0F0"/>
        </patternFill>
      </fill>
    </dxf>
    <dxf>
      <fill>
        <patternFill>
          <bgColor theme="8" tint="0.39994506668294322"/>
        </patternFill>
      </fill>
    </dxf>
    <dxf>
      <fill>
        <patternFill>
          <bgColor rgb="FF00B0F0"/>
        </patternFill>
      </fill>
    </dxf>
    <dxf>
      <font>
        <color auto="1"/>
      </font>
      <fill>
        <patternFill>
          <bgColor rgb="FF00B0F0"/>
        </patternFill>
      </fill>
      <border>
        <left style="thin">
          <color theme="7" tint="0.39994506668294322"/>
        </left>
        <right style="thin">
          <color theme="7" tint="0.39994506668294322"/>
        </right>
        <top style="thin">
          <color theme="7" tint="0.39994506668294322"/>
        </top>
        <bottom style="thin">
          <color theme="7" tint="0.39994506668294322"/>
        </bottom>
      </border>
    </dxf>
    <dxf>
      <fill>
        <patternFill>
          <bgColor rgb="FF00B0F0"/>
        </patternFill>
      </fill>
    </dxf>
    <dxf>
      <fill>
        <patternFill>
          <bgColor theme="8" tint="0.59996337778862885"/>
        </patternFill>
      </fill>
    </dxf>
    <dxf>
      <font>
        <color theme="0"/>
      </font>
      <fill>
        <patternFill>
          <bgColor rgb="FFFF0000"/>
        </patternFill>
      </fill>
    </dxf>
    <dxf>
      <fill>
        <patternFill>
          <bgColor theme="8" tint="0.59996337778862885"/>
        </patternFill>
      </fill>
    </dxf>
    <dxf>
      <font>
        <color theme="0"/>
      </font>
      <fill>
        <patternFill>
          <bgColor rgb="FFFF0000"/>
        </patternFill>
      </fill>
    </dxf>
    <dxf>
      <fill>
        <patternFill>
          <bgColor theme="8" tint="0.59996337778862885"/>
        </patternFill>
      </fill>
    </dxf>
    <dxf>
      <font>
        <color theme="0"/>
      </font>
      <fill>
        <patternFill>
          <bgColor rgb="FFFF0000"/>
        </patternFill>
      </fill>
    </dxf>
    <dxf>
      <font>
        <color theme="0"/>
      </font>
      <fill>
        <patternFill>
          <bgColor rgb="FFFF0000"/>
        </patternFill>
      </fill>
    </dxf>
    <dxf>
      <fill>
        <patternFill>
          <bgColor theme="8" tint="0.59996337778862885"/>
        </patternFill>
      </fill>
    </dxf>
    <dxf>
      <font>
        <color theme="0"/>
      </font>
      <fill>
        <patternFill>
          <bgColor rgb="FFFF0000"/>
        </patternFill>
      </fill>
    </dxf>
    <dxf>
      <fill>
        <patternFill>
          <bgColor theme="8" tint="0.59996337778862885"/>
        </patternFill>
      </fill>
    </dxf>
    <dxf>
      <font>
        <color theme="0"/>
      </font>
      <fill>
        <patternFill>
          <bgColor rgb="FFFF0000"/>
        </patternFill>
      </fill>
    </dxf>
    <dxf>
      <fill>
        <patternFill>
          <bgColor theme="8" tint="0.59996337778862885"/>
        </patternFill>
      </fill>
    </dxf>
    <dxf>
      <fill>
        <patternFill>
          <bgColor theme="8" tint="0.59996337778862885"/>
        </patternFill>
      </fill>
    </dxf>
    <dxf>
      <font>
        <color theme="0"/>
      </font>
      <fill>
        <patternFill>
          <bgColor rgb="FFFF0000"/>
        </patternFill>
      </fill>
    </dxf>
    <dxf>
      <fill>
        <patternFill>
          <bgColor theme="8" tint="0.59996337778862885"/>
        </patternFill>
      </fill>
    </dxf>
    <dxf>
      <font>
        <color theme="0"/>
      </font>
      <fill>
        <patternFill>
          <bgColor rgb="FFFF0000"/>
        </patternFill>
      </fill>
    </dxf>
    <dxf>
      <font>
        <color theme="0"/>
      </font>
      <fill>
        <patternFill>
          <bgColor rgb="FFFF0000"/>
        </patternFill>
      </fill>
    </dxf>
    <dxf>
      <fill>
        <patternFill>
          <bgColor theme="8" tint="0.59996337778862885"/>
        </patternFill>
      </fill>
    </dxf>
    <dxf>
      <fill>
        <patternFill>
          <bgColor theme="8" tint="0.59996337778862885"/>
        </patternFill>
      </fill>
    </dxf>
    <dxf>
      <font>
        <color theme="0"/>
      </font>
      <fill>
        <patternFill>
          <bgColor rgb="FFFF0000"/>
        </patternFill>
      </fill>
    </dxf>
    <dxf>
      <fill>
        <patternFill>
          <bgColor theme="8" tint="0.59996337778862885"/>
        </patternFill>
      </fill>
    </dxf>
    <dxf>
      <font>
        <color theme="0"/>
      </font>
      <fill>
        <patternFill>
          <bgColor rgb="FFFF0000"/>
        </patternFill>
      </fill>
    </dxf>
    <dxf>
      <fill>
        <patternFill>
          <bgColor theme="8" tint="0.59996337778862885"/>
        </patternFill>
      </fill>
    </dxf>
    <dxf>
      <font>
        <color theme="0"/>
      </font>
      <fill>
        <patternFill>
          <bgColor rgb="FFFF0000"/>
        </patternFill>
      </fill>
    </dxf>
    <dxf>
      <font>
        <color theme="0"/>
      </font>
      <fill>
        <patternFill>
          <bgColor rgb="FFFF0000"/>
        </patternFill>
      </fill>
    </dxf>
    <dxf>
      <fill>
        <patternFill>
          <bgColor theme="8" tint="0.59996337778862885"/>
        </patternFill>
      </fill>
    </dxf>
    <dxf>
      <font>
        <color theme="0"/>
      </font>
      <fill>
        <patternFill>
          <bgColor rgb="FFFF0000"/>
        </patternFill>
      </fill>
    </dxf>
    <dxf>
      <font>
        <color theme="0"/>
      </font>
      <fill>
        <patternFill>
          <bgColor rgb="FFFF0000"/>
        </patternFill>
      </fill>
    </dxf>
    <dxf>
      <fill>
        <patternFill>
          <bgColor theme="8" tint="0.59996337778862885"/>
        </patternFill>
      </fill>
    </dxf>
    <dxf>
      <fill>
        <patternFill>
          <bgColor theme="8" tint="0.59996337778862885"/>
        </patternFill>
      </fill>
    </dxf>
    <dxf>
      <fill>
        <patternFill>
          <bgColor theme="4" tint="0.59996337778862885"/>
        </patternFill>
      </fill>
    </dxf>
    <dxf>
      <font>
        <color rgb="FF9C0006"/>
      </font>
      <fill>
        <patternFill>
          <bgColor rgb="FFFFC7CE"/>
        </patternFill>
      </fill>
    </dxf>
    <dxf>
      <font>
        <color rgb="FF9C0006"/>
      </font>
      <fill>
        <patternFill>
          <bgColor rgb="FFFFC7CE"/>
        </patternFill>
      </fill>
    </dxf>
    <dxf>
      <font>
        <color rgb="FFC00000"/>
      </font>
      <fill>
        <patternFill>
          <bgColor rgb="FFD19F9F"/>
        </patternFill>
      </fill>
    </dxf>
    <dxf>
      <font>
        <color rgb="FFC00000"/>
      </font>
      <fill>
        <patternFill>
          <bgColor rgb="FFD19F9F"/>
        </patternFill>
      </fill>
    </dxf>
    <dxf>
      <font>
        <color rgb="FF9C5700"/>
      </font>
      <fill>
        <patternFill>
          <bgColor rgb="FFFFEB9C"/>
        </patternFill>
      </fill>
    </dxf>
    <dxf>
      <font>
        <color rgb="FF9C5700"/>
      </font>
      <fill>
        <patternFill>
          <bgColor rgb="FFFFEB9C"/>
        </patternFill>
      </fill>
    </dxf>
    <dxf>
      <font>
        <b val="0"/>
        <i val="0"/>
        <strike val="0"/>
        <condense val="0"/>
        <extend val="0"/>
        <outline val="0"/>
        <shadow val="0"/>
        <u val="none"/>
        <vertAlign val="baseline"/>
        <sz val="11"/>
        <color theme="1"/>
        <name val="Calibri"/>
        <family val="2"/>
        <scheme val="minor"/>
      </font>
      <border diagonalUp="0" diagonalDown="0">
        <left style="thin">
          <color theme="4" tint="0.39997558519241921"/>
        </left>
        <right/>
        <top style="thin">
          <color theme="4" tint="0.39997558519241921"/>
        </top>
        <bottom style="thin">
          <color theme="4" tint="0.39997558519241921"/>
        </bottom>
        <vertical/>
        <horizontal/>
      </border>
    </dxf>
    <dxf>
      <border outline="0">
        <bottom style="thin">
          <color theme="4" tint="0.39997558519241921"/>
        </bottom>
      </border>
    </dxf>
    <dxf>
      <font>
        <b val="0"/>
        <i val="0"/>
        <strike val="0"/>
        <condense val="0"/>
        <extend val="0"/>
        <outline val="0"/>
        <shadow val="0"/>
        <u val="none"/>
        <vertAlign val="baseline"/>
        <sz val="11"/>
        <color theme="1"/>
        <name val="Calibri"/>
        <family val="2"/>
        <scheme val="minor"/>
      </font>
    </dxf>
    <dxf>
      <border outline="0">
        <left style="thin">
          <color theme="4" tint="0.39997558519241921"/>
        </left>
      </border>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border outline="0">
        <bottom style="thin">
          <color theme="4" tint="0.39997558519241921"/>
        </bottom>
      </border>
    </dxf>
    <dxf>
      <border outline="0">
        <top style="thin">
          <color theme="4" tint="0.39997558519241921"/>
        </top>
      </border>
    </dxf>
    <dxf>
      <font>
        <b/>
        <i val="0"/>
        <strike val="0"/>
        <condense val="0"/>
        <extend val="0"/>
        <outline val="0"/>
        <shadow val="0"/>
        <u val="none"/>
        <vertAlign val="baseline"/>
        <sz val="11"/>
        <color theme="0"/>
        <name val="Calibri"/>
        <family val="2"/>
        <scheme val="minor"/>
      </font>
      <fill>
        <patternFill patternType="solid">
          <fgColor theme="4"/>
          <bgColor theme="4"/>
        </patternFill>
      </fill>
    </dxf>
    <dxf>
      <fill>
        <patternFill>
          <bgColor rgb="FFD55A57"/>
        </patternFill>
      </fill>
    </dxf>
    <dxf>
      <font>
        <color rgb="FF9C0006"/>
      </font>
      <fill>
        <patternFill>
          <bgColor rgb="FFFFC7CE"/>
        </patternFill>
      </fill>
    </dxf>
    <dxf>
      <font>
        <b/>
        <i val="0"/>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5"/>
      </font>
      <fill>
        <patternFill>
          <bgColor theme="7" tint="0.59996337778862885"/>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7" tint="0.5999633777886288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0"/>
      </font>
      <fill>
        <patternFill>
          <bgColor rgb="FFFF0000"/>
        </patternFill>
      </fill>
    </dxf>
    <dxf>
      <font>
        <b/>
        <i val="0"/>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FF0000"/>
      </font>
      <fill>
        <patternFill>
          <bgColor rgb="FFFF7C80"/>
        </patternFill>
      </fill>
    </dxf>
    <dxf>
      <font>
        <color rgb="FFFF0000"/>
      </font>
      <fill>
        <patternFill>
          <bgColor rgb="FFFF7C80"/>
        </patternFill>
      </fill>
    </dxf>
    <dxf>
      <font>
        <color rgb="FFFF0000"/>
      </font>
      <fill>
        <patternFill>
          <bgColor rgb="FFFF7C80"/>
        </patternFill>
      </fill>
    </dxf>
    <dxf>
      <font>
        <color rgb="FFFF0000"/>
      </font>
      <fill>
        <patternFill>
          <bgColor rgb="FFFF7C80"/>
        </patternFill>
      </fill>
    </dxf>
    <dxf>
      <font>
        <color rgb="FFFF0000"/>
      </font>
      <fill>
        <patternFill>
          <bgColor rgb="FFFF7C80"/>
        </patternFill>
      </fill>
    </dxf>
    <dxf>
      <font>
        <color rgb="FFFF0000"/>
      </font>
      <fill>
        <patternFill>
          <bgColor rgb="FFFF7C80"/>
        </patternFill>
      </fill>
    </dxf>
    <dxf>
      <font>
        <color rgb="FFFF0000"/>
      </font>
      <fill>
        <patternFill>
          <bgColor rgb="FFFF7C80"/>
        </patternFill>
      </fill>
    </dxf>
    <dxf>
      <font>
        <color rgb="FFFF0000"/>
      </font>
      <fill>
        <patternFill>
          <bgColor rgb="FFFF7C80"/>
        </patternFill>
      </fill>
    </dxf>
    <dxf>
      <font>
        <color rgb="FFFF0000"/>
      </font>
      <fill>
        <patternFill>
          <bgColor rgb="FFFF7C80"/>
        </patternFill>
      </fill>
    </dxf>
    <dxf>
      <font>
        <color rgb="FFFF0000"/>
      </font>
      <fill>
        <patternFill>
          <bgColor rgb="FFFF7C80"/>
        </patternFill>
      </fill>
    </dxf>
    <dxf>
      <font>
        <color rgb="FFFF0000"/>
      </font>
      <fill>
        <patternFill>
          <bgColor rgb="FFFF7C80"/>
        </patternFill>
      </fill>
    </dxf>
    <dxf>
      <font>
        <color rgb="FFFF0000"/>
      </font>
      <fill>
        <patternFill>
          <bgColor rgb="FFFF9999"/>
        </patternFill>
      </fill>
    </dxf>
    <dxf>
      <font>
        <color rgb="FFFF0000"/>
      </font>
      <fill>
        <patternFill>
          <bgColor rgb="FFFF9999"/>
        </patternFill>
      </fill>
    </dxf>
    <dxf>
      <font>
        <color rgb="FFFF0000"/>
      </font>
      <fill>
        <patternFill>
          <bgColor rgb="FFFF9999"/>
        </patternFill>
      </fill>
    </dxf>
    <dxf>
      <font>
        <color rgb="FFFF0000"/>
      </font>
      <fill>
        <patternFill>
          <bgColor rgb="FFFF9999"/>
        </patternFill>
      </fill>
    </dxf>
    <dxf>
      <fill>
        <patternFill>
          <bgColor theme="4" tint="0.59996337778862885"/>
        </patternFill>
      </fill>
    </dxf>
    <dxf>
      <fill>
        <patternFill>
          <bgColor rgb="FFFF0000"/>
        </patternFill>
      </fill>
    </dxf>
    <dxf>
      <fill>
        <patternFill>
          <bgColor rgb="FFFF0000"/>
        </patternFill>
      </fill>
    </dxf>
    <dxf>
      <font>
        <color auto="1"/>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rgb="FFFF0000"/>
        </patternFill>
      </fill>
    </dxf>
    <dxf>
      <fill>
        <patternFill>
          <bgColor rgb="FFFF0000"/>
        </patternFill>
      </fill>
    </dxf>
    <dxf>
      <font>
        <color auto="1"/>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rgb="FFFF0000"/>
        </patternFill>
      </fill>
    </dxf>
    <dxf>
      <fill>
        <patternFill>
          <bgColor rgb="FFFF0000"/>
        </patternFill>
      </fill>
    </dxf>
    <dxf>
      <fill>
        <patternFill>
          <bgColor rgb="FFFF0000"/>
        </patternFill>
      </fill>
    </dxf>
    <dxf>
      <font>
        <color auto="1"/>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7" tint="0.39994506668294322"/>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7" tint="0.39994506668294322"/>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7" tint="0.39994506668294322"/>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7" tint="0.39994506668294322"/>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7" tint="0.39994506668294322"/>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7" tint="0.39994506668294322"/>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7" tint="0.39994506668294322"/>
        </patternFill>
      </fill>
    </dxf>
    <dxf>
      <fill>
        <patternFill>
          <bgColor rgb="FFFF0000"/>
        </patternFill>
      </fill>
    </dxf>
    <dxf>
      <fill>
        <patternFill>
          <bgColor theme="7" tint="0.39994506668294322"/>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7" tint="0.39994506668294322"/>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7" tint="0.39994506668294322"/>
        </patternFill>
      </fill>
    </dxf>
    <dxf>
      <fill>
        <patternFill>
          <bgColor theme="7" tint="0.39994506668294322"/>
        </patternFill>
      </fill>
    </dxf>
    <dxf>
      <fill>
        <patternFill>
          <bgColor rgb="FFFF0000"/>
        </patternFill>
      </fill>
    </dxf>
    <dxf>
      <fill>
        <patternFill>
          <bgColor rgb="FFFF0000"/>
        </patternFill>
      </fill>
    </dxf>
    <dxf>
      <fill>
        <patternFill>
          <bgColor theme="7" tint="0.39994506668294322"/>
        </patternFill>
      </fill>
    </dxf>
    <dxf>
      <fill>
        <patternFill>
          <bgColor rgb="FFFF0000"/>
        </patternFill>
      </fill>
    </dxf>
    <dxf>
      <fill>
        <patternFill>
          <bgColor rgb="FFFF0000"/>
        </patternFill>
      </fill>
    </dxf>
    <dxf>
      <fill>
        <patternFill>
          <bgColor rgb="FFFF0000"/>
        </patternFill>
      </fill>
    </dxf>
    <dxf>
      <fill>
        <patternFill>
          <bgColor theme="7" tint="0.39994506668294322"/>
        </patternFill>
      </fill>
    </dxf>
    <dxf>
      <fill>
        <patternFill>
          <bgColor theme="7" tint="0.39994506668294322"/>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7" tint="0.39994506668294322"/>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theme="0" tint="-0.34998626667073579"/>
        </patternFill>
      </fill>
    </dxf>
    <dxf>
      <fill>
        <patternFill>
          <bgColor rgb="FFFF0000"/>
        </patternFill>
      </fill>
    </dxf>
    <dxf>
      <fill>
        <patternFill>
          <bgColor theme="0" tint="-0.34998626667073579"/>
        </patternFill>
      </fill>
    </dxf>
    <dxf>
      <fill>
        <patternFill>
          <bgColor rgb="FFFF0000"/>
        </patternFill>
      </fill>
    </dxf>
    <dxf>
      <fill>
        <patternFill>
          <bgColor theme="0" tint="-0.34998626667073579"/>
        </patternFill>
      </fill>
    </dxf>
    <dxf>
      <fill>
        <patternFill>
          <bgColor rgb="FFFF0000"/>
        </patternFill>
      </fill>
    </dxf>
    <dxf>
      <fill>
        <patternFill>
          <bgColor rgb="FFFF0000"/>
        </patternFill>
      </fill>
    </dxf>
    <dxf>
      <fill>
        <patternFill>
          <bgColor theme="0" tint="-0.34998626667073579"/>
        </patternFill>
      </fill>
    </dxf>
    <dxf>
      <fill>
        <patternFill>
          <bgColor rgb="FFFF0000"/>
        </patternFill>
      </fill>
    </dxf>
    <dxf>
      <fill>
        <patternFill>
          <bgColor theme="0" tint="-0.34998626667073579"/>
        </patternFill>
      </fill>
    </dxf>
    <dxf>
      <fill>
        <patternFill>
          <bgColor rgb="FFFF0000"/>
        </patternFill>
      </fill>
    </dxf>
    <dxf>
      <fill>
        <patternFill>
          <bgColor theme="0" tint="-0.34998626667073579"/>
        </patternFill>
      </fill>
    </dxf>
    <dxf>
      <fill>
        <patternFill>
          <bgColor rgb="FFFF0000"/>
        </patternFill>
      </fill>
    </dxf>
    <dxf>
      <fill>
        <patternFill>
          <bgColor theme="0" tint="-0.34998626667073579"/>
        </patternFill>
      </fill>
    </dxf>
    <dxf>
      <fill>
        <patternFill>
          <bgColor rgb="FFFF0000"/>
        </patternFill>
      </fill>
    </dxf>
    <dxf>
      <fill>
        <patternFill>
          <bgColor theme="0" tint="-0.34998626667073579"/>
        </patternFill>
      </fill>
    </dxf>
    <dxf>
      <fill>
        <patternFill>
          <bgColor theme="0" tint="-0.34998626667073579"/>
        </patternFill>
      </fill>
    </dxf>
    <dxf>
      <fill>
        <patternFill>
          <bgColor rgb="FFFF0000"/>
        </patternFill>
      </fill>
    </dxf>
    <dxf>
      <fill>
        <patternFill>
          <bgColor theme="0" tint="-0.34998626667073579"/>
        </patternFill>
      </fill>
    </dxf>
    <dxf>
      <fill>
        <patternFill>
          <bgColor rgb="FFFF0000"/>
        </patternFill>
      </fill>
    </dxf>
    <dxf>
      <fill>
        <patternFill>
          <bgColor rgb="FFFF0000"/>
        </patternFill>
      </fill>
    </dxf>
    <dxf>
      <fill>
        <patternFill>
          <bgColor theme="0" tint="-0.34998626667073579"/>
        </patternFill>
      </fill>
    </dxf>
    <dxf>
      <fill>
        <patternFill>
          <bgColor rgb="FFFF0000"/>
        </patternFill>
      </fill>
    </dxf>
    <dxf>
      <fill>
        <patternFill>
          <bgColor theme="0" tint="-0.34998626667073579"/>
        </patternFill>
      </fill>
    </dxf>
    <dxf>
      <fill>
        <patternFill>
          <bgColor rgb="FFFF0000"/>
        </patternFill>
      </fill>
    </dxf>
    <dxf>
      <fill>
        <patternFill>
          <bgColor theme="0" tint="-0.34998626667073579"/>
        </patternFill>
      </fill>
    </dxf>
    <dxf>
      <fill>
        <patternFill>
          <bgColor rgb="FFFF0000"/>
        </patternFill>
      </fill>
    </dxf>
    <dxf>
      <fill>
        <patternFill>
          <bgColor theme="0" tint="-0.34998626667073579"/>
        </patternFill>
      </fill>
    </dxf>
    <dxf>
      <fill>
        <patternFill>
          <bgColor rgb="FFFF0000"/>
        </patternFill>
      </fill>
    </dxf>
    <dxf>
      <fill>
        <patternFill>
          <bgColor rgb="FFFF0000"/>
        </patternFill>
      </fill>
    </dxf>
    <dxf>
      <fill>
        <patternFill patternType="none">
          <bgColor auto="1"/>
        </patternFill>
      </fill>
    </dxf>
    <dxf>
      <fill>
        <patternFill>
          <bgColor rgb="FFFF0000"/>
        </patternFill>
      </fill>
    </dxf>
    <dxf>
      <fill>
        <patternFill>
          <bgColor rgb="FFFF0000"/>
        </patternFill>
      </fill>
    </dxf>
    <dxf>
      <fill>
        <patternFill>
          <bgColor rgb="FFFF0000"/>
        </patternFill>
      </fill>
    </dxf>
    <dxf>
      <fill>
        <patternFill>
          <bgColor theme="9" tint="0.59996337778862885"/>
        </patternFill>
      </fill>
    </dxf>
    <dxf>
      <fill>
        <patternFill>
          <bgColor theme="4" tint="0.59996337778862885"/>
        </patternFill>
      </fill>
    </dxf>
    <dxf>
      <fill>
        <patternFill>
          <bgColor theme="5" tint="0.59996337778862885"/>
        </patternFill>
      </fill>
    </dxf>
    <dxf>
      <fill>
        <patternFill>
          <bgColor theme="7" tint="0.59996337778862885"/>
        </patternFill>
      </fill>
    </dxf>
    <dxf>
      <fill>
        <patternFill>
          <bgColor theme="8" tint="0.59996337778862885"/>
        </patternFill>
      </fill>
    </dxf>
    <dxf>
      <fill>
        <patternFill>
          <bgColor rgb="FFFFF8C5"/>
        </patternFill>
      </fill>
    </dxf>
    <dxf>
      <fill>
        <patternFill>
          <bgColor theme="7" tint="0.39994506668294322"/>
        </patternFill>
      </fill>
    </dxf>
    <dxf>
      <font>
        <color auto="1"/>
      </font>
      <fill>
        <patternFill>
          <bgColor rgb="FF00B0F0"/>
        </patternFill>
      </fill>
      <border>
        <left style="thin">
          <color theme="7" tint="0.39994506668294322"/>
        </left>
        <right style="thin">
          <color theme="7" tint="0.39994506668294322"/>
        </right>
        <top style="thin">
          <color theme="7" tint="0.39994506668294322"/>
        </top>
        <bottom style="thin">
          <color theme="7" tint="0.39994506668294322"/>
        </bottom>
      </border>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8"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auto="1"/>
      </font>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border>
        <left style="thin">
          <color auto="1"/>
        </left>
        <right style="thin">
          <color auto="1"/>
        </right>
        <top style="thin">
          <color auto="1"/>
        </top>
        <bottom style="thin">
          <color auto="1"/>
        </bottom>
        <vertical/>
        <horizontal/>
      </border>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9C5700"/>
      </font>
      <fill>
        <patternFill>
          <bgColor rgb="FFFFEB9C"/>
        </patternFill>
      </fill>
    </dxf>
    <dxf>
      <font>
        <color rgb="FF9C0006"/>
      </font>
      <fill>
        <patternFill>
          <bgColor rgb="FFFFC7CE"/>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theme="8" tint="0.59996337778862885"/>
        </patternFill>
      </fill>
    </dxf>
    <dxf>
      <fill>
        <patternFill patternType="none">
          <bgColor auto="1"/>
        </patternFill>
      </fill>
    </dxf>
    <dxf>
      <fill>
        <patternFill>
          <bgColor rgb="FFFF0000"/>
        </patternFill>
      </fill>
    </dxf>
    <dxf>
      <fill>
        <patternFill>
          <bgColor rgb="FFFF0000"/>
        </patternFill>
      </fill>
    </dxf>
    <dxf>
      <fill>
        <patternFill>
          <bgColor theme="7"/>
        </patternFill>
      </fill>
    </dxf>
    <dxf>
      <font>
        <strike/>
      </font>
      <fill>
        <patternFill>
          <bgColor theme="0" tint="-0.14996795556505021"/>
        </patternFill>
      </fill>
    </dxf>
    <dxf>
      <font>
        <color theme="0"/>
      </font>
      <fill>
        <patternFill>
          <bgColor rgb="FFFF0000"/>
        </patternFill>
      </fill>
    </dxf>
    <dxf>
      <font>
        <color rgb="FF006100"/>
      </font>
      <fill>
        <patternFill>
          <bgColor rgb="FFC6EFCE"/>
        </patternFill>
      </fill>
    </dxf>
    <dxf>
      <font>
        <b/>
        <i val="0"/>
        <color rgb="FFFF0000"/>
      </font>
      <fill>
        <patternFill>
          <bgColor rgb="FFFFC000"/>
        </patternFill>
      </fill>
    </dxf>
    <dxf>
      <fill>
        <patternFill>
          <bgColor theme="7"/>
        </patternFill>
      </fill>
    </dxf>
    <dxf>
      <font>
        <strike/>
        <color theme="0" tint="-0.34998626667073579"/>
      </font>
      <fill>
        <patternFill>
          <bgColor theme="0" tint="-0.14996795556505021"/>
        </patternFill>
      </fill>
    </dxf>
    <dxf>
      <font>
        <strike/>
        <color auto="1"/>
      </font>
      <fill>
        <patternFill>
          <bgColor theme="0" tint="-0.14996795556505021"/>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8" tint="0.59996337778862885"/>
        </patternFill>
      </fill>
    </dxf>
    <dxf>
      <font>
        <color rgb="FF9C0006"/>
      </font>
      <fill>
        <patternFill>
          <bgColor rgb="FFFFC7CE"/>
        </patternFill>
      </fill>
    </dxf>
    <dxf>
      <fill>
        <patternFill>
          <bgColor theme="4" tint="0.59996337778862885"/>
        </patternFill>
      </fill>
    </dxf>
    <dxf>
      <fill>
        <patternFill>
          <bgColor theme="8" tint="0.59996337778862885"/>
        </patternFill>
      </fill>
    </dxf>
    <dxf>
      <fill>
        <patternFill>
          <bgColor theme="8" tint="0.59996337778862885"/>
        </patternFill>
      </fill>
    </dxf>
    <dxf>
      <font>
        <color auto="1"/>
      </font>
      <fill>
        <patternFill>
          <bgColor rgb="FFFF0000"/>
        </patternFill>
      </fill>
    </dxf>
    <dxf>
      <font>
        <color auto="1"/>
      </font>
      <fill>
        <patternFill>
          <bgColor rgb="FFFF0000"/>
        </patternFill>
      </fill>
    </dxf>
    <dxf>
      <font>
        <color rgb="FF9C0006"/>
      </font>
      <fill>
        <patternFill>
          <bgColor rgb="FFFFC7CE"/>
        </patternFill>
      </fill>
    </dxf>
    <dxf>
      <font>
        <color theme="0"/>
      </font>
      <fill>
        <patternFill>
          <bgColor rgb="FFFF0000"/>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patternType="none">
          <bgColor auto="1"/>
        </patternFill>
      </fill>
    </dxf>
    <dxf>
      <fill>
        <patternFill patternType="none">
          <bgColor auto="1"/>
        </patternFill>
      </fill>
    </dxf>
    <dxf>
      <fill>
        <patternFill>
          <bgColor rgb="FFFF0000"/>
        </patternFill>
      </fill>
    </dxf>
    <dxf>
      <fill>
        <patternFill>
          <bgColor rgb="FFFF0000"/>
        </patternFill>
      </fill>
    </dxf>
    <dxf>
      <fill>
        <patternFill patternType="none">
          <bgColor auto="1"/>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patternType="none">
          <bgColor auto="1"/>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patternType="solid">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patternType="none">
          <bgColor auto="1"/>
        </patternFill>
      </fill>
    </dxf>
    <dxf>
      <fill>
        <patternFill>
          <bgColor rgb="FFFF0000"/>
        </patternFill>
      </fill>
    </dxf>
    <dxf>
      <fill>
        <patternFill>
          <bgColor rgb="FFFF0000"/>
        </patternFill>
      </fill>
    </dxf>
    <dxf>
      <fill>
        <patternFill patternType="solid">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8" tint="0.59996337778862885"/>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ont>
        <color theme="5"/>
      </font>
      <fill>
        <patternFill>
          <bgColor theme="7" tint="0.59996337778862885"/>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8" tint="0.59996337778862885"/>
        </patternFill>
      </fill>
    </dxf>
    <dxf>
      <fill>
        <patternFill>
          <bgColor rgb="FFFF0000"/>
        </patternFill>
      </fill>
    </dxf>
    <dxf>
      <fill>
        <patternFill>
          <bgColor rgb="FFFF0000"/>
        </patternFill>
      </fill>
    </dxf>
    <dxf>
      <font>
        <b/>
        <i val="0"/>
      </font>
      <fill>
        <patternFill>
          <bgColor rgb="FFFFC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theme="8" tint="0.59996337778862885"/>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00B0F0"/>
        </patternFill>
      </fill>
    </dxf>
    <dxf>
      <fill>
        <patternFill>
          <bgColor rgb="FFFF0000"/>
        </patternFill>
      </fill>
    </dxf>
    <dxf>
      <fill>
        <patternFill>
          <bgColor rgb="FF00B0F0"/>
        </patternFill>
      </fill>
    </dxf>
    <dxf>
      <fill>
        <patternFill>
          <bgColor theme="8" tint="0.39994506668294322"/>
        </patternFill>
      </fill>
    </dxf>
    <dxf>
      <fill>
        <patternFill>
          <bgColor rgb="FF00B0F0"/>
        </patternFill>
      </fill>
    </dxf>
    <dxf>
      <fill>
        <patternFill>
          <bgColor theme="8" tint="0.39994506668294322"/>
        </patternFill>
      </fill>
    </dxf>
    <dxf>
      <fill>
        <patternFill>
          <bgColor rgb="FF00B0F0"/>
        </patternFill>
      </fill>
    </dxf>
    <dxf>
      <font>
        <color auto="1"/>
      </font>
      <fill>
        <patternFill>
          <bgColor rgb="FF00B0F0"/>
        </patternFill>
      </fill>
      <border>
        <left style="thin">
          <color theme="7" tint="0.39994506668294322"/>
        </left>
        <right style="thin">
          <color theme="7" tint="0.39994506668294322"/>
        </right>
        <top style="thin">
          <color theme="7" tint="0.39994506668294322"/>
        </top>
        <bottom style="thin">
          <color theme="7" tint="0.39994506668294322"/>
        </bottom>
      </border>
    </dxf>
    <dxf>
      <fill>
        <patternFill>
          <bgColor rgb="FF00B0F0"/>
        </patternFill>
      </fill>
    </dxf>
    <dxf>
      <fill>
        <patternFill>
          <bgColor theme="8" tint="0.59996337778862885"/>
        </patternFill>
      </fill>
    </dxf>
    <dxf>
      <font>
        <color theme="0"/>
      </font>
      <fill>
        <patternFill>
          <bgColor rgb="FFFF0000"/>
        </patternFill>
      </fill>
    </dxf>
    <dxf>
      <font>
        <color theme="0"/>
      </font>
      <fill>
        <patternFill>
          <bgColor rgb="FFFF0000"/>
        </patternFill>
      </fill>
    </dxf>
    <dxf>
      <fill>
        <patternFill>
          <bgColor theme="8" tint="0.59996337778862885"/>
        </patternFill>
      </fill>
    </dxf>
    <dxf>
      <font>
        <color theme="0"/>
      </font>
      <fill>
        <patternFill>
          <bgColor rgb="FFFF0000"/>
        </patternFill>
      </fill>
    </dxf>
    <dxf>
      <fill>
        <patternFill>
          <bgColor theme="8" tint="0.59996337778862885"/>
        </patternFill>
      </fill>
    </dxf>
    <dxf>
      <fill>
        <patternFill>
          <bgColor theme="8" tint="0.59996337778862885"/>
        </patternFill>
      </fill>
    </dxf>
    <dxf>
      <font>
        <color theme="0"/>
      </font>
      <fill>
        <patternFill>
          <bgColor rgb="FFFF0000"/>
        </patternFill>
      </fill>
    </dxf>
    <dxf>
      <font>
        <color theme="0"/>
      </font>
      <fill>
        <patternFill>
          <bgColor rgb="FFFF0000"/>
        </patternFill>
      </fill>
    </dxf>
    <dxf>
      <fill>
        <patternFill>
          <bgColor theme="8" tint="0.59996337778862885"/>
        </patternFill>
      </fill>
    </dxf>
    <dxf>
      <fill>
        <patternFill>
          <bgColor theme="8" tint="0.59996337778862885"/>
        </patternFill>
      </fill>
    </dxf>
    <dxf>
      <font>
        <color theme="0"/>
      </font>
      <fill>
        <patternFill>
          <bgColor rgb="FFFF0000"/>
        </patternFill>
      </fill>
    </dxf>
    <dxf>
      <fill>
        <patternFill>
          <bgColor theme="8" tint="0.59996337778862885"/>
        </patternFill>
      </fill>
    </dxf>
    <dxf>
      <font>
        <color theme="0"/>
      </font>
      <fill>
        <patternFill>
          <bgColor rgb="FFFF0000"/>
        </patternFill>
      </fill>
    </dxf>
    <dxf>
      <fill>
        <patternFill>
          <bgColor theme="8" tint="0.59996337778862885"/>
        </patternFill>
      </fill>
    </dxf>
    <dxf>
      <font>
        <color theme="0"/>
      </font>
      <fill>
        <patternFill>
          <bgColor rgb="FFFF0000"/>
        </patternFill>
      </fill>
    </dxf>
    <dxf>
      <fill>
        <patternFill>
          <bgColor theme="8" tint="0.59996337778862885"/>
        </patternFill>
      </fill>
    </dxf>
    <dxf>
      <font>
        <color theme="0"/>
      </font>
      <fill>
        <patternFill>
          <bgColor rgb="FFFF0000"/>
        </patternFill>
      </fill>
    </dxf>
    <dxf>
      <fill>
        <patternFill>
          <bgColor theme="8" tint="0.59996337778862885"/>
        </patternFill>
      </fill>
    </dxf>
    <dxf>
      <font>
        <color theme="0"/>
      </font>
      <fill>
        <patternFill>
          <bgColor rgb="FFFF0000"/>
        </patternFill>
      </fill>
    </dxf>
    <dxf>
      <fill>
        <patternFill>
          <bgColor theme="8" tint="0.59996337778862885"/>
        </patternFill>
      </fill>
    </dxf>
    <dxf>
      <font>
        <color theme="0"/>
      </font>
      <fill>
        <patternFill>
          <bgColor rgb="FFFF0000"/>
        </patternFill>
      </fill>
    </dxf>
    <dxf>
      <font>
        <color theme="0"/>
      </font>
      <fill>
        <patternFill>
          <bgColor rgb="FFFF0000"/>
        </patternFill>
      </fill>
    </dxf>
    <dxf>
      <fill>
        <patternFill>
          <bgColor theme="8" tint="0.59996337778862885"/>
        </patternFill>
      </fill>
    </dxf>
    <dxf>
      <font>
        <color theme="0"/>
      </font>
      <fill>
        <patternFill>
          <bgColor rgb="FFFF0000"/>
        </patternFill>
      </fill>
    </dxf>
    <dxf>
      <fill>
        <patternFill>
          <bgColor theme="8" tint="0.59996337778862885"/>
        </patternFill>
      </fill>
    </dxf>
    <dxf>
      <font>
        <color theme="0"/>
      </font>
      <fill>
        <patternFill>
          <bgColor rgb="FFFF0000"/>
        </patternFill>
      </fill>
    </dxf>
    <dxf>
      <font>
        <color theme="0"/>
      </font>
      <fill>
        <patternFill>
          <bgColor rgb="FFFF0000"/>
        </patternFill>
      </fill>
    </dxf>
    <dxf>
      <fill>
        <patternFill>
          <bgColor theme="8" tint="0.59996337778862885"/>
        </patternFill>
      </fill>
    </dxf>
    <dxf>
      <fill>
        <patternFill>
          <bgColor theme="8" tint="0.59996337778862885"/>
        </patternFill>
      </fill>
    </dxf>
    <dxf>
      <fill>
        <patternFill>
          <bgColor theme="4" tint="0.59996337778862885"/>
        </patternFill>
      </fill>
    </dxf>
  </dxfs>
  <tableStyles count="0" defaultTableStyle="TableStyleMedium2" defaultPivotStyle="PivotStyleLight16"/>
  <colors>
    <mruColors>
      <color rgb="FFFF66FF"/>
      <color rgb="FFF1177F"/>
      <color rgb="FF00FF00"/>
      <color rgb="FFD19F9F"/>
      <color rgb="FFFFF8C5"/>
      <color rgb="FFFFFFCD"/>
      <color rgb="FFD55A57"/>
      <color rgb="FFFF7C80"/>
      <color rgb="FFFF9FC6"/>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sharedStrings" Target="sharedStrings.xml"/><Relationship Id="rId42"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37" Type="http://schemas.microsoft.com/office/2017/06/relationships/rdRichValueStructure" Target="richData/rdrichvaluestructure.xml"/><Relationship Id="rId40"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microsoft.com/office/2017/06/relationships/rdRichValue" Target="richData/rdrichvalue.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eetMetadata" Target="metadata.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38" Type="http://schemas.microsoft.com/office/2017/06/relationships/rdRichValueTypes" Target="richData/rdRichValueTyp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8" Type="http://schemas.openxmlformats.org/officeDocument/2006/relationships/image" Target="../media/image33.png"/><Relationship Id="rId13" Type="http://schemas.microsoft.com/office/2007/relationships/hdphoto" Target="../media/hdphoto1.wdp"/><Relationship Id="rId3" Type="http://schemas.openxmlformats.org/officeDocument/2006/relationships/image" Target="../media/image28.jpeg"/><Relationship Id="rId7" Type="http://schemas.openxmlformats.org/officeDocument/2006/relationships/image" Target="../media/image32.svg"/><Relationship Id="rId12" Type="http://schemas.openxmlformats.org/officeDocument/2006/relationships/image" Target="../media/image37.png"/><Relationship Id="rId2" Type="http://schemas.openxmlformats.org/officeDocument/2006/relationships/image" Target="../media/image27.jpeg"/><Relationship Id="rId1" Type="http://schemas.openxmlformats.org/officeDocument/2006/relationships/image" Target="../media/image26.jpeg"/><Relationship Id="rId6" Type="http://schemas.openxmlformats.org/officeDocument/2006/relationships/image" Target="../media/image31.png"/><Relationship Id="rId11" Type="http://schemas.openxmlformats.org/officeDocument/2006/relationships/image" Target="../media/image36.svg"/><Relationship Id="rId5" Type="http://schemas.openxmlformats.org/officeDocument/2006/relationships/image" Target="../media/image30.jpeg"/><Relationship Id="rId10" Type="http://schemas.openxmlformats.org/officeDocument/2006/relationships/image" Target="../media/image35.png"/><Relationship Id="rId4" Type="http://schemas.openxmlformats.org/officeDocument/2006/relationships/image" Target="../media/image29.jpeg"/><Relationship Id="rId9" Type="http://schemas.openxmlformats.org/officeDocument/2006/relationships/image" Target="../media/image34.svg"/></Relationships>
</file>

<file path=xl/drawings/_rels/drawing11.xml.rels><?xml version="1.0" encoding="UTF-8" standalone="yes"?>
<Relationships xmlns="http://schemas.openxmlformats.org/package/2006/relationships"><Relationship Id="rId3" Type="http://schemas.openxmlformats.org/officeDocument/2006/relationships/image" Target="../media/image43.png"/><Relationship Id="rId2" Type="http://schemas.openxmlformats.org/officeDocument/2006/relationships/image" Target="../media/image42.png"/><Relationship Id="rId1" Type="http://schemas.openxmlformats.org/officeDocument/2006/relationships/image" Target="../media/image41.png"/><Relationship Id="rId5" Type="http://schemas.openxmlformats.org/officeDocument/2006/relationships/image" Target="../media/image45.png"/><Relationship Id="rId4" Type="http://schemas.openxmlformats.org/officeDocument/2006/relationships/image" Target="../media/image44.png"/></Relationships>
</file>

<file path=xl/drawings/_rels/drawing12.xml.rels><?xml version="1.0" encoding="UTF-8" standalone="yes"?>
<Relationships xmlns="http://schemas.openxmlformats.org/package/2006/relationships"><Relationship Id="rId8" Type="http://schemas.openxmlformats.org/officeDocument/2006/relationships/image" Target="../media/image33.png"/><Relationship Id="rId3" Type="http://schemas.openxmlformats.org/officeDocument/2006/relationships/image" Target="../media/image28.jpeg"/><Relationship Id="rId7" Type="http://schemas.openxmlformats.org/officeDocument/2006/relationships/image" Target="../media/image32.svg"/><Relationship Id="rId2" Type="http://schemas.openxmlformats.org/officeDocument/2006/relationships/image" Target="../media/image27.jpeg"/><Relationship Id="rId1" Type="http://schemas.openxmlformats.org/officeDocument/2006/relationships/image" Target="../media/image26.jpeg"/><Relationship Id="rId6" Type="http://schemas.openxmlformats.org/officeDocument/2006/relationships/image" Target="../media/image31.png"/><Relationship Id="rId11" Type="http://schemas.openxmlformats.org/officeDocument/2006/relationships/image" Target="../media/image36.svg"/><Relationship Id="rId5" Type="http://schemas.openxmlformats.org/officeDocument/2006/relationships/image" Target="../media/image30.jpeg"/><Relationship Id="rId10" Type="http://schemas.openxmlformats.org/officeDocument/2006/relationships/image" Target="../media/image35.png"/><Relationship Id="rId4" Type="http://schemas.openxmlformats.org/officeDocument/2006/relationships/image" Target="../media/image29.jpeg"/><Relationship Id="rId9" Type="http://schemas.openxmlformats.org/officeDocument/2006/relationships/image" Target="../media/image34.svg"/></Relationships>
</file>

<file path=xl/drawings/_rels/drawing13.xml.rels><?xml version="1.0" encoding="UTF-8" standalone="yes"?>
<Relationships xmlns="http://schemas.openxmlformats.org/package/2006/relationships"><Relationship Id="rId1" Type="http://schemas.openxmlformats.org/officeDocument/2006/relationships/image" Target="../media/image24.png"/></Relationships>
</file>

<file path=xl/drawings/_rels/drawing14.xml.rels><?xml version="1.0" encoding="UTF-8" standalone="yes"?>
<Relationships xmlns="http://schemas.openxmlformats.org/package/2006/relationships"><Relationship Id="rId1" Type="http://schemas.openxmlformats.org/officeDocument/2006/relationships/image" Target="../media/image3.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8" Type="http://schemas.openxmlformats.org/officeDocument/2006/relationships/image" Target="../media/image48.png"/><Relationship Id="rId3" Type="http://schemas.openxmlformats.org/officeDocument/2006/relationships/image" Target="../media/image43.png"/><Relationship Id="rId7" Type="http://schemas.openxmlformats.org/officeDocument/2006/relationships/image" Target="../media/image47.png"/><Relationship Id="rId2" Type="http://schemas.openxmlformats.org/officeDocument/2006/relationships/image" Target="../media/image42.png"/><Relationship Id="rId1" Type="http://schemas.openxmlformats.org/officeDocument/2006/relationships/image" Target="../media/image41.png"/><Relationship Id="rId6" Type="http://schemas.openxmlformats.org/officeDocument/2006/relationships/image" Target="../media/image46.png"/><Relationship Id="rId5" Type="http://schemas.openxmlformats.org/officeDocument/2006/relationships/image" Target="../media/image45.png"/><Relationship Id="rId10" Type="http://schemas.openxmlformats.org/officeDocument/2006/relationships/image" Target="../media/image50.png"/><Relationship Id="rId4" Type="http://schemas.openxmlformats.org/officeDocument/2006/relationships/image" Target="../media/image44.png"/><Relationship Id="rId9" Type="http://schemas.openxmlformats.org/officeDocument/2006/relationships/image" Target="../media/image49.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6.jpeg"/><Relationship Id="rId7" Type="http://schemas.openxmlformats.org/officeDocument/2006/relationships/image" Target="../media/image9.jpg"/><Relationship Id="rId2" Type="http://schemas.openxmlformats.org/officeDocument/2006/relationships/image" Target="../media/image5.jpeg"/><Relationship Id="rId1" Type="http://schemas.openxmlformats.org/officeDocument/2006/relationships/image" Target="../media/image4.png"/><Relationship Id="rId6" Type="http://schemas.openxmlformats.org/officeDocument/2006/relationships/image" Target="../media/image8.jpeg"/><Relationship Id="rId11" Type="http://schemas.openxmlformats.org/officeDocument/2006/relationships/image" Target="../media/image13.svg"/><Relationship Id="rId5" Type="http://schemas.openxmlformats.org/officeDocument/2006/relationships/hyperlink" Target="http://www.perfectshutters.co.uk" TargetMode="External"/><Relationship Id="rId10" Type="http://schemas.openxmlformats.org/officeDocument/2006/relationships/image" Target="../media/image12.png"/><Relationship Id="rId4" Type="http://schemas.openxmlformats.org/officeDocument/2006/relationships/image" Target="../media/image7.jpeg"/><Relationship Id="rId9" Type="http://schemas.openxmlformats.org/officeDocument/2006/relationships/image" Target="../media/image11.svg"/></Relationships>
</file>

<file path=xl/drawings/_rels/drawing5.xml.rels><?xml version="1.0" encoding="UTF-8" standalone="yes"?>
<Relationships xmlns="http://schemas.openxmlformats.org/package/2006/relationships"><Relationship Id="rId8" Type="http://schemas.openxmlformats.org/officeDocument/2006/relationships/image" Target="../media/image21.png"/><Relationship Id="rId3" Type="http://schemas.openxmlformats.org/officeDocument/2006/relationships/image" Target="../media/image16.png"/><Relationship Id="rId7" Type="http://schemas.openxmlformats.org/officeDocument/2006/relationships/image" Target="../media/image20.png"/><Relationship Id="rId2" Type="http://schemas.openxmlformats.org/officeDocument/2006/relationships/image" Target="../media/image15.png"/><Relationship Id="rId1" Type="http://schemas.openxmlformats.org/officeDocument/2006/relationships/image" Target="../media/image14.png"/><Relationship Id="rId6" Type="http://schemas.openxmlformats.org/officeDocument/2006/relationships/image" Target="../media/image19.png"/><Relationship Id="rId5" Type="http://schemas.openxmlformats.org/officeDocument/2006/relationships/image" Target="../media/image18.jpg"/><Relationship Id="rId10" Type="http://schemas.openxmlformats.org/officeDocument/2006/relationships/image" Target="../media/image23.png"/><Relationship Id="rId4" Type="http://schemas.openxmlformats.org/officeDocument/2006/relationships/image" Target="../media/image17.jpg"/><Relationship Id="rId9" Type="http://schemas.openxmlformats.org/officeDocument/2006/relationships/image" Target="../media/image22.jpg"/></Relationships>
</file>

<file path=xl/drawings/_rels/drawing6.xml.rels><?xml version="1.0" encoding="UTF-8" standalone="yes"?>
<Relationships xmlns="http://schemas.openxmlformats.org/package/2006/relationships"><Relationship Id="rId8" Type="http://schemas.openxmlformats.org/officeDocument/2006/relationships/image" Target="../media/image21.png"/><Relationship Id="rId3" Type="http://schemas.openxmlformats.org/officeDocument/2006/relationships/image" Target="../media/image16.png"/><Relationship Id="rId7" Type="http://schemas.openxmlformats.org/officeDocument/2006/relationships/image" Target="../media/image20.png"/><Relationship Id="rId2" Type="http://schemas.openxmlformats.org/officeDocument/2006/relationships/image" Target="../media/image15.png"/><Relationship Id="rId1" Type="http://schemas.openxmlformats.org/officeDocument/2006/relationships/image" Target="../media/image14.png"/><Relationship Id="rId6" Type="http://schemas.openxmlformats.org/officeDocument/2006/relationships/image" Target="../media/image19.png"/><Relationship Id="rId5" Type="http://schemas.openxmlformats.org/officeDocument/2006/relationships/image" Target="../media/image18.jpg"/><Relationship Id="rId10" Type="http://schemas.openxmlformats.org/officeDocument/2006/relationships/image" Target="../media/image23.png"/><Relationship Id="rId4" Type="http://schemas.openxmlformats.org/officeDocument/2006/relationships/image" Target="../media/image17.jpg"/><Relationship Id="rId9" Type="http://schemas.openxmlformats.org/officeDocument/2006/relationships/image" Target="../media/image22.jpg"/></Relationships>
</file>

<file path=xl/drawings/_rels/drawing7.xml.rels><?xml version="1.0" encoding="UTF-8" standalone="yes"?>
<Relationships xmlns="http://schemas.openxmlformats.org/package/2006/relationships"><Relationship Id="rId1" Type="http://schemas.openxmlformats.org/officeDocument/2006/relationships/image" Target="../media/image24.png"/></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1" Type="http://schemas.openxmlformats.org/officeDocument/2006/relationships/image" Target="../media/image25.png"/></Relationships>
</file>

<file path=xl/drawings/_rels/vmlDrawing1.vml.rels><?xml version="1.0" encoding="UTF-8" standalone="yes"?>
<Relationships xmlns="http://schemas.openxmlformats.org/package/2006/relationships"><Relationship Id="rId3" Type="http://schemas.openxmlformats.org/officeDocument/2006/relationships/image" Target="../media/image40.png"/><Relationship Id="rId2" Type="http://schemas.openxmlformats.org/officeDocument/2006/relationships/image" Target="../media/image39.png"/><Relationship Id="rId1" Type="http://schemas.openxmlformats.org/officeDocument/2006/relationships/image" Target="../media/image38.png"/></Relationships>
</file>

<file path=xl/drawings/_rels/vmlDrawing2.vml.rels><?xml version="1.0" encoding="UTF-8" standalone="yes"?>
<Relationships xmlns="http://schemas.openxmlformats.org/package/2006/relationships"><Relationship Id="rId3" Type="http://schemas.openxmlformats.org/officeDocument/2006/relationships/image" Target="../media/image40.png"/><Relationship Id="rId2" Type="http://schemas.openxmlformats.org/officeDocument/2006/relationships/image" Target="../media/image39.png"/><Relationship Id="rId1" Type="http://schemas.openxmlformats.org/officeDocument/2006/relationships/image" Target="../media/image38.png"/></Relationships>
</file>

<file path=xl/drawings/drawing1.xml><?xml version="1.0" encoding="utf-8"?>
<xdr:wsDr xmlns:xdr="http://schemas.openxmlformats.org/drawingml/2006/spreadsheetDrawing" xmlns:a="http://schemas.openxmlformats.org/drawingml/2006/main">
  <xdr:twoCellAnchor editAs="oneCell">
    <xdr:from>
      <xdr:col>1</xdr:col>
      <xdr:colOff>47625</xdr:colOff>
      <xdr:row>0</xdr:row>
      <xdr:rowOff>104776</xdr:rowOff>
    </xdr:from>
    <xdr:to>
      <xdr:col>6</xdr:col>
      <xdr:colOff>1409700</xdr:colOff>
      <xdr:row>5</xdr:row>
      <xdr:rowOff>78686</xdr:rowOff>
    </xdr:to>
    <xdr:pic>
      <xdr:nvPicPr>
        <xdr:cNvPr id="3" name="Picture 2">
          <a:extLst>
            <a:ext uri="{FF2B5EF4-FFF2-40B4-BE49-F238E27FC236}">
              <a16:creationId xmlns:a16="http://schemas.microsoft.com/office/drawing/2014/main" id="{7F2219CF-541C-6781-E4C5-72F3A78C0EA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 y="104776"/>
          <a:ext cx="4219575" cy="8787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190500</xdr:colOff>
      <xdr:row>20</xdr:row>
      <xdr:rowOff>76200</xdr:rowOff>
    </xdr:from>
    <xdr:to>
      <xdr:col>13</xdr:col>
      <xdr:colOff>228600</xdr:colOff>
      <xdr:row>20</xdr:row>
      <xdr:rowOff>99060</xdr:rowOff>
    </xdr:to>
    <xdr:cxnSp macro="">
      <xdr:nvCxnSpPr>
        <xdr:cNvPr id="2" name="Straight Connector 1">
          <a:extLst>
            <a:ext uri="{FF2B5EF4-FFF2-40B4-BE49-F238E27FC236}">
              <a16:creationId xmlns:a16="http://schemas.microsoft.com/office/drawing/2014/main" id="{65A88DD6-155C-4F94-970C-F20D0BF4AD22}"/>
            </a:ext>
          </a:extLst>
        </xdr:cNvPr>
        <xdr:cNvCxnSpPr/>
      </xdr:nvCxnSpPr>
      <xdr:spPr>
        <a:xfrm>
          <a:off x="190500" y="3381375"/>
          <a:ext cx="5057775" cy="19050"/>
        </a:xfrm>
        <a:prstGeom prst="line">
          <a:avLst/>
        </a:prstGeom>
        <a:ln>
          <a:solidFill>
            <a:schemeClr val="bg1"/>
          </a:solidFill>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0</xdr:col>
      <xdr:colOff>30480</xdr:colOff>
      <xdr:row>3</xdr:row>
      <xdr:rowOff>0</xdr:rowOff>
    </xdr:from>
    <xdr:to>
      <xdr:col>1</xdr:col>
      <xdr:colOff>365760</xdr:colOff>
      <xdr:row>5</xdr:row>
      <xdr:rowOff>175260</xdr:rowOff>
    </xdr:to>
    <xdr:sp macro="" textlink="">
      <xdr:nvSpPr>
        <xdr:cNvPr id="3" name="Oval 2">
          <a:extLst>
            <a:ext uri="{FF2B5EF4-FFF2-40B4-BE49-F238E27FC236}">
              <a16:creationId xmlns:a16="http://schemas.microsoft.com/office/drawing/2014/main" id="{D92E2E91-9E8A-4EA9-9ACF-CF2E8EEE1C3A}"/>
            </a:ext>
          </a:extLst>
        </xdr:cNvPr>
        <xdr:cNvSpPr/>
      </xdr:nvSpPr>
      <xdr:spPr>
        <a:xfrm>
          <a:off x="28575" y="542925"/>
          <a:ext cx="542925" cy="533400"/>
        </a:xfrm>
        <a:prstGeom prst="ellipse">
          <a:avLst/>
        </a:prstGeom>
        <a:blipFill dpi="0" rotWithShape="1">
          <a:blip xmlns:r="http://schemas.openxmlformats.org/officeDocument/2006/relationships" r:embed="rId1" cstate="print">
            <a:extLst>
              <a:ext uri="{28A0092B-C50C-407E-A947-70E740481C1C}">
                <a14:useLocalDpi xmlns:a14="http://schemas.microsoft.com/office/drawing/2010/main" val="0"/>
              </a:ext>
            </a:extLst>
          </a:blip>
          <a:srcRect/>
          <a:stretch>
            <a:fillRect/>
          </a:stretch>
        </a:blipFill>
        <a:ln>
          <a:noFill/>
        </a:ln>
        <a:effectLst>
          <a:outerShdw blurRad="50800" dist="50800" dir="1980000" algn="ctr" rotWithShape="0">
            <a:schemeClr val="bg1">
              <a:lumMod val="75000"/>
              <a:alpha val="40000"/>
            </a:schemeClr>
          </a:outerShdw>
          <a:softEdge rad="3175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4</xdr:col>
      <xdr:colOff>0</xdr:colOff>
      <xdr:row>3</xdr:row>
      <xdr:rowOff>0</xdr:rowOff>
    </xdr:from>
    <xdr:to>
      <xdr:col>5</xdr:col>
      <xdr:colOff>381000</xdr:colOff>
      <xdr:row>5</xdr:row>
      <xdr:rowOff>175260</xdr:rowOff>
    </xdr:to>
    <xdr:sp macro="" textlink="">
      <xdr:nvSpPr>
        <xdr:cNvPr id="4" name="Oval 3">
          <a:extLst>
            <a:ext uri="{FF2B5EF4-FFF2-40B4-BE49-F238E27FC236}">
              <a16:creationId xmlns:a16="http://schemas.microsoft.com/office/drawing/2014/main" id="{48F3E97D-7231-4E9E-A89D-2414EB2C0E58}"/>
            </a:ext>
          </a:extLst>
        </xdr:cNvPr>
        <xdr:cNvSpPr/>
      </xdr:nvSpPr>
      <xdr:spPr>
        <a:xfrm>
          <a:off x="1762125" y="542925"/>
          <a:ext cx="542925" cy="533400"/>
        </a:xfrm>
        <a:prstGeom prst="ellipse">
          <a:avLst/>
        </a:prstGeom>
        <a:blipFill dpi="0" rotWithShape="1">
          <a:blip xmlns:r="http://schemas.openxmlformats.org/officeDocument/2006/relationships" r:embed="rId2" cstate="print">
            <a:extLst>
              <a:ext uri="{28A0092B-C50C-407E-A947-70E740481C1C}">
                <a14:useLocalDpi xmlns:a14="http://schemas.microsoft.com/office/drawing/2010/main" val="0"/>
              </a:ext>
            </a:extLst>
          </a:blip>
          <a:srcRect/>
          <a:stretch>
            <a:fillRect/>
          </a:stretch>
        </a:blipFill>
        <a:ln>
          <a:noFill/>
        </a:ln>
        <a:effectLst>
          <a:outerShdw blurRad="50800" dist="38100" dir="1980000" algn="t" rotWithShape="0">
            <a:prstClr val="black">
              <a:alpha val="40000"/>
            </a:prstClr>
          </a:outerShdw>
          <a:softEdge rad="3175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0</xdr:colOff>
      <xdr:row>3</xdr:row>
      <xdr:rowOff>0</xdr:rowOff>
    </xdr:from>
    <xdr:to>
      <xdr:col>10</xdr:col>
      <xdr:colOff>0</xdr:colOff>
      <xdr:row>5</xdr:row>
      <xdr:rowOff>175260</xdr:rowOff>
    </xdr:to>
    <xdr:sp macro="" textlink="">
      <xdr:nvSpPr>
        <xdr:cNvPr id="5" name="Oval 4">
          <a:extLst>
            <a:ext uri="{FF2B5EF4-FFF2-40B4-BE49-F238E27FC236}">
              <a16:creationId xmlns:a16="http://schemas.microsoft.com/office/drawing/2014/main" id="{D73A5246-706A-4350-B7FB-7CBE69655104}"/>
            </a:ext>
          </a:extLst>
        </xdr:cNvPr>
        <xdr:cNvSpPr/>
      </xdr:nvSpPr>
      <xdr:spPr>
        <a:xfrm>
          <a:off x="3457575" y="542925"/>
          <a:ext cx="542925" cy="533400"/>
        </a:xfrm>
        <a:prstGeom prst="ellipse">
          <a:avLst/>
        </a:prstGeom>
        <a:blipFill dpi="0" rotWithShape="1">
          <a:blip xmlns:r="http://schemas.openxmlformats.org/officeDocument/2006/relationships" r:embed="rId3" cstate="print">
            <a:extLst>
              <a:ext uri="{28A0092B-C50C-407E-A947-70E740481C1C}">
                <a14:useLocalDpi xmlns:a14="http://schemas.microsoft.com/office/drawing/2010/main" val="0"/>
              </a:ext>
            </a:extLst>
          </a:blip>
          <a:srcRect/>
          <a:stretch>
            <a:fillRect/>
          </a:stretch>
        </a:blipFill>
        <a:ln>
          <a:noFill/>
        </a:ln>
        <a:effectLst>
          <a:outerShdw blurRad="50800" dist="50800" dir="2940000" algn="ctr" rotWithShape="0">
            <a:schemeClr val="tx1">
              <a:alpha val="40000"/>
            </a:schemeClr>
          </a:outerShdw>
          <a:softEdge rad="3175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14</xdr:col>
      <xdr:colOff>0</xdr:colOff>
      <xdr:row>3</xdr:row>
      <xdr:rowOff>0</xdr:rowOff>
    </xdr:from>
    <xdr:to>
      <xdr:col>15</xdr:col>
      <xdr:colOff>381000</xdr:colOff>
      <xdr:row>5</xdr:row>
      <xdr:rowOff>175260</xdr:rowOff>
    </xdr:to>
    <xdr:sp macro="" textlink="">
      <xdr:nvSpPr>
        <xdr:cNvPr id="6" name="Oval 5">
          <a:extLst>
            <a:ext uri="{FF2B5EF4-FFF2-40B4-BE49-F238E27FC236}">
              <a16:creationId xmlns:a16="http://schemas.microsoft.com/office/drawing/2014/main" id="{503A521C-CE8A-43A3-BFD9-1D05C10DED01}"/>
            </a:ext>
          </a:extLst>
        </xdr:cNvPr>
        <xdr:cNvSpPr/>
      </xdr:nvSpPr>
      <xdr:spPr>
        <a:xfrm>
          <a:off x="5267325" y="542925"/>
          <a:ext cx="542925" cy="533400"/>
        </a:xfrm>
        <a:prstGeom prst="ellipse">
          <a:avLst/>
        </a:prstGeom>
        <a:blipFill dpi="0" rotWithShape="1">
          <a:blip xmlns:r="http://schemas.openxmlformats.org/officeDocument/2006/relationships" r:embed="rId4" cstate="print">
            <a:extLst>
              <a:ext uri="{28A0092B-C50C-407E-A947-70E740481C1C}">
                <a14:useLocalDpi xmlns:a14="http://schemas.microsoft.com/office/drawing/2010/main" val="0"/>
              </a:ext>
            </a:extLst>
          </a:blip>
          <a:srcRect/>
          <a:stretch>
            <a:fillRect/>
          </a:stretch>
        </a:blipFill>
        <a:ln>
          <a:noFill/>
        </a:ln>
        <a:effectLst>
          <a:outerShdw blurRad="50800" dist="50800" dir="2880000" algn="t" rotWithShape="0">
            <a:prstClr val="black">
              <a:alpha val="40000"/>
            </a:prstClr>
          </a:outerShdw>
          <a:softEdge rad="3175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19</xdr:col>
      <xdr:colOff>0</xdr:colOff>
      <xdr:row>3</xdr:row>
      <xdr:rowOff>0</xdr:rowOff>
    </xdr:from>
    <xdr:to>
      <xdr:col>22</xdr:col>
      <xdr:colOff>137160</xdr:colOff>
      <xdr:row>5</xdr:row>
      <xdr:rowOff>175260</xdr:rowOff>
    </xdr:to>
    <xdr:sp macro="" textlink="">
      <xdr:nvSpPr>
        <xdr:cNvPr id="7" name="Oval 6">
          <a:extLst>
            <a:ext uri="{FF2B5EF4-FFF2-40B4-BE49-F238E27FC236}">
              <a16:creationId xmlns:a16="http://schemas.microsoft.com/office/drawing/2014/main" id="{47C95248-70E3-4471-AD9E-1A3BFBAB9153}"/>
            </a:ext>
          </a:extLst>
        </xdr:cNvPr>
        <xdr:cNvSpPr/>
      </xdr:nvSpPr>
      <xdr:spPr>
        <a:xfrm>
          <a:off x="7000875" y="542925"/>
          <a:ext cx="428625" cy="533400"/>
        </a:xfrm>
        <a:prstGeom prst="ellipse">
          <a:avLst/>
        </a:prstGeom>
        <a:blipFill dpi="0" rotWithShape="1">
          <a:blip xmlns:r="http://schemas.openxmlformats.org/officeDocument/2006/relationships" r:embed="rId5" cstate="print">
            <a:extLst>
              <a:ext uri="{28A0092B-C50C-407E-A947-70E740481C1C}">
                <a14:useLocalDpi xmlns:a14="http://schemas.microsoft.com/office/drawing/2010/main" val="0"/>
              </a:ext>
            </a:extLst>
          </a:blip>
          <a:srcRect/>
          <a:stretch>
            <a:fillRect/>
          </a:stretch>
        </a:blipFill>
        <a:ln>
          <a:noFill/>
        </a:ln>
        <a:effectLst>
          <a:outerShdw blurRad="50800" dist="50800" dir="2880000" algn="ctr" rotWithShape="0">
            <a:srgbClr val="000000">
              <a:alpha val="40000"/>
            </a:srgbClr>
          </a:outerShdw>
          <a:softEdge rad="3175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oneCell">
    <xdr:from>
      <xdr:col>1</xdr:col>
      <xdr:colOff>120015</xdr:colOff>
      <xdr:row>22</xdr:row>
      <xdr:rowOff>79609</xdr:rowOff>
    </xdr:from>
    <xdr:to>
      <xdr:col>2</xdr:col>
      <xdr:colOff>802</xdr:colOff>
      <xdr:row>25</xdr:row>
      <xdr:rowOff>171851</xdr:rowOff>
    </xdr:to>
    <xdr:pic>
      <xdr:nvPicPr>
        <xdr:cNvPr id="8" name="Graphic 7" descr="Box trolley">
          <a:extLst>
            <a:ext uri="{FF2B5EF4-FFF2-40B4-BE49-F238E27FC236}">
              <a16:creationId xmlns:a16="http://schemas.microsoft.com/office/drawing/2014/main" id="{CA89B23E-00CF-408C-8DC9-4F69CB5C9843}"/>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 uri="{96DAC541-7B7A-43D3-8B79-37D633B846F1}">
              <asvg:svgBlip xmlns:asvg="http://schemas.microsoft.com/office/drawing/2016/SVG/main" r:embed="rId7"/>
            </a:ext>
          </a:extLst>
        </a:blip>
        <a:stretch>
          <a:fillRect/>
        </a:stretch>
      </xdr:blipFill>
      <xdr:spPr>
        <a:xfrm>
          <a:off x="329565" y="3594334"/>
          <a:ext cx="458002" cy="459907"/>
        </a:xfrm>
        <a:prstGeom prst="rect">
          <a:avLst/>
        </a:prstGeom>
      </xdr:spPr>
    </xdr:pic>
    <xdr:clientData/>
  </xdr:twoCellAnchor>
  <xdr:twoCellAnchor editAs="oneCell">
    <xdr:from>
      <xdr:col>1</xdr:col>
      <xdr:colOff>0</xdr:colOff>
      <xdr:row>38</xdr:row>
      <xdr:rowOff>99060</xdr:rowOff>
    </xdr:from>
    <xdr:to>
      <xdr:col>1</xdr:col>
      <xdr:colOff>472440</xdr:colOff>
      <xdr:row>40</xdr:row>
      <xdr:rowOff>95250</xdr:rowOff>
    </xdr:to>
    <xdr:pic>
      <xdr:nvPicPr>
        <xdr:cNvPr id="9" name="Graphic 8" descr="Information">
          <a:extLst>
            <a:ext uri="{FF2B5EF4-FFF2-40B4-BE49-F238E27FC236}">
              <a16:creationId xmlns:a16="http://schemas.microsoft.com/office/drawing/2014/main" id="{2F48BC26-1B09-4FA0-8016-717B1B121A54}"/>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 uri="{96DAC541-7B7A-43D3-8B79-37D633B846F1}">
              <asvg:svgBlip xmlns:asvg="http://schemas.microsoft.com/office/drawing/2016/SVG/main" r:embed="rId9"/>
            </a:ext>
          </a:extLst>
        </a:blip>
        <a:stretch>
          <a:fillRect/>
        </a:stretch>
      </xdr:blipFill>
      <xdr:spPr>
        <a:xfrm>
          <a:off x="209550" y="5400675"/>
          <a:ext cx="472440" cy="495300"/>
        </a:xfrm>
        <a:prstGeom prst="rect">
          <a:avLst/>
        </a:prstGeom>
      </xdr:spPr>
    </xdr:pic>
    <xdr:clientData/>
  </xdr:twoCellAnchor>
  <xdr:twoCellAnchor editAs="oneCell">
    <xdr:from>
      <xdr:col>1</xdr:col>
      <xdr:colOff>104775</xdr:colOff>
      <xdr:row>30</xdr:row>
      <xdr:rowOff>0</xdr:rowOff>
    </xdr:from>
    <xdr:to>
      <xdr:col>1</xdr:col>
      <xdr:colOff>586740</xdr:colOff>
      <xdr:row>32</xdr:row>
      <xdr:rowOff>91440</xdr:rowOff>
    </xdr:to>
    <xdr:pic>
      <xdr:nvPicPr>
        <xdr:cNvPr id="10" name="Graphic 9" descr="Hammer">
          <a:extLst>
            <a:ext uri="{FF2B5EF4-FFF2-40B4-BE49-F238E27FC236}">
              <a16:creationId xmlns:a16="http://schemas.microsoft.com/office/drawing/2014/main" id="{CC3A5F00-A0F5-406A-BA18-923DF67302A9}"/>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 uri="{96DAC541-7B7A-43D3-8B79-37D633B846F1}">
              <asvg:svgBlip xmlns:asvg="http://schemas.microsoft.com/office/drawing/2016/SVG/main" r:embed="rId11"/>
            </a:ext>
          </a:extLst>
        </a:blip>
        <a:stretch>
          <a:fillRect/>
        </a:stretch>
      </xdr:blipFill>
      <xdr:spPr>
        <a:xfrm>
          <a:off x="314325" y="4210050"/>
          <a:ext cx="472440" cy="453390"/>
        </a:xfrm>
        <a:prstGeom prst="rect">
          <a:avLst/>
        </a:prstGeom>
      </xdr:spPr>
    </xdr:pic>
    <xdr:clientData/>
  </xdr:twoCellAnchor>
  <xdr:twoCellAnchor editAs="oneCell">
    <xdr:from>
      <xdr:col>1</xdr:col>
      <xdr:colOff>34290</xdr:colOff>
      <xdr:row>35</xdr:row>
      <xdr:rowOff>15240</xdr:rowOff>
    </xdr:from>
    <xdr:to>
      <xdr:col>1</xdr:col>
      <xdr:colOff>437581</xdr:colOff>
      <xdr:row>36</xdr:row>
      <xdr:rowOff>243840</xdr:rowOff>
    </xdr:to>
    <xdr:pic>
      <xdr:nvPicPr>
        <xdr:cNvPr id="12" name="Picture 11" descr="Window Shutter Icon - Download in Line Style">
          <a:extLst>
            <a:ext uri="{FF2B5EF4-FFF2-40B4-BE49-F238E27FC236}">
              <a16:creationId xmlns:a16="http://schemas.microsoft.com/office/drawing/2014/main" id="{8705B742-1F6C-3CF4-FA89-19704F7A70FD}"/>
            </a:ext>
          </a:extLst>
        </xdr:cNvPr>
        <xdr:cNvPicPr>
          <a:picLocks noChangeAspect="1" noChangeArrowheads="1"/>
        </xdr:cNvPicPr>
      </xdr:nvPicPr>
      <xdr:blipFill>
        <a:blip xmlns:r="http://schemas.openxmlformats.org/officeDocument/2006/relationships" r:embed="rId12" cstate="print">
          <a:duotone>
            <a:schemeClr val="accent4">
              <a:shade val="45000"/>
              <a:satMod val="135000"/>
            </a:schemeClr>
            <a:prstClr val="white"/>
          </a:duotone>
          <a:extLst>
            <a:ext uri="{BEBA8EAE-BF5A-486C-A8C5-ECC9F3942E4B}">
              <a14:imgProps xmlns:a14="http://schemas.microsoft.com/office/drawing/2010/main">
                <a14:imgLayer r:embed="rId13">
                  <a14:imgEffect>
                    <a14:colorTemperature colorTemp="11200"/>
                  </a14:imgEffect>
                </a14:imgLayer>
              </a14:imgProps>
            </a:ext>
            <a:ext uri="{28A0092B-C50C-407E-A947-70E740481C1C}">
              <a14:useLocalDpi xmlns:a14="http://schemas.microsoft.com/office/drawing/2010/main" val="0"/>
            </a:ext>
          </a:extLst>
        </a:blip>
        <a:srcRect/>
        <a:stretch>
          <a:fillRect/>
        </a:stretch>
      </xdr:blipFill>
      <xdr:spPr bwMode="auto">
        <a:xfrm>
          <a:off x="243840" y="4825365"/>
          <a:ext cx="403291" cy="400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24765</xdr:colOff>
      <xdr:row>1</xdr:row>
      <xdr:rowOff>15240</xdr:rowOff>
    </xdr:from>
    <xdr:to>
      <xdr:col>18</xdr:col>
      <xdr:colOff>93345</xdr:colOff>
      <xdr:row>4</xdr:row>
      <xdr:rowOff>21892</xdr:rowOff>
    </xdr:to>
    <xdr:pic>
      <xdr:nvPicPr>
        <xdr:cNvPr id="2" name="Picture 1">
          <a:extLst>
            <a:ext uri="{FF2B5EF4-FFF2-40B4-BE49-F238E27FC236}">
              <a16:creationId xmlns:a16="http://schemas.microsoft.com/office/drawing/2014/main" id="{BB1512F9-648E-4764-AD49-12B3F0195B0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2405" y="200025"/>
          <a:ext cx="2987040" cy="545767"/>
        </a:xfrm>
        <a:prstGeom prst="rect">
          <a:avLst/>
        </a:prstGeom>
      </xdr:spPr>
    </xdr:pic>
    <xdr:clientData/>
  </xdr:twoCellAnchor>
  <xdr:twoCellAnchor>
    <xdr:from>
      <xdr:col>1</xdr:col>
      <xdr:colOff>15241</xdr:colOff>
      <xdr:row>15</xdr:row>
      <xdr:rowOff>167642</xdr:rowOff>
    </xdr:from>
    <xdr:to>
      <xdr:col>34</xdr:col>
      <xdr:colOff>87631</xdr:colOff>
      <xdr:row>25</xdr:row>
      <xdr:rowOff>15241</xdr:rowOff>
    </xdr:to>
    <xdr:grpSp>
      <xdr:nvGrpSpPr>
        <xdr:cNvPr id="3" name="Group 2">
          <a:extLst>
            <a:ext uri="{FF2B5EF4-FFF2-40B4-BE49-F238E27FC236}">
              <a16:creationId xmlns:a16="http://schemas.microsoft.com/office/drawing/2014/main" id="{059D0AC1-2286-4366-9D0B-3BCD125FF359}"/>
            </a:ext>
          </a:extLst>
        </xdr:cNvPr>
        <xdr:cNvGrpSpPr/>
      </xdr:nvGrpSpPr>
      <xdr:grpSpPr>
        <a:xfrm>
          <a:off x="186691" y="2901317"/>
          <a:ext cx="5730240" cy="1657349"/>
          <a:chOff x="11430" y="2806065"/>
          <a:chExt cx="5648325" cy="1602105"/>
        </a:xfrm>
      </xdr:grpSpPr>
      <xdr:sp macro="" textlink="">
        <xdr:nvSpPr>
          <xdr:cNvPr id="4" name="Rectangle 3">
            <a:extLst>
              <a:ext uri="{FF2B5EF4-FFF2-40B4-BE49-F238E27FC236}">
                <a16:creationId xmlns:a16="http://schemas.microsoft.com/office/drawing/2014/main" id="{AC4BCBF9-825C-8B8D-71D8-113E45B1859E}"/>
              </a:ext>
            </a:extLst>
          </xdr:cNvPr>
          <xdr:cNvSpPr/>
        </xdr:nvSpPr>
        <xdr:spPr>
          <a:xfrm>
            <a:off x="19050" y="2764155"/>
            <a:ext cx="1467843" cy="1605466"/>
          </a:xfrm>
          <a:prstGeom prst="rect">
            <a:avLst/>
          </a:prstGeom>
          <a:blipFill dpi="0" rotWithShape="1">
            <a:blip xmlns:r="http://schemas.openxmlformats.org/officeDocument/2006/relationships" r:embed="rId2">
              <a:extLst>
                <a:ext uri="{28A0092B-C50C-407E-A947-70E740481C1C}">
                  <a14:useLocalDpi xmlns:a14="http://schemas.microsoft.com/office/drawing/2010/main" val="0"/>
                </a:ext>
              </a:extLst>
            </a:blip>
            <a:srcRect/>
            <a:stretch>
              <a:fillRect/>
            </a:stretch>
          </a:blip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5" name="Rectangle 4">
            <a:extLst>
              <a:ext uri="{FF2B5EF4-FFF2-40B4-BE49-F238E27FC236}">
                <a16:creationId xmlns:a16="http://schemas.microsoft.com/office/drawing/2014/main" id="{741644E3-BC7F-94D3-468E-C4476BCABBF5}"/>
              </a:ext>
            </a:extLst>
          </xdr:cNvPr>
          <xdr:cNvSpPr/>
        </xdr:nvSpPr>
        <xdr:spPr>
          <a:xfrm>
            <a:off x="1551024" y="2764155"/>
            <a:ext cx="1334847" cy="1619239"/>
          </a:xfrm>
          <a:prstGeom prst="rect">
            <a:avLst/>
          </a:prstGeom>
          <a:blipFill dpi="0" rotWithShape="1">
            <a:blip xmlns:r="http://schemas.openxmlformats.org/officeDocument/2006/relationships" r:embed="rId3">
              <a:extLst>
                <a:ext uri="{28A0092B-C50C-407E-A947-70E740481C1C}">
                  <a14:useLocalDpi xmlns:a14="http://schemas.microsoft.com/office/drawing/2010/main" val="0"/>
                </a:ext>
              </a:extLst>
            </a:blip>
            <a:srcRect/>
            <a:stretch>
              <a:fillRect/>
            </a:stretch>
          </a:blip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6" name="Rectangle 5">
            <a:extLst>
              <a:ext uri="{FF2B5EF4-FFF2-40B4-BE49-F238E27FC236}">
                <a16:creationId xmlns:a16="http://schemas.microsoft.com/office/drawing/2014/main" id="{18A98C27-0055-996E-C26B-EB132FD3DB45}"/>
              </a:ext>
            </a:extLst>
          </xdr:cNvPr>
          <xdr:cNvSpPr/>
        </xdr:nvSpPr>
        <xdr:spPr>
          <a:xfrm>
            <a:off x="2968851" y="2752726"/>
            <a:ext cx="1336725" cy="1640205"/>
          </a:xfrm>
          <a:prstGeom prst="rect">
            <a:avLst/>
          </a:prstGeom>
          <a:blipFill dpi="0" rotWithShape="1">
            <a:blip xmlns:r="http://schemas.openxmlformats.org/officeDocument/2006/relationships" r:embed="rId4">
              <a:extLst>
                <a:ext uri="{28A0092B-C50C-407E-A947-70E740481C1C}">
                  <a14:useLocalDpi xmlns:a14="http://schemas.microsoft.com/office/drawing/2010/main" val="0"/>
                </a:ext>
              </a:extLst>
            </a:blip>
            <a:srcRect/>
            <a:stretch>
              <a:fillRect/>
            </a:stretch>
          </a:blip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7" name="Rectangle 6">
            <a:extLst>
              <a:ext uri="{FF2B5EF4-FFF2-40B4-BE49-F238E27FC236}">
                <a16:creationId xmlns:a16="http://schemas.microsoft.com/office/drawing/2014/main" id="{8CB444E4-745C-57E7-232C-B630B8AAEB59}"/>
              </a:ext>
            </a:extLst>
          </xdr:cNvPr>
          <xdr:cNvSpPr/>
        </xdr:nvSpPr>
        <xdr:spPr>
          <a:xfrm>
            <a:off x="4316663" y="2743202"/>
            <a:ext cx="1256232" cy="1624964"/>
          </a:xfrm>
          <a:prstGeom prst="rect">
            <a:avLst/>
          </a:prstGeom>
          <a:blipFill dpi="0" rotWithShape="1">
            <a:blip xmlns:r="http://schemas.openxmlformats.org/officeDocument/2006/relationships" r:embed="rId5">
              <a:extLst>
                <a:ext uri="{28A0092B-C50C-407E-A947-70E740481C1C}">
                  <a14:useLocalDpi xmlns:a14="http://schemas.microsoft.com/office/drawing/2010/main" val="0"/>
                </a:ext>
              </a:extLst>
            </a:blip>
            <a:srcRect/>
            <a:stretch>
              <a:fillRect/>
            </a:stretch>
          </a:blip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190500</xdr:colOff>
      <xdr:row>20</xdr:row>
      <xdr:rowOff>76200</xdr:rowOff>
    </xdr:from>
    <xdr:to>
      <xdr:col>13</xdr:col>
      <xdr:colOff>228600</xdr:colOff>
      <xdr:row>20</xdr:row>
      <xdr:rowOff>99060</xdr:rowOff>
    </xdr:to>
    <xdr:cxnSp macro="">
      <xdr:nvCxnSpPr>
        <xdr:cNvPr id="2" name="Straight Connector 1">
          <a:extLst>
            <a:ext uri="{FF2B5EF4-FFF2-40B4-BE49-F238E27FC236}">
              <a16:creationId xmlns:a16="http://schemas.microsoft.com/office/drawing/2014/main" id="{EED20818-9371-49F4-8051-C6AC0FEA9239}"/>
            </a:ext>
          </a:extLst>
        </xdr:cNvPr>
        <xdr:cNvCxnSpPr/>
      </xdr:nvCxnSpPr>
      <xdr:spPr>
        <a:xfrm>
          <a:off x="190500" y="3505200"/>
          <a:ext cx="4886325" cy="22860"/>
        </a:xfrm>
        <a:prstGeom prst="line">
          <a:avLst/>
        </a:prstGeom>
        <a:ln>
          <a:solidFill>
            <a:schemeClr val="bg1"/>
          </a:solidFill>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0</xdr:col>
      <xdr:colOff>30480</xdr:colOff>
      <xdr:row>3</xdr:row>
      <xdr:rowOff>0</xdr:rowOff>
    </xdr:from>
    <xdr:to>
      <xdr:col>1</xdr:col>
      <xdr:colOff>365760</xdr:colOff>
      <xdr:row>5</xdr:row>
      <xdr:rowOff>175260</xdr:rowOff>
    </xdr:to>
    <xdr:sp macro="" textlink="">
      <xdr:nvSpPr>
        <xdr:cNvPr id="3" name="Oval 2">
          <a:extLst>
            <a:ext uri="{FF2B5EF4-FFF2-40B4-BE49-F238E27FC236}">
              <a16:creationId xmlns:a16="http://schemas.microsoft.com/office/drawing/2014/main" id="{C5AA3324-D857-42EB-A2B5-84CF5BD2E890}"/>
            </a:ext>
          </a:extLst>
        </xdr:cNvPr>
        <xdr:cNvSpPr/>
      </xdr:nvSpPr>
      <xdr:spPr>
        <a:xfrm>
          <a:off x="30480" y="571500"/>
          <a:ext cx="535305" cy="556260"/>
        </a:xfrm>
        <a:prstGeom prst="ellipse">
          <a:avLst/>
        </a:prstGeom>
        <a:blipFill dpi="0" rotWithShape="1">
          <a:blip xmlns:r="http://schemas.openxmlformats.org/officeDocument/2006/relationships" r:embed="rId1" cstate="print">
            <a:extLst>
              <a:ext uri="{28A0092B-C50C-407E-A947-70E740481C1C}">
                <a14:useLocalDpi xmlns:a14="http://schemas.microsoft.com/office/drawing/2010/main" val="0"/>
              </a:ext>
            </a:extLst>
          </a:blip>
          <a:srcRect/>
          <a:stretch>
            <a:fillRect/>
          </a:stretch>
        </a:blipFill>
        <a:ln>
          <a:noFill/>
        </a:ln>
        <a:effectLst>
          <a:outerShdw blurRad="50800" dist="50800" dir="1980000" algn="ctr" rotWithShape="0">
            <a:schemeClr val="bg1">
              <a:lumMod val="75000"/>
              <a:alpha val="40000"/>
            </a:schemeClr>
          </a:outerShdw>
          <a:softEdge rad="3175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4</xdr:col>
      <xdr:colOff>0</xdr:colOff>
      <xdr:row>3</xdr:row>
      <xdr:rowOff>0</xdr:rowOff>
    </xdr:from>
    <xdr:to>
      <xdr:col>5</xdr:col>
      <xdr:colOff>381000</xdr:colOff>
      <xdr:row>5</xdr:row>
      <xdr:rowOff>175260</xdr:rowOff>
    </xdr:to>
    <xdr:sp macro="" textlink="">
      <xdr:nvSpPr>
        <xdr:cNvPr id="4" name="Oval 3">
          <a:extLst>
            <a:ext uri="{FF2B5EF4-FFF2-40B4-BE49-F238E27FC236}">
              <a16:creationId xmlns:a16="http://schemas.microsoft.com/office/drawing/2014/main" id="{A3356541-0A39-4EA8-AE6C-C53DD3147ECD}"/>
            </a:ext>
          </a:extLst>
        </xdr:cNvPr>
        <xdr:cNvSpPr/>
      </xdr:nvSpPr>
      <xdr:spPr>
        <a:xfrm>
          <a:off x="1685925" y="571500"/>
          <a:ext cx="533400" cy="556260"/>
        </a:xfrm>
        <a:prstGeom prst="ellipse">
          <a:avLst/>
        </a:prstGeom>
        <a:blipFill dpi="0" rotWithShape="1">
          <a:blip xmlns:r="http://schemas.openxmlformats.org/officeDocument/2006/relationships" r:embed="rId2" cstate="print">
            <a:extLst>
              <a:ext uri="{28A0092B-C50C-407E-A947-70E740481C1C}">
                <a14:useLocalDpi xmlns:a14="http://schemas.microsoft.com/office/drawing/2010/main" val="0"/>
              </a:ext>
            </a:extLst>
          </a:blip>
          <a:srcRect/>
          <a:stretch>
            <a:fillRect/>
          </a:stretch>
        </a:blipFill>
        <a:ln>
          <a:noFill/>
        </a:ln>
        <a:effectLst>
          <a:outerShdw blurRad="50800" dist="38100" dir="1980000" algn="t" rotWithShape="0">
            <a:prstClr val="black">
              <a:alpha val="40000"/>
            </a:prstClr>
          </a:outerShdw>
          <a:softEdge rad="3175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0</xdr:colOff>
      <xdr:row>3</xdr:row>
      <xdr:rowOff>0</xdr:rowOff>
    </xdr:from>
    <xdr:to>
      <xdr:col>10</xdr:col>
      <xdr:colOff>0</xdr:colOff>
      <xdr:row>5</xdr:row>
      <xdr:rowOff>175260</xdr:rowOff>
    </xdr:to>
    <xdr:sp macro="" textlink="">
      <xdr:nvSpPr>
        <xdr:cNvPr id="5" name="Oval 4">
          <a:extLst>
            <a:ext uri="{FF2B5EF4-FFF2-40B4-BE49-F238E27FC236}">
              <a16:creationId xmlns:a16="http://schemas.microsoft.com/office/drawing/2014/main" id="{123D9EFC-F7BA-4776-9D95-D4483E7D5FA0}"/>
            </a:ext>
          </a:extLst>
        </xdr:cNvPr>
        <xdr:cNvSpPr/>
      </xdr:nvSpPr>
      <xdr:spPr>
        <a:xfrm>
          <a:off x="3333750" y="571500"/>
          <a:ext cx="523875" cy="556260"/>
        </a:xfrm>
        <a:prstGeom prst="ellipse">
          <a:avLst/>
        </a:prstGeom>
        <a:blipFill dpi="0" rotWithShape="1">
          <a:blip xmlns:r="http://schemas.openxmlformats.org/officeDocument/2006/relationships" r:embed="rId3" cstate="print">
            <a:extLst>
              <a:ext uri="{28A0092B-C50C-407E-A947-70E740481C1C}">
                <a14:useLocalDpi xmlns:a14="http://schemas.microsoft.com/office/drawing/2010/main" val="0"/>
              </a:ext>
            </a:extLst>
          </a:blip>
          <a:srcRect/>
          <a:stretch>
            <a:fillRect/>
          </a:stretch>
        </a:blipFill>
        <a:ln>
          <a:noFill/>
        </a:ln>
        <a:effectLst>
          <a:outerShdw blurRad="50800" dist="50800" dir="2940000" algn="ctr" rotWithShape="0">
            <a:schemeClr val="tx1">
              <a:alpha val="40000"/>
            </a:schemeClr>
          </a:outerShdw>
          <a:softEdge rad="3175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14</xdr:col>
      <xdr:colOff>0</xdr:colOff>
      <xdr:row>3</xdr:row>
      <xdr:rowOff>0</xdr:rowOff>
    </xdr:from>
    <xdr:to>
      <xdr:col>15</xdr:col>
      <xdr:colOff>381000</xdr:colOff>
      <xdr:row>5</xdr:row>
      <xdr:rowOff>175260</xdr:rowOff>
    </xdr:to>
    <xdr:sp macro="" textlink="">
      <xdr:nvSpPr>
        <xdr:cNvPr id="6" name="Oval 5">
          <a:extLst>
            <a:ext uri="{FF2B5EF4-FFF2-40B4-BE49-F238E27FC236}">
              <a16:creationId xmlns:a16="http://schemas.microsoft.com/office/drawing/2014/main" id="{38C13F16-5F04-4629-AA42-11A03B20A556}"/>
            </a:ext>
          </a:extLst>
        </xdr:cNvPr>
        <xdr:cNvSpPr/>
      </xdr:nvSpPr>
      <xdr:spPr>
        <a:xfrm>
          <a:off x="5086350" y="571500"/>
          <a:ext cx="533400" cy="556260"/>
        </a:xfrm>
        <a:prstGeom prst="ellipse">
          <a:avLst/>
        </a:prstGeom>
        <a:blipFill dpi="0" rotWithShape="1">
          <a:blip xmlns:r="http://schemas.openxmlformats.org/officeDocument/2006/relationships" r:embed="rId4" cstate="print">
            <a:extLst>
              <a:ext uri="{28A0092B-C50C-407E-A947-70E740481C1C}">
                <a14:useLocalDpi xmlns:a14="http://schemas.microsoft.com/office/drawing/2010/main" val="0"/>
              </a:ext>
            </a:extLst>
          </a:blip>
          <a:srcRect/>
          <a:stretch>
            <a:fillRect/>
          </a:stretch>
        </a:blipFill>
        <a:ln>
          <a:noFill/>
        </a:ln>
        <a:effectLst>
          <a:outerShdw blurRad="50800" dist="50800" dir="2880000" algn="t" rotWithShape="0">
            <a:prstClr val="black">
              <a:alpha val="40000"/>
            </a:prstClr>
          </a:outerShdw>
          <a:softEdge rad="3175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19</xdr:col>
      <xdr:colOff>0</xdr:colOff>
      <xdr:row>3</xdr:row>
      <xdr:rowOff>0</xdr:rowOff>
    </xdr:from>
    <xdr:to>
      <xdr:col>22</xdr:col>
      <xdr:colOff>137160</xdr:colOff>
      <xdr:row>5</xdr:row>
      <xdr:rowOff>175260</xdr:rowOff>
    </xdr:to>
    <xdr:sp macro="" textlink="">
      <xdr:nvSpPr>
        <xdr:cNvPr id="7" name="Oval 6">
          <a:extLst>
            <a:ext uri="{FF2B5EF4-FFF2-40B4-BE49-F238E27FC236}">
              <a16:creationId xmlns:a16="http://schemas.microsoft.com/office/drawing/2014/main" id="{A73387E3-24E8-4290-9C61-9D7333F0F777}"/>
            </a:ext>
          </a:extLst>
        </xdr:cNvPr>
        <xdr:cNvSpPr/>
      </xdr:nvSpPr>
      <xdr:spPr>
        <a:xfrm>
          <a:off x="6772275" y="571500"/>
          <a:ext cx="441960" cy="556260"/>
        </a:xfrm>
        <a:prstGeom prst="ellipse">
          <a:avLst/>
        </a:prstGeom>
        <a:blipFill dpi="0" rotWithShape="1">
          <a:blip xmlns:r="http://schemas.openxmlformats.org/officeDocument/2006/relationships" r:embed="rId5" cstate="print">
            <a:extLst>
              <a:ext uri="{28A0092B-C50C-407E-A947-70E740481C1C}">
                <a14:useLocalDpi xmlns:a14="http://schemas.microsoft.com/office/drawing/2010/main" val="0"/>
              </a:ext>
            </a:extLst>
          </a:blip>
          <a:srcRect/>
          <a:stretch>
            <a:fillRect/>
          </a:stretch>
        </a:blipFill>
        <a:ln>
          <a:noFill/>
        </a:ln>
        <a:effectLst>
          <a:outerShdw blurRad="50800" dist="50800" dir="2880000" algn="ctr" rotWithShape="0">
            <a:srgbClr val="000000">
              <a:alpha val="40000"/>
            </a:srgbClr>
          </a:outerShdw>
          <a:softEdge rad="3175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oneCell">
    <xdr:from>
      <xdr:col>1</xdr:col>
      <xdr:colOff>0</xdr:colOff>
      <xdr:row>30</xdr:row>
      <xdr:rowOff>75799</xdr:rowOff>
    </xdr:from>
    <xdr:to>
      <xdr:col>1</xdr:col>
      <xdr:colOff>458002</xdr:colOff>
      <xdr:row>32</xdr:row>
      <xdr:rowOff>171851</xdr:rowOff>
    </xdr:to>
    <xdr:pic>
      <xdr:nvPicPr>
        <xdr:cNvPr id="8" name="Graphic 7" descr="Box trolley">
          <a:extLst>
            <a:ext uri="{FF2B5EF4-FFF2-40B4-BE49-F238E27FC236}">
              <a16:creationId xmlns:a16="http://schemas.microsoft.com/office/drawing/2014/main" id="{1529949E-D8FF-444E-ABCA-0A3D7FA36AD1}"/>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 uri="{96DAC541-7B7A-43D3-8B79-37D633B846F1}">
              <asvg:svgBlip xmlns:asvg="http://schemas.microsoft.com/office/drawing/2016/SVG/main" r:embed="rId7"/>
            </a:ext>
          </a:extLst>
        </a:blip>
        <a:stretch>
          <a:fillRect/>
        </a:stretch>
      </xdr:blipFill>
      <xdr:spPr>
        <a:xfrm>
          <a:off x="200025" y="4447774"/>
          <a:ext cx="458002" cy="473242"/>
        </a:xfrm>
        <a:prstGeom prst="rect">
          <a:avLst/>
        </a:prstGeom>
      </xdr:spPr>
    </xdr:pic>
    <xdr:clientData/>
  </xdr:twoCellAnchor>
  <xdr:twoCellAnchor editAs="oneCell">
    <xdr:from>
      <xdr:col>1</xdr:col>
      <xdr:colOff>0</xdr:colOff>
      <xdr:row>38</xdr:row>
      <xdr:rowOff>99060</xdr:rowOff>
    </xdr:from>
    <xdr:to>
      <xdr:col>1</xdr:col>
      <xdr:colOff>476250</xdr:colOff>
      <xdr:row>40</xdr:row>
      <xdr:rowOff>91440</xdr:rowOff>
    </xdr:to>
    <xdr:pic>
      <xdr:nvPicPr>
        <xdr:cNvPr id="9" name="Graphic 8" descr="Information">
          <a:extLst>
            <a:ext uri="{FF2B5EF4-FFF2-40B4-BE49-F238E27FC236}">
              <a16:creationId xmlns:a16="http://schemas.microsoft.com/office/drawing/2014/main" id="{BE06BA88-A627-4D73-A532-02D7B484DDA9}"/>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 uri="{96DAC541-7B7A-43D3-8B79-37D633B846F1}">
              <asvg:svgBlip xmlns:asvg="http://schemas.microsoft.com/office/drawing/2016/SVG/main" r:embed="rId9"/>
            </a:ext>
          </a:extLst>
        </a:blip>
        <a:stretch>
          <a:fillRect/>
        </a:stretch>
      </xdr:blipFill>
      <xdr:spPr>
        <a:xfrm>
          <a:off x="200025" y="5594985"/>
          <a:ext cx="480060" cy="480060"/>
        </a:xfrm>
        <a:prstGeom prst="rect">
          <a:avLst/>
        </a:prstGeom>
      </xdr:spPr>
    </xdr:pic>
    <xdr:clientData/>
  </xdr:twoCellAnchor>
  <xdr:twoCellAnchor editAs="oneCell">
    <xdr:from>
      <xdr:col>1</xdr:col>
      <xdr:colOff>0</xdr:colOff>
      <xdr:row>35</xdr:row>
      <xdr:rowOff>0</xdr:rowOff>
    </xdr:from>
    <xdr:to>
      <xdr:col>1</xdr:col>
      <xdr:colOff>472440</xdr:colOff>
      <xdr:row>37</xdr:row>
      <xdr:rowOff>17145</xdr:rowOff>
    </xdr:to>
    <xdr:pic>
      <xdr:nvPicPr>
        <xdr:cNvPr id="10" name="Graphic 9" descr="Hammer">
          <a:extLst>
            <a:ext uri="{FF2B5EF4-FFF2-40B4-BE49-F238E27FC236}">
              <a16:creationId xmlns:a16="http://schemas.microsoft.com/office/drawing/2014/main" id="{B5827B78-AE8A-43B8-A055-C37DE90F39B8}"/>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 uri="{96DAC541-7B7A-43D3-8B79-37D633B846F1}">
              <asvg:svgBlip xmlns:asvg="http://schemas.microsoft.com/office/drawing/2016/SVG/main" r:embed="rId11"/>
            </a:ext>
          </a:extLst>
        </a:blip>
        <a:stretch>
          <a:fillRect/>
        </a:stretch>
      </xdr:blipFill>
      <xdr:spPr>
        <a:xfrm>
          <a:off x="200025" y="5000625"/>
          <a:ext cx="464820" cy="459105"/>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9</xdr:col>
      <xdr:colOff>335280</xdr:colOff>
      <xdr:row>0</xdr:row>
      <xdr:rowOff>106680</xdr:rowOff>
    </xdr:from>
    <xdr:to>
      <xdr:col>14</xdr:col>
      <xdr:colOff>154305</xdr:colOff>
      <xdr:row>3</xdr:row>
      <xdr:rowOff>148590</xdr:rowOff>
    </xdr:to>
    <xdr:pic>
      <xdr:nvPicPr>
        <xdr:cNvPr id="2" name="Picture 1">
          <a:extLst>
            <a:ext uri="{FF2B5EF4-FFF2-40B4-BE49-F238E27FC236}">
              <a16:creationId xmlns:a16="http://schemas.microsoft.com/office/drawing/2014/main" id="{D9A8D07C-344C-49F2-A4AA-F553C8A61AC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886450" y="104775"/>
          <a:ext cx="2945130" cy="605790"/>
        </a:xfrm>
        <a:prstGeom prst="rect">
          <a:avLst/>
        </a:prstGeom>
        <a:solidFill>
          <a:schemeClr val="bg1"/>
        </a:solidFill>
        <a:effectLst>
          <a:outerShdw blurRad="50800" dist="38100" dir="2700000" algn="tl" rotWithShape="0">
            <a:prstClr val="black">
              <a:alpha val="57000"/>
            </a:prstClr>
          </a:outerShdw>
        </a:effec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600075</xdr:colOff>
      <xdr:row>0</xdr:row>
      <xdr:rowOff>38100</xdr:rowOff>
    </xdr:from>
    <xdr:to>
      <xdr:col>3</xdr:col>
      <xdr:colOff>320040</xdr:colOff>
      <xdr:row>1</xdr:row>
      <xdr:rowOff>396475</xdr:rowOff>
    </xdr:to>
    <xdr:pic>
      <xdr:nvPicPr>
        <xdr:cNvPr id="2" name="Picture 1">
          <a:extLst>
            <a:ext uri="{FF2B5EF4-FFF2-40B4-BE49-F238E27FC236}">
              <a16:creationId xmlns:a16="http://schemas.microsoft.com/office/drawing/2014/main" id="{56FEC956-FDF5-4000-9248-3171931F177E}"/>
            </a:ext>
          </a:extLst>
        </xdr:cNvPr>
        <xdr:cNvPicPr>
          <a:picLocks noChangeAspect="1"/>
        </xdr:cNvPicPr>
      </xdr:nvPicPr>
      <xdr:blipFill>
        <a:blip xmlns:r="http://schemas.openxmlformats.org/officeDocument/2006/relationships" r:embed="rId1"/>
        <a:stretch>
          <a:fillRect/>
        </a:stretch>
      </xdr:blipFill>
      <xdr:spPr>
        <a:xfrm>
          <a:off x="598170" y="38100"/>
          <a:ext cx="2550795" cy="53935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47625</xdr:colOff>
      <xdr:row>0</xdr:row>
      <xdr:rowOff>104776</xdr:rowOff>
    </xdr:from>
    <xdr:to>
      <xdr:col>6</xdr:col>
      <xdr:colOff>1409700</xdr:colOff>
      <xdr:row>5</xdr:row>
      <xdr:rowOff>78686</xdr:rowOff>
    </xdr:to>
    <xdr:pic>
      <xdr:nvPicPr>
        <xdr:cNvPr id="2" name="Picture 1">
          <a:extLst>
            <a:ext uri="{FF2B5EF4-FFF2-40B4-BE49-F238E27FC236}">
              <a16:creationId xmlns:a16="http://schemas.microsoft.com/office/drawing/2014/main" id="{7BFA3DB2-B905-4490-B8EA-238A5207C32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2405" y="104776"/>
          <a:ext cx="4219575" cy="8883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15</xdr:col>
      <xdr:colOff>243840</xdr:colOff>
      <xdr:row>0</xdr:row>
      <xdr:rowOff>47625</xdr:rowOff>
    </xdr:from>
    <xdr:to>
      <xdr:col>20</xdr:col>
      <xdr:colOff>137590</xdr:colOff>
      <xdr:row>3</xdr:row>
      <xdr:rowOff>169545</xdr:rowOff>
    </xdr:to>
    <xdr:pic>
      <xdr:nvPicPr>
        <xdr:cNvPr id="2" name="Picture 1">
          <a:extLst>
            <a:ext uri="{FF2B5EF4-FFF2-40B4-BE49-F238E27FC236}">
              <a16:creationId xmlns:a16="http://schemas.microsoft.com/office/drawing/2014/main" id="{B90AC9CA-9F2B-4CBA-86A9-EDFC230F643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037320" y="47625"/>
          <a:ext cx="4381930" cy="754380"/>
        </a:xfrm>
        <a:prstGeom prst="rect">
          <a:avLst/>
        </a:prstGeom>
      </xdr:spPr>
    </xdr:pic>
    <xdr:clientData/>
  </xdr:twoCellAnchor>
  <xdr:twoCellAnchor editAs="oneCell">
    <xdr:from>
      <xdr:col>1</xdr:col>
      <xdr:colOff>19050</xdr:colOff>
      <xdr:row>0</xdr:row>
      <xdr:rowOff>76200</xdr:rowOff>
    </xdr:from>
    <xdr:to>
      <xdr:col>7</xdr:col>
      <xdr:colOff>361950</xdr:colOff>
      <xdr:row>2</xdr:row>
      <xdr:rowOff>174292</xdr:rowOff>
    </xdr:to>
    <xdr:pic>
      <xdr:nvPicPr>
        <xdr:cNvPr id="3" name="Picture 2">
          <a:extLst>
            <a:ext uri="{FF2B5EF4-FFF2-40B4-BE49-F238E27FC236}">
              <a16:creationId xmlns:a16="http://schemas.microsoft.com/office/drawing/2014/main" id="{AA61BFCA-F9BF-460B-8523-99283BD0CC1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9550" y="76200"/>
          <a:ext cx="3169920" cy="547672"/>
        </a:xfrm>
        <a:prstGeom prst="rect">
          <a:avLst/>
        </a:prstGeom>
      </xdr:spPr>
    </xdr:pic>
    <xdr:clientData/>
  </xdr:twoCellAnchor>
  <xdr:twoCellAnchor>
    <xdr:from>
      <xdr:col>10</xdr:col>
      <xdr:colOff>0</xdr:colOff>
      <xdr:row>12</xdr:row>
      <xdr:rowOff>0</xdr:rowOff>
    </xdr:from>
    <xdr:to>
      <xdr:col>10</xdr:col>
      <xdr:colOff>238125</xdr:colOff>
      <xdr:row>12</xdr:row>
      <xdr:rowOff>180975</xdr:rowOff>
    </xdr:to>
    <xdr:sp macro="" textlink="">
      <xdr:nvSpPr>
        <xdr:cNvPr id="4" name="Rectangle 3">
          <a:extLst>
            <a:ext uri="{FF2B5EF4-FFF2-40B4-BE49-F238E27FC236}">
              <a16:creationId xmlns:a16="http://schemas.microsoft.com/office/drawing/2014/main" id="{BB5B4371-2CCB-4FC4-865C-827A0B8A78CC}"/>
            </a:ext>
          </a:extLst>
        </xdr:cNvPr>
        <xdr:cNvSpPr/>
      </xdr:nvSpPr>
      <xdr:spPr>
        <a:xfrm>
          <a:off x="4914900" y="2529840"/>
          <a:ext cx="238125" cy="180975"/>
        </a:xfrm>
        <a:prstGeom prst="rect">
          <a:avLst/>
        </a:prstGeom>
        <a:noFill/>
        <a:ln w="222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0</xdr:col>
      <xdr:colOff>114299</xdr:colOff>
      <xdr:row>15</xdr:row>
      <xdr:rowOff>0</xdr:rowOff>
    </xdr:from>
    <xdr:to>
      <xdr:col>3</xdr:col>
      <xdr:colOff>330899</xdr:colOff>
      <xdr:row>22</xdr:row>
      <xdr:rowOff>180975</xdr:rowOff>
    </xdr:to>
    <xdr:sp macro="" textlink="">
      <xdr:nvSpPr>
        <xdr:cNvPr id="5" name="Rectangle 4">
          <a:extLst>
            <a:ext uri="{FF2B5EF4-FFF2-40B4-BE49-F238E27FC236}">
              <a16:creationId xmlns:a16="http://schemas.microsoft.com/office/drawing/2014/main" id="{0F693920-FA04-4329-B69C-4E4F76AF77F7}"/>
            </a:ext>
          </a:extLst>
        </xdr:cNvPr>
        <xdr:cNvSpPr/>
      </xdr:nvSpPr>
      <xdr:spPr>
        <a:xfrm>
          <a:off x="114299" y="3093720"/>
          <a:ext cx="1489140" cy="1461135"/>
        </a:xfrm>
        <a:prstGeom prst="rect">
          <a:avLst/>
        </a:prstGeom>
        <a:blipFill dpi="0" rotWithShape="1">
          <a:blip xmlns:r="http://schemas.openxmlformats.org/officeDocument/2006/relationships" r:embed="rId2">
            <a:extLst>
              <a:ext uri="{28A0092B-C50C-407E-A947-70E740481C1C}">
                <a14:useLocalDpi xmlns:a14="http://schemas.microsoft.com/office/drawing/2010/main" val="0"/>
              </a:ext>
            </a:extLst>
          </a:blip>
          <a:srcRect/>
          <a:stretch>
            <a:fillRect/>
          </a:stretch>
        </a:blip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342900</xdr:colOff>
      <xdr:row>15</xdr:row>
      <xdr:rowOff>0</xdr:rowOff>
    </xdr:from>
    <xdr:to>
      <xdr:col>7</xdr:col>
      <xdr:colOff>73725</xdr:colOff>
      <xdr:row>23</xdr:row>
      <xdr:rowOff>0</xdr:rowOff>
    </xdr:to>
    <xdr:sp macro="" textlink="">
      <xdr:nvSpPr>
        <xdr:cNvPr id="6" name="Rectangle 5">
          <a:extLst>
            <a:ext uri="{FF2B5EF4-FFF2-40B4-BE49-F238E27FC236}">
              <a16:creationId xmlns:a16="http://schemas.microsoft.com/office/drawing/2014/main" id="{43103A60-A496-4153-BFB4-523B99421DD6}"/>
            </a:ext>
          </a:extLst>
        </xdr:cNvPr>
        <xdr:cNvSpPr/>
      </xdr:nvSpPr>
      <xdr:spPr>
        <a:xfrm>
          <a:off x="1615440" y="3093720"/>
          <a:ext cx="1475805" cy="1470660"/>
        </a:xfrm>
        <a:prstGeom prst="rect">
          <a:avLst/>
        </a:prstGeom>
        <a:blipFill dpi="0" rotWithShape="1">
          <a:blip xmlns:r="http://schemas.openxmlformats.org/officeDocument/2006/relationships" r:embed="rId3">
            <a:extLst>
              <a:ext uri="{28A0092B-C50C-407E-A947-70E740481C1C}">
                <a14:useLocalDpi xmlns:a14="http://schemas.microsoft.com/office/drawing/2010/main" val="0"/>
              </a:ext>
            </a:extLst>
          </a:blip>
          <a:srcRect/>
          <a:stretch>
            <a:fillRect/>
          </a:stretch>
        </a:blip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7</xdr:col>
      <xdr:colOff>76200</xdr:colOff>
      <xdr:row>15</xdr:row>
      <xdr:rowOff>0</xdr:rowOff>
    </xdr:from>
    <xdr:to>
      <xdr:col>9</xdr:col>
      <xdr:colOff>454725</xdr:colOff>
      <xdr:row>23</xdr:row>
      <xdr:rowOff>0</xdr:rowOff>
    </xdr:to>
    <xdr:sp macro="" textlink="">
      <xdr:nvSpPr>
        <xdr:cNvPr id="7" name="Rectangle 6">
          <a:extLst>
            <a:ext uri="{FF2B5EF4-FFF2-40B4-BE49-F238E27FC236}">
              <a16:creationId xmlns:a16="http://schemas.microsoft.com/office/drawing/2014/main" id="{3F7E9DE3-02A3-43A7-86F3-D4E23AB74F21}"/>
            </a:ext>
          </a:extLst>
        </xdr:cNvPr>
        <xdr:cNvSpPr/>
      </xdr:nvSpPr>
      <xdr:spPr>
        <a:xfrm>
          <a:off x="3093720" y="3093720"/>
          <a:ext cx="1483425" cy="1470660"/>
        </a:xfrm>
        <a:prstGeom prst="rect">
          <a:avLst/>
        </a:prstGeom>
        <a:blipFill dpi="0" rotWithShape="1">
          <a:blip xmlns:r="http://schemas.openxmlformats.org/officeDocument/2006/relationships" r:embed="rId4">
            <a:extLst>
              <a:ext uri="{28A0092B-C50C-407E-A947-70E740481C1C}">
                <a14:useLocalDpi xmlns:a14="http://schemas.microsoft.com/office/drawing/2010/main" val="0"/>
              </a:ext>
            </a:extLst>
          </a:blip>
          <a:srcRect/>
          <a:stretch>
            <a:fillRect/>
          </a:stretch>
        </a:blip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9</xdr:col>
      <xdr:colOff>447675</xdr:colOff>
      <xdr:row>15</xdr:row>
      <xdr:rowOff>0</xdr:rowOff>
    </xdr:from>
    <xdr:to>
      <xdr:col>11</xdr:col>
      <xdr:colOff>835725</xdr:colOff>
      <xdr:row>23</xdr:row>
      <xdr:rowOff>0</xdr:rowOff>
    </xdr:to>
    <xdr:sp macro="" textlink="">
      <xdr:nvSpPr>
        <xdr:cNvPr id="8" name="Rectangle 7">
          <a:extLst>
            <a:ext uri="{FF2B5EF4-FFF2-40B4-BE49-F238E27FC236}">
              <a16:creationId xmlns:a16="http://schemas.microsoft.com/office/drawing/2014/main" id="{15E4621C-BD17-4595-B311-8238015F251D}"/>
            </a:ext>
          </a:extLst>
        </xdr:cNvPr>
        <xdr:cNvSpPr/>
      </xdr:nvSpPr>
      <xdr:spPr>
        <a:xfrm>
          <a:off x="4570095" y="3093720"/>
          <a:ext cx="1492950" cy="1470660"/>
        </a:xfrm>
        <a:prstGeom prst="rect">
          <a:avLst/>
        </a:prstGeom>
        <a:blipFill dpi="0" rotWithShape="1">
          <a:blip xmlns:r="http://schemas.openxmlformats.org/officeDocument/2006/relationships" r:embed="rId5">
            <a:extLst>
              <a:ext uri="{28A0092B-C50C-407E-A947-70E740481C1C}">
                <a14:useLocalDpi xmlns:a14="http://schemas.microsoft.com/office/drawing/2010/main" val="0"/>
              </a:ext>
            </a:extLst>
          </a:blip>
          <a:srcRect/>
          <a:stretch>
            <a:fillRect/>
          </a:stretch>
        </a:blip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11</xdr:col>
      <xdr:colOff>847725</xdr:colOff>
      <xdr:row>15</xdr:row>
      <xdr:rowOff>0</xdr:rowOff>
    </xdr:from>
    <xdr:to>
      <xdr:col>11</xdr:col>
      <xdr:colOff>2359725</xdr:colOff>
      <xdr:row>23</xdr:row>
      <xdr:rowOff>0</xdr:rowOff>
    </xdr:to>
    <xdr:sp macro="" textlink="">
      <xdr:nvSpPr>
        <xdr:cNvPr id="9" name="Rectangle 8">
          <a:extLst>
            <a:ext uri="{FF2B5EF4-FFF2-40B4-BE49-F238E27FC236}">
              <a16:creationId xmlns:a16="http://schemas.microsoft.com/office/drawing/2014/main" id="{232CC856-C4FD-4B15-9E85-1EF2D07A6F1B}"/>
            </a:ext>
          </a:extLst>
        </xdr:cNvPr>
        <xdr:cNvSpPr/>
      </xdr:nvSpPr>
      <xdr:spPr>
        <a:xfrm>
          <a:off x="6075045" y="3093720"/>
          <a:ext cx="1473900" cy="1470660"/>
        </a:xfrm>
        <a:prstGeom prst="rect">
          <a:avLst/>
        </a:prstGeom>
        <a:blipFill dpi="0" rotWithShape="1">
          <a:blip xmlns:r="http://schemas.openxmlformats.org/officeDocument/2006/relationships" r:embed="rId2">
            <a:extLst>
              <a:ext uri="{28A0092B-C50C-407E-A947-70E740481C1C}">
                <a14:useLocalDpi xmlns:a14="http://schemas.microsoft.com/office/drawing/2010/main" val="0"/>
              </a:ext>
            </a:extLst>
          </a:blip>
          <a:srcRect/>
          <a:stretch>
            <a:fillRect/>
          </a:stretch>
        </a:blip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0</xdr:col>
      <xdr:colOff>95250</xdr:colOff>
      <xdr:row>26</xdr:row>
      <xdr:rowOff>19050</xdr:rowOff>
    </xdr:from>
    <xdr:to>
      <xdr:col>3</xdr:col>
      <xdr:colOff>311850</xdr:colOff>
      <xdr:row>34</xdr:row>
      <xdr:rowOff>19050</xdr:rowOff>
    </xdr:to>
    <xdr:sp macro="" textlink="">
      <xdr:nvSpPr>
        <xdr:cNvPr id="10" name="Rectangle 9">
          <a:extLst>
            <a:ext uri="{FF2B5EF4-FFF2-40B4-BE49-F238E27FC236}">
              <a16:creationId xmlns:a16="http://schemas.microsoft.com/office/drawing/2014/main" id="{C3D64D0F-2448-4E58-9C59-09713B122719}"/>
            </a:ext>
          </a:extLst>
        </xdr:cNvPr>
        <xdr:cNvSpPr/>
      </xdr:nvSpPr>
      <xdr:spPr>
        <a:xfrm>
          <a:off x="95250" y="5147310"/>
          <a:ext cx="1489140" cy="1463040"/>
        </a:xfrm>
        <a:prstGeom prst="rect">
          <a:avLst/>
        </a:prstGeom>
        <a:blipFill dpi="0" rotWithShape="1">
          <a:blip xmlns:r="http://schemas.openxmlformats.org/officeDocument/2006/relationships" r:embed="rId6">
            <a:extLst>
              <a:ext uri="{28A0092B-C50C-407E-A947-70E740481C1C}">
                <a14:useLocalDpi xmlns:a14="http://schemas.microsoft.com/office/drawing/2010/main" val="0"/>
              </a:ext>
            </a:extLst>
          </a:blip>
          <a:srcRect/>
          <a:stretch>
            <a:fillRect/>
          </a:stretch>
        </a:blip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323850</xdr:colOff>
      <xdr:row>26</xdr:row>
      <xdr:rowOff>19050</xdr:rowOff>
    </xdr:from>
    <xdr:to>
      <xdr:col>7</xdr:col>
      <xdr:colOff>54675</xdr:colOff>
      <xdr:row>34</xdr:row>
      <xdr:rowOff>19050</xdr:rowOff>
    </xdr:to>
    <xdr:sp macro="" textlink="">
      <xdr:nvSpPr>
        <xdr:cNvPr id="11" name="Rectangle 10">
          <a:extLst>
            <a:ext uri="{FF2B5EF4-FFF2-40B4-BE49-F238E27FC236}">
              <a16:creationId xmlns:a16="http://schemas.microsoft.com/office/drawing/2014/main" id="{94E687EA-930D-4921-8A13-CDEECBAE68A5}"/>
            </a:ext>
          </a:extLst>
        </xdr:cNvPr>
        <xdr:cNvSpPr/>
      </xdr:nvSpPr>
      <xdr:spPr>
        <a:xfrm>
          <a:off x="1596390" y="5147310"/>
          <a:ext cx="1475805" cy="1463040"/>
        </a:xfrm>
        <a:prstGeom prst="rect">
          <a:avLst/>
        </a:prstGeom>
        <a:blipFill dpi="0" rotWithShape="1">
          <a:blip xmlns:r="http://schemas.openxmlformats.org/officeDocument/2006/relationships" r:embed="rId7">
            <a:extLst>
              <a:ext uri="{28A0092B-C50C-407E-A947-70E740481C1C}">
                <a14:useLocalDpi xmlns:a14="http://schemas.microsoft.com/office/drawing/2010/main" val="0"/>
              </a:ext>
            </a:extLst>
          </a:blip>
          <a:srcRect/>
          <a:stretch>
            <a:fillRect/>
          </a:stretch>
        </a:blip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7</xdr:col>
      <xdr:colOff>66675</xdr:colOff>
      <xdr:row>26</xdr:row>
      <xdr:rowOff>19050</xdr:rowOff>
    </xdr:from>
    <xdr:to>
      <xdr:col>9</xdr:col>
      <xdr:colOff>445200</xdr:colOff>
      <xdr:row>34</xdr:row>
      <xdr:rowOff>19050</xdr:rowOff>
    </xdr:to>
    <xdr:sp macro="" textlink="">
      <xdr:nvSpPr>
        <xdr:cNvPr id="12" name="Rectangle 11">
          <a:extLst>
            <a:ext uri="{FF2B5EF4-FFF2-40B4-BE49-F238E27FC236}">
              <a16:creationId xmlns:a16="http://schemas.microsoft.com/office/drawing/2014/main" id="{29483B5B-B6C0-469F-9BF4-FD357DEEFD60}"/>
            </a:ext>
          </a:extLst>
        </xdr:cNvPr>
        <xdr:cNvSpPr/>
      </xdr:nvSpPr>
      <xdr:spPr>
        <a:xfrm>
          <a:off x="3084195" y="5147310"/>
          <a:ext cx="1483425" cy="1463040"/>
        </a:xfrm>
        <a:prstGeom prst="rect">
          <a:avLst/>
        </a:prstGeom>
        <a:blipFill dpi="0" rotWithShape="1">
          <a:blip xmlns:r="http://schemas.openxmlformats.org/officeDocument/2006/relationships" r:embed="rId8">
            <a:extLst>
              <a:ext uri="{28A0092B-C50C-407E-A947-70E740481C1C}">
                <a14:useLocalDpi xmlns:a14="http://schemas.microsoft.com/office/drawing/2010/main" val="0"/>
              </a:ext>
            </a:extLst>
          </a:blip>
          <a:srcRect/>
          <a:stretch>
            <a:fillRect/>
          </a:stretch>
        </a:blip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9</xdr:col>
      <xdr:colOff>457200</xdr:colOff>
      <xdr:row>26</xdr:row>
      <xdr:rowOff>19050</xdr:rowOff>
    </xdr:from>
    <xdr:to>
      <xdr:col>11</xdr:col>
      <xdr:colOff>845250</xdr:colOff>
      <xdr:row>34</xdr:row>
      <xdr:rowOff>19050</xdr:rowOff>
    </xdr:to>
    <xdr:sp macro="" textlink="">
      <xdr:nvSpPr>
        <xdr:cNvPr id="13" name="Rectangle 12">
          <a:extLst>
            <a:ext uri="{FF2B5EF4-FFF2-40B4-BE49-F238E27FC236}">
              <a16:creationId xmlns:a16="http://schemas.microsoft.com/office/drawing/2014/main" id="{1F5BD095-0A15-44BB-91F7-911C8C925621}"/>
            </a:ext>
          </a:extLst>
        </xdr:cNvPr>
        <xdr:cNvSpPr/>
      </xdr:nvSpPr>
      <xdr:spPr>
        <a:xfrm>
          <a:off x="4579620" y="5147310"/>
          <a:ext cx="1492950" cy="1463040"/>
        </a:xfrm>
        <a:prstGeom prst="rect">
          <a:avLst/>
        </a:prstGeom>
        <a:blipFill dpi="0" rotWithShape="1">
          <a:blip xmlns:r="http://schemas.openxmlformats.org/officeDocument/2006/relationships" r:embed="rId9">
            <a:extLst>
              <a:ext uri="{28A0092B-C50C-407E-A947-70E740481C1C}">
                <a14:useLocalDpi xmlns:a14="http://schemas.microsoft.com/office/drawing/2010/main" val="0"/>
              </a:ext>
            </a:extLst>
          </a:blip>
          <a:srcRect/>
          <a:stretch>
            <a:fillRect/>
          </a:stretch>
        </a:blip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11</xdr:col>
      <xdr:colOff>857250</xdr:colOff>
      <xdr:row>26</xdr:row>
      <xdr:rowOff>19050</xdr:rowOff>
    </xdr:from>
    <xdr:to>
      <xdr:col>11</xdr:col>
      <xdr:colOff>2369250</xdr:colOff>
      <xdr:row>34</xdr:row>
      <xdr:rowOff>19050</xdr:rowOff>
    </xdr:to>
    <xdr:sp macro="" textlink="">
      <xdr:nvSpPr>
        <xdr:cNvPr id="14" name="Rectangle 13">
          <a:extLst>
            <a:ext uri="{FF2B5EF4-FFF2-40B4-BE49-F238E27FC236}">
              <a16:creationId xmlns:a16="http://schemas.microsoft.com/office/drawing/2014/main" id="{B3B097AE-11E3-4450-BE3B-1114D37F7F47}"/>
            </a:ext>
          </a:extLst>
        </xdr:cNvPr>
        <xdr:cNvSpPr/>
      </xdr:nvSpPr>
      <xdr:spPr>
        <a:xfrm>
          <a:off x="6084570" y="5147310"/>
          <a:ext cx="1466280" cy="1463040"/>
        </a:xfrm>
        <a:prstGeom prst="rect">
          <a:avLst/>
        </a:prstGeom>
        <a:blipFill dpi="0" rotWithShape="1">
          <a:blip xmlns:r="http://schemas.openxmlformats.org/officeDocument/2006/relationships" r:embed="rId10">
            <a:extLst>
              <a:ext uri="{28A0092B-C50C-407E-A947-70E740481C1C}">
                <a14:useLocalDpi xmlns:a14="http://schemas.microsoft.com/office/drawing/2010/main" val="0"/>
              </a:ext>
            </a:extLst>
          </a:blip>
          <a:srcRect/>
          <a:stretch>
            <a:fillRect/>
          </a:stretch>
        </a:blip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0</xdr:col>
      <xdr:colOff>123825</xdr:colOff>
      <xdr:row>22</xdr:row>
      <xdr:rowOff>180975</xdr:rowOff>
    </xdr:from>
    <xdr:to>
      <xdr:col>3</xdr:col>
      <xdr:colOff>340425</xdr:colOff>
      <xdr:row>24</xdr:row>
      <xdr:rowOff>9525</xdr:rowOff>
    </xdr:to>
    <xdr:sp macro="" textlink="">
      <xdr:nvSpPr>
        <xdr:cNvPr id="15" name="TextBox 14">
          <a:extLst>
            <a:ext uri="{FF2B5EF4-FFF2-40B4-BE49-F238E27FC236}">
              <a16:creationId xmlns:a16="http://schemas.microsoft.com/office/drawing/2014/main" id="{C91DD957-4944-4731-9931-07439453A45F}"/>
            </a:ext>
          </a:extLst>
        </xdr:cNvPr>
        <xdr:cNvSpPr txBox="1"/>
      </xdr:nvSpPr>
      <xdr:spPr>
        <a:xfrm>
          <a:off x="123825" y="4554855"/>
          <a:ext cx="1489140" cy="201930"/>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l"/>
          <a:r>
            <a:rPr lang="en-GB" sz="1100"/>
            <a:t>Open / Close Panels</a:t>
          </a:r>
        </a:p>
      </xdr:txBody>
    </xdr:sp>
    <xdr:clientData/>
  </xdr:twoCellAnchor>
  <xdr:twoCellAnchor>
    <xdr:from>
      <xdr:col>3</xdr:col>
      <xdr:colOff>342900</xdr:colOff>
      <xdr:row>22</xdr:row>
      <xdr:rowOff>180975</xdr:rowOff>
    </xdr:from>
    <xdr:to>
      <xdr:col>7</xdr:col>
      <xdr:colOff>73725</xdr:colOff>
      <xdr:row>24</xdr:row>
      <xdr:rowOff>9525</xdr:rowOff>
    </xdr:to>
    <xdr:sp macro="" textlink="">
      <xdr:nvSpPr>
        <xdr:cNvPr id="16" name="TextBox 15">
          <a:extLst>
            <a:ext uri="{FF2B5EF4-FFF2-40B4-BE49-F238E27FC236}">
              <a16:creationId xmlns:a16="http://schemas.microsoft.com/office/drawing/2014/main" id="{F29B4D8C-630B-4C3A-B9A0-80E1C22869C1}"/>
            </a:ext>
          </a:extLst>
        </xdr:cNvPr>
        <xdr:cNvSpPr txBox="1"/>
      </xdr:nvSpPr>
      <xdr:spPr>
        <a:xfrm>
          <a:off x="1615440" y="4554855"/>
          <a:ext cx="1475805" cy="201930"/>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l"/>
          <a:r>
            <a:rPr lang="en-GB" sz="1100"/>
            <a:t>Louvre</a:t>
          </a:r>
          <a:r>
            <a:rPr lang="en-GB" sz="1100" baseline="0"/>
            <a:t> Operation</a:t>
          </a:r>
        </a:p>
      </xdr:txBody>
    </xdr:sp>
    <xdr:clientData/>
  </xdr:twoCellAnchor>
  <xdr:twoCellAnchor>
    <xdr:from>
      <xdr:col>7</xdr:col>
      <xdr:colOff>76200</xdr:colOff>
      <xdr:row>22</xdr:row>
      <xdr:rowOff>180975</xdr:rowOff>
    </xdr:from>
    <xdr:to>
      <xdr:col>9</xdr:col>
      <xdr:colOff>454725</xdr:colOff>
      <xdr:row>24</xdr:row>
      <xdr:rowOff>9525</xdr:rowOff>
    </xdr:to>
    <xdr:sp macro="" textlink="">
      <xdr:nvSpPr>
        <xdr:cNvPr id="17" name="TextBox 16">
          <a:extLst>
            <a:ext uri="{FF2B5EF4-FFF2-40B4-BE49-F238E27FC236}">
              <a16:creationId xmlns:a16="http://schemas.microsoft.com/office/drawing/2014/main" id="{7DD059BE-6446-443D-8C5A-37639D47645D}"/>
            </a:ext>
          </a:extLst>
        </xdr:cNvPr>
        <xdr:cNvSpPr txBox="1"/>
      </xdr:nvSpPr>
      <xdr:spPr>
        <a:xfrm>
          <a:off x="3093720" y="4554855"/>
          <a:ext cx="1483425" cy="201930"/>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l"/>
          <a:r>
            <a:rPr lang="en-GB" sz="1100" baseline="0"/>
            <a:t>Cleaning Shutters</a:t>
          </a:r>
        </a:p>
      </xdr:txBody>
    </xdr:sp>
    <xdr:clientData/>
  </xdr:twoCellAnchor>
  <xdr:twoCellAnchor>
    <xdr:from>
      <xdr:col>9</xdr:col>
      <xdr:colOff>457200</xdr:colOff>
      <xdr:row>22</xdr:row>
      <xdr:rowOff>180975</xdr:rowOff>
    </xdr:from>
    <xdr:to>
      <xdr:col>11</xdr:col>
      <xdr:colOff>845250</xdr:colOff>
      <xdr:row>24</xdr:row>
      <xdr:rowOff>9525</xdr:rowOff>
    </xdr:to>
    <xdr:sp macro="" textlink="">
      <xdr:nvSpPr>
        <xdr:cNvPr id="18" name="TextBox 17">
          <a:extLst>
            <a:ext uri="{FF2B5EF4-FFF2-40B4-BE49-F238E27FC236}">
              <a16:creationId xmlns:a16="http://schemas.microsoft.com/office/drawing/2014/main" id="{4B46A914-0EE5-4442-93B3-0C0B5330AA80}"/>
            </a:ext>
          </a:extLst>
        </xdr:cNvPr>
        <xdr:cNvSpPr txBox="1"/>
      </xdr:nvSpPr>
      <xdr:spPr>
        <a:xfrm>
          <a:off x="4579620" y="4554855"/>
          <a:ext cx="1492950" cy="201930"/>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l"/>
          <a:r>
            <a:rPr lang="en-GB" sz="1100" baseline="0"/>
            <a:t>Removing Panels</a:t>
          </a:r>
        </a:p>
      </xdr:txBody>
    </xdr:sp>
    <xdr:clientData/>
  </xdr:twoCellAnchor>
  <xdr:twoCellAnchor>
    <xdr:from>
      <xdr:col>11</xdr:col>
      <xdr:colOff>847725</xdr:colOff>
      <xdr:row>22</xdr:row>
      <xdr:rowOff>180975</xdr:rowOff>
    </xdr:from>
    <xdr:to>
      <xdr:col>11</xdr:col>
      <xdr:colOff>2359725</xdr:colOff>
      <xdr:row>24</xdr:row>
      <xdr:rowOff>9525</xdr:rowOff>
    </xdr:to>
    <xdr:sp macro="" textlink="">
      <xdr:nvSpPr>
        <xdr:cNvPr id="19" name="TextBox 18">
          <a:extLst>
            <a:ext uri="{FF2B5EF4-FFF2-40B4-BE49-F238E27FC236}">
              <a16:creationId xmlns:a16="http://schemas.microsoft.com/office/drawing/2014/main" id="{679931C4-0BBF-42AD-A0EB-50031F8B18CA}"/>
            </a:ext>
          </a:extLst>
        </xdr:cNvPr>
        <xdr:cNvSpPr txBox="1"/>
      </xdr:nvSpPr>
      <xdr:spPr>
        <a:xfrm>
          <a:off x="6075045" y="4554855"/>
          <a:ext cx="1473900" cy="201930"/>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l"/>
          <a:r>
            <a:rPr lang="en-GB" sz="1100" baseline="0"/>
            <a:t>Tracks / Other</a:t>
          </a:r>
        </a:p>
      </xdr:txBody>
    </xdr:sp>
    <xdr:clientData/>
  </xdr:twoCellAnchor>
  <xdr:twoCellAnchor>
    <xdr:from>
      <xdr:col>0</xdr:col>
      <xdr:colOff>104775</xdr:colOff>
      <xdr:row>34</xdr:row>
      <xdr:rowOff>28575</xdr:rowOff>
    </xdr:from>
    <xdr:to>
      <xdr:col>3</xdr:col>
      <xdr:colOff>321375</xdr:colOff>
      <xdr:row>35</xdr:row>
      <xdr:rowOff>47625</xdr:rowOff>
    </xdr:to>
    <xdr:sp macro="" textlink="">
      <xdr:nvSpPr>
        <xdr:cNvPr id="20" name="TextBox 19">
          <a:extLst>
            <a:ext uri="{FF2B5EF4-FFF2-40B4-BE49-F238E27FC236}">
              <a16:creationId xmlns:a16="http://schemas.microsoft.com/office/drawing/2014/main" id="{4DC447A2-F784-4B12-A380-B3ED6EB87603}"/>
            </a:ext>
          </a:extLst>
        </xdr:cNvPr>
        <xdr:cNvSpPr txBox="1"/>
      </xdr:nvSpPr>
      <xdr:spPr>
        <a:xfrm>
          <a:off x="104775" y="6619875"/>
          <a:ext cx="1489140" cy="201930"/>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l"/>
          <a:r>
            <a:rPr lang="en-GB" sz="1100" baseline="0"/>
            <a:t>Warranty</a:t>
          </a:r>
        </a:p>
      </xdr:txBody>
    </xdr:sp>
    <xdr:clientData/>
  </xdr:twoCellAnchor>
  <xdr:twoCellAnchor>
    <xdr:from>
      <xdr:col>3</xdr:col>
      <xdr:colOff>333375</xdr:colOff>
      <xdr:row>34</xdr:row>
      <xdr:rowOff>28575</xdr:rowOff>
    </xdr:from>
    <xdr:to>
      <xdr:col>7</xdr:col>
      <xdr:colOff>64200</xdr:colOff>
      <xdr:row>35</xdr:row>
      <xdr:rowOff>47625</xdr:rowOff>
    </xdr:to>
    <xdr:sp macro="" textlink="">
      <xdr:nvSpPr>
        <xdr:cNvPr id="21" name="TextBox 20">
          <a:extLst>
            <a:ext uri="{FF2B5EF4-FFF2-40B4-BE49-F238E27FC236}">
              <a16:creationId xmlns:a16="http://schemas.microsoft.com/office/drawing/2014/main" id="{E28CAE81-A29A-49FB-915B-AE78B0A7499E}"/>
            </a:ext>
          </a:extLst>
        </xdr:cNvPr>
        <xdr:cNvSpPr txBox="1"/>
      </xdr:nvSpPr>
      <xdr:spPr>
        <a:xfrm>
          <a:off x="1605915" y="6619875"/>
          <a:ext cx="1475805" cy="201930"/>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l"/>
          <a:r>
            <a:rPr lang="en-GB" sz="1100" baseline="0"/>
            <a:t>After Care</a:t>
          </a:r>
        </a:p>
      </xdr:txBody>
    </xdr:sp>
    <xdr:clientData/>
  </xdr:twoCellAnchor>
  <xdr:twoCellAnchor>
    <xdr:from>
      <xdr:col>7</xdr:col>
      <xdr:colOff>76200</xdr:colOff>
      <xdr:row>34</xdr:row>
      <xdr:rowOff>28575</xdr:rowOff>
    </xdr:from>
    <xdr:to>
      <xdr:col>9</xdr:col>
      <xdr:colOff>454725</xdr:colOff>
      <xdr:row>35</xdr:row>
      <xdr:rowOff>47625</xdr:rowOff>
    </xdr:to>
    <xdr:sp macro="" textlink="">
      <xdr:nvSpPr>
        <xdr:cNvPr id="22" name="TextBox 21">
          <a:extLst>
            <a:ext uri="{FF2B5EF4-FFF2-40B4-BE49-F238E27FC236}">
              <a16:creationId xmlns:a16="http://schemas.microsoft.com/office/drawing/2014/main" id="{3FEA0D8B-8ACE-46F5-A223-13925C0A7CAE}"/>
            </a:ext>
          </a:extLst>
        </xdr:cNvPr>
        <xdr:cNvSpPr txBox="1"/>
      </xdr:nvSpPr>
      <xdr:spPr>
        <a:xfrm>
          <a:off x="3093720" y="6619875"/>
          <a:ext cx="1483425" cy="201930"/>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l"/>
          <a:r>
            <a:rPr lang="en-GB" sz="1100" baseline="0"/>
            <a:t>Voucher</a:t>
          </a:r>
        </a:p>
      </xdr:txBody>
    </xdr:sp>
    <xdr:clientData/>
  </xdr:twoCellAnchor>
  <xdr:twoCellAnchor>
    <xdr:from>
      <xdr:col>9</xdr:col>
      <xdr:colOff>457200</xdr:colOff>
      <xdr:row>34</xdr:row>
      <xdr:rowOff>28575</xdr:rowOff>
    </xdr:from>
    <xdr:to>
      <xdr:col>11</xdr:col>
      <xdr:colOff>845250</xdr:colOff>
      <xdr:row>35</xdr:row>
      <xdr:rowOff>47625</xdr:rowOff>
    </xdr:to>
    <xdr:sp macro="" textlink="">
      <xdr:nvSpPr>
        <xdr:cNvPr id="23" name="TextBox 22">
          <a:extLst>
            <a:ext uri="{FF2B5EF4-FFF2-40B4-BE49-F238E27FC236}">
              <a16:creationId xmlns:a16="http://schemas.microsoft.com/office/drawing/2014/main" id="{EEA95178-C4B0-44F5-9B51-6A19D5B535EE}"/>
            </a:ext>
          </a:extLst>
        </xdr:cNvPr>
        <xdr:cNvSpPr txBox="1"/>
      </xdr:nvSpPr>
      <xdr:spPr>
        <a:xfrm>
          <a:off x="4579620" y="6619875"/>
          <a:ext cx="1492950" cy="201930"/>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l"/>
          <a:r>
            <a:rPr lang="en-GB" sz="1100" baseline="0"/>
            <a:t>£50 Off Next Order</a:t>
          </a:r>
        </a:p>
      </xdr:txBody>
    </xdr:sp>
    <xdr:clientData/>
  </xdr:twoCellAnchor>
  <xdr:twoCellAnchor>
    <xdr:from>
      <xdr:col>11</xdr:col>
      <xdr:colOff>857250</xdr:colOff>
      <xdr:row>34</xdr:row>
      <xdr:rowOff>28575</xdr:rowOff>
    </xdr:from>
    <xdr:to>
      <xdr:col>11</xdr:col>
      <xdr:colOff>2369250</xdr:colOff>
      <xdr:row>35</xdr:row>
      <xdr:rowOff>47625</xdr:rowOff>
    </xdr:to>
    <xdr:sp macro="" textlink="">
      <xdr:nvSpPr>
        <xdr:cNvPr id="24" name="TextBox 23">
          <a:extLst>
            <a:ext uri="{FF2B5EF4-FFF2-40B4-BE49-F238E27FC236}">
              <a16:creationId xmlns:a16="http://schemas.microsoft.com/office/drawing/2014/main" id="{AF812E26-A45F-45A9-B674-1E44B25A290E}"/>
            </a:ext>
          </a:extLst>
        </xdr:cNvPr>
        <xdr:cNvSpPr txBox="1"/>
      </xdr:nvSpPr>
      <xdr:spPr>
        <a:xfrm>
          <a:off x="6084570" y="6619875"/>
          <a:ext cx="1466280" cy="201930"/>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l"/>
          <a:r>
            <a:rPr lang="en-GB" sz="1100" baseline="0"/>
            <a:t>Anything Else?</a:t>
          </a:r>
        </a:p>
      </xdr:txBody>
    </xdr:sp>
    <xdr:clientData/>
  </xdr:twoCellAnchor>
  <xdr:twoCellAnchor>
    <xdr:from>
      <xdr:col>0</xdr:col>
      <xdr:colOff>66674</xdr:colOff>
      <xdr:row>39</xdr:row>
      <xdr:rowOff>0</xdr:rowOff>
    </xdr:from>
    <xdr:to>
      <xdr:col>3</xdr:col>
      <xdr:colOff>219075</xdr:colOff>
      <xdr:row>41</xdr:row>
      <xdr:rowOff>9525</xdr:rowOff>
    </xdr:to>
    <xdr:sp macro="" textlink="">
      <xdr:nvSpPr>
        <xdr:cNvPr id="25" name="TextBox 24">
          <a:extLst>
            <a:ext uri="{FF2B5EF4-FFF2-40B4-BE49-F238E27FC236}">
              <a16:creationId xmlns:a16="http://schemas.microsoft.com/office/drawing/2014/main" id="{42F09696-4FEB-4823-8A76-3BFDD2C0CF84}"/>
            </a:ext>
          </a:extLst>
        </xdr:cNvPr>
        <xdr:cNvSpPr txBox="1"/>
      </xdr:nvSpPr>
      <xdr:spPr>
        <a:xfrm>
          <a:off x="66674" y="7505700"/>
          <a:ext cx="1424941" cy="382905"/>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a:t>Installation Complete</a:t>
          </a:r>
        </a:p>
      </xdr:txBody>
    </xdr:sp>
    <xdr:clientData/>
  </xdr:twoCellAnchor>
  <xdr:twoCellAnchor>
    <xdr:from>
      <xdr:col>3</xdr:col>
      <xdr:colOff>228600</xdr:colOff>
      <xdr:row>39</xdr:row>
      <xdr:rowOff>0</xdr:rowOff>
    </xdr:from>
    <xdr:to>
      <xdr:col>5</xdr:col>
      <xdr:colOff>504826</xdr:colOff>
      <xdr:row>41</xdr:row>
      <xdr:rowOff>9525</xdr:rowOff>
    </xdr:to>
    <xdr:sp macro="" textlink="">
      <xdr:nvSpPr>
        <xdr:cNvPr id="26" name="TextBox 25">
          <a:extLst>
            <a:ext uri="{FF2B5EF4-FFF2-40B4-BE49-F238E27FC236}">
              <a16:creationId xmlns:a16="http://schemas.microsoft.com/office/drawing/2014/main" id="{B44EFD11-6286-4FFC-91A7-51BF659ADCCB}"/>
            </a:ext>
          </a:extLst>
        </xdr:cNvPr>
        <xdr:cNvSpPr txBox="1"/>
      </xdr:nvSpPr>
      <xdr:spPr>
        <a:xfrm>
          <a:off x="1501140" y="7505700"/>
          <a:ext cx="1038226" cy="382905"/>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a:t>Yes / No</a:t>
          </a:r>
        </a:p>
      </xdr:txBody>
    </xdr:sp>
    <xdr:clientData/>
  </xdr:twoCellAnchor>
  <xdr:twoCellAnchor>
    <xdr:from>
      <xdr:col>5</xdr:col>
      <xdr:colOff>514349</xdr:colOff>
      <xdr:row>39</xdr:row>
      <xdr:rowOff>0</xdr:rowOff>
    </xdr:from>
    <xdr:to>
      <xdr:col>8</xdr:col>
      <xdr:colOff>523875</xdr:colOff>
      <xdr:row>41</xdr:row>
      <xdr:rowOff>9525</xdr:rowOff>
    </xdr:to>
    <xdr:sp macro="" textlink="">
      <xdr:nvSpPr>
        <xdr:cNvPr id="27" name="TextBox 26">
          <a:extLst>
            <a:ext uri="{FF2B5EF4-FFF2-40B4-BE49-F238E27FC236}">
              <a16:creationId xmlns:a16="http://schemas.microsoft.com/office/drawing/2014/main" id="{04E4FD7C-5D12-4DB9-869E-9737DD14F26F}"/>
            </a:ext>
          </a:extLst>
        </xdr:cNvPr>
        <xdr:cNvSpPr txBox="1"/>
      </xdr:nvSpPr>
      <xdr:spPr>
        <a:xfrm>
          <a:off x="2548889" y="7505700"/>
          <a:ext cx="1419226" cy="382905"/>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a:t>Payment</a:t>
          </a:r>
          <a:r>
            <a:rPr lang="en-GB" sz="1100" baseline="0"/>
            <a:t> Recieved</a:t>
          </a:r>
          <a:endParaRPr lang="en-GB" sz="1100"/>
        </a:p>
      </xdr:txBody>
    </xdr:sp>
    <xdr:clientData/>
  </xdr:twoCellAnchor>
  <xdr:twoCellAnchor>
    <xdr:from>
      <xdr:col>10</xdr:col>
      <xdr:colOff>114299</xdr:colOff>
      <xdr:row>39</xdr:row>
      <xdr:rowOff>0</xdr:rowOff>
    </xdr:from>
    <xdr:to>
      <xdr:col>11</xdr:col>
      <xdr:colOff>1247775</xdr:colOff>
      <xdr:row>41</xdr:row>
      <xdr:rowOff>9525</xdr:rowOff>
    </xdr:to>
    <xdr:sp macro="" textlink="">
      <xdr:nvSpPr>
        <xdr:cNvPr id="28" name="TextBox 27">
          <a:extLst>
            <a:ext uri="{FF2B5EF4-FFF2-40B4-BE49-F238E27FC236}">
              <a16:creationId xmlns:a16="http://schemas.microsoft.com/office/drawing/2014/main" id="{711A1826-C6E0-40DA-8351-BE395BD2AB52}"/>
            </a:ext>
          </a:extLst>
        </xdr:cNvPr>
        <xdr:cNvSpPr txBox="1"/>
      </xdr:nvSpPr>
      <xdr:spPr>
        <a:xfrm>
          <a:off x="5029199" y="7505700"/>
          <a:ext cx="1445896" cy="382905"/>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a:t>Method</a:t>
          </a:r>
          <a:r>
            <a:rPr lang="en-GB" sz="1100" baseline="0"/>
            <a:t> of payment</a:t>
          </a:r>
          <a:endParaRPr lang="en-GB" sz="1100"/>
        </a:p>
      </xdr:txBody>
    </xdr:sp>
    <xdr:clientData/>
  </xdr:twoCellAnchor>
  <xdr:twoCellAnchor>
    <xdr:from>
      <xdr:col>8</xdr:col>
      <xdr:colOff>542925</xdr:colOff>
      <xdr:row>39</xdr:row>
      <xdr:rowOff>0</xdr:rowOff>
    </xdr:from>
    <xdr:to>
      <xdr:col>10</xdr:col>
      <xdr:colOff>95251</xdr:colOff>
      <xdr:row>41</xdr:row>
      <xdr:rowOff>9525</xdr:rowOff>
    </xdr:to>
    <xdr:sp macro="" textlink="">
      <xdr:nvSpPr>
        <xdr:cNvPr id="29" name="TextBox 28">
          <a:extLst>
            <a:ext uri="{FF2B5EF4-FFF2-40B4-BE49-F238E27FC236}">
              <a16:creationId xmlns:a16="http://schemas.microsoft.com/office/drawing/2014/main" id="{42D660FF-B3D9-4406-8E34-DFDD649FEC06}"/>
            </a:ext>
          </a:extLst>
        </xdr:cNvPr>
        <xdr:cNvSpPr txBox="1"/>
      </xdr:nvSpPr>
      <xdr:spPr>
        <a:xfrm>
          <a:off x="3987165" y="7505700"/>
          <a:ext cx="1022986" cy="382905"/>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a:t>
          </a:r>
        </a:p>
      </xdr:txBody>
    </xdr:sp>
    <xdr:clientData/>
  </xdr:twoCellAnchor>
  <xdr:twoCellAnchor>
    <xdr:from>
      <xdr:col>11</xdr:col>
      <xdr:colOff>1257300</xdr:colOff>
      <xdr:row>39</xdr:row>
      <xdr:rowOff>0</xdr:rowOff>
    </xdr:from>
    <xdr:to>
      <xdr:col>11</xdr:col>
      <xdr:colOff>2314576</xdr:colOff>
      <xdr:row>41</xdr:row>
      <xdr:rowOff>9525</xdr:rowOff>
    </xdr:to>
    <xdr:sp macro="" textlink="">
      <xdr:nvSpPr>
        <xdr:cNvPr id="30" name="TextBox 29">
          <a:extLst>
            <a:ext uri="{FF2B5EF4-FFF2-40B4-BE49-F238E27FC236}">
              <a16:creationId xmlns:a16="http://schemas.microsoft.com/office/drawing/2014/main" id="{C9DC7200-ACB9-4245-8BF7-E8EB9619284B}"/>
            </a:ext>
          </a:extLst>
        </xdr:cNvPr>
        <xdr:cNvSpPr txBox="1"/>
      </xdr:nvSpPr>
      <xdr:spPr>
        <a:xfrm>
          <a:off x="6484620" y="7505700"/>
          <a:ext cx="1057276" cy="382905"/>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GB" sz="1100"/>
        </a:p>
      </xdr:txBody>
    </xdr:sp>
    <xdr:clientData/>
  </xdr:twoCellAnchor>
  <xdr:twoCellAnchor>
    <xdr:from>
      <xdr:col>0</xdr:col>
      <xdr:colOff>66674</xdr:colOff>
      <xdr:row>41</xdr:row>
      <xdr:rowOff>19050</xdr:rowOff>
    </xdr:from>
    <xdr:to>
      <xdr:col>3</xdr:col>
      <xdr:colOff>219075</xdr:colOff>
      <xdr:row>43</xdr:row>
      <xdr:rowOff>28575</xdr:rowOff>
    </xdr:to>
    <xdr:sp macro="" textlink="">
      <xdr:nvSpPr>
        <xdr:cNvPr id="31" name="TextBox 30">
          <a:extLst>
            <a:ext uri="{FF2B5EF4-FFF2-40B4-BE49-F238E27FC236}">
              <a16:creationId xmlns:a16="http://schemas.microsoft.com/office/drawing/2014/main" id="{0F22496F-8ED7-47D8-AAB3-25044105A619}"/>
            </a:ext>
          </a:extLst>
        </xdr:cNvPr>
        <xdr:cNvSpPr txBox="1"/>
      </xdr:nvSpPr>
      <xdr:spPr>
        <a:xfrm>
          <a:off x="66674" y="7898130"/>
          <a:ext cx="1424941" cy="382905"/>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a:t>Balance Payable</a:t>
          </a:r>
        </a:p>
      </xdr:txBody>
    </xdr:sp>
    <xdr:clientData/>
  </xdr:twoCellAnchor>
  <xdr:twoCellAnchor>
    <xdr:from>
      <xdr:col>3</xdr:col>
      <xdr:colOff>228600</xdr:colOff>
      <xdr:row>41</xdr:row>
      <xdr:rowOff>19050</xdr:rowOff>
    </xdr:from>
    <xdr:to>
      <xdr:col>5</xdr:col>
      <xdr:colOff>504826</xdr:colOff>
      <xdr:row>43</xdr:row>
      <xdr:rowOff>28575</xdr:rowOff>
    </xdr:to>
    <xdr:sp macro="" textlink="">
      <xdr:nvSpPr>
        <xdr:cNvPr id="32" name="TextBox 31">
          <a:extLst>
            <a:ext uri="{FF2B5EF4-FFF2-40B4-BE49-F238E27FC236}">
              <a16:creationId xmlns:a16="http://schemas.microsoft.com/office/drawing/2014/main" id="{B181BEFB-5B5E-48E5-B3DB-65FEDD9708AE}"/>
            </a:ext>
          </a:extLst>
        </xdr:cNvPr>
        <xdr:cNvSpPr txBox="1"/>
      </xdr:nvSpPr>
      <xdr:spPr>
        <a:xfrm>
          <a:off x="1501140" y="7898130"/>
          <a:ext cx="1038226" cy="382905"/>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i="0"/>
            <a:t>£</a:t>
          </a:r>
        </a:p>
      </xdr:txBody>
    </xdr:sp>
    <xdr:clientData/>
  </xdr:twoCellAnchor>
  <xdr:twoCellAnchor>
    <xdr:from>
      <xdr:col>5</xdr:col>
      <xdr:colOff>514349</xdr:colOff>
      <xdr:row>41</xdr:row>
      <xdr:rowOff>19050</xdr:rowOff>
    </xdr:from>
    <xdr:to>
      <xdr:col>8</xdr:col>
      <xdr:colOff>523875</xdr:colOff>
      <xdr:row>43</xdr:row>
      <xdr:rowOff>28575</xdr:rowOff>
    </xdr:to>
    <xdr:sp macro="" textlink="">
      <xdr:nvSpPr>
        <xdr:cNvPr id="33" name="TextBox 32">
          <a:extLst>
            <a:ext uri="{FF2B5EF4-FFF2-40B4-BE49-F238E27FC236}">
              <a16:creationId xmlns:a16="http://schemas.microsoft.com/office/drawing/2014/main" id="{60EE1F07-8222-4A74-B2D9-74BE39CEE8B2}"/>
            </a:ext>
          </a:extLst>
        </xdr:cNvPr>
        <xdr:cNvSpPr txBox="1"/>
      </xdr:nvSpPr>
      <xdr:spPr>
        <a:xfrm>
          <a:off x="2548889" y="7898130"/>
          <a:ext cx="1419226" cy="382905"/>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a:t>O/S</a:t>
          </a:r>
        </a:p>
      </xdr:txBody>
    </xdr:sp>
    <xdr:clientData/>
  </xdr:twoCellAnchor>
  <xdr:twoCellAnchor>
    <xdr:from>
      <xdr:col>10</xdr:col>
      <xdr:colOff>114299</xdr:colOff>
      <xdr:row>41</xdr:row>
      <xdr:rowOff>19050</xdr:rowOff>
    </xdr:from>
    <xdr:to>
      <xdr:col>11</xdr:col>
      <xdr:colOff>1247775</xdr:colOff>
      <xdr:row>43</xdr:row>
      <xdr:rowOff>28575</xdr:rowOff>
    </xdr:to>
    <xdr:sp macro="" textlink="">
      <xdr:nvSpPr>
        <xdr:cNvPr id="34" name="TextBox 33">
          <a:extLst>
            <a:ext uri="{FF2B5EF4-FFF2-40B4-BE49-F238E27FC236}">
              <a16:creationId xmlns:a16="http://schemas.microsoft.com/office/drawing/2014/main" id="{80E97EA1-E038-46A1-A6AF-1B8E9ADF0EB9}"/>
            </a:ext>
          </a:extLst>
        </xdr:cNvPr>
        <xdr:cNvSpPr txBox="1"/>
      </xdr:nvSpPr>
      <xdr:spPr>
        <a:xfrm>
          <a:off x="5029199" y="7898130"/>
          <a:ext cx="1445896" cy="382905"/>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a:t>Card Authorisation Code</a:t>
          </a:r>
        </a:p>
      </xdr:txBody>
    </xdr:sp>
    <xdr:clientData/>
  </xdr:twoCellAnchor>
  <xdr:twoCellAnchor>
    <xdr:from>
      <xdr:col>8</xdr:col>
      <xdr:colOff>542925</xdr:colOff>
      <xdr:row>41</xdr:row>
      <xdr:rowOff>19050</xdr:rowOff>
    </xdr:from>
    <xdr:to>
      <xdr:col>10</xdr:col>
      <xdr:colOff>95251</xdr:colOff>
      <xdr:row>43</xdr:row>
      <xdr:rowOff>28575</xdr:rowOff>
    </xdr:to>
    <xdr:sp macro="" textlink="">
      <xdr:nvSpPr>
        <xdr:cNvPr id="35" name="TextBox 34">
          <a:extLst>
            <a:ext uri="{FF2B5EF4-FFF2-40B4-BE49-F238E27FC236}">
              <a16:creationId xmlns:a16="http://schemas.microsoft.com/office/drawing/2014/main" id="{EA33C0E3-021C-4A67-A717-F862E6D1393E}"/>
            </a:ext>
          </a:extLst>
        </xdr:cNvPr>
        <xdr:cNvSpPr txBox="1"/>
      </xdr:nvSpPr>
      <xdr:spPr>
        <a:xfrm>
          <a:off x="3987165" y="7898130"/>
          <a:ext cx="1022986" cy="382905"/>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a:t>
          </a:r>
        </a:p>
      </xdr:txBody>
    </xdr:sp>
    <xdr:clientData/>
  </xdr:twoCellAnchor>
  <xdr:twoCellAnchor>
    <xdr:from>
      <xdr:col>11</xdr:col>
      <xdr:colOff>1257300</xdr:colOff>
      <xdr:row>41</xdr:row>
      <xdr:rowOff>19050</xdr:rowOff>
    </xdr:from>
    <xdr:to>
      <xdr:col>11</xdr:col>
      <xdr:colOff>2314576</xdr:colOff>
      <xdr:row>43</xdr:row>
      <xdr:rowOff>28575</xdr:rowOff>
    </xdr:to>
    <xdr:sp macro="" textlink="">
      <xdr:nvSpPr>
        <xdr:cNvPr id="36" name="TextBox 35">
          <a:extLst>
            <a:ext uri="{FF2B5EF4-FFF2-40B4-BE49-F238E27FC236}">
              <a16:creationId xmlns:a16="http://schemas.microsoft.com/office/drawing/2014/main" id="{34D38092-C8AA-44D2-B051-A45F1DF028A2}"/>
            </a:ext>
          </a:extLst>
        </xdr:cNvPr>
        <xdr:cNvSpPr txBox="1"/>
      </xdr:nvSpPr>
      <xdr:spPr>
        <a:xfrm>
          <a:off x="6484620" y="7898130"/>
          <a:ext cx="1057276" cy="382905"/>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GB" sz="1100"/>
        </a:p>
      </xdr:txBody>
    </xdr:sp>
    <xdr:clientData/>
  </xdr:twoCellAnchor>
  <xdr:twoCellAnchor>
    <xdr:from>
      <xdr:col>3</xdr:col>
      <xdr:colOff>104775</xdr:colOff>
      <xdr:row>23</xdr:row>
      <xdr:rowOff>9525</xdr:rowOff>
    </xdr:from>
    <xdr:to>
      <xdr:col>3</xdr:col>
      <xdr:colOff>342900</xdr:colOff>
      <xdr:row>24</xdr:row>
      <xdr:rowOff>0</xdr:rowOff>
    </xdr:to>
    <xdr:sp macro="" textlink="">
      <xdr:nvSpPr>
        <xdr:cNvPr id="37" name="Rectangle 36">
          <a:extLst>
            <a:ext uri="{FF2B5EF4-FFF2-40B4-BE49-F238E27FC236}">
              <a16:creationId xmlns:a16="http://schemas.microsoft.com/office/drawing/2014/main" id="{74AE090C-E7A9-40C6-B9D5-2018E629D53E}"/>
            </a:ext>
          </a:extLst>
        </xdr:cNvPr>
        <xdr:cNvSpPr/>
      </xdr:nvSpPr>
      <xdr:spPr>
        <a:xfrm>
          <a:off x="1377315" y="4573905"/>
          <a:ext cx="238125" cy="173355"/>
        </a:xfrm>
        <a:prstGeom prst="rect">
          <a:avLst/>
        </a:prstGeom>
        <a:noFill/>
        <a:ln w="222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6</xdr:col>
      <xdr:colOff>238125</xdr:colOff>
      <xdr:row>23</xdr:row>
      <xdr:rowOff>9525</xdr:rowOff>
    </xdr:from>
    <xdr:to>
      <xdr:col>7</xdr:col>
      <xdr:colOff>76200</xdr:colOff>
      <xdr:row>24</xdr:row>
      <xdr:rowOff>0</xdr:rowOff>
    </xdr:to>
    <xdr:sp macro="" textlink="">
      <xdr:nvSpPr>
        <xdr:cNvPr id="38" name="Rectangle 37">
          <a:extLst>
            <a:ext uri="{FF2B5EF4-FFF2-40B4-BE49-F238E27FC236}">
              <a16:creationId xmlns:a16="http://schemas.microsoft.com/office/drawing/2014/main" id="{A6F491EB-7E10-42B8-A4BC-7F7083700FE7}"/>
            </a:ext>
          </a:extLst>
        </xdr:cNvPr>
        <xdr:cNvSpPr/>
      </xdr:nvSpPr>
      <xdr:spPr>
        <a:xfrm>
          <a:off x="2867025" y="4573905"/>
          <a:ext cx="226695" cy="173355"/>
        </a:xfrm>
        <a:prstGeom prst="rect">
          <a:avLst/>
        </a:prstGeom>
        <a:noFill/>
        <a:ln w="222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9</xdr:col>
      <xdr:colOff>219075</xdr:colOff>
      <xdr:row>23</xdr:row>
      <xdr:rowOff>9525</xdr:rowOff>
    </xdr:from>
    <xdr:to>
      <xdr:col>9</xdr:col>
      <xdr:colOff>457200</xdr:colOff>
      <xdr:row>24</xdr:row>
      <xdr:rowOff>0</xdr:rowOff>
    </xdr:to>
    <xdr:sp macro="" textlink="">
      <xdr:nvSpPr>
        <xdr:cNvPr id="39" name="Rectangle 38">
          <a:extLst>
            <a:ext uri="{FF2B5EF4-FFF2-40B4-BE49-F238E27FC236}">
              <a16:creationId xmlns:a16="http://schemas.microsoft.com/office/drawing/2014/main" id="{84D9345F-F599-495A-9593-4EC98EF73DC8}"/>
            </a:ext>
          </a:extLst>
        </xdr:cNvPr>
        <xdr:cNvSpPr/>
      </xdr:nvSpPr>
      <xdr:spPr>
        <a:xfrm>
          <a:off x="4341495" y="4573905"/>
          <a:ext cx="238125" cy="173355"/>
        </a:xfrm>
        <a:prstGeom prst="rect">
          <a:avLst/>
        </a:prstGeom>
        <a:noFill/>
        <a:ln w="222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11</xdr:col>
      <xdr:colOff>2124075</xdr:colOff>
      <xdr:row>23</xdr:row>
      <xdr:rowOff>9525</xdr:rowOff>
    </xdr:from>
    <xdr:to>
      <xdr:col>11</xdr:col>
      <xdr:colOff>2362200</xdr:colOff>
      <xdr:row>24</xdr:row>
      <xdr:rowOff>0</xdr:rowOff>
    </xdr:to>
    <xdr:sp macro="" textlink="">
      <xdr:nvSpPr>
        <xdr:cNvPr id="40" name="Rectangle 39">
          <a:extLst>
            <a:ext uri="{FF2B5EF4-FFF2-40B4-BE49-F238E27FC236}">
              <a16:creationId xmlns:a16="http://schemas.microsoft.com/office/drawing/2014/main" id="{53E52316-8FE4-4C90-964B-B64AF3B7DDBA}"/>
            </a:ext>
          </a:extLst>
        </xdr:cNvPr>
        <xdr:cNvSpPr/>
      </xdr:nvSpPr>
      <xdr:spPr>
        <a:xfrm>
          <a:off x="7351395" y="4573905"/>
          <a:ext cx="200025" cy="173355"/>
        </a:xfrm>
        <a:prstGeom prst="rect">
          <a:avLst/>
        </a:prstGeom>
        <a:noFill/>
        <a:ln w="222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85725</xdr:colOff>
      <xdr:row>34</xdr:row>
      <xdr:rowOff>47625</xdr:rowOff>
    </xdr:from>
    <xdr:to>
      <xdr:col>3</xdr:col>
      <xdr:colOff>323850</xdr:colOff>
      <xdr:row>35</xdr:row>
      <xdr:rowOff>38100</xdr:rowOff>
    </xdr:to>
    <xdr:sp macro="" textlink="">
      <xdr:nvSpPr>
        <xdr:cNvPr id="41" name="Rectangle 40">
          <a:extLst>
            <a:ext uri="{FF2B5EF4-FFF2-40B4-BE49-F238E27FC236}">
              <a16:creationId xmlns:a16="http://schemas.microsoft.com/office/drawing/2014/main" id="{E1413EB0-37B2-41AE-A59D-F031A81D378E}"/>
            </a:ext>
          </a:extLst>
        </xdr:cNvPr>
        <xdr:cNvSpPr/>
      </xdr:nvSpPr>
      <xdr:spPr>
        <a:xfrm>
          <a:off x="1358265" y="6638925"/>
          <a:ext cx="238125" cy="173355"/>
        </a:xfrm>
        <a:prstGeom prst="rect">
          <a:avLst/>
        </a:prstGeom>
        <a:noFill/>
        <a:ln w="222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6</xdr:col>
      <xdr:colOff>228600</xdr:colOff>
      <xdr:row>34</xdr:row>
      <xdr:rowOff>47625</xdr:rowOff>
    </xdr:from>
    <xdr:to>
      <xdr:col>7</xdr:col>
      <xdr:colOff>66675</xdr:colOff>
      <xdr:row>35</xdr:row>
      <xdr:rowOff>38100</xdr:rowOff>
    </xdr:to>
    <xdr:sp macro="" textlink="">
      <xdr:nvSpPr>
        <xdr:cNvPr id="42" name="Rectangle 41">
          <a:extLst>
            <a:ext uri="{FF2B5EF4-FFF2-40B4-BE49-F238E27FC236}">
              <a16:creationId xmlns:a16="http://schemas.microsoft.com/office/drawing/2014/main" id="{1D237AD7-A294-41FA-ACDE-3E0478180EB4}"/>
            </a:ext>
          </a:extLst>
        </xdr:cNvPr>
        <xdr:cNvSpPr/>
      </xdr:nvSpPr>
      <xdr:spPr>
        <a:xfrm>
          <a:off x="2857500" y="6638925"/>
          <a:ext cx="226695" cy="173355"/>
        </a:xfrm>
        <a:prstGeom prst="rect">
          <a:avLst/>
        </a:prstGeom>
        <a:noFill/>
        <a:ln w="222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9</xdr:col>
      <xdr:colOff>219075</xdr:colOff>
      <xdr:row>34</xdr:row>
      <xdr:rowOff>47625</xdr:rowOff>
    </xdr:from>
    <xdr:to>
      <xdr:col>9</xdr:col>
      <xdr:colOff>457200</xdr:colOff>
      <xdr:row>35</xdr:row>
      <xdr:rowOff>38100</xdr:rowOff>
    </xdr:to>
    <xdr:sp macro="" textlink="">
      <xdr:nvSpPr>
        <xdr:cNvPr id="43" name="Rectangle 42">
          <a:extLst>
            <a:ext uri="{FF2B5EF4-FFF2-40B4-BE49-F238E27FC236}">
              <a16:creationId xmlns:a16="http://schemas.microsoft.com/office/drawing/2014/main" id="{2DBED7BC-A5D6-4400-8C24-3D1AEDAF7AED}"/>
            </a:ext>
          </a:extLst>
        </xdr:cNvPr>
        <xdr:cNvSpPr/>
      </xdr:nvSpPr>
      <xdr:spPr>
        <a:xfrm>
          <a:off x="4341495" y="6638925"/>
          <a:ext cx="238125" cy="173355"/>
        </a:xfrm>
        <a:prstGeom prst="rect">
          <a:avLst/>
        </a:prstGeom>
        <a:noFill/>
        <a:ln w="222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11</xdr:col>
      <xdr:colOff>2124075</xdr:colOff>
      <xdr:row>34</xdr:row>
      <xdr:rowOff>47625</xdr:rowOff>
    </xdr:from>
    <xdr:to>
      <xdr:col>11</xdr:col>
      <xdr:colOff>2362200</xdr:colOff>
      <xdr:row>35</xdr:row>
      <xdr:rowOff>38100</xdr:rowOff>
    </xdr:to>
    <xdr:sp macro="" textlink="">
      <xdr:nvSpPr>
        <xdr:cNvPr id="44" name="Rectangle 43">
          <a:extLst>
            <a:ext uri="{FF2B5EF4-FFF2-40B4-BE49-F238E27FC236}">
              <a16:creationId xmlns:a16="http://schemas.microsoft.com/office/drawing/2014/main" id="{9E261163-4E30-41B6-B206-128518081B66}"/>
            </a:ext>
          </a:extLst>
        </xdr:cNvPr>
        <xdr:cNvSpPr/>
      </xdr:nvSpPr>
      <xdr:spPr>
        <a:xfrm>
          <a:off x="7351395" y="6638925"/>
          <a:ext cx="200025" cy="173355"/>
        </a:xfrm>
        <a:prstGeom prst="rect">
          <a:avLst/>
        </a:prstGeom>
        <a:noFill/>
        <a:ln w="222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5</xdr:col>
      <xdr:colOff>586740</xdr:colOff>
      <xdr:row>3</xdr:row>
      <xdr:rowOff>174714</xdr:rowOff>
    </xdr:to>
    <xdr:pic>
      <xdr:nvPicPr>
        <xdr:cNvPr id="3" name="Picture 2">
          <a:extLst>
            <a:ext uri="{FF2B5EF4-FFF2-40B4-BE49-F238E27FC236}">
              <a16:creationId xmlns:a16="http://schemas.microsoft.com/office/drawing/2014/main" id="{1E669BEA-3041-4596-84DE-8F3705FB270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180975"/>
          <a:ext cx="3086100" cy="52904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600075</xdr:colOff>
      <xdr:row>0</xdr:row>
      <xdr:rowOff>38100</xdr:rowOff>
    </xdr:from>
    <xdr:to>
      <xdr:col>3</xdr:col>
      <xdr:colOff>320040</xdr:colOff>
      <xdr:row>1</xdr:row>
      <xdr:rowOff>396475</xdr:rowOff>
    </xdr:to>
    <xdr:pic>
      <xdr:nvPicPr>
        <xdr:cNvPr id="4" name="Picture 3">
          <a:extLst>
            <a:ext uri="{FF2B5EF4-FFF2-40B4-BE49-F238E27FC236}">
              <a16:creationId xmlns:a16="http://schemas.microsoft.com/office/drawing/2014/main" id="{639E8C99-FA38-9DA8-A1B6-A79FC8DB4C2F}"/>
            </a:ext>
          </a:extLst>
        </xdr:cNvPr>
        <xdr:cNvPicPr>
          <a:picLocks noChangeAspect="1"/>
        </xdr:cNvPicPr>
      </xdr:nvPicPr>
      <xdr:blipFill>
        <a:blip xmlns:r="http://schemas.openxmlformats.org/officeDocument/2006/relationships" r:embed="rId1"/>
        <a:stretch>
          <a:fillRect/>
        </a:stretch>
      </xdr:blipFill>
      <xdr:spPr>
        <a:xfrm>
          <a:off x="600075" y="38100"/>
          <a:ext cx="2541270" cy="53173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2</xdr:col>
      <xdr:colOff>322471</xdr:colOff>
      <xdr:row>0</xdr:row>
      <xdr:rowOff>59054</xdr:rowOff>
    </xdr:from>
    <xdr:to>
      <xdr:col>8</xdr:col>
      <xdr:colOff>781050</xdr:colOff>
      <xdr:row>3</xdr:row>
      <xdr:rowOff>150494</xdr:rowOff>
    </xdr:to>
    <xdr:pic>
      <xdr:nvPicPr>
        <xdr:cNvPr id="2" name="Picture 1">
          <a:extLst>
            <a:ext uri="{FF2B5EF4-FFF2-40B4-BE49-F238E27FC236}">
              <a16:creationId xmlns:a16="http://schemas.microsoft.com/office/drawing/2014/main" id="{5206F065-779D-47AC-8E12-260A0DFC151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36971" y="59054"/>
          <a:ext cx="3868529" cy="6343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38102</xdr:colOff>
      <xdr:row>46</xdr:row>
      <xdr:rowOff>76200</xdr:rowOff>
    </xdr:from>
    <xdr:to>
      <xdr:col>5</xdr:col>
      <xdr:colOff>91440</xdr:colOff>
      <xdr:row>50</xdr:row>
      <xdr:rowOff>361949</xdr:rowOff>
    </xdr:to>
    <xdr:grpSp>
      <xdr:nvGrpSpPr>
        <xdr:cNvPr id="9" name="Group 8">
          <a:extLst>
            <a:ext uri="{FF2B5EF4-FFF2-40B4-BE49-F238E27FC236}">
              <a16:creationId xmlns:a16="http://schemas.microsoft.com/office/drawing/2014/main" id="{D8F243B0-F683-44FB-A107-F946E31F9A0E}"/>
            </a:ext>
          </a:extLst>
        </xdr:cNvPr>
        <xdr:cNvGrpSpPr/>
      </xdr:nvGrpSpPr>
      <xdr:grpSpPr>
        <a:xfrm>
          <a:off x="38102" y="10096500"/>
          <a:ext cx="3291838" cy="1019174"/>
          <a:chOff x="38102" y="9572624"/>
          <a:chExt cx="3409948" cy="1095375"/>
        </a:xfrm>
      </xdr:grpSpPr>
      <xdr:pic>
        <xdr:nvPicPr>
          <xdr:cNvPr id="3" name="Picture 2">
            <a:extLst>
              <a:ext uri="{FF2B5EF4-FFF2-40B4-BE49-F238E27FC236}">
                <a16:creationId xmlns:a16="http://schemas.microsoft.com/office/drawing/2014/main" id="{2753CF0E-33D1-465B-9AB5-C2E84D5632EE}"/>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8102" y="9580001"/>
            <a:ext cx="1130236" cy="1069761"/>
          </a:xfrm>
          <a:prstGeom prst="snip2DiagRect">
            <a:avLst/>
          </a:prstGeom>
          <a:solidFill>
            <a:srgbClr val="FFFFFF">
              <a:shade val="85000"/>
            </a:srgbClr>
          </a:solidFill>
          <a:ln w="88900" cap="sq">
            <a:solidFill>
              <a:srgbClr val="FFFFFF"/>
            </a:solidFill>
            <a:miter lim="800000"/>
          </a:ln>
          <a:effectLst/>
          <a:scene3d>
            <a:camera prst="orthographicFront"/>
            <a:lightRig rig="twoPt" dir="t">
              <a:rot lat="0" lon="0" rev="7200000"/>
            </a:lightRig>
          </a:scene3d>
          <a:sp3d>
            <a:bevelT w="25400" h="19050"/>
            <a:contourClr>
              <a:srgbClr val="FFFFFF"/>
            </a:contourClr>
          </a:sp3d>
        </xdr:spPr>
      </xdr:pic>
      <xdr:pic>
        <xdr:nvPicPr>
          <xdr:cNvPr id="4" name="Picture 3">
            <a:extLst>
              <a:ext uri="{FF2B5EF4-FFF2-40B4-BE49-F238E27FC236}">
                <a16:creationId xmlns:a16="http://schemas.microsoft.com/office/drawing/2014/main" id="{5E0A03E0-5611-4A21-A8F3-4D5858798402}"/>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238213" y="9563099"/>
            <a:ext cx="1124526" cy="1095375"/>
          </a:xfrm>
          <a:prstGeom prst="snip2DiagRect">
            <a:avLst/>
          </a:prstGeom>
          <a:solidFill>
            <a:srgbClr val="FFFFFF">
              <a:shade val="85000"/>
            </a:srgbClr>
          </a:solidFill>
          <a:ln w="88900" cap="sq">
            <a:solidFill>
              <a:srgbClr val="FFFFFF"/>
            </a:solidFill>
            <a:miter lim="800000"/>
          </a:ln>
          <a:effectLst/>
          <a:scene3d>
            <a:camera prst="orthographicFront"/>
            <a:lightRig rig="twoPt" dir="t">
              <a:rot lat="0" lon="0" rev="7200000"/>
            </a:lightRig>
          </a:scene3d>
          <a:sp3d>
            <a:bevelT w="25400" h="19050"/>
            <a:contourClr>
              <a:srgbClr val="FFFFFF"/>
            </a:contourClr>
          </a:sp3d>
        </xdr:spPr>
      </xdr:pic>
      <xdr:pic>
        <xdr:nvPicPr>
          <xdr:cNvPr id="5" name="Picture 4">
            <a:extLst>
              <a:ext uri="{FF2B5EF4-FFF2-40B4-BE49-F238E27FC236}">
                <a16:creationId xmlns:a16="http://schemas.microsoft.com/office/drawing/2014/main" id="{3FE1AA98-3B1B-4611-A305-6D54211561CF}"/>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418467" y="9563099"/>
            <a:ext cx="1105783" cy="1095375"/>
          </a:xfrm>
          <a:prstGeom prst="snip2DiagRect">
            <a:avLst/>
          </a:prstGeom>
          <a:solidFill>
            <a:srgbClr val="FFFFFF">
              <a:shade val="85000"/>
            </a:srgbClr>
          </a:solidFill>
          <a:ln w="88900" cap="sq">
            <a:solidFill>
              <a:srgbClr val="FFFFFF"/>
            </a:solidFill>
            <a:miter lim="800000"/>
          </a:ln>
          <a:effectLst/>
          <a:scene3d>
            <a:camera prst="orthographicFront"/>
            <a:lightRig rig="twoPt" dir="t">
              <a:rot lat="0" lon="0" rev="7200000"/>
            </a:lightRig>
          </a:scene3d>
          <a:sp3d>
            <a:bevelT w="25400" h="19050"/>
            <a:contourClr>
              <a:srgbClr val="FFFFFF"/>
            </a:contourClr>
          </a:sp3d>
        </xdr:spPr>
      </xdr:pic>
    </xdr:grpSp>
    <xdr:clientData/>
  </xdr:twoCellAnchor>
  <xdr:twoCellAnchor editAs="oneCell">
    <xdr:from>
      <xdr:col>8</xdr:col>
      <xdr:colOff>924399</xdr:colOff>
      <xdr:row>7</xdr:row>
      <xdr:rowOff>152065</xdr:rowOff>
    </xdr:from>
    <xdr:to>
      <xdr:col>10</xdr:col>
      <xdr:colOff>778383</xdr:colOff>
      <xdr:row>17</xdr:row>
      <xdr:rowOff>6049</xdr:rowOff>
    </xdr:to>
    <xdr:pic>
      <xdr:nvPicPr>
        <xdr:cNvPr id="7" name="Picture 6">
          <a:hlinkClick xmlns:r="http://schemas.openxmlformats.org/officeDocument/2006/relationships" r:id="rId5"/>
          <a:extLst>
            <a:ext uri="{FF2B5EF4-FFF2-40B4-BE49-F238E27FC236}">
              <a16:creationId xmlns:a16="http://schemas.microsoft.com/office/drawing/2014/main" id="{E2785421-4F44-41E3-8F62-C4913B9C2176}"/>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xdr:blipFill>
      <xdr:spPr>
        <a:xfrm>
          <a:off x="5915499" y="1495090"/>
          <a:ext cx="1911384" cy="1911384"/>
        </a:xfrm>
        <a:prstGeom prst="rect">
          <a:avLst/>
        </a:prstGeom>
        <a:scene3d>
          <a:camera prst="orthographicFront"/>
          <a:lightRig rig="threePt" dir="t"/>
        </a:scene3d>
        <a:sp3d>
          <a:bevelT/>
        </a:sp3d>
      </xdr:spPr>
    </xdr:pic>
    <xdr:clientData/>
  </xdr:twoCellAnchor>
  <xdr:twoCellAnchor editAs="oneCell">
    <xdr:from>
      <xdr:col>0</xdr:col>
      <xdr:colOff>0</xdr:colOff>
      <xdr:row>59</xdr:row>
      <xdr:rowOff>164465</xdr:rowOff>
    </xdr:from>
    <xdr:to>
      <xdr:col>11</xdr:col>
      <xdr:colOff>169545</xdr:colOff>
      <xdr:row>87</xdr:row>
      <xdr:rowOff>1524</xdr:rowOff>
    </xdr:to>
    <xdr:pic>
      <xdr:nvPicPr>
        <xdr:cNvPr id="8" name="Picture 7">
          <a:extLst>
            <a:ext uri="{FF2B5EF4-FFF2-40B4-BE49-F238E27FC236}">
              <a16:creationId xmlns:a16="http://schemas.microsoft.com/office/drawing/2014/main" id="{3DA85F0A-D09A-9576-000F-5D9786805DFE}"/>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12937490"/>
          <a:ext cx="8427720" cy="4904359"/>
        </a:xfrm>
        <a:prstGeom prst="rect">
          <a:avLst/>
        </a:prstGeom>
      </xdr:spPr>
    </xdr:pic>
    <xdr:clientData/>
  </xdr:twoCellAnchor>
  <xdr:twoCellAnchor editAs="oneCell">
    <xdr:from>
      <xdr:col>8</xdr:col>
      <xdr:colOff>857250</xdr:colOff>
      <xdr:row>4</xdr:row>
      <xdr:rowOff>56324</xdr:rowOff>
    </xdr:from>
    <xdr:to>
      <xdr:col>9</xdr:col>
      <xdr:colOff>247650</xdr:colOff>
      <xdr:row>6</xdr:row>
      <xdr:rowOff>134897</xdr:rowOff>
    </xdr:to>
    <xdr:pic>
      <xdr:nvPicPr>
        <xdr:cNvPr id="10" name="Graphic 9" descr="Telephone with solid fill">
          <a:extLst>
            <a:ext uri="{FF2B5EF4-FFF2-40B4-BE49-F238E27FC236}">
              <a16:creationId xmlns:a16="http://schemas.microsoft.com/office/drawing/2014/main" id="{1B288ACF-AF98-535B-D1A7-ECDD3EE14AB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 uri="{96DAC541-7B7A-43D3-8B79-37D633B846F1}">
              <asvg:svgBlip xmlns:asvg="http://schemas.microsoft.com/office/drawing/2016/SVG/main" r:embed="rId9"/>
            </a:ext>
          </a:extLst>
        </a:blip>
        <a:stretch>
          <a:fillRect/>
        </a:stretch>
      </xdr:blipFill>
      <xdr:spPr>
        <a:xfrm>
          <a:off x="5981700" y="789749"/>
          <a:ext cx="483870" cy="448143"/>
        </a:xfrm>
        <a:prstGeom prst="rect">
          <a:avLst/>
        </a:prstGeom>
      </xdr:spPr>
    </xdr:pic>
    <xdr:clientData/>
  </xdr:twoCellAnchor>
  <xdr:twoCellAnchor editAs="oneCell">
    <xdr:from>
      <xdr:col>4</xdr:col>
      <xdr:colOff>253365</xdr:colOff>
      <xdr:row>51</xdr:row>
      <xdr:rowOff>179070</xdr:rowOff>
    </xdr:from>
    <xdr:to>
      <xdr:col>4</xdr:col>
      <xdr:colOff>435402</xdr:colOff>
      <xdr:row>51</xdr:row>
      <xdr:rowOff>360045</xdr:rowOff>
    </xdr:to>
    <xdr:pic>
      <xdr:nvPicPr>
        <xdr:cNvPr id="12" name="Graphic 11" descr="Harvey Balls 100% with solid fill">
          <a:extLst>
            <a:ext uri="{FF2B5EF4-FFF2-40B4-BE49-F238E27FC236}">
              <a16:creationId xmlns:a16="http://schemas.microsoft.com/office/drawing/2014/main" id="{4ED737A8-D556-5AC8-1D1A-3A6CC9F4585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 uri="{96DAC541-7B7A-43D3-8B79-37D633B846F1}">
              <asvg:svgBlip xmlns:asvg="http://schemas.microsoft.com/office/drawing/2016/SVG/main" r:embed="rId11"/>
            </a:ext>
          </a:extLst>
        </a:blip>
        <a:stretch>
          <a:fillRect/>
        </a:stretch>
      </xdr:blipFill>
      <xdr:spPr>
        <a:xfrm>
          <a:off x="2891790" y="11237595"/>
          <a:ext cx="185847" cy="184785"/>
        </a:xfrm>
        <a:prstGeom prst="rect">
          <a:avLst/>
        </a:prstGeom>
      </xdr:spPr>
    </xdr:pic>
    <xdr:clientData/>
  </xdr:twoCellAnchor>
  <xdr:twoCellAnchor editAs="oneCell">
    <xdr:from>
      <xdr:col>6</xdr:col>
      <xdr:colOff>638175</xdr:colOff>
      <xdr:row>51</xdr:row>
      <xdr:rowOff>182880</xdr:rowOff>
    </xdr:from>
    <xdr:to>
      <xdr:col>7</xdr:col>
      <xdr:colOff>1062</xdr:colOff>
      <xdr:row>51</xdr:row>
      <xdr:rowOff>360045</xdr:rowOff>
    </xdr:to>
    <xdr:pic>
      <xdr:nvPicPr>
        <xdr:cNvPr id="13" name="Graphic 12" descr="Harvey Balls 100% with solid fill">
          <a:extLst>
            <a:ext uri="{FF2B5EF4-FFF2-40B4-BE49-F238E27FC236}">
              <a16:creationId xmlns:a16="http://schemas.microsoft.com/office/drawing/2014/main" id="{51E24B45-7E81-49C4-9924-27CA132D5C6B}"/>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 uri="{96DAC541-7B7A-43D3-8B79-37D633B846F1}">
              <asvg:svgBlip xmlns:asvg="http://schemas.microsoft.com/office/drawing/2016/SVG/main" r:embed="rId11"/>
            </a:ext>
          </a:extLst>
        </a:blip>
        <a:stretch>
          <a:fillRect/>
        </a:stretch>
      </xdr:blipFill>
      <xdr:spPr>
        <a:xfrm>
          <a:off x="4314825" y="11241405"/>
          <a:ext cx="178227" cy="186690"/>
        </a:xfrm>
        <a:prstGeom prst="rect">
          <a:avLst/>
        </a:prstGeom>
      </xdr:spPr>
    </xdr:pic>
    <xdr:clientData/>
  </xdr:twoCellAnchor>
  <xdr:twoCellAnchor editAs="oneCell">
    <xdr:from>
      <xdr:col>8</xdr:col>
      <xdr:colOff>459105</xdr:colOff>
      <xdr:row>51</xdr:row>
      <xdr:rowOff>169545</xdr:rowOff>
    </xdr:from>
    <xdr:to>
      <xdr:col>8</xdr:col>
      <xdr:colOff>627807</xdr:colOff>
      <xdr:row>51</xdr:row>
      <xdr:rowOff>358140</xdr:rowOff>
    </xdr:to>
    <xdr:pic>
      <xdr:nvPicPr>
        <xdr:cNvPr id="14" name="Graphic 13" descr="Harvey Balls 100% with solid fill">
          <a:extLst>
            <a:ext uri="{FF2B5EF4-FFF2-40B4-BE49-F238E27FC236}">
              <a16:creationId xmlns:a16="http://schemas.microsoft.com/office/drawing/2014/main" id="{41B0E8F1-3BB5-44A4-A2CA-1F6EDD781A91}"/>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 uri="{96DAC541-7B7A-43D3-8B79-37D633B846F1}">
              <asvg:svgBlip xmlns:asvg="http://schemas.microsoft.com/office/drawing/2016/SVG/main" r:embed="rId11"/>
            </a:ext>
          </a:extLst>
        </a:blip>
        <a:stretch>
          <a:fillRect/>
        </a:stretch>
      </xdr:blipFill>
      <xdr:spPr>
        <a:xfrm>
          <a:off x="5583555" y="11228070"/>
          <a:ext cx="182037" cy="192405"/>
        </a:xfrm>
        <a:prstGeom prst="rect">
          <a:avLst/>
        </a:prstGeom>
      </xdr:spPr>
    </xdr:pic>
    <xdr:clientData/>
  </xdr:twoCellAnchor>
  <xdr:twoCellAnchor editAs="oneCell">
    <xdr:from>
      <xdr:col>9</xdr:col>
      <xdr:colOff>601980</xdr:colOff>
      <xdr:row>51</xdr:row>
      <xdr:rowOff>182880</xdr:rowOff>
    </xdr:from>
    <xdr:to>
      <xdr:col>9</xdr:col>
      <xdr:colOff>782112</xdr:colOff>
      <xdr:row>51</xdr:row>
      <xdr:rowOff>363855</xdr:rowOff>
    </xdr:to>
    <xdr:pic>
      <xdr:nvPicPr>
        <xdr:cNvPr id="15" name="Graphic 14" descr="Harvey Balls 100% with solid fill">
          <a:extLst>
            <a:ext uri="{FF2B5EF4-FFF2-40B4-BE49-F238E27FC236}">
              <a16:creationId xmlns:a16="http://schemas.microsoft.com/office/drawing/2014/main" id="{5F474D8D-421B-49F1-9836-0AE42E6B6B6E}"/>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 uri="{96DAC541-7B7A-43D3-8B79-37D633B846F1}">
              <asvg:svgBlip xmlns:asvg="http://schemas.microsoft.com/office/drawing/2016/SVG/main" r:embed="rId11"/>
            </a:ext>
          </a:extLst>
        </a:blip>
        <a:stretch>
          <a:fillRect/>
        </a:stretch>
      </xdr:blipFill>
      <xdr:spPr>
        <a:xfrm>
          <a:off x="6831330" y="11241405"/>
          <a:ext cx="170607" cy="18478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215870</xdr:colOff>
      <xdr:row>36</xdr:row>
      <xdr:rowOff>204740</xdr:rowOff>
    </xdr:from>
    <xdr:to>
      <xdr:col>8</xdr:col>
      <xdr:colOff>236074</xdr:colOff>
      <xdr:row>36</xdr:row>
      <xdr:rowOff>594206</xdr:rowOff>
    </xdr:to>
    <xdr:sp macro="" textlink="">
      <xdr:nvSpPr>
        <xdr:cNvPr id="2" name="TextBox 1">
          <a:extLst>
            <a:ext uri="{FF2B5EF4-FFF2-40B4-BE49-F238E27FC236}">
              <a16:creationId xmlns:a16="http://schemas.microsoft.com/office/drawing/2014/main" id="{29DF7BC1-C9E9-4486-8638-E169EE2022A5}"/>
            </a:ext>
          </a:extLst>
        </xdr:cNvPr>
        <xdr:cNvSpPr txBox="1"/>
      </xdr:nvSpPr>
      <xdr:spPr>
        <a:xfrm>
          <a:off x="817850" y="7131320"/>
          <a:ext cx="4234064" cy="8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2000" b="1">
              <a:ln>
                <a:noFill/>
              </a:ln>
            </a:rPr>
            <a:t>HOW TO ORDER YOUR PERFECT SHUTTERS</a:t>
          </a:r>
        </a:p>
      </xdr:txBody>
    </xdr:sp>
    <xdr:clientData/>
  </xdr:twoCellAnchor>
  <xdr:twoCellAnchor>
    <xdr:from>
      <xdr:col>1</xdr:col>
      <xdr:colOff>215870</xdr:colOff>
      <xdr:row>36</xdr:row>
      <xdr:rowOff>587577</xdr:rowOff>
    </xdr:from>
    <xdr:to>
      <xdr:col>8</xdr:col>
      <xdr:colOff>236074</xdr:colOff>
      <xdr:row>36</xdr:row>
      <xdr:rowOff>909310</xdr:rowOff>
    </xdr:to>
    <xdr:sp macro="" textlink="">
      <xdr:nvSpPr>
        <xdr:cNvPr id="3" name="TextBox 2">
          <a:extLst>
            <a:ext uri="{FF2B5EF4-FFF2-40B4-BE49-F238E27FC236}">
              <a16:creationId xmlns:a16="http://schemas.microsoft.com/office/drawing/2014/main" id="{DCBEF975-F9AD-4B9C-AF45-3039F41AB599}"/>
            </a:ext>
          </a:extLst>
        </xdr:cNvPr>
        <xdr:cNvSpPr txBox="1"/>
      </xdr:nvSpPr>
      <xdr:spPr>
        <a:xfrm>
          <a:off x="817850" y="7133157"/>
          <a:ext cx="4234064" cy="16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b="0">
              <a:ln>
                <a:noFill/>
              </a:ln>
            </a:rPr>
            <a:t>It's easy to order your Perfect Shutters with 3 convenient ways to pay your deposit.</a:t>
          </a:r>
        </a:p>
      </xdr:txBody>
    </xdr:sp>
    <xdr:clientData/>
  </xdr:twoCellAnchor>
  <xdr:twoCellAnchor>
    <xdr:from>
      <xdr:col>3</xdr:col>
      <xdr:colOff>470427</xdr:colOff>
      <xdr:row>36</xdr:row>
      <xdr:rowOff>1112820</xdr:rowOff>
    </xdr:from>
    <xdr:to>
      <xdr:col>6</xdr:col>
      <xdr:colOff>495827</xdr:colOff>
      <xdr:row>36</xdr:row>
      <xdr:rowOff>3362244</xdr:rowOff>
    </xdr:to>
    <xdr:sp macro="" textlink="">
      <xdr:nvSpPr>
        <xdr:cNvPr id="4" name="Rounded Rectangle 20">
          <a:extLst>
            <a:ext uri="{FF2B5EF4-FFF2-40B4-BE49-F238E27FC236}">
              <a16:creationId xmlns:a16="http://schemas.microsoft.com/office/drawing/2014/main" id="{02766EAF-A308-4C07-9C01-28F7F67B4772}"/>
            </a:ext>
          </a:extLst>
        </xdr:cNvPr>
        <xdr:cNvSpPr/>
      </xdr:nvSpPr>
      <xdr:spPr>
        <a:xfrm>
          <a:off x="2276367" y="7132620"/>
          <a:ext cx="1831340" cy="1524"/>
        </a:xfrm>
        <a:prstGeom prst="roundRect">
          <a:avLst>
            <a:gd name="adj" fmla="val 0"/>
          </a:avLst>
        </a:prstGeom>
        <a:solidFill>
          <a:srgbClr val="D9F9E8"/>
        </a:solidFill>
        <a:ln>
          <a:noFill/>
        </a:ln>
      </xdr:spPr>
      <xdr:style>
        <a:lnRef idx="2">
          <a:schemeClr val="accent6">
            <a:shade val="15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GB" sz="1100"/>
        </a:p>
      </xdr:txBody>
    </xdr:sp>
    <xdr:clientData/>
  </xdr:twoCellAnchor>
  <xdr:twoCellAnchor>
    <xdr:from>
      <xdr:col>4</xdr:col>
      <xdr:colOff>97894</xdr:colOff>
      <xdr:row>36</xdr:row>
      <xdr:rowOff>2158299</xdr:rowOff>
    </xdr:from>
    <xdr:to>
      <xdr:col>5</xdr:col>
      <xdr:colOff>868360</xdr:colOff>
      <xdr:row>36</xdr:row>
      <xdr:rowOff>2504594</xdr:rowOff>
    </xdr:to>
    <xdr:sp macro="" textlink="">
      <xdr:nvSpPr>
        <xdr:cNvPr id="5" name="TextBox 4">
          <a:extLst>
            <a:ext uri="{FF2B5EF4-FFF2-40B4-BE49-F238E27FC236}">
              <a16:creationId xmlns:a16="http://schemas.microsoft.com/office/drawing/2014/main" id="{F1398D42-14CB-4DA7-9F16-33ADD2FD02C9}"/>
            </a:ext>
          </a:extLst>
        </xdr:cNvPr>
        <xdr:cNvSpPr txBox="1"/>
      </xdr:nvSpPr>
      <xdr:spPr>
        <a:xfrm>
          <a:off x="2505814" y="7134159"/>
          <a:ext cx="1105746"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b="1"/>
            <a:t>Online Banking</a:t>
          </a:r>
          <a:endParaRPr lang="en-GB" sz="1400"/>
        </a:p>
      </xdr:txBody>
    </xdr:sp>
    <xdr:clientData/>
  </xdr:twoCellAnchor>
  <xdr:twoCellAnchor>
    <xdr:from>
      <xdr:col>3</xdr:col>
      <xdr:colOff>495828</xdr:colOff>
      <xdr:row>36</xdr:row>
      <xdr:rowOff>2538093</xdr:rowOff>
    </xdr:from>
    <xdr:to>
      <xdr:col>6</xdr:col>
      <xdr:colOff>470428</xdr:colOff>
      <xdr:row>36</xdr:row>
      <xdr:rowOff>3300461</xdr:rowOff>
    </xdr:to>
    <xdr:sp macro="" textlink="">
      <xdr:nvSpPr>
        <xdr:cNvPr id="6" name="TextBox 5">
          <a:extLst>
            <a:ext uri="{FF2B5EF4-FFF2-40B4-BE49-F238E27FC236}">
              <a16:creationId xmlns:a16="http://schemas.microsoft.com/office/drawing/2014/main" id="{00DF7653-53A4-4836-8839-C8DAB48306A8}"/>
            </a:ext>
          </a:extLst>
        </xdr:cNvPr>
        <xdr:cNvSpPr txBox="1"/>
      </xdr:nvSpPr>
      <xdr:spPr>
        <a:xfrm>
          <a:off x="2301768" y="7132953"/>
          <a:ext cx="1780540" cy="3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nchorCtr="0"/>
        <a:lstStyle/>
        <a:p>
          <a:pPr algn="ctr"/>
          <a:r>
            <a:rPr lang="en-GB" sz="1100"/>
            <a:t>Quote</a:t>
          </a:r>
          <a:r>
            <a:rPr lang="en-GB" sz="1100" baseline="0"/>
            <a:t> </a:t>
          </a:r>
          <a:r>
            <a:rPr lang="en-GB" sz="1100"/>
            <a:t>your Surname and Reference Number above. </a:t>
          </a:r>
          <a:r>
            <a:rPr lang="en-GB" sz="1100" b="1"/>
            <a:t>Bank Details: "Perfect Shutters Ltd" </a:t>
          </a:r>
        </a:p>
        <a:p>
          <a:pPr algn="ctr"/>
          <a:r>
            <a:rPr lang="en-GB" sz="1100" b="1"/>
            <a:t>Sort code: 60-13-19 / Acc Number: 45247218</a:t>
          </a:r>
        </a:p>
        <a:p>
          <a:pPr algn="ctr"/>
          <a:endParaRPr lang="en-GB" sz="1100"/>
        </a:p>
      </xdr:txBody>
    </xdr:sp>
    <xdr:clientData/>
  </xdr:twoCellAnchor>
  <xdr:twoCellAnchor>
    <xdr:from>
      <xdr:col>4</xdr:col>
      <xdr:colOff>720195</xdr:colOff>
      <xdr:row>36</xdr:row>
      <xdr:rowOff>1397294</xdr:rowOff>
    </xdr:from>
    <xdr:to>
      <xdr:col>5</xdr:col>
      <xdr:colOff>246061</xdr:colOff>
      <xdr:row>36</xdr:row>
      <xdr:rowOff>2044994</xdr:rowOff>
    </xdr:to>
    <xdr:pic>
      <xdr:nvPicPr>
        <xdr:cNvPr id="7" name="Picture 6">
          <a:extLst>
            <a:ext uri="{FF2B5EF4-FFF2-40B4-BE49-F238E27FC236}">
              <a16:creationId xmlns:a16="http://schemas.microsoft.com/office/drawing/2014/main" id="{DFDA7A14-F2BD-463B-A798-440430361FF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006195" y="7135154"/>
          <a:ext cx="249766" cy="0"/>
        </a:xfrm>
        <a:prstGeom prst="rect">
          <a:avLst/>
        </a:prstGeom>
      </xdr:spPr>
    </xdr:pic>
    <xdr:clientData/>
  </xdr:twoCellAnchor>
  <xdr:twoCellAnchor>
    <xdr:from>
      <xdr:col>0</xdr:col>
      <xdr:colOff>163580</xdr:colOff>
      <xdr:row>36</xdr:row>
      <xdr:rowOff>1110756</xdr:rowOff>
    </xdr:from>
    <xdr:to>
      <xdr:col>3</xdr:col>
      <xdr:colOff>188980</xdr:colOff>
      <xdr:row>36</xdr:row>
      <xdr:rowOff>3360180</xdr:rowOff>
    </xdr:to>
    <xdr:sp macro="" textlink="">
      <xdr:nvSpPr>
        <xdr:cNvPr id="8" name="Rounded Rectangle 19">
          <a:extLst>
            <a:ext uri="{FF2B5EF4-FFF2-40B4-BE49-F238E27FC236}">
              <a16:creationId xmlns:a16="http://schemas.microsoft.com/office/drawing/2014/main" id="{8C518315-4768-4943-A8F2-FA255AB9993D}"/>
            </a:ext>
          </a:extLst>
        </xdr:cNvPr>
        <xdr:cNvSpPr/>
      </xdr:nvSpPr>
      <xdr:spPr>
        <a:xfrm>
          <a:off x="163580" y="7130556"/>
          <a:ext cx="1831340" cy="1524"/>
        </a:xfrm>
        <a:prstGeom prst="roundRect">
          <a:avLst>
            <a:gd name="adj" fmla="val 0"/>
          </a:avLst>
        </a:prstGeom>
        <a:solidFill>
          <a:srgbClr val="D9F9E8"/>
        </a:solidFill>
        <a:ln>
          <a:noFill/>
        </a:ln>
      </xdr:spPr>
      <xdr:style>
        <a:lnRef idx="2">
          <a:schemeClr val="accent6">
            <a:shade val="15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GB" sz="1100"/>
        </a:p>
      </xdr:txBody>
    </xdr:sp>
    <xdr:clientData/>
  </xdr:twoCellAnchor>
  <xdr:twoCellAnchor>
    <xdr:from>
      <xdr:col>0</xdr:col>
      <xdr:colOff>299000</xdr:colOff>
      <xdr:row>36</xdr:row>
      <xdr:rowOff>2538092</xdr:rowOff>
    </xdr:from>
    <xdr:to>
      <xdr:col>3</xdr:col>
      <xdr:colOff>53560</xdr:colOff>
      <xdr:row>36</xdr:row>
      <xdr:rowOff>3185160</xdr:rowOff>
    </xdr:to>
    <xdr:sp macro="" textlink="">
      <xdr:nvSpPr>
        <xdr:cNvPr id="9" name="TextBox 8">
          <a:extLst>
            <a:ext uri="{FF2B5EF4-FFF2-40B4-BE49-F238E27FC236}">
              <a16:creationId xmlns:a16="http://schemas.microsoft.com/office/drawing/2014/main" id="{DF05EEE1-E5DA-4B91-8647-E90F7A7130FA}"/>
            </a:ext>
          </a:extLst>
        </xdr:cNvPr>
        <xdr:cNvSpPr txBox="1"/>
      </xdr:nvSpPr>
      <xdr:spPr>
        <a:xfrm>
          <a:off x="299000" y="16398872"/>
          <a:ext cx="2589200" cy="6470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baseline="0"/>
            <a:t>Call our team to P</a:t>
          </a:r>
          <a:r>
            <a:rPr lang="en-GB" sz="1100"/>
            <a:t>ay by</a:t>
          </a:r>
          <a:r>
            <a:rPr lang="en-GB" sz="1100" baseline="0"/>
            <a:t> Debit or Credit card.</a:t>
          </a:r>
        </a:p>
        <a:p>
          <a:pPr algn="ctr"/>
          <a:r>
            <a:rPr lang="en-GB" sz="1100"/>
            <a:t> </a:t>
          </a:r>
          <a:r>
            <a:rPr lang="en-GB" sz="1100" b="1"/>
            <a:t>Telephone</a:t>
          </a:r>
          <a:r>
            <a:rPr lang="en-GB" sz="1100" b="1" baseline="0"/>
            <a:t> </a:t>
          </a:r>
          <a:r>
            <a:rPr lang="en-GB" sz="1100" b="1"/>
            <a:t>0300 373 2526 </a:t>
          </a:r>
        </a:p>
      </xdr:txBody>
    </xdr:sp>
    <xdr:clientData/>
  </xdr:twoCellAnchor>
  <xdr:twoCellAnchor>
    <xdr:from>
      <xdr:col>1</xdr:col>
      <xdr:colOff>311747</xdr:colOff>
      <xdr:row>36</xdr:row>
      <xdr:rowOff>1397294</xdr:rowOff>
    </xdr:from>
    <xdr:to>
      <xdr:col>2</xdr:col>
      <xdr:colOff>40813</xdr:colOff>
      <xdr:row>36</xdr:row>
      <xdr:rowOff>2044994</xdr:rowOff>
    </xdr:to>
    <xdr:pic>
      <xdr:nvPicPr>
        <xdr:cNvPr id="10" name="Picture 9">
          <a:extLst>
            <a:ext uri="{FF2B5EF4-FFF2-40B4-BE49-F238E27FC236}">
              <a16:creationId xmlns:a16="http://schemas.microsoft.com/office/drawing/2014/main" id="{C80F0553-E8A6-4CC9-9E16-0C4B184745F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13727" y="7135154"/>
          <a:ext cx="331046" cy="0"/>
        </a:xfrm>
        <a:prstGeom prst="rect">
          <a:avLst/>
        </a:prstGeom>
      </xdr:spPr>
    </xdr:pic>
    <xdr:clientData/>
  </xdr:twoCellAnchor>
  <xdr:twoCellAnchor>
    <xdr:from>
      <xdr:col>0</xdr:col>
      <xdr:colOff>849380</xdr:colOff>
      <xdr:row>36</xdr:row>
      <xdr:rowOff>2158299</xdr:rowOff>
    </xdr:from>
    <xdr:to>
      <xdr:col>2</xdr:col>
      <xdr:colOff>561513</xdr:colOff>
      <xdr:row>36</xdr:row>
      <xdr:rowOff>2504594</xdr:rowOff>
    </xdr:to>
    <xdr:sp macro="" textlink="">
      <xdr:nvSpPr>
        <xdr:cNvPr id="11" name="TextBox 10">
          <a:extLst>
            <a:ext uri="{FF2B5EF4-FFF2-40B4-BE49-F238E27FC236}">
              <a16:creationId xmlns:a16="http://schemas.microsoft.com/office/drawing/2014/main" id="{3A27BCAD-1043-4454-B65F-5F8528CEC5D3}"/>
            </a:ext>
          </a:extLst>
        </xdr:cNvPr>
        <xdr:cNvSpPr txBox="1"/>
      </xdr:nvSpPr>
      <xdr:spPr>
        <a:xfrm>
          <a:off x="605540" y="7134159"/>
          <a:ext cx="115993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b="1"/>
            <a:t>Pay By Card</a:t>
          </a:r>
          <a:endParaRPr lang="en-GB" sz="1400"/>
        </a:p>
      </xdr:txBody>
    </xdr:sp>
    <xdr:clientData/>
  </xdr:twoCellAnchor>
  <xdr:twoCellAnchor>
    <xdr:from>
      <xdr:col>6</xdr:col>
      <xdr:colOff>777275</xdr:colOff>
      <xdr:row>36</xdr:row>
      <xdr:rowOff>1096819</xdr:rowOff>
    </xdr:from>
    <xdr:to>
      <xdr:col>9</xdr:col>
      <xdr:colOff>802675</xdr:colOff>
      <xdr:row>36</xdr:row>
      <xdr:rowOff>3346243</xdr:rowOff>
    </xdr:to>
    <xdr:sp macro="" textlink="">
      <xdr:nvSpPr>
        <xdr:cNvPr id="12" name="Rounded Rectangle 21">
          <a:extLst>
            <a:ext uri="{FF2B5EF4-FFF2-40B4-BE49-F238E27FC236}">
              <a16:creationId xmlns:a16="http://schemas.microsoft.com/office/drawing/2014/main" id="{168881A0-1AFD-4B9A-84F4-52EFF608831E}"/>
            </a:ext>
          </a:extLst>
        </xdr:cNvPr>
        <xdr:cNvSpPr/>
      </xdr:nvSpPr>
      <xdr:spPr>
        <a:xfrm>
          <a:off x="4213895" y="7131859"/>
          <a:ext cx="1808480" cy="1524"/>
        </a:xfrm>
        <a:prstGeom prst="roundRect">
          <a:avLst>
            <a:gd name="adj" fmla="val 0"/>
          </a:avLst>
        </a:prstGeom>
        <a:solidFill>
          <a:srgbClr val="D9F9E8"/>
        </a:solidFill>
        <a:ln>
          <a:noFill/>
        </a:ln>
      </xdr:spPr>
      <xdr:style>
        <a:lnRef idx="2">
          <a:schemeClr val="accent6">
            <a:shade val="15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GB" sz="1100"/>
        </a:p>
      </xdr:txBody>
    </xdr:sp>
    <xdr:clientData/>
  </xdr:twoCellAnchor>
  <xdr:twoCellAnchor>
    <xdr:from>
      <xdr:col>7</xdr:col>
      <xdr:colOff>222709</xdr:colOff>
      <xdr:row>36</xdr:row>
      <xdr:rowOff>2538092</xdr:rowOff>
    </xdr:from>
    <xdr:to>
      <xdr:col>9</xdr:col>
      <xdr:colOff>80891</xdr:colOff>
      <xdr:row>36</xdr:row>
      <xdr:rowOff>3147059</xdr:rowOff>
    </xdr:to>
    <xdr:sp macro="" textlink="">
      <xdr:nvSpPr>
        <xdr:cNvPr id="13" name="TextBox 12">
          <a:extLst>
            <a:ext uri="{FF2B5EF4-FFF2-40B4-BE49-F238E27FC236}">
              <a16:creationId xmlns:a16="http://schemas.microsoft.com/office/drawing/2014/main" id="{BFDA438C-B0AA-44A9-8265-A10B0B2F97BF}"/>
            </a:ext>
          </a:extLst>
        </xdr:cNvPr>
        <xdr:cNvSpPr txBox="1"/>
      </xdr:nvSpPr>
      <xdr:spPr>
        <a:xfrm>
          <a:off x="6836869" y="16398872"/>
          <a:ext cx="1747942" cy="6089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nchorCtr="0"/>
        <a:lstStyle/>
        <a:p>
          <a:pPr algn="ctr"/>
          <a:r>
            <a:rPr lang="en-GB" sz="1100"/>
            <a:t>Pay your deposit at one of our 5 North West Showrooms.</a:t>
          </a:r>
        </a:p>
      </xdr:txBody>
    </xdr:sp>
    <xdr:clientData/>
  </xdr:twoCellAnchor>
  <xdr:twoCellAnchor>
    <xdr:from>
      <xdr:col>7</xdr:col>
      <xdr:colOff>880992</xdr:colOff>
      <xdr:row>36</xdr:row>
      <xdr:rowOff>1397294</xdr:rowOff>
    </xdr:from>
    <xdr:to>
      <xdr:col>8</xdr:col>
      <xdr:colOff>698958</xdr:colOff>
      <xdr:row>36</xdr:row>
      <xdr:rowOff>2044994</xdr:rowOff>
    </xdr:to>
    <xdr:pic>
      <xdr:nvPicPr>
        <xdr:cNvPr id="14" name="Picture 13">
          <a:extLst>
            <a:ext uri="{FF2B5EF4-FFF2-40B4-BE49-F238E27FC236}">
              <a16:creationId xmlns:a16="http://schemas.microsoft.com/office/drawing/2014/main" id="{3AC6AB30-07F4-4FF7-857E-61C8C2C55E35}"/>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4812912" y="7135154"/>
          <a:ext cx="602826" cy="0"/>
        </a:xfrm>
        <a:prstGeom prst="rect">
          <a:avLst/>
        </a:prstGeom>
      </xdr:spPr>
    </xdr:pic>
    <xdr:clientData/>
  </xdr:twoCellAnchor>
  <xdr:twoCellAnchor>
    <xdr:from>
      <xdr:col>7</xdr:col>
      <xdr:colOff>404742</xdr:colOff>
      <xdr:row>36</xdr:row>
      <xdr:rowOff>2158299</xdr:rowOff>
    </xdr:from>
    <xdr:to>
      <xdr:col>9</xdr:col>
      <xdr:colOff>116875</xdr:colOff>
      <xdr:row>36</xdr:row>
      <xdr:rowOff>2504594</xdr:rowOff>
    </xdr:to>
    <xdr:sp macro="" textlink="">
      <xdr:nvSpPr>
        <xdr:cNvPr id="15" name="TextBox 14">
          <a:extLst>
            <a:ext uri="{FF2B5EF4-FFF2-40B4-BE49-F238E27FC236}">
              <a16:creationId xmlns:a16="http://schemas.microsoft.com/office/drawing/2014/main" id="{3B5CCDE0-AAC2-4232-9700-6926C9560715}"/>
            </a:ext>
          </a:extLst>
        </xdr:cNvPr>
        <xdr:cNvSpPr txBox="1"/>
      </xdr:nvSpPr>
      <xdr:spPr>
        <a:xfrm>
          <a:off x="4618602" y="7134159"/>
          <a:ext cx="91609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600" b="1"/>
            <a:t>Visit a </a:t>
          </a:r>
          <a:r>
            <a:rPr lang="en-GB" sz="1400" b="1"/>
            <a:t>Showroom</a:t>
          </a:r>
          <a:endParaRPr lang="en-GB" sz="1400"/>
        </a:p>
      </xdr:txBody>
    </xdr:sp>
    <xdr:clientData/>
  </xdr:twoCellAnchor>
  <xdr:twoCellAnchor>
    <xdr:from>
      <xdr:col>3</xdr:col>
      <xdr:colOff>498145</xdr:colOff>
      <xdr:row>38</xdr:row>
      <xdr:rowOff>4101421</xdr:rowOff>
    </xdr:from>
    <xdr:to>
      <xdr:col>6</xdr:col>
      <xdr:colOff>430004</xdr:colOff>
      <xdr:row>38</xdr:row>
      <xdr:rowOff>4542692</xdr:rowOff>
    </xdr:to>
    <xdr:sp macro="" textlink="">
      <xdr:nvSpPr>
        <xdr:cNvPr id="16" name="TextBox 15">
          <a:extLst>
            <a:ext uri="{FF2B5EF4-FFF2-40B4-BE49-F238E27FC236}">
              <a16:creationId xmlns:a16="http://schemas.microsoft.com/office/drawing/2014/main" id="{0347B4D0-99EC-42A4-AF6E-028C58370766}"/>
            </a:ext>
          </a:extLst>
        </xdr:cNvPr>
        <xdr:cNvSpPr txBox="1"/>
      </xdr:nvSpPr>
      <xdr:spPr>
        <a:xfrm>
          <a:off x="3332785" y="21916981"/>
          <a:ext cx="2766499" cy="44127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600" b="1"/>
            <a:t>Shutters Crafted</a:t>
          </a:r>
          <a:r>
            <a:rPr lang="en-GB" sz="1600" b="1" baseline="0"/>
            <a:t> to Perfection</a:t>
          </a:r>
          <a:endParaRPr lang="en-GB" sz="1600"/>
        </a:p>
      </xdr:txBody>
    </xdr:sp>
    <xdr:clientData/>
  </xdr:twoCellAnchor>
  <xdr:twoCellAnchor>
    <xdr:from>
      <xdr:col>1</xdr:col>
      <xdr:colOff>248174</xdr:colOff>
      <xdr:row>38</xdr:row>
      <xdr:rowOff>190520</xdr:rowOff>
    </xdr:from>
    <xdr:to>
      <xdr:col>8</xdr:col>
      <xdr:colOff>266632</xdr:colOff>
      <xdr:row>38</xdr:row>
      <xdr:rowOff>647002</xdr:rowOff>
    </xdr:to>
    <xdr:sp macro="" textlink="">
      <xdr:nvSpPr>
        <xdr:cNvPr id="17" name="TextBox 16">
          <a:extLst>
            <a:ext uri="{FF2B5EF4-FFF2-40B4-BE49-F238E27FC236}">
              <a16:creationId xmlns:a16="http://schemas.microsoft.com/office/drawing/2014/main" id="{D91420FA-49D0-4C6C-A2C8-402DA115E96A}"/>
            </a:ext>
          </a:extLst>
        </xdr:cNvPr>
        <xdr:cNvSpPr txBox="1"/>
      </xdr:nvSpPr>
      <xdr:spPr>
        <a:xfrm>
          <a:off x="850154" y="7498100"/>
          <a:ext cx="4232318"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2000" b="1">
              <a:ln>
                <a:noFill/>
              </a:ln>
              <a:solidFill>
                <a:srgbClr val="212121"/>
              </a:solidFill>
            </a:rPr>
            <a:t>OUR SHUTTER SERVICE - FROM START TO</a:t>
          </a:r>
          <a:r>
            <a:rPr lang="en-GB" sz="2000" b="1" baseline="0">
              <a:ln>
                <a:noFill/>
              </a:ln>
              <a:solidFill>
                <a:srgbClr val="212121"/>
              </a:solidFill>
            </a:rPr>
            <a:t> FINISH</a:t>
          </a:r>
          <a:endParaRPr lang="en-GB" sz="2000" b="1">
            <a:ln>
              <a:noFill/>
            </a:ln>
            <a:solidFill>
              <a:srgbClr val="212121"/>
            </a:solidFill>
          </a:endParaRPr>
        </a:p>
      </xdr:txBody>
    </xdr:sp>
    <xdr:clientData/>
  </xdr:twoCellAnchor>
  <xdr:twoCellAnchor>
    <xdr:from>
      <xdr:col>1</xdr:col>
      <xdr:colOff>821487</xdr:colOff>
      <xdr:row>38</xdr:row>
      <xdr:rowOff>555016</xdr:rowOff>
    </xdr:from>
    <xdr:to>
      <xdr:col>7</xdr:col>
      <xdr:colOff>745605</xdr:colOff>
      <xdr:row>38</xdr:row>
      <xdr:rowOff>1142086</xdr:rowOff>
    </xdr:to>
    <xdr:sp macro="" textlink="">
      <xdr:nvSpPr>
        <xdr:cNvPr id="18" name="TextBox 17">
          <a:extLst>
            <a:ext uri="{FF2B5EF4-FFF2-40B4-BE49-F238E27FC236}">
              <a16:creationId xmlns:a16="http://schemas.microsoft.com/office/drawing/2014/main" id="{41B3D0D8-A7C2-4D53-8F9C-F568D81E8EA4}"/>
            </a:ext>
          </a:extLst>
        </xdr:cNvPr>
        <xdr:cNvSpPr txBox="1"/>
      </xdr:nvSpPr>
      <xdr:spPr>
        <a:xfrm>
          <a:off x="1202487" y="7496836"/>
          <a:ext cx="3612198" cy="3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b="0">
              <a:ln>
                <a:noFill/>
              </a:ln>
            </a:rPr>
            <a:t>Once you've paid your deposit, our shutter specialists will take care of everything, from final measure and manufacture to shutter installation.</a:t>
          </a:r>
        </a:p>
      </xdr:txBody>
    </xdr:sp>
    <xdr:clientData/>
  </xdr:twoCellAnchor>
  <xdr:twoCellAnchor>
    <xdr:from>
      <xdr:col>3</xdr:col>
      <xdr:colOff>498145</xdr:colOff>
      <xdr:row>38</xdr:row>
      <xdr:rowOff>4413910</xdr:rowOff>
    </xdr:from>
    <xdr:to>
      <xdr:col>6</xdr:col>
      <xdr:colOff>473501</xdr:colOff>
      <xdr:row>39</xdr:row>
      <xdr:rowOff>99060</xdr:rowOff>
    </xdr:to>
    <xdr:sp macro="" textlink="">
      <xdr:nvSpPr>
        <xdr:cNvPr id="19" name="TextBox 18">
          <a:extLst>
            <a:ext uri="{FF2B5EF4-FFF2-40B4-BE49-F238E27FC236}">
              <a16:creationId xmlns:a16="http://schemas.microsoft.com/office/drawing/2014/main" id="{4BAE86C2-0268-4460-9E19-286648AC1BE0}"/>
            </a:ext>
          </a:extLst>
        </xdr:cNvPr>
        <xdr:cNvSpPr txBox="1"/>
      </xdr:nvSpPr>
      <xdr:spPr>
        <a:xfrm>
          <a:off x="3332785" y="21795130"/>
          <a:ext cx="2809996" cy="8819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nchorCtr="0"/>
        <a:lstStyle/>
        <a:p>
          <a:pPr algn="ctr"/>
          <a:r>
            <a:rPr lang="en-GB" sz="1200"/>
            <a:t>Your shutters will be manufactured at the world’s foremost shutter production facility and quality checked with a 45-point Inspection.</a:t>
          </a:r>
        </a:p>
      </xdr:txBody>
    </xdr:sp>
    <xdr:clientData/>
  </xdr:twoCellAnchor>
  <xdr:twoCellAnchor>
    <xdr:from>
      <xdr:col>6</xdr:col>
      <xdr:colOff>886259</xdr:colOff>
      <xdr:row>38</xdr:row>
      <xdr:rowOff>4101421</xdr:rowOff>
    </xdr:from>
    <xdr:to>
      <xdr:col>9</xdr:col>
      <xdr:colOff>660242</xdr:colOff>
      <xdr:row>38</xdr:row>
      <xdr:rowOff>4542692</xdr:rowOff>
    </xdr:to>
    <xdr:sp macro="" textlink="">
      <xdr:nvSpPr>
        <xdr:cNvPr id="20" name="TextBox 19">
          <a:extLst>
            <a:ext uri="{FF2B5EF4-FFF2-40B4-BE49-F238E27FC236}">
              <a16:creationId xmlns:a16="http://schemas.microsoft.com/office/drawing/2014/main" id="{F0253E5C-5B0F-46DF-BA7F-39553FFD28A3}"/>
            </a:ext>
          </a:extLst>
        </xdr:cNvPr>
        <xdr:cNvSpPr txBox="1"/>
      </xdr:nvSpPr>
      <xdr:spPr>
        <a:xfrm>
          <a:off x="6555539" y="21916981"/>
          <a:ext cx="2608623" cy="44127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600" b="1"/>
            <a:t>Beautiful</a:t>
          </a:r>
          <a:r>
            <a:rPr lang="en-GB" sz="1600" b="1" baseline="0"/>
            <a:t> and</a:t>
          </a:r>
          <a:r>
            <a:rPr lang="en-GB" sz="1600" b="1"/>
            <a:t> Built to Last</a:t>
          </a:r>
          <a:endParaRPr lang="en-GB" sz="1600"/>
        </a:p>
      </xdr:txBody>
    </xdr:sp>
    <xdr:clientData/>
  </xdr:twoCellAnchor>
  <xdr:twoCellAnchor>
    <xdr:from>
      <xdr:col>6</xdr:col>
      <xdr:colOff>886259</xdr:colOff>
      <xdr:row>38</xdr:row>
      <xdr:rowOff>4413910</xdr:rowOff>
    </xdr:from>
    <xdr:to>
      <xdr:col>9</xdr:col>
      <xdr:colOff>915248</xdr:colOff>
      <xdr:row>39</xdr:row>
      <xdr:rowOff>121920</xdr:rowOff>
    </xdr:to>
    <xdr:sp macro="" textlink="">
      <xdr:nvSpPr>
        <xdr:cNvPr id="21" name="TextBox 20">
          <a:extLst>
            <a:ext uri="{FF2B5EF4-FFF2-40B4-BE49-F238E27FC236}">
              <a16:creationId xmlns:a16="http://schemas.microsoft.com/office/drawing/2014/main" id="{A2A90635-81CC-4EC8-994B-4A861F97D1B7}"/>
            </a:ext>
          </a:extLst>
        </xdr:cNvPr>
        <xdr:cNvSpPr txBox="1"/>
      </xdr:nvSpPr>
      <xdr:spPr>
        <a:xfrm>
          <a:off x="6555539" y="21795130"/>
          <a:ext cx="2863629" cy="904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ctr"/>
          <a:r>
            <a:rPr lang="en-GB" sz="1200"/>
            <a:t>Once your shutters are ready, our trained installers will fit them in your home. Perfect Shutters come with a 10-Year Guarantee.</a:t>
          </a:r>
          <a:endParaRPr lang="en-GB" sz="1200" b="1"/>
        </a:p>
      </xdr:txBody>
    </xdr:sp>
    <xdr:clientData/>
  </xdr:twoCellAnchor>
  <xdr:twoCellAnchor>
    <xdr:from>
      <xdr:col>0</xdr:col>
      <xdr:colOff>110031</xdr:colOff>
      <xdr:row>38</xdr:row>
      <xdr:rowOff>4101421</xdr:rowOff>
    </xdr:from>
    <xdr:to>
      <xdr:col>3</xdr:col>
      <xdr:colOff>127000</xdr:colOff>
      <xdr:row>38</xdr:row>
      <xdr:rowOff>4542692</xdr:rowOff>
    </xdr:to>
    <xdr:sp macro="" textlink="">
      <xdr:nvSpPr>
        <xdr:cNvPr id="22" name="TextBox 21">
          <a:extLst>
            <a:ext uri="{FF2B5EF4-FFF2-40B4-BE49-F238E27FC236}">
              <a16:creationId xmlns:a16="http://schemas.microsoft.com/office/drawing/2014/main" id="{1F724AD0-48F6-4BC7-B9E5-AD6C6EED95C5}"/>
            </a:ext>
          </a:extLst>
        </xdr:cNvPr>
        <xdr:cNvSpPr txBox="1"/>
      </xdr:nvSpPr>
      <xdr:spPr>
        <a:xfrm>
          <a:off x="110031" y="21916981"/>
          <a:ext cx="2851609" cy="44127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600" b="1"/>
            <a:t>Expert Measure and Design</a:t>
          </a:r>
          <a:endParaRPr lang="en-GB" sz="1600"/>
        </a:p>
      </xdr:txBody>
    </xdr:sp>
    <xdr:clientData/>
  </xdr:twoCellAnchor>
  <xdr:twoCellAnchor>
    <xdr:from>
      <xdr:col>0</xdr:col>
      <xdr:colOff>110031</xdr:colOff>
      <xdr:row>38</xdr:row>
      <xdr:rowOff>4413911</xdr:rowOff>
    </xdr:from>
    <xdr:to>
      <xdr:col>3</xdr:col>
      <xdr:colOff>145143</xdr:colOff>
      <xdr:row>38</xdr:row>
      <xdr:rowOff>5189220</xdr:rowOff>
    </xdr:to>
    <xdr:sp macro="" textlink="">
      <xdr:nvSpPr>
        <xdr:cNvPr id="23" name="TextBox 22">
          <a:extLst>
            <a:ext uri="{FF2B5EF4-FFF2-40B4-BE49-F238E27FC236}">
              <a16:creationId xmlns:a16="http://schemas.microsoft.com/office/drawing/2014/main" id="{45436D66-391D-4BEB-9595-9E225073D020}"/>
            </a:ext>
          </a:extLst>
        </xdr:cNvPr>
        <xdr:cNvSpPr txBox="1"/>
      </xdr:nvSpPr>
      <xdr:spPr>
        <a:xfrm>
          <a:off x="110031" y="21795131"/>
          <a:ext cx="2869752" cy="7753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nchorCtr="0"/>
        <a:lstStyle/>
        <a:p>
          <a:pPr algn="ctr"/>
          <a:r>
            <a:rPr lang="en-GB" sz="1200"/>
            <a:t>We'll</a:t>
          </a:r>
          <a:r>
            <a:rPr lang="en-GB" sz="1200" baseline="0"/>
            <a:t> arrange for our technical </a:t>
          </a:r>
          <a:r>
            <a:rPr lang="en-GB" sz="1200"/>
            <a:t>Surveyor to visit your home to take</a:t>
          </a:r>
          <a:r>
            <a:rPr lang="en-GB" sz="1200" baseline="0"/>
            <a:t> final meaurements and confirm final des</a:t>
          </a:r>
          <a:r>
            <a:rPr lang="en-GB" sz="1200"/>
            <a:t>ign details.</a:t>
          </a:r>
        </a:p>
      </xdr:txBody>
    </xdr:sp>
    <xdr:clientData/>
  </xdr:twoCellAnchor>
  <xdr:twoCellAnchor>
    <xdr:from>
      <xdr:col>0</xdr:col>
      <xdr:colOff>831548</xdr:colOff>
      <xdr:row>40</xdr:row>
      <xdr:rowOff>314677</xdr:rowOff>
    </xdr:from>
    <xdr:to>
      <xdr:col>8</xdr:col>
      <xdr:colOff>427182</xdr:colOff>
      <xdr:row>40</xdr:row>
      <xdr:rowOff>1173480</xdr:rowOff>
    </xdr:to>
    <xdr:sp macro="" textlink="">
      <xdr:nvSpPr>
        <xdr:cNvPr id="24" name="TextBox 23">
          <a:extLst>
            <a:ext uri="{FF2B5EF4-FFF2-40B4-BE49-F238E27FC236}">
              <a16:creationId xmlns:a16="http://schemas.microsoft.com/office/drawing/2014/main" id="{0E375D10-B546-46E5-8844-27BC7DF1AB59}"/>
            </a:ext>
          </a:extLst>
        </xdr:cNvPr>
        <xdr:cNvSpPr txBox="1"/>
      </xdr:nvSpPr>
      <xdr:spPr>
        <a:xfrm>
          <a:off x="831548" y="23448997"/>
          <a:ext cx="7154674" cy="85880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200" b="0">
              <a:ln>
                <a:noFill/>
              </a:ln>
            </a:rPr>
            <a:t>Perfect Shutters is</a:t>
          </a:r>
          <a:r>
            <a:rPr lang="en-GB" sz="1200" b="0" baseline="0">
              <a:ln>
                <a:noFill/>
              </a:ln>
            </a:rPr>
            <a:t> </a:t>
          </a:r>
          <a:r>
            <a:rPr lang="en-GB" sz="1200" b="0">
              <a:ln>
                <a:noFill/>
              </a:ln>
            </a:rPr>
            <a:t>local family business and the North West's most</a:t>
          </a:r>
          <a:r>
            <a:rPr lang="en-GB" sz="1200" b="0" baseline="0">
              <a:ln>
                <a:noFill/>
              </a:ln>
            </a:rPr>
            <a:t> trusted shutter specialist. </a:t>
          </a:r>
          <a:r>
            <a:rPr lang="en-GB" sz="1200" b="1" baseline="0">
              <a:ln>
                <a:noFill/>
              </a:ln>
            </a:rPr>
            <a:t>We have </a:t>
          </a:r>
          <a:r>
            <a:rPr lang="en-GB" sz="1200" b="1">
              <a:ln>
                <a:noFill/>
              </a:ln>
            </a:rPr>
            <a:t>30 years of expertise and have installed over 60,000 shutters in local</a:t>
          </a:r>
          <a:r>
            <a:rPr lang="en-GB" sz="1200" b="1" baseline="0">
              <a:ln>
                <a:noFill/>
              </a:ln>
            </a:rPr>
            <a:t> </a:t>
          </a:r>
          <a:r>
            <a:rPr lang="en-GB" sz="1200" b="1">
              <a:ln>
                <a:noFill/>
              </a:ln>
            </a:rPr>
            <a:t>homes. </a:t>
          </a:r>
          <a:r>
            <a:rPr lang="en-GB" sz="1200" b="0">
              <a:ln>
                <a:noFill/>
              </a:ln>
            </a:rPr>
            <a:t>The difference between Perfect Shutters and other shutters becomes really clear when you look at our track record and read our 5 Star Trustpilot</a:t>
          </a:r>
          <a:r>
            <a:rPr lang="en-GB" sz="1200" b="0" baseline="0">
              <a:ln>
                <a:noFill/>
              </a:ln>
            </a:rPr>
            <a:t> </a:t>
          </a:r>
          <a:r>
            <a:rPr lang="en-GB" sz="1200" b="0">
              <a:ln>
                <a:noFill/>
              </a:ln>
            </a:rPr>
            <a:t>reviews.</a:t>
          </a:r>
        </a:p>
      </xdr:txBody>
    </xdr:sp>
    <xdr:clientData/>
  </xdr:twoCellAnchor>
  <xdr:oneCellAnchor>
    <xdr:from>
      <xdr:col>0</xdr:col>
      <xdr:colOff>110031</xdr:colOff>
      <xdr:row>38</xdr:row>
      <xdr:rowOff>1257067</xdr:rowOff>
    </xdr:from>
    <xdr:ext cx="2869039" cy="2751316"/>
    <xdr:pic>
      <xdr:nvPicPr>
        <xdr:cNvPr id="25" name="Picture 24">
          <a:extLst>
            <a:ext uri="{FF2B5EF4-FFF2-40B4-BE49-F238E27FC236}">
              <a16:creationId xmlns:a16="http://schemas.microsoft.com/office/drawing/2014/main" id="{E2E2EA3B-ADCE-4B88-9DE5-A2010C67BFFA}"/>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10031" y="19072627"/>
          <a:ext cx="2869039" cy="2751316"/>
        </a:xfrm>
        <a:prstGeom prst="rect">
          <a:avLst/>
        </a:prstGeom>
      </xdr:spPr>
    </xdr:pic>
    <xdr:clientData/>
  </xdr:oneCellAnchor>
  <xdr:oneCellAnchor>
    <xdr:from>
      <xdr:col>3</xdr:col>
      <xdr:colOff>498145</xdr:colOff>
      <xdr:row>38</xdr:row>
      <xdr:rowOff>1257067</xdr:rowOff>
    </xdr:from>
    <xdr:ext cx="2869039" cy="2751316"/>
    <xdr:pic>
      <xdr:nvPicPr>
        <xdr:cNvPr id="26" name="Picture 25">
          <a:extLst>
            <a:ext uri="{FF2B5EF4-FFF2-40B4-BE49-F238E27FC236}">
              <a16:creationId xmlns:a16="http://schemas.microsoft.com/office/drawing/2014/main" id="{B8386C28-3A0E-4101-BBF6-37464CD5532A}"/>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3332785" y="19072627"/>
          <a:ext cx="2869039" cy="2751316"/>
        </a:xfrm>
        <a:prstGeom prst="rect">
          <a:avLst/>
        </a:prstGeom>
      </xdr:spPr>
    </xdr:pic>
    <xdr:clientData/>
  </xdr:oneCellAnchor>
  <xdr:oneCellAnchor>
    <xdr:from>
      <xdr:col>0</xdr:col>
      <xdr:colOff>249901</xdr:colOff>
      <xdr:row>40</xdr:row>
      <xdr:rowOff>1209752</xdr:rowOff>
    </xdr:from>
    <xdr:ext cx="8961444" cy="1295215"/>
    <xdr:pic>
      <xdr:nvPicPr>
        <xdr:cNvPr id="27" name="Picture 26">
          <a:extLst>
            <a:ext uri="{FF2B5EF4-FFF2-40B4-BE49-F238E27FC236}">
              <a16:creationId xmlns:a16="http://schemas.microsoft.com/office/drawing/2014/main" id="{F324D950-ADE0-4318-B856-2F8EDA32B9F7}"/>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249901" y="24778412"/>
          <a:ext cx="8961444" cy="1295215"/>
        </a:xfrm>
        <a:prstGeom prst="rect">
          <a:avLst/>
        </a:prstGeom>
      </xdr:spPr>
    </xdr:pic>
    <xdr:clientData/>
  </xdr:oneCellAnchor>
  <xdr:oneCellAnchor>
    <xdr:from>
      <xdr:col>0</xdr:col>
      <xdr:colOff>177800</xdr:colOff>
      <xdr:row>0</xdr:row>
      <xdr:rowOff>177800</xdr:rowOff>
    </xdr:from>
    <xdr:ext cx="9023480" cy="685800"/>
    <xdr:pic>
      <xdr:nvPicPr>
        <xdr:cNvPr id="28" name="Picture 27">
          <a:extLst>
            <a:ext uri="{FF2B5EF4-FFF2-40B4-BE49-F238E27FC236}">
              <a16:creationId xmlns:a16="http://schemas.microsoft.com/office/drawing/2014/main" id="{2C490A67-0C91-48D2-9625-D7ED7A825F42}"/>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177800" y="177800"/>
          <a:ext cx="9023480" cy="685800"/>
        </a:xfrm>
        <a:prstGeom prst="rect">
          <a:avLst/>
        </a:prstGeom>
      </xdr:spPr>
    </xdr:pic>
    <xdr:clientData/>
  </xdr:oneCellAnchor>
  <xdr:oneCellAnchor>
    <xdr:from>
      <xdr:col>2</xdr:col>
      <xdr:colOff>712981</xdr:colOff>
      <xdr:row>39</xdr:row>
      <xdr:rowOff>80970</xdr:rowOff>
    </xdr:from>
    <xdr:ext cx="4077055" cy="678152"/>
    <xdr:pic>
      <xdr:nvPicPr>
        <xdr:cNvPr id="29" name="Picture 28">
          <a:extLst>
            <a:ext uri="{FF2B5EF4-FFF2-40B4-BE49-F238E27FC236}">
              <a16:creationId xmlns:a16="http://schemas.microsoft.com/office/drawing/2014/main" id="{6047DC4F-9A99-4F67-950C-4F122C446D03}"/>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2602741" y="23093370"/>
          <a:ext cx="4077055" cy="678152"/>
        </a:xfrm>
        <a:prstGeom prst="rect">
          <a:avLst/>
        </a:prstGeom>
      </xdr:spPr>
    </xdr:pic>
    <xdr:clientData/>
  </xdr:oneCellAnchor>
  <xdr:oneCellAnchor>
    <xdr:from>
      <xdr:col>6</xdr:col>
      <xdr:colOff>888120</xdr:colOff>
      <xdr:row>38</xdr:row>
      <xdr:rowOff>1257067</xdr:rowOff>
    </xdr:from>
    <xdr:ext cx="2858034" cy="2743433"/>
    <xdr:pic>
      <xdr:nvPicPr>
        <xdr:cNvPr id="30" name="Picture 29">
          <a:extLst>
            <a:ext uri="{FF2B5EF4-FFF2-40B4-BE49-F238E27FC236}">
              <a16:creationId xmlns:a16="http://schemas.microsoft.com/office/drawing/2014/main" id="{7A0EC6BF-9765-4B2D-BBA9-217647D1FC6E}"/>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6557400" y="19072627"/>
          <a:ext cx="2858034" cy="2743433"/>
        </a:xfrm>
        <a:prstGeom prst="rect">
          <a:avLst/>
        </a:prstGeom>
      </xdr:spPr>
    </xdr:pic>
    <xdr:clientData/>
  </xdr:oneCellAnchor>
  <xdr:twoCellAnchor>
    <xdr:from>
      <xdr:col>0</xdr:col>
      <xdr:colOff>41934</xdr:colOff>
      <xdr:row>44</xdr:row>
      <xdr:rowOff>112003</xdr:rowOff>
    </xdr:from>
    <xdr:to>
      <xdr:col>1</xdr:col>
      <xdr:colOff>964481</xdr:colOff>
      <xdr:row>44</xdr:row>
      <xdr:rowOff>1298464</xdr:rowOff>
    </xdr:to>
    <xdr:sp macro="" textlink="">
      <xdr:nvSpPr>
        <xdr:cNvPr id="31" name="TextBox 30">
          <a:extLst>
            <a:ext uri="{FF2B5EF4-FFF2-40B4-BE49-F238E27FC236}">
              <a16:creationId xmlns:a16="http://schemas.microsoft.com/office/drawing/2014/main" id="{01070C8B-60E9-42D1-80BC-40E7364CD602}"/>
            </a:ext>
          </a:extLst>
        </xdr:cNvPr>
        <xdr:cNvSpPr txBox="1"/>
      </xdr:nvSpPr>
      <xdr:spPr>
        <a:xfrm>
          <a:off x="41934" y="8524483"/>
          <a:ext cx="1158767" cy="7394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nchorCtr="0"/>
        <a:lstStyle/>
        <a:p>
          <a:pPr algn="l"/>
          <a:r>
            <a:rPr lang="en-GB" sz="1400" b="1"/>
            <a:t>AINTREE</a:t>
          </a:r>
        </a:p>
        <a:p>
          <a:pPr algn="l"/>
          <a:r>
            <a:rPr lang="en-GB" sz="1100"/>
            <a:t>3a Bechers Drive</a:t>
          </a:r>
        </a:p>
        <a:p>
          <a:pPr algn="l"/>
          <a:r>
            <a:rPr lang="en-GB" sz="1100"/>
            <a:t>Aintree, Liverpool</a:t>
          </a:r>
        </a:p>
        <a:p>
          <a:pPr algn="l"/>
          <a:r>
            <a:rPr lang="en-GB" sz="1100"/>
            <a:t>L9 5AY</a:t>
          </a:r>
        </a:p>
        <a:p>
          <a:pPr algn="l"/>
          <a:r>
            <a:rPr lang="en-GB" sz="1100" b="1"/>
            <a:t>Phone: 0151 525 0050</a:t>
          </a:r>
        </a:p>
      </xdr:txBody>
    </xdr:sp>
    <xdr:clientData/>
  </xdr:twoCellAnchor>
  <xdr:twoCellAnchor>
    <xdr:from>
      <xdr:col>2</xdr:col>
      <xdr:colOff>2746</xdr:colOff>
      <xdr:row>44</xdr:row>
      <xdr:rowOff>112003</xdr:rowOff>
    </xdr:from>
    <xdr:to>
      <xdr:col>3</xdr:col>
      <xdr:colOff>922547</xdr:colOff>
      <xdr:row>44</xdr:row>
      <xdr:rowOff>1298464</xdr:rowOff>
    </xdr:to>
    <xdr:sp macro="" textlink="">
      <xdr:nvSpPr>
        <xdr:cNvPr id="32" name="TextBox 31">
          <a:extLst>
            <a:ext uri="{FF2B5EF4-FFF2-40B4-BE49-F238E27FC236}">
              <a16:creationId xmlns:a16="http://schemas.microsoft.com/office/drawing/2014/main" id="{C8D105F3-35DA-4B4B-9FAF-BC4A99F4D5F2}"/>
            </a:ext>
          </a:extLst>
        </xdr:cNvPr>
        <xdr:cNvSpPr txBox="1"/>
      </xdr:nvSpPr>
      <xdr:spPr>
        <a:xfrm>
          <a:off x="1206706" y="8524483"/>
          <a:ext cx="1201741" cy="7394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nchorCtr="0"/>
        <a:lstStyle/>
        <a:p>
          <a:pPr algn="l"/>
          <a:r>
            <a:rPr lang="en-GB" sz="1400" b="1"/>
            <a:t>ALTRINCHAM</a:t>
          </a:r>
        </a:p>
        <a:p>
          <a:pPr algn="l"/>
          <a:r>
            <a:rPr lang="en-GB" sz="1100"/>
            <a:t>16 Church Street</a:t>
          </a:r>
        </a:p>
        <a:p>
          <a:pPr algn="l"/>
          <a:r>
            <a:rPr lang="en-GB" sz="1100"/>
            <a:t>Altrincham</a:t>
          </a:r>
        </a:p>
        <a:p>
          <a:pPr algn="l"/>
          <a:r>
            <a:rPr lang="en-GB" sz="1100"/>
            <a:t>WA14 4DW</a:t>
          </a:r>
        </a:p>
        <a:p>
          <a:pPr algn="l"/>
          <a:r>
            <a:rPr lang="en-GB" sz="1100" b="1"/>
            <a:t>Phone:</a:t>
          </a:r>
          <a:r>
            <a:rPr lang="en-GB" sz="1100" b="1" baseline="0"/>
            <a:t> 0</a:t>
          </a:r>
          <a:r>
            <a:rPr lang="en-GB" sz="1100" b="1"/>
            <a:t>161 641 3095</a:t>
          </a:r>
        </a:p>
      </xdr:txBody>
    </xdr:sp>
    <xdr:clientData/>
  </xdr:twoCellAnchor>
  <xdr:twoCellAnchor>
    <xdr:from>
      <xdr:col>4</xdr:col>
      <xdr:colOff>2747</xdr:colOff>
      <xdr:row>44</xdr:row>
      <xdr:rowOff>112003</xdr:rowOff>
    </xdr:from>
    <xdr:to>
      <xdr:col>5</xdr:col>
      <xdr:colOff>922547</xdr:colOff>
      <xdr:row>44</xdr:row>
      <xdr:rowOff>1298464</xdr:rowOff>
    </xdr:to>
    <xdr:sp macro="" textlink="">
      <xdr:nvSpPr>
        <xdr:cNvPr id="33" name="TextBox 32">
          <a:extLst>
            <a:ext uri="{FF2B5EF4-FFF2-40B4-BE49-F238E27FC236}">
              <a16:creationId xmlns:a16="http://schemas.microsoft.com/office/drawing/2014/main" id="{BB19B213-129E-4E23-A15F-CF0E1DA738D1}"/>
            </a:ext>
          </a:extLst>
        </xdr:cNvPr>
        <xdr:cNvSpPr txBox="1"/>
      </xdr:nvSpPr>
      <xdr:spPr>
        <a:xfrm>
          <a:off x="2410667" y="8524483"/>
          <a:ext cx="1201740" cy="7394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nchorCtr="0"/>
        <a:lstStyle/>
        <a:p>
          <a:pPr algn="l"/>
          <a:r>
            <a:rPr lang="en-GB" sz="1400" b="1"/>
            <a:t>ALLERTON</a:t>
          </a:r>
        </a:p>
        <a:p>
          <a:pPr algn="l"/>
          <a:r>
            <a:rPr lang="en-GB" sz="1100"/>
            <a:t>153 Allerton Road</a:t>
          </a:r>
        </a:p>
        <a:p>
          <a:pPr algn="l"/>
          <a:r>
            <a:rPr lang="en-GB" sz="1100"/>
            <a:t>Liverpool</a:t>
          </a:r>
        </a:p>
        <a:p>
          <a:pPr algn="l"/>
          <a:r>
            <a:rPr lang="en-GB" sz="1100"/>
            <a:t>L18 2DD</a:t>
          </a:r>
        </a:p>
        <a:p>
          <a:pPr algn="l"/>
          <a:r>
            <a:rPr lang="en-GB" sz="1100" b="1"/>
            <a:t>Phone: 0151 724 1100</a:t>
          </a:r>
        </a:p>
      </xdr:txBody>
    </xdr:sp>
    <xdr:clientData/>
  </xdr:twoCellAnchor>
  <xdr:twoCellAnchor>
    <xdr:from>
      <xdr:col>6</xdr:col>
      <xdr:colOff>0</xdr:colOff>
      <xdr:row>44</xdr:row>
      <xdr:rowOff>112003</xdr:rowOff>
    </xdr:from>
    <xdr:to>
      <xdr:col>7</xdr:col>
      <xdr:colOff>922548</xdr:colOff>
      <xdr:row>44</xdr:row>
      <xdr:rowOff>1298464</xdr:rowOff>
    </xdr:to>
    <xdr:sp macro="" textlink="">
      <xdr:nvSpPr>
        <xdr:cNvPr id="34" name="TextBox 33">
          <a:extLst>
            <a:ext uri="{FF2B5EF4-FFF2-40B4-BE49-F238E27FC236}">
              <a16:creationId xmlns:a16="http://schemas.microsoft.com/office/drawing/2014/main" id="{33B02AFC-8F03-46DF-AE59-BABA926FAE09}"/>
            </a:ext>
          </a:extLst>
        </xdr:cNvPr>
        <xdr:cNvSpPr txBox="1"/>
      </xdr:nvSpPr>
      <xdr:spPr>
        <a:xfrm>
          <a:off x="3611880" y="8524483"/>
          <a:ext cx="1204488" cy="7394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nchorCtr="0"/>
        <a:lstStyle/>
        <a:p>
          <a:pPr algn="l"/>
          <a:r>
            <a:rPr lang="en-GB" sz="1400" b="1"/>
            <a:t>WIRRAL</a:t>
          </a:r>
        </a:p>
        <a:p>
          <a:pPr algn="l"/>
          <a:r>
            <a:rPr lang="en-GB" sz="1100"/>
            <a:t>200 Hoylake Road</a:t>
          </a:r>
        </a:p>
        <a:p>
          <a:pPr algn="l"/>
          <a:r>
            <a:rPr lang="en-GB" sz="1100"/>
            <a:t>Moreton, Wirral</a:t>
          </a:r>
        </a:p>
        <a:p>
          <a:pPr algn="l"/>
          <a:r>
            <a:rPr lang="en-GB" sz="1100"/>
            <a:t>CH46 8TL</a:t>
          </a:r>
        </a:p>
        <a:p>
          <a:pPr algn="l"/>
          <a:r>
            <a:rPr lang="en-GB" sz="1100" b="1"/>
            <a:t>Phone: 0151 363 9797</a:t>
          </a:r>
        </a:p>
      </xdr:txBody>
    </xdr:sp>
    <xdr:clientData/>
  </xdr:twoCellAnchor>
  <xdr:twoCellAnchor>
    <xdr:from>
      <xdr:col>8</xdr:col>
      <xdr:colOff>0</xdr:colOff>
      <xdr:row>44</xdr:row>
      <xdr:rowOff>112003</xdr:rowOff>
    </xdr:from>
    <xdr:to>
      <xdr:col>9</xdr:col>
      <xdr:colOff>922547</xdr:colOff>
      <xdr:row>44</xdr:row>
      <xdr:rowOff>1298464</xdr:rowOff>
    </xdr:to>
    <xdr:sp macro="" textlink="">
      <xdr:nvSpPr>
        <xdr:cNvPr id="35" name="TextBox 34">
          <a:extLst>
            <a:ext uri="{FF2B5EF4-FFF2-40B4-BE49-F238E27FC236}">
              <a16:creationId xmlns:a16="http://schemas.microsoft.com/office/drawing/2014/main" id="{22519B4A-FDD5-413B-BBF1-4FB93C116ED2}"/>
            </a:ext>
          </a:extLst>
        </xdr:cNvPr>
        <xdr:cNvSpPr txBox="1"/>
      </xdr:nvSpPr>
      <xdr:spPr>
        <a:xfrm>
          <a:off x="4815840" y="8524483"/>
          <a:ext cx="1204487" cy="7394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nchorCtr="0"/>
        <a:lstStyle/>
        <a:p>
          <a:pPr algn="l"/>
          <a:r>
            <a:rPr lang="en-GB" sz="1400" b="1"/>
            <a:t>WIGAN</a:t>
          </a:r>
        </a:p>
        <a:p>
          <a:pPr algn="l"/>
          <a:r>
            <a:rPr lang="en-GB" sz="1100"/>
            <a:t>9 Ormskirk Road</a:t>
          </a:r>
        </a:p>
        <a:p>
          <a:pPr algn="l"/>
          <a:r>
            <a:rPr lang="en-GB" sz="1100"/>
            <a:t>Wigan</a:t>
          </a:r>
        </a:p>
        <a:p>
          <a:pPr algn="l"/>
          <a:r>
            <a:rPr lang="en-GB" sz="1100"/>
            <a:t>WN5 0XD</a:t>
          </a:r>
        </a:p>
        <a:p>
          <a:pPr algn="l"/>
          <a:r>
            <a:rPr lang="en-GB" sz="1100" b="1"/>
            <a:t>Phone: 01942 949 444</a:t>
          </a:r>
        </a:p>
      </xdr:txBody>
    </xdr:sp>
    <xdr:clientData/>
  </xdr:twoCellAnchor>
  <xdr:twoCellAnchor editAs="oneCell">
    <xdr:from>
      <xdr:col>0</xdr:col>
      <xdr:colOff>129540</xdr:colOff>
      <xdr:row>29</xdr:row>
      <xdr:rowOff>45720</xdr:rowOff>
    </xdr:from>
    <xdr:to>
      <xdr:col>1</xdr:col>
      <xdr:colOff>614624</xdr:colOff>
      <xdr:row>31</xdr:row>
      <xdr:rowOff>464819</xdr:rowOff>
    </xdr:to>
    <xdr:pic>
      <xdr:nvPicPr>
        <xdr:cNvPr id="36" name="Picture 35">
          <a:extLst>
            <a:ext uri="{FF2B5EF4-FFF2-40B4-BE49-F238E27FC236}">
              <a16:creationId xmlns:a16="http://schemas.microsoft.com/office/drawing/2014/main" id="{9DAC8998-16B0-4FD4-897B-D29D32AB06D9}"/>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455420" y="13548360"/>
          <a:ext cx="1429964" cy="137921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215870</xdr:colOff>
      <xdr:row>37</xdr:row>
      <xdr:rowOff>204740</xdr:rowOff>
    </xdr:from>
    <xdr:to>
      <xdr:col>8</xdr:col>
      <xdr:colOff>236074</xdr:colOff>
      <xdr:row>37</xdr:row>
      <xdr:rowOff>594206</xdr:rowOff>
    </xdr:to>
    <xdr:sp macro="" textlink="">
      <xdr:nvSpPr>
        <xdr:cNvPr id="2" name="TextBox 1">
          <a:extLst>
            <a:ext uri="{FF2B5EF4-FFF2-40B4-BE49-F238E27FC236}">
              <a16:creationId xmlns:a16="http://schemas.microsoft.com/office/drawing/2014/main" id="{60A05C45-EE9E-433B-8092-F1A2012AD678}"/>
            </a:ext>
          </a:extLst>
        </xdr:cNvPr>
        <xdr:cNvSpPr txBox="1"/>
      </xdr:nvSpPr>
      <xdr:spPr>
        <a:xfrm>
          <a:off x="1160750" y="14057900"/>
          <a:ext cx="6634364" cy="3894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2000" b="1">
              <a:ln>
                <a:noFill/>
              </a:ln>
            </a:rPr>
            <a:t>HOW TO ORDER YOUR PERFECT SHUTTERS</a:t>
          </a:r>
        </a:p>
      </xdr:txBody>
    </xdr:sp>
    <xdr:clientData/>
  </xdr:twoCellAnchor>
  <xdr:twoCellAnchor>
    <xdr:from>
      <xdr:col>1</xdr:col>
      <xdr:colOff>215870</xdr:colOff>
      <xdr:row>37</xdr:row>
      <xdr:rowOff>587577</xdr:rowOff>
    </xdr:from>
    <xdr:to>
      <xdr:col>8</xdr:col>
      <xdr:colOff>236074</xdr:colOff>
      <xdr:row>37</xdr:row>
      <xdr:rowOff>909310</xdr:rowOff>
    </xdr:to>
    <xdr:sp macro="" textlink="">
      <xdr:nvSpPr>
        <xdr:cNvPr id="3" name="TextBox 2">
          <a:extLst>
            <a:ext uri="{FF2B5EF4-FFF2-40B4-BE49-F238E27FC236}">
              <a16:creationId xmlns:a16="http://schemas.microsoft.com/office/drawing/2014/main" id="{069A0792-5D22-4789-BF5D-7190BDC74546}"/>
            </a:ext>
          </a:extLst>
        </xdr:cNvPr>
        <xdr:cNvSpPr txBox="1"/>
      </xdr:nvSpPr>
      <xdr:spPr>
        <a:xfrm>
          <a:off x="1160750" y="14440737"/>
          <a:ext cx="6634364" cy="32173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b="0">
              <a:ln>
                <a:noFill/>
              </a:ln>
            </a:rPr>
            <a:t>It's easy to order your Perfect Shutters with 3 convenient ways to pay your deposit.</a:t>
          </a:r>
        </a:p>
      </xdr:txBody>
    </xdr:sp>
    <xdr:clientData/>
  </xdr:twoCellAnchor>
  <xdr:twoCellAnchor>
    <xdr:from>
      <xdr:col>3</xdr:col>
      <xdr:colOff>470427</xdr:colOff>
      <xdr:row>37</xdr:row>
      <xdr:rowOff>1112820</xdr:rowOff>
    </xdr:from>
    <xdr:to>
      <xdr:col>6</xdr:col>
      <xdr:colOff>495827</xdr:colOff>
      <xdr:row>37</xdr:row>
      <xdr:rowOff>3362244</xdr:rowOff>
    </xdr:to>
    <xdr:sp macro="" textlink="">
      <xdr:nvSpPr>
        <xdr:cNvPr id="4" name="Rounded Rectangle 20">
          <a:extLst>
            <a:ext uri="{FF2B5EF4-FFF2-40B4-BE49-F238E27FC236}">
              <a16:creationId xmlns:a16="http://schemas.microsoft.com/office/drawing/2014/main" id="{9A284B18-7008-4838-871A-19D5BCFFA61E}"/>
            </a:ext>
          </a:extLst>
        </xdr:cNvPr>
        <xdr:cNvSpPr/>
      </xdr:nvSpPr>
      <xdr:spPr>
        <a:xfrm>
          <a:off x="3305067" y="14965980"/>
          <a:ext cx="2860040" cy="2249424"/>
        </a:xfrm>
        <a:prstGeom prst="roundRect">
          <a:avLst>
            <a:gd name="adj" fmla="val 0"/>
          </a:avLst>
        </a:prstGeom>
        <a:solidFill>
          <a:srgbClr val="D9F9E8"/>
        </a:solidFill>
        <a:ln>
          <a:noFill/>
        </a:ln>
      </xdr:spPr>
      <xdr:style>
        <a:lnRef idx="2">
          <a:schemeClr val="accent6">
            <a:shade val="15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GB" sz="1100"/>
        </a:p>
      </xdr:txBody>
    </xdr:sp>
    <xdr:clientData/>
  </xdr:twoCellAnchor>
  <xdr:twoCellAnchor>
    <xdr:from>
      <xdr:col>4</xdr:col>
      <xdr:colOff>97894</xdr:colOff>
      <xdr:row>37</xdr:row>
      <xdr:rowOff>2158299</xdr:rowOff>
    </xdr:from>
    <xdr:to>
      <xdr:col>5</xdr:col>
      <xdr:colOff>868360</xdr:colOff>
      <xdr:row>37</xdr:row>
      <xdr:rowOff>2504594</xdr:rowOff>
    </xdr:to>
    <xdr:sp macro="" textlink="">
      <xdr:nvSpPr>
        <xdr:cNvPr id="5" name="TextBox 4">
          <a:extLst>
            <a:ext uri="{FF2B5EF4-FFF2-40B4-BE49-F238E27FC236}">
              <a16:creationId xmlns:a16="http://schemas.microsoft.com/office/drawing/2014/main" id="{4C733296-C826-4239-89BA-6E8CF68B0E00}"/>
            </a:ext>
          </a:extLst>
        </xdr:cNvPr>
        <xdr:cNvSpPr txBox="1"/>
      </xdr:nvSpPr>
      <xdr:spPr>
        <a:xfrm>
          <a:off x="3877414" y="16011459"/>
          <a:ext cx="1715346" cy="3462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b="1"/>
            <a:t>Online Banking</a:t>
          </a:r>
          <a:endParaRPr lang="en-GB" sz="1400"/>
        </a:p>
      </xdr:txBody>
    </xdr:sp>
    <xdr:clientData/>
  </xdr:twoCellAnchor>
  <xdr:twoCellAnchor>
    <xdr:from>
      <xdr:col>3</xdr:col>
      <xdr:colOff>495828</xdr:colOff>
      <xdr:row>37</xdr:row>
      <xdr:rowOff>2538093</xdr:rowOff>
    </xdr:from>
    <xdr:to>
      <xdr:col>6</xdr:col>
      <xdr:colOff>470428</xdr:colOff>
      <xdr:row>37</xdr:row>
      <xdr:rowOff>3300461</xdr:rowOff>
    </xdr:to>
    <xdr:sp macro="" textlink="">
      <xdr:nvSpPr>
        <xdr:cNvPr id="6" name="TextBox 5">
          <a:extLst>
            <a:ext uri="{FF2B5EF4-FFF2-40B4-BE49-F238E27FC236}">
              <a16:creationId xmlns:a16="http://schemas.microsoft.com/office/drawing/2014/main" id="{8CB9B292-2B91-4515-BB2B-5CACE883870B}"/>
            </a:ext>
          </a:extLst>
        </xdr:cNvPr>
        <xdr:cNvSpPr txBox="1"/>
      </xdr:nvSpPr>
      <xdr:spPr>
        <a:xfrm>
          <a:off x="3330468" y="16391253"/>
          <a:ext cx="2809240" cy="7623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nchorCtr="0"/>
        <a:lstStyle/>
        <a:p>
          <a:pPr algn="ctr"/>
          <a:r>
            <a:rPr lang="en-GB" sz="1100"/>
            <a:t>Quote</a:t>
          </a:r>
          <a:r>
            <a:rPr lang="en-GB" sz="1100" baseline="0"/>
            <a:t> </a:t>
          </a:r>
          <a:r>
            <a:rPr lang="en-GB" sz="1100"/>
            <a:t>your Surname and Reference Number above. </a:t>
          </a:r>
          <a:r>
            <a:rPr lang="en-GB" sz="1100" b="1"/>
            <a:t>Bank Details: "Perfect Shutters Ltd" </a:t>
          </a:r>
        </a:p>
        <a:p>
          <a:pPr algn="ctr"/>
          <a:r>
            <a:rPr lang="en-GB" sz="1100" b="1"/>
            <a:t>Sort code: 60-13-19 / Acc Number: 45247218</a:t>
          </a:r>
        </a:p>
        <a:p>
          <a:pPr algn="ctr"/>
          <a:endParaRPr lang="en-GB" sz="1100"/>
        </a:p>
      </xdr:txBody>
    </xdr:sp>
    <xdr:clientData/>
  </xdr:twoCellAnchor>
  <xdr:twoCellAnchor>
    <xdr:from>
      <xdr:col>4</xdr:col>
      <xdr:colOff>720195</xdr:colOff>
      <xdr:row>37</xdr:row>
      <xdr:rowOff>1397294</xdr:rowOff>
    </xdr:from>
    <xdr:to>
      <xdr:col>5</xdr:col>
      <xdr:colOff>246061</xdr:colOff>
      <xdr:row>37</xdr:row>
      <xdr:rowOff>2044994</xdr:rowOff>
    </xdr:to>
    <xdr:pic>
      <xdr:nvPicPr>
        <xdr:cNvPr id="7" name="Picture 6">
          <a:extLst>
            <a:ext uri="{FF2B5EF4-FFF2-40B4-BE49-F238E27FC236}">
              <a16:creationId xmlns:a16="http://schemas.microsoft.com/office/drawing/2014/main" id="{1303C269-7334-45E4-A618-7B0BAEE946D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499715" y="15250454"/>
          <a:ext cx="470746" cy="647700"/>
        </a:xfrm>
        <a:prstGeom prst="rect">
          <a:avLst/>
        </a:prstGeom>
      </xdr:spPr>
    </xdr:pic>
    <xdr:clientData/>
  </xdr:twoCellAnchor>
  <xdr:twoCellAnchor>
    <xdr:from>
      <xdr:col>0</xdr:col>
      <xdr:colOff>163580</xdr:colOff>
      <xdr:row>37</xdr:row>
      <xdr:rowOff>1110756</xdr:rowOff>
    </xdr:from>
    <xdr:to>
      <xdr:col>3</xdr:col>
      <xdr:colOff>188980</xdr:colOff>
      <xdr:row>37</xdr:row>
      <xdr:rowOff>3360180</xdr:rowOff>
    </xdr:to>
    <xdr:sp macro="" textlink="">
      <xdr:nvSpPr>
        <xdr:cNvPr id="8" name="Rounded Rectangle 19">
          <a:extLst>
            <a:ext uri="{FF2B5EF4-FFF2-40B4-BE49-F238E27FC236}">
              <a16:creationId xmlns:a16="http://schemas.microsoft.com/office/drawing/2014/main" id="{F6C06A8C-4DD4-4ABA-8D0B-AD2C620A204C}"/>
            </a:ext>
          </a:extLst>
        </xdr:cNvPr>
        <xdr:cNvSpPr/>
      </xdr:nvSpPr>
      <xdr:spPr>
        <a:xfrm>
          <a:off x="163580" y="14963916"/>
          <a:ext cx="2860040" cy="2249424"/>
        </a:xfrm>
        <a:prstGeom prst="roundRect">
          <a:avLst>
            <a:gd name="adj" fmla="val 0"/>
          </a:avLst>
        </a:prstGeom>
        <a:solidFill>
          <a:srgbClr val="D9F9E8"/>
        </a:solidFill>
        <a:ln>
          <a:noFill/>
        </a:ln>
      </xdr:spPr>
      <xdr:style>
        <a:lnRef idx="2">
          <a:schemeClr val="accent6">
            <a:shade val="15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GB" sz="1100"/>
        </a:p>
      </xdr:txBody>
    </xdr:sp>
    <xdr:clientData/>
  </xdr:twoCellAnchor>
  <xdr:twoCellAnchor>
    <xdr:from>
      <xdr:col>0</xdr:col>
      <xdr:colOff>299000</xdr:colOff>
      <xdr:row>37</xdr:row>
      <xdr:rowOff>2538092</xdr:rowOff>
    </xdr:from>
    <xdr:to>
      <xdr:col>3</xdr:col>
      <xdr:colOff>53560</xdr:colOff>
      <xdr:row>37</xdr:row>
      <xdr:rowOff>3185160</xdr:rowOff>
    </xdr:to>
    <xdr:sp macro="" textlink="">
      <xdr:nvSpPr>
        <xdr:cNvPr id="9" name="TextBox 8">
          <a:extLst>
            <a:ext uri="{FF2B5EF4-FFF2-40B4-BE49-F238E27FC236}">
              <a16:creationId xmlns:a16="http://schemas.microsoft.com/office/drawing/2014/main" id="{07E6B1C9-E0A9-4F54-B4B6-CF77E638C43B}"/>
            </a:ext>
          </a:extLst>
        </xdr:cNvPr>
        <xdr:cNvSpPr txBox="1"/>
      </xdr:nvSpPr>
      <xdr:spPr>
        <a:xfrm>
          <a:off x="299000" y="16391252"/>
          <a:ext cx="2589200" cy="6470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baseline="0"/>
            <a:t>Call our team to P</a:t>
          </a:r>
          <a:r>
            <a:rPr lang="en-GB" sz="1100"/>
            <a:t>ay by</a:t>
          </a:r>
          <a:r>
            <a:rPr lang="en-GB" sz="1100" baseline="0"/>
            <a:t> Debit or Credit card.</a:t>
          </a:r>
        </a:p>
        <a:p>
          <a:pPr algn="ctr"/>
          <a:r>
            <a:rPr lang="en-GB" sz="1100"/>
            <a:t> </a:t>
          </a:r>
          <a:r>
            <a:rPr lang="en-GB" sz="1100" b="1"/>
            <a:t>Telephone</a:t>
          </a:r>
          <a:r>
            <a:rPr lang="en-GB" sz="1100" b="1" baseline="0"/>
            <a:t> </a:t>
          </a:r>
          <a:r>
            <a:rPr lang="en-GB" sz="1100" b="1"/>
            <a:t>0300 373 2526 </a:t>
          </a:r>
        </a:p>
      </xdr:txBody>
    </xdr:sp>
    <xdr:clientData/>
  </xdr:twoCellAnchor>
  <xdr:twoCellAnchor>
    <xdr:from>
      <xdr:col>1</xdr:col>
      <xdr:colOff>311747</xdr:colOff>
      <xdr:row>37</xdr:row>
      <xdr:rowOff>1397294</xdr:rowOff>
    </xdr:from>
    <xdr:to>
      <xdr:col>2</xdr:col>
      <xdr:colOff>40813</xdr:colOff>
      <xdr:row>37</xdr:row>
      <xdr:rowOff>2044994</xdr:rowOff>
    </xdr:to>
    <xdr:pic>
      <xdr:nvPicPr>
        <xdr:cNvPr id="10" name="Picture 9">
          <a:extLst>
            <a:ext uri="{FF2B5EF4-FFF2-40B4-BE49-F238E27FC236}">
              <a16:creationId xmlns:a16="http://schemas.microsoft.com/office/drawing/2014/main" id="{3C8DE8B1-37DC-42C1-9CFE-1BD5163B155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256627" y="15250454"/>
          <a:ext cx="673946" cy="647700"/>
        </a:xfrm>
        <a:prstGeom prst="rect">
          <a:avLst/>
        </a:prstGeom>
      </xdr:spPr>
    </xdr:pic>
    <xdr:clientData/>
  </xdr:twoCellAnchor>
  <xdr:twoCellAnchor>
    <xdr:from>
      <xdr:col>0</xdr:col>
      <xdr:colOff>849380</xdr:colOff>
      <xdr:row>37</xdr:row>
      <xdr:rowOff>2158299</xdr:rowOff>
    </xdr:from>
    <xdr:to>
      <xdr:col>2</xdr:col>
      <xdr:colOff>561513</xdr:colOff>
      <xdr:row>37</xdr:row>
      <xdr:rowOff>2504594</xdr:rowOff>
    </xdr:to>
    <xdr:sp macro="" textlink="">
      <xdr:nvSpPr>
        <xdr:cNvPr id="11" name="TextBox 10">
          <a:extLst>
            <a:ext uri="{FF2B5EF4-FFF2-40B4-BE49-F238E27FC236}">
              <a16:creationId xmlns:a16="http://schemas.microsoft.com/office/drawing/2014/main" id="{EA835ACA-6259-4751-A3AE-1176AA08BAF3}"/>
            </a:ext>
          </a:extLst>
        </xdr:cNvPr>
        <xdr:cNvSpPr txBox="1"/>
      </xdr:nvSpPr>
      <xdr:spPr>
        <a:xfrm>
          <a:off x="849380" y="16011459"/>
          <a:ext cx="1601893" cy="3462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b="1"/>
            <a:t>Pay By Card</a:t>
          </a:r>
          <a:endParaRPr lang="en-GB" sz="1400"/>
        </a:p>
      </xdr:txBody>
    </xdr:sp>
    <xdr:clientData/>
  </xdr:twoCellAnchor>
  <xdr:twoCellAnchor>
    <xdr:from>
      <xdr:col>6</xdr:col>
      <xdr:colOff>777275</xdr:colOff>
      <xdr:row>37</xdr:row>
      <xdr:rowOff>1096819</xdr:rowOff>
    </xdr:from>
    <xdr:to>
      <xdr:col>9</xdr:col>
      <xdr:colOff>802675</xdr:colOff>
      <xdr:row>37</xdr:row>
      <xdr:rowOff>3346243</xdr:rowOff>
    </xdr:to>
    <xdr:sp macro="" textlink="">
      <xdr:nvSpPr>
        <xdr:cNvPr id="12" name="Rounded Rectangle 21">
          <a:extLst>
            <a:ext uri="{FF2B5EF4-FFF2-40B4-BE49-F238E27FC236}">
              <a16:creationId xmlns:a16="http://schemas.microsoft.com/office/drawing/2014/main" id="{956ED868-06B5-4C50-81E3-BB11C22BE43A}"/>
            </a:ext>
          </a:extLst>
        </xdr:cNvPr>
        <xdr:cNvSpPr/>
      </xdr:nvSpPr>
      <xdr:spPr>
        <a:xfrm>
          <a:off x="6446555" y="14949979"/>
          <a:ext cx="2860040" cy="2249424"/>
        </a:xfrm>
        <a:prstGeom prst="roundRect">
          <a:avLst>
            <a:gd name="adj" fmla="val 0"/>
          </a:avLst>
        </a:prstGeom>
        <a:solidFill>
          <a:srgbClr val="D9F9E8"/>
        </a:solidFill>
        <a:ln>
          <a:noFill/>
        </a:ln>
      </xdr:spPr>
      <xdr:style>
        <a:lnRef idx="2">
          <a:schemeClr val="accent6">
            <a:shade val="15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GB" sz="1100"/>
        </a:p>
      </xdr:txBody>
    </xdr:sp>
    <xdr:clientData/>
  </xdr:twoCellAnchor>
  <xdr:twoCellAnchor>
    <xdr:from>
      <xdr:col>7</xdr:col>
      <xdr:colOff>222709</xdr:colOff>
      <xdr:row>37</xdr:row>
      <xdr:rowOff>2538092</xdr:rowOff>
    </xdr:from>
    <xdr:to>
      <xdr:col>9</xdr:col>
      <xdr:colOff>80891</xdr:colOff>
      <xdr:row>37</xdr:row>
      <xdr:rowOff>3147059</xdr:rowOff>
    </xdr:to>
    <xdr:sp macro="" textlink="">
      <xdr:nvSpPr>
        <xdr:cNvPr id="13" name="TextBox 12">
          <a:extLst>
            <a:ext uri="{FF2B5EF4-FFF2-40B4-BE49-F238E27FC236}">
              <a16:creationId xmlns:a16="http://schemas.microsoft.com/office/drawing/2014/main" id="{F7C08E10-0D14-4BC1-B543-85134653821D}"/>
            </a:ext>
          </a:extLst>
        </xdr:cNvPr>
        <xdr:cNvSpPr txBox="1"/>
      </xdr:nvSpPr>
      <xdr:spPr>
        <a:xfrm>
          <a:off x="6836869" y="16391252"/>
          <a:ext cx="1747942" cy="6089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nchorCtr="0"/>
        <a:lstStyle/>
        <a:p>
          <a:pPr algn="ctr"/>
          <a:r>
            <a:rPr lang="en-GB" sz="1100"/>
            <a:t>Pay your deposit at one of our 5 North West Showrooms.</a:t>
          </a:r>
        </a:p>
      </xdr:txBody>
    </xdr:sp>
    <xdr:clientData/>
  </xdr:twoCellAnchor>
  <xdr:twoCellAnchor>
    <xdr:from>
      <xdr:col>7</xdr:col>
      <xdr:colOff>880992</xdr:colOff>
      <xdr:row>37</xdr:row>
      <xdr:rowOff>1397294</xdr:rowOff>
    </xdr:from>
    <xdr:to>
      <xdr:col>8</xdr:col>
      <xdr:colOff>698958</xdr:colOff>
      <xdr:row>37</xdr:row>
      <xdr:rowOff>2044994</xdr:rowOff>
    </xdr:to>
    <xdr:pic>
      <xdr:nvPicPr>
        <xdr:cNvPr id="14" name="Picture 13">
          <a:extLst>
            <a:ext uri="{FF2B5EF4-FFF2-40B4-BE49-F238E27FC236}">
              <a16:creationId xmlns:a16="http://schemas.microsoft.com/office/drawing/2014/main" id="{1629665A-E27D-41A8-A9FF-4075F43175CB}"/>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7495152" y="15250454"/>
          <a:ext cx="762846" cy="647700"/>
        </a:xfrm>
        <a:prstGeom prst="rect">
          <a:avLst/>
        </a:prstGeom>
      </xdr:spPr>
    </xdr:pic>
    <xdr:clientData/>
  </xdr:twoCellAnchor>
  <xdr:twoCellAnchor>
    <xdr:from>
      <xdr:col>7</xdr:col>
      <xdr:colOff>404742</xdr:colOff>
      <xdr:row>37</xdr:row>
      <xdr:rowOff>2158299</xdr:rowOff>
    </xdr:from>
    <xdr:to>
      <xdr:col>9</xdr:col>
      <xdr:colOff>116875</xdr:colOff>
      <xdr:row>37</xdr:row>
      <xdr:rowOff>2504594</xdr:rowOff>
    </xdr:to>
    <xdr:sp macro="" textlink="">
      <xdr:nvSpPr>
        <xdr:cNvPr id="15" name="TextBox 14">
          <a:extLst>
            <a:ext uri="{FF2B5EF4-FFF2-40B4-BE49-F238E27FC236}">
              <a16:creationId xmlns:a16="http://schemas.microsoft.com/office/drawing/2014/main" id="{B6870D09-D679-4502-9EB7-1405DFAA531A}"/>
            </a:ext>
          </a:extLst>
        </xdr:cNvPr>
        <xdr:cNvSpPr txBox="1"/>
      </xdr:nvSpPr>
      <xdr:spPr>
        <a:xfrm>
          <a:off x="7018902" y="16011459"/>
          <a:ext cx="1601893" cy="3462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600" b="1"/>
            <a:t>Visit a </a:t>
          </a:r>
          <a:r>
            <a:rPr lang="en-GB" sz="1400" b="1"/>
            <a:t>Showroom</a:t>
          </a:r>
          <a:endParaRPr lang="en-GB" sz="1400"/>
        </a:p>
      </xdr:txBody>
    </xdr:sp>
    <xdr:clientData/>
  </xdr:twoCellAnchor>
  <xdr:twoCellAnchor>
    <xdr:from>
      <xdr:col>3</xdr:col>
      <xdr:colOff>498145</xdr:colOff>
      <xdr:row>39</xdr:row>
      <xdr:rowOff>4101421</xdr:rowOff>
    </xdr:from>
    <xdr:to>
      <xdr:col>6</xdr:col>
      <xdr:colOff>430004</xdr:colOff>
      <xdr:row>39</xdr:row>
      <xdr:rowOff>4542692</xdr:rowOff>
    </xdr:to>
    <xdr:sp macro="" textlink="">
      <xdr:nvSpPr>
        <xdr:cNvPr id="16" name="TextBox 15">
          <a:extLst>
            <a:ext uri="{FF2B5EF4-FFF2-40B4-BE49-F238E27FC236}">
              <a16:creationId xmlns:a16="http://schemas.microsoft.com/office/drawing/2014/main" id="{8E7DB53A-E6E9-4ECB-A8B2-80CC9A982F07}"/>
            </a:ext>
          </a:extLst>
        </xdr:cNvPr>
        <xdr:cNvSpPr txBox="1"/>
      </xdr:nvSpPr>
      <xdr:spPr>
        <a:xfrm>
          <a:off x="3332785" y="21475021"/>
          <a:ext cx="2766499" cy="44127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600" b="1"/>
            <a:t>Shutters Crafted</a:t>
          </a:r>
          <a:r>
            <a:rPr lang="en-GB" sz="1600" b="1" baseline="0"/>
            <a:t> to Perfection</a:t>
          </a:r>
          <a:endParaRPr lang="en-GB" sz="1600"/>
        </a:p>
      </xdr:txBody>
    </xdr:sp>
    <xdr:clientData/>
  </xdr:twoCellAnchor>
  <xdr:twoCellAnchor>
    <xdr:from>
      <xdr:col>1</xdr:col>
      <xdr:colOff>248174</xdr:colOff>
      <xdr:row>39</xdr:row>
      <xdr:rowOff>190520</xdr:rowOff>
    </xdr:from>
    <xdr:to>
      <xdr:col>8</xdr:col>
      <xdr:colOff>266632</xdr:colOff>
      <xdr:row>39</xdr:row>
      <xdr:rowOff>647002</xdr:rowOff>
    </xdr:to>
    <xdr:sp macro="" textlink="">
      <xdr:nvSpPr>
        <xdr:cNvPr id="17" name="TextBox 16">
          <a:extLst>
            <a:ext uri="{FF2B5EF4-FFF2-40B4-BE49-F238E27FC236}">
              <a16:creationId xmlns:a16="http://schemas.microsoft.com/office/drawing/2014/main" id="{054BFA5B-989B-44FF-916A-87EE82D88847}"/>
            </a:ext>
          </a:extLst>
        </xdr:cNvPr>
        <xdr:cNvSpPr txBox="1"/>
      </xdr:nvSpPr>
      <xdr:spPr>
        <a:xfrm>
          <a:off x="1193054" y="17564120"/>
          <a:ext cx="6632618" cy="456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2000" b="1">
              <a:ln>
                <a:noFill/>
              </a:ln>
              <a:solidFill>
                <a:srgbClr val="212121"/>
              </a:solidFill>
            </a:rPr>
            <a:t>OUR SHUTTER SERVICE - FROM START TO</a:t>
          </a:r>
          <a:r>
            <a:rPr lang="en-GB" sz="2000" b="1" baseline="0">
              <a:ln>
                <a:noFill/>
              </a:ln>
              <a:solidFill>
                <a:srgbClr val="212121"/>
              </a:solidFill>
            </a:rPr>
            <a:t> FINISH</a:t>
          </a:r>
          <a:endParaRPr lang="en-GB" sz="2000" b="1">
            <a:ln>
              <a:noFill/>
            </a:ln>
            <a:solidFill>
              <a:srgbClr val="212121"/>
            </a:solidFill>
          </a:endParaRPr>
        </a:p>
      </xdr:txBody>
    </xdr:sp>
    <xdr:clientData/>
  </xdr:twoCellAnchor>
  <xdr:twoCellAnchor>
    <xdr:from>
      <xdr:col>1</xdr:col>
      <xdr:colOff>821487</xdr:colOff>
      <xdr:row>39</xdr:row>
      <xdr:rowOff>555016</xdr:rowOff>
    </xdr:from>
    <xdr:to>
      <xdr:col>7</xdr:col>
      <xdr:colOff>745605</xdr:colOff>
      <xdr:row>39</xdr:row>
      <xdr:rowOff>1142086</xdr:rowOff>
    </xdr:to>
    <xdr:sp macro="" textlink="">
      <xdr:nvSpPr>
        <xdr:cNvPr id="18" name="TextBox 17">
          <a:extLst>
            <a:ext uri="{FF2B5EF4-FFF2-40B4-BE49-F238E27FC236}">
              <a16:creationId xmlns:a16="http://schemas.microsoft.com/office/drawing/2014/main" id="{9288F69A-5999-43AD-8681-8A883DE06819}"/>
            </a:ext>
          </a:extLst>
        </xdr:cNvPr>
        <xdr:cNvSpPr txBox="1"/>
      </xdr:nvSpPr>
      <xdr:spPr>
        <a:xfrm>
          <a:off x="1766367" y="17928616"/>
          <a:ext cx="5593398" cy="58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b="0">
              <a:ln>
                <a:noFill/>
              </a:ln>
            </a:rPr>
            <a:t>Once you've paid your deposit, our shutter specialists will take care of everything, from final measure and manufacture to shutter installation.</a:t>
          </a:r>
        </a:p>
      </xdr:txBody>
    </xdr:sp>
    <xdr:clientData/>
  </xdr:twoCellAnchor>
  <xdr:twoCellAnchor>
    <xdr:from>
      <xdr:col>3</xdr:col>
      <xdr:colOff>339725</xdr:colOff>
      <xdr:row>39</xdr:row>
      <xdr:rowOff>4410735</xdr:rowOff>
    </xdr:from>
    <xdr:to>
      <xdr:col>6</xdr:col>
      <xdr:colOff>600501</xdr:colOff>
      <xdr:row>40</xdr:row>
      <xdr:rowOff>102235</xdr:rowOff>
    </xdr:to>
    <xdr:sp macro="" textlink="">
      <xdr:nvSpPr>
        <xdr:cNvPr id="19" name="TextBox 18">
          <a:extLst>
            <a:ext uri="{FF2B5EF4-FFF2-40B4-BE49-F238E27FC236}">
              <a16:creationId xmlns:a16="http://schemas.microsoft.com/office/drawing/2014/main" id="{4788C0FB-4F53-4603-BCE0-530F993A70B2}"/>
            </a:ext>
          </a:extLst>
        </xdr:cNvPr>
        <xdr:cNvSpPr txBox="1"/>
      </xdr:nvSpPr>
      <xdr:spPr>
        <a:xfrm>
          <a:off x="3174365" y="21784335"/>
          <a:ext cx="3095416" cy="888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nchorCtr="0"/>
        <a:lstStyle/>
        <a:p>
          <a:pPr algn="ctr"/>
          <a:r>
            <a:rPr lang="en-GB" sz="1200"/>
            <a:t>Your shutters will be manufactured at the world’s foremost shutter production facility and quality checked with a 45-point Inspection.</a:t>
          </a:r>
        </a:p>
      </xdr:txBody>
    </xdr:sp>
    <xdr:clientData/>
  </xdr:twoCellAnchor>
  <xdr:twoCellAnchor>
    <xdr:from>
      <xdr:col>6</xdr:col>
      <xdr:colOff>886259</xdr:colOff>
      <xdr:row>39</xdr:row>
      <xdr:rowOff>4101421</xdr:rowOff>
    </xdr:from>
    <xdr:to>
      <xdr:col>9</xdr:col>
      <xdr:colOff>660242</xdr:colOff>
      <xdr:row>39</xdr:row>
      <xdr:rowOff>4542692</xdr:rowOff>
    </xdr:to>
    <xdr:sp macro="" textlink="">
      <xdr:nvSpPr>
        <xdr:cNvPr id="20" name="TextBox 19">
          <a:extLst>
            <a:ext uri="{FF2B5EF4-FFF2-40B4-BE49-F238E27FC236}">
              <a16:creationId xmlns:a16="http://schemas.microsoft.com/office/drawing/2014/main" id="{ACA78305-32FD-4CC6-88FD-BCA569FD05A4}"/>
            </a:ext>
          </a:extLst>
        </xdr:cNvPr>
        <xdr:cNvSpPr txBox="1"/>
      </xdr:nvSpPr>
      <xdr:spPr>
        <a:xfrm>
          <a:off x="6555539" y="21475021"/>
          <a:ext cx="2608623" cy="44127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600" b="1"/>
            <a:t>Beautiful</a:t>
          </a:r>
          <a:r>
            <a:rPr lang="en-GB" sz="1600" b="1" baseline="0"/>
            <a:t> and</a:t>
          </a:r>
          <a:r>
            <a:rPr lang="en-GB" sz="1600" b="1"/>
            <a:t> Built to Last</a:t>
          </a:r>
          <a:endParaRPr lang="en-GB" sz="1600"/>
        </a:p>
      </xdr:txBody>
    </xdr:sp>
    <xdr:clientData/>
  </xdr:twoCellAnchor>
  <xdr:twoCellAnchor>
    <xdr:from>
      <xdr:col>6</xdr:col>
      <xdr:colOff>854509</xdr:colOff>
      <xdr:row>39</xdr:row>
      <xdr:rowOff>4267860</xdr:rowOff>
    </xdr:from>
    <xdr:to>
      <xdr:col>9</xdr:col>
      <xdr:colOff>886673</xdr:colOff>
      <xdr:row>39</xdr:row>
      <xdr:rowOff>5182870</xdr:rowOff>
    </xdr:to>
    <xdr:sp macro="" textlink="">
      <xdr:nvSpPr>
        <xdr:cNvPr id="21" name="TextBox 20">
          <a:extLst>
            <a:ext uri="{FF2B5EF4-FFF2-40B4-BE49-F238E27FC236}">
              <a16:creationId xmlns:a16="http://schemas.microsoft.com/office/drawing/2014/main" id="{682C5F1F-4232-4C26-9850-3F1AFEABA652}"/>
            </a:ext>
          </a:extLst>
        </xdr:cNvPr>
        <xdr:cNvSpPr txBox="1"/>
      </xdr:nvSpPr>
      <xdr:spPr>
        <a:xfrm>
          <a:off x="6523789" y="21641460"/>
          <a:ext cx="2866804" cy="9150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ctr"/>
          <a:r>
            <a:rPr lang="en-GB" sz="1200"/>
            <a:t>Once your shutters are ready, our trained installers will fit them in your home. Perfect Shutters come with a 10-Year Guarantee.</a:t>
          </a:r>
          <a:endParaRPr lang="en-GB" sz="1200" b="1"/>
        </a:p>
      </xdr:txBody>
    </xdr:sp>
    <xdr:clientData/>
  </xdr:twoCellAnchor>
  <xdr:twoCellAnchor>
    <xdr:from>
      <xdr:col>0</xdr:col>
      <xdr:colOff>110031</xdr:colOff>
      <xdr:row>39</xdr:row>
      <xdr:rowOff>4101421</xdr:rowOff>
    </xdr:from>
    <xdr:to>
      <xdr:col>3</xdr:col>
      <xdr:colOff>127000</xdr:colOff>
      <xdr:row>39</xdr:row>
      <xdr:rowOff>4542692</xdr:rowOff>
    </xdr:to>
    <xdr:sp macro="" textlink="">
      <xdr:nvSpPr>
        <xdr:cNvPr id="22" name="TextBox 21">
          <a:extLst>
            <a:ext uri="{FF2B5EF4-FFF2-40B4-BE49-F238E27FC236}">
              <a16:creationId xmlns:a16="http://schemas.microsoft.com/office/drawing/2014/main" id="{8C9D13CD-2A2A-4DB4-8CEC-F1611C5D32D4}"/>
            </a:ext>
          </a:extLst>
        </xdr:cNvPr>
        <xdr:cNvSpPr txBox="1"/>
      </xdr:nvSpPr>
      <xdr:spPr>
        <a:xfrm>
          <a:off x="110031" y="21475021"/>
          <a:ext cx="2851609" cy="44127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600" b="1"/>
            <a:t>Expert Measure and Design</a:t>
          </a:r>
          <a:endParaRPr lang="en-GB" sz="1600"/>
        </a:p>
      </xdr:txBody>
    </xdr:sp>
    <xdr:clientData/>
  </xdr:twoCellAnchor>
  <xdr:twoCellAnchor>
    <xdr:from>
      <xdr:col>0</xdr:col>
      <xdr:colOff>110031</xdr:colOff>
      <xdr:row>39</xdr:row>
      <xdr:rowOff>4413911</xdr:rowOff>
    </xdr:from>
    <xdr:to>
      <xdr:col>3</xdr:col>
      <xdr:colOff>145143</xdr:colOff>
      <xdr:row>39</xdr:row>
      <xdr:rowOff>5189220</xdr:rowOff>
    </xdr:to>
    <xdr:sp macro="" textlink="">
      <xdr:nvSpPr>
        <xdr:cNvPr id="23" name="TextBox 22">
          <a:extLst>
            <a:ext uri="{FF2B5EF4-FFF2-40B4-BE49-F238E27FC236}">
              <a16:creationId xmlns:a16="http://schemas.microsoft.com/office/drawing/2014/main" id="{476D2BF2-67ED-4874-9A35-A032F45D65E6}"/>
            </a:ext>
          </a:extLst>
        </xdr:cNvPr>
        <xdr:cNvSpPr txBox="1"/>
      </xdr:nvSpPr>
      <xdr:spPr>
        <a:xfrm>
          <a:off x="110031" y="21787511"/>
          <a:ext cx="2869752" cy="7753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nchorCtr="0"/>
        <a:lstStyle/>
        <a:p>
          <a:pPr algn="ctr"/>
          <a:r>
            <a:rPr lang="en-GB" sz="1200"/>
            <a:t>We'll</a:t>
          </a:r>
          <a:r>
            <a:rPr lang="en-GB" sz="1200" baseline="0"/>
            <a:t> arrange for our technical </a:t>
          </a:r>
          <a:r>
            <a:rPr lang="en-GB" sz="1200"/>
            <a:t>Surveyor to visit your home to take</a:t>
          </a:r>
          <a:r>
            <a:rPr lang="en-GB" sz="1200" baseline="0"/>
            <a:t> final meaurements and confirm final des</a:t>
          </a:r>
          <a:r>
            <a:rPr lang="en-GB" sz="1200"/>
            <a:t>ign details.</a:t>
          </a:r>
        </a:p>
      </xdr:txBody>
    </xdr:sp>
    <xdr:clientData/>
  </xdr:twoCellAnchor>
  <xdr:twoCellAnchor>
    <xdr:from>
      <xdr:col>0</xdr:col>
      <xdr:colOff>831548</xdr:colOff>
      <xdr:row>41</xdr:row>
      <xdr:rowOff>314677</xdr:rowOff>
    </xdr:from>
    <xdr:to>
      <xdr:col>8</xdr:col>
      <xdr:colOff>427182</xdr:colOff>
      <xdr:row>41</xdr:row>
      <xdr:rowOff>1173480</xdr:rowOff>
    </xdr:to>
    <xdr:sp macro="" textlink="">
      <xdr:nvSpPr>
        <xdr:cNvPr id="24" name="TextBox 23">
          <a:extLst>
            <a:ext uri="{FF2B5EF4-FFF2-40B4-BE49-F238E27FC236}">
              <a16:creationId xmlns:a16="http://schemas.microsoft.com/office/drawing/2014/main" id="{7E2EFC48-F130-4D0A-8D14-2D18462734C5}"/>
            </a:ext>
          </a:extLst>
        </xdr:cNvPr>
        <xdr:cNvSpPr txBox="1"/>
      </xdr:nvSpPr>
      <xdr:spPr>
        <a:xfrm>
          <a:off x="831548" y="23441377"/>
          <a:ext cx="7154674" cy="85880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200" b="0">
              <a:ln>
                <a:noFill/>
              </a:ln>
            </a:rPr>
            <a:t>Perfect Shutters is</a:t>
          </a:r>
          <a:r>
            <a:rPr lang="en-GB" sz="1200" b="0" baseline="0">
              <a:ln>
                <a:noFill/>
              </a:ln>
            </a:rPr>
            <a:t> </a:t>
          </a:r>
          <a:r>
            <a:rPr lang="en-GB" sz="1200" b="0">
              <a:ln>
                <a:noFill/>
              </a:ln>
            </a:rPr>
            <a:t>local family business and the North West's most</a:t>
          </a:r>
          <a:r>
            <a:rPr lang="en-GB" sz="1200" b="0" baseline="0">
              <a:ln>
                <a:noFill/>
              </a:ln>
            </a:rPr>
            <a:t> trusted shutter specialist. </a:t>
          </a:r>
          <a:r>
            <a:rPr lang="en-GB" sz="1200" b="1" baseline="0">
              <a:ln>
                <a:noFill/>
              </a:ln>
            </a:rPr>
            <a:t>We have </a:t>
          </a:r>
          <a:r>
            <a:rPr lang="en-GB" sz="1200" b="1">
              <a:ln>
                <a:noFill/>
              </a:ln>
            </a:rPr>
            <a:t>30 years of expertise and have installed over 60,000 shutters in local</a:t>
          </a:r>
          <a:r>
            <a:rPr lang="en-GB" sz="1200" b="1" baseline="0">
              <a:ln>
                <a:noFill/>
              </a:ln>
            </a:rPr>
            <a:t> </a:t>
          </a:r>
          <a:r>
            <a:rPr lang="en-GB" sz="1200" b="1">
              <a:ln>
                <a:noFill/>
              </a:ln>
            </a:rPr>
            <a:t>homes. </a:t>
          </a:r>
          <a:r>
            <a:rPr lang="en-GB" sz="1200" b="0">
              <a:ln>
                <a:noFill/>
              </a:ln>
            </a:rPr>
            <a:t>The difference between Perfect Shutters and other shutters becomes really clear when you look at our track record and read our 5 Star Trustpilot</a:t>
          </a:r>
          <a:r>
            <a:rPr lang="en-GB" sz="1200" b="0" baseline="0">
              <a:ln>
                <a:noFill/>
              </a:ln>
            </a:rPr>
            <a:t> </a:t>
          </a:r>
          <a:r>
            <a:rPr lang="en-GB" sz="1200" b="0">
              <a:ln>
                <a:noFill/>
              </a:ln>
            </a:rPr>
            <a:t>reviews.</a:t>
          </a:r>
        </a:p>
      </xdr:txBody>
    </xdr:sp>
    <xdr:clientData/>
  </xdr:twoCellAnchor>
  <xdr:oneCellAnchor>
    <xdr:from>
      <xdr:col>0</xdr:col>
      <xdr:colOff>110031</xdr:colOff>
      <xdr:row>39</xdr:row>
      <xdr:rowOff>1257067</xdr:rowOff>
    </xdr:from>
    <xdr:ext cx="2869039" cy="2751316"/>
    <xdr:pic>
      <xdr:nvPicPr>
        <xdr:cNvPr id="25" name="Picture 24">
          <a:extLst>
            <a:ext uri="{FF2B5EF4-FFF2-40B4-BE49-F238E27FC236}">
              <a16:creationId xmlns:a16="http://schemas.microsoft.com/office/drawing/2014/main" id="{A075F0CE-F31B-4791-83D9-B546A975AE75}"/>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10031" y="18630667"/>
          <a:ext cx="2869039" cy="2751316"/>
        </a:xfrm>
        <a:prstGeom prst="rect">
          <a:avLst/>
        </a:prstGeom>
      </xdr:spPr>
    </xdr:pic>
    <xdr:clientData/>
  </xdr:oneCellAnchor>
  <xdr:oneCellAnchor>
    <xdr:from>
      <xdr:col>3</xdr:col>
      <xdr:colOff>498145</xdr:colOff>
      <xdr:row>39</xdr:row>
      <xdr:rowOff>1257067</xdr:rowOff>
    </xdr:from>
    <xdr:ext cx="2869039" cy="2751316"/>
    <xdr:pic>
      <xdr:nvPicPr>
        <xdr:cNvPr id="26" name="Picture 25">
          <a:extLst>
            <a:ext uri="{FF2B5EF4-FFF2-40B4-BE49-F238E27FC236}">
              <a16:creationId xmlns:a16="http://schemas.microsoft.com/office/drawing/2014/main" id="{5CAC0427-C206-4C27-A633-DB730BD54D93}"/>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3332785" y="18630667"/>
          <a:ext cx="2869039" cy="2751316"/>
        </a:xfrm>
        <a:prstGeom prst="rect">
          <a:avLst/>
        </a:prstGeom>
      </xdr:spPr>
    </xdr:pic>
    <xdr:clientData/>
  </xdr:oneCellAnchor>
  <xdr:oneCellAnchor>
    <xdr:from>
      <xdr:col>0</xdr:col>
      <xdr:colOff>249901</xdr:colOff>
      <xdr:row>41</xdr:row>
      <xdr:rowOff>1209752</xdr:rowOff>
    </xdr:from>
    <xdr:ext cx="8961444" cy="1295215"/>
    <xdr:pic>
      <xdr:nvPicPr>
        <xdr:cNvPr id="27" name="Picture 26">
          <a:extLst>
            <a:ext uri="{FF2B5EF4-FFF2-40B4-BE49-F238E27FC236}">
              <a16:creationId xmlns:a16="http://schemas.microsoft.com/office/drawing/2014/main" id="{7CD98DD8-3118-4881-A793-95F79CBE4747}"/>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249901" y="24336452"/>
          <a:ext cx="8961444" cy="1295215"/>
        </a:xfrm>
        <a:prstGeom prst="rect">
          <a:avLst/>
        </a:prstGeom>
      </xdr:spPr>
    </xdr:pic>
    <xdr:clientData/>
  </xdr:oneCellAnchor>
  <xdr:oneCellAnchor>
    <xdr:from>
      <xdr:col>0</xdr:col>
      <xdr:colOff>11430</xdr:colOff>
      <xdr:row>0</xdr:row>
      <xdr:rowOff>173990</xdr:rowOff>
    </xdr:from>
    <xdr:ext cx="9385299" cy="685800"/>
    <xdr:pic>
      <xdr:nvPicPr>
        <xdr:cNvPr id="28" name="Picture 27">
          <a:extLst>
            <a:ext uri="{FF2B5EF4-FFF2-40B4-BE49-F238E27FC236}">
              <a16:creationId xmlns:a16="http://schemas.microsoft.com/office/drawing/2014/main" id="{3361156D-943A-4F1F-A967-1978ECF4BF96}"/>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11430" y="173990"/>
          <a:ext cx="9385299" cy="685800"/>
        </a:xfrm>
        <a:prstGeom prst="rect">
          <a:avLst/>
        </a:prstGeom>
      </xdr:spPr>
    </xdr:pic>
    <xdr:clientData/>
  </xdr:oneCellAnchor>
  <xdr:oneCellAnchor>
    <xdr:from>
      <xdr:col>2</xdr:col>
      <xdr:colOff>712981</xdr:colOff>
      <xdr:row>40</xdr:row>
      <xdr:rowOff>80970</xdr:rowOff>
    </xdr:from>
    <xdr:ext cx="4077055" cy="678152"/>
    <xdr:pic>
      <xdr:nvPicPr>
        <xdr:cNvPr id="29" name="Picture 28">
          <a:extLst>
            <a:ext uri="{FF2B5EF4-FFF2-40B4-BE49-F238E27FC236}">
              <a16:creationId xmlns:a16="http://schemas.microsoft.com/office/drawing/2014/main" id="{319C23F6-6B64-4494-804E-56F613E31881}"/>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2602741" y="22651410"/>
          <a:ext cx="4077055" cy="678152"/>
        </a:xfrm>
        <a:prstGeom prst="rect">
          <a:avLst/>
        </a:prstGeom>
      </xdr:spPr>
    </xdr:pic>
    <xdr:clientData/>
  </xdr:oneCellAnchor>
  <xdr:oneCellAnchor>
    <xdr:from>
      <xdr:col>6</xdr:col>
      <xdr:colOff>888120</xdr:colOff>
      <xdr:row>39</xdr:row>
      <xdr:rowOff>1257067</xdr:rowOff>
    </xdr:from>
    <xdr:ext cx="2858034" cy="2743433"/>
    <xdr:pic>
      <xdr:nvPicPr>
        <xdr:cNvPr id="30" name="Picture 29">
          <a:extLst>
            <a:ext uri="{FF2B5EF4-FFF2-40B4-BE49-F238E27FC236}">
              <a16:creationId xmlns:a16="http://schemas.microsoft.com/office/drawing/2014/main" id="{CBFB4558-3B37-4AA2-A53E-30AE6BE67E98}"/>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6557400" y="18630667"/>
          <a:ext cx="2858034" cy="2743433"/>
        </a:xfrm>
        <a:prstGeom prst="rect">
          <a:avLst/>
        </a:prstGeom>
      </xdr:spPr>
    </xdr:pic>
    <xdr:clientData/>
  </xdr:oneCellAnchor>
  <xdr:twoCellAnchor>
    <xdr:from>
      <xdr:col>0</xdr:col>
      <xdr:colOff>41934</xdr:colOff>
      <xdr:row>45</xdr:row>
      <xdr:rowOff>112003</xdr:rowOff>
    </xdr:from>
    <xdr:to>
      <xdr:col>1</xdr:col>
      <xdr:colOff>964481</xdr:colOff>
      <xdr:row>45</xdr:row>
      <xdr:rowOff>1298464</xdr:rowOff>
    </xdr:to>
    <xdr:sp macro="" textlink="">
      <xdr:nvSpPr>
        <xdr:cNvPr id="31" name="TextBox 30">
          <a:extLst>
            <a:ext uri="{FF2B5EF4-FFF2-40B4-BE49-F238E27FC236}">
              <a16:creationId xmlns:a16="http://schemas.microsoft.com/office/drawing/2014/main" id="{0A75440F-EAF2-4F6C-988E-E0ABF14F6F4B}"/>
            </a:ext>
          </a:extLst>
        </xdr:cNvPr>
        <xdr:cNvSpPr txBox="1"/>
      </xdr:nvSpPr>
      <xdr:spPr>
        <a:xfrm>
          <a:off x="41934" y="26842963"/>
          <a:ext cx="1844567" cy="11331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nchorCtr="0"/>
        <a:lstStyle/>
        <a:p>
          <a:pPr algn="l"/>
          <a:r>
            <a:rPr lang="en-GB" sz="1400" b="1"/>
            <a:t>AINTREE</a:t>
          </a:r>
        </a:p>
        <a:p>
          <a:pPr algn="l"/>
          <a:r>
            <a:rPr lang="en-GB" sz="1100"/>
            <a:t>3a Bechers Drive</a:t>
          </a:r>
        </a:p>
        <a:p>
          <a:pPr algn="l"/>
          <a:r>
            <a:rPr lang="en-GB" sz="1100"/>
            <a:t>Aintree, Liverpool</a:t>
          </a:r>
        </a:p>
        <a:p>
          <a:pPr algn="l"/>
          <a:r>
            <a:rPr lang="en-GB" sz="1100"/>
            <a:t>L9 5AY</a:t>
          </a:r>
        </a:p>
        <a:p>
          <a:pPr algn="l"/>
          <a:r>
            <a:rPr lang="en-GB" sz="1100" b="1"/>
            <a:t>Phone: 0151 525 0050</a:t>
          </a:r>
        </a:p>
      </xdr:txBody>
    </xdr:sp>
    <xdr:clientData/>
  </xdr:twoCellAnchor>
  <xdr:twoCellAnchor>
    <xdr:from>
      <xdr:col>2</xdr:col>
      <xdr:colOff>2746</xdr:colOff>
      <xdr:row>45</xdr:row>
      <xdr:rowOff>112003</xdr:rowOff>
    </xdr:from>
    <xdr:to>
      <xdr:col>3</xdr:col>
      <xdr:colOff>922547</xdr:colOff>
      <xdr:row>45</xdr:row>
      <xdr:rowOff>1298464</xdr:rowOff>
    </xdr:to>
    <xdr:sp macro="" textlink="">
      <xdr:nvSpPr>
        <xdr:cNvPr id="32" name="TextBox 31">
          <a:extLst>
            <a:ext uri="{FF2B5EF4-FFF2-40B4-BE49-F238E27FC236}">
              <a16:creationId xmlns:a16="http://schemas.microsoft.com/office/drawing/2014/main" id="{1C6DA852-4B35-449B-A6BA-1C3EE99633B0}"/>
            </a:ext>
          </a:extLst>
        </xdr:cNvPr>
        <xdr:cNvSpPr txBox="1"/>
      </xdr:nvSpPr>
      <xdr:spPr>
        <a:xfrm>
          <a:off x="1892506" y="26842963"/>
          <a:ext cx="1864681" cy="11331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nchorCtr="0"/>
        <a:lstStyle/>
        <a:p>
          <a:pPr algn="l"/>
          <a:r>
            <a:rPr lang="en-GB" sz="1400" b="1"/>
            <a:t>ALTRINCHAM</a:t>
          </a:r>
        </a:p>
        <a:p>
          <a:pPr algn="l"/>
          <a:r>
            <a:rPr lang="en-GB" sz="1100"/>
            <a:t>16 Church Street</a:t>
          </a:r>
        </a:p>
        <a:p>
          <a:pPr algn="l"/>
          <a:r>
            <a:rPr lang="en-GB" sz="1100"/>
            <a:t>Altrincham</a:t>
          </a:r>
        </a:p>
        <a:p>
          <a:pPr algn="l"/>
          <a:r>
            <a:rPr lang="en-GB" sz="1100"/>
            <a:t>WA14 4DW</a:t>
          </a:r>
        </a:p>
        <a:p>
          <a:pPr algn="l"/>
          <a:r>
            <a:rPr lang="en-GB" sz="1100" b="1"/>
            <a:t>Phone:</a:t>
          </a:r>
          <a:r>
            <a:rPr lang="en-GB" sz="1100" b="1" baseline="0"/>
            <a:t> 0</a:t>
          </a:r>
          <a:r>
            <a:rPr lang="en-GB" sz="1100" b="1"/>
            <a:t>161 641 3095</a:t>
          </a:r>
        </a:p>
      </xdr:txBody>
    </xdr:sp>
    <xdr:clientData/>
  </xdr:twoCellAnchor>
  <xdr:twoCellAnchor>
    <xdr:from>
      <xdr:col>4</xdr:col>
      <xdr:colOff>2747</xdr:colOff>
      <xdr:row>45</xdr:row>
      <xdr:rowOff>112003</xdr:rowOff>
    </xdr:from>
    <xdr:to>
      <xdr:col>5</xdr:col>
      <xdr:colOff>922547</xdr:colOff>
      <xdr:row>45</xdr:row>
      <xdr:rowOff>1298464</xdr:rowOff>
    </xdr:to>
    <xdr:sp macro="" textlink="">
      <xdr:nvSpPr>
        <xdr:cNvPr id="33" name="TextBox 32">
          <a:extLst>
            <a:ext uri="{FF2B5EF4-FFF2-40B4-BE49-F238E27FC236}">
              <a16:creationId xmlns:a16="http://schemas.microsoft.com/office/drawing/2014/main" id="{CF790C29-10B5-471B-B47C-15177EB0D36E}"/>
            </a:ext>
          </a:extLst>
        </xdr:cNvPr>
        <xdr:cNvSpPr txBox="1"/>
      </xdr:nvSpPr>
      <xdr:spPr>
        <a:xfrm>
          <a:off x="3782267" y="26842963"/>
          <a:ext cx="1864680" cy="11331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nchorCtr="0"/>
        <a:lstStyle/>
        <a:p>
          <a:pPr algn="l"/>
          <a:r>
            <a:rPr lang="en-GB" sz="1400" b="1"/>
            <a:t>ALLERTON</a:t>
          </a:r>
        </a:p>
        <a:p>
          <a:pPr algn="l"/>
          <a:r>
            <a:rPr lang="en-GB" sz="1100"/>
            <a:t>153 Allerton Road</a:t>
          </a:r>
        </a:p>
        <a:p>
          <a:pPr algn="l"/>
          <a:r>
            <a:rPr lang="en-GB" sz="1100"/>
            <a:t>Liverpool</a:t>
          </a:r>
        </a:p>
        <a:p>
          <a:pPr algn="l"/>
          <a:r>
            <a:rPr lang="en-GB" sz="1100"/>
            <a:t>L18 2DD</a:t>
          </a:r>
        </a:p>
        <a:p>
          <a:pPr algn="l"/>
          <a:r>
            <a:rPr lang="en-GB" sz="1100" b="1"/>
            <a:t>Phone: 0151 724 1100</a:t>
          </a:r>
        </a:p>
      </xdr:txBody>
    </xdr:sp>
    <xdr:clientData/>
  </xdr:twoCellAnchor>
  <xdr:twoCellAnchor>
    <xdr:from>
      <xdr:col>6</xdr:col>
      <xdr:colOff>0</xdr:colOff>
      <xdr:row>45</xdr:row>
      <xdr:rowOff>112003</xdr:rowOff>
    </xdr:from>
    <xdr:to>
      <xdr:col>7</xdr:col>
      <xdr:colOff>922548</xdr:colOff>
      <xdr:row>45</xdr:row>
      <xdr:rowOff>1298464</xdr:rowOff>
    </xdr:to>
    <xdr:sp macro="" textlink="">
      <xdr:nvSpPr>
        <xdr:cNvPr id="34" name="TextBox 33">
          <a:extLst>
            <a:ext uri="{FF2B5EF4-FFF2-40B4-BE49-F238E27FC236}">
              <a16:creationId xmlns:a16="http://schemas.microsoft.com/office/drawing/2014/main" id="{89C139BE-6297-469E-A9E9-5CE2E5D29291}"/>
            </a:ext>
          </a:extLst>
        </xdr:cNvPr>
        <xdr:cNvSpPr txBox="1"/>
      </xdr:nvSpPr>
      <xdr:spPr>
        <a:xfrm>
          <a:off x="5669280" y="26842963"/>
          <a:ext cx="1867428" cy="11331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nchorCtr="0"/>
        <a:lstStyle/>
        <a:p>
          <a:pPr algn="l"/>
          <a:r>
            <a:rPr lang="en-GB" sz="1400" b="1"/>
            <a:t>WIRRAL</a:t>
          </a:r>
        </a:p>
        <a:p>
          <a:pPr algn="l"/>
          <a:r>
            <a:rPr lang="en-GB" sz="1100"/>
            <a:t>200 Hoylake Road</a:t>
          </a:r>
        </a:p>
        <a:p>
          <a:pPr algn="l"/>
          <a:r>
            <a:rPr lang="en-GB" sz="1100"/>
            <a:t>Moreton, Wirral</a:t>
          </a:r>
        </a:p>
        <a:p>
          <a:pPr algn="l"/>
          <a:r>
            <a:rPr lang="en-GB" sz="1100"/>
            <a:t>CH46 8TL</a:t>
          </a:r>
        </a:p>
        <a:p>
          <a:pPr algn="l"/>
          <a:r>
            <a:rPr lang="en-GB" sz="1100" b="1"/>
            <a:t>Phone: 0151 363 9797</a:t>
          </a:r>
        </a:p>
      </xdr:txBody>
    </xdr:sp>
    <xdr:clientData/>
  </xdr:twoCellAnchor>
  <xdr:twoCellAnchor>
    <xdr:from>
      <xdr:col>8</xdr:col>
      <xdr:colOff>0</xdr:colOff>
      <xdr:row>45</xdr:row>
      <xdr:rowOff>112003</xdr:rowOff>
    </xdr:from>
    <xdr:to>
      <xdr:col>9</xdr:col>
      <xdr:colOff>922547</xdr:colOff>
      <xdr:row>45</xdr:row>
      <xdr:rowOff>1298464</xdr:rowOff>
    </xdr:to>
    <xdr:sp macro="" textlink="">
      <xdr:nvSpPr>
        <xdr:cNvPr id="35" name="TextBox 34">
          <a:extLst>
            <a:ext uri="{FF2B5EF4-FFF2-40B4-BE49-F238E27FC236}">
              <a16:creationId xmlns:a16="http://schemas.microsoft.com/office/drawing/2014/main" id="{800BC22A-4E37-4963-8FBF-04DC854F4B37}"/>
            </a:ext>
          </a:extLst>
        </xdr:cNvPr>
        <xdr:cNvSpPr txBox="1"/>
      </xdr:nvSpPr>
      <xdr:spPr>
        <a:xfrm>
          <a:off x="7559040" y="26842963"/>
          <a:ext cx="1867427" cy="11331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nchorCtr="0"/>
        <a:lstStyle/>
        <a:p>
          <a:pPr algn="l"/>
          <a:r>
            <a:rPr lang="en-GB" sz="1400" b="1"/>
            <a:t>WIGAN</a:t>
          </a:r>
        </a:p>
        <a:p>
          <a:pPr algn="l"/>
          <a:r>
            <a:rPr lang="en-GB" sz="1100"/>
            <a:t>9 Ormskirk Road</a:t>
          </a:r>
        </a:p>
        <a:p>
          <a:pPr algn="l"/>
          <a:r>
            <a:rPr lang="en-GB" sz="1100"/>
            <a:t>Wigan</a:t>
          </a:r>
        </a:p>
        <a:p>
          <a:pPr algn="l"/>
          <a:r>
            <a:rPr lang="en-GB" sz="1100"/>
            <a:t>WN5 0XD</a:t>
          </a:r>
        </a:p>
        <a:p>
          <a:pPr algn="l"/>
          <a:r>
            <a:rPr lang="en-GB" sz="1100" b="1"/>
            <a:t>Phone: 01942 949 444</a:t>
          </a:r>
        </a:p>
      </xdr:txBody>
    </xdr:sp>
    <xdr:clientData/>
  </xdr:twoCellAnchor>
  <xdr:twoCellAnchor editAs="oneCell">
    <xdr:from>
      <xdr:col>0</xdr:col>
      <xdr:colOff>129540</xdr:colOff>
      <xdr:row>29</xdr:row>
      <xdr:rowOff>45720</xdr:rowOff>
    </xdr:from>
    <xdr:to>
      <xdr:col>1</xdr:col>
      <xdr:colOff>631134</xdr:colOff>
      <xdr:row>32</xdr:row>
      <xdr:rowOff>1269</xdr:rowOff>
    </xdr:to>
    <xdr:pic>
      <xdr:nvPicPr>
        <xdr:cNvPr id="36" name="Picture 35">
          <a:extLst>
            <a:ext uri="{FF2B5EF4-FFF2-40B4-BE49-F238E27FC236}">
              <a16:creationId xmlns:a16="http://schemas.microsoft.com/office/drawing/2014/main" id="{B4FD80F3-C488-4D81-9C12-E773BBED47ED}"/>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29540" y="11201400"/>
          <a:ext cx="1433139" cy="1382394"/>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9</xdr:col>
      <xdr:colOff>335280</xdr:colOff>
      <xdr:row>0</xdr:row>
      <xdr:rowOff>106680</xdr:rowOff>
    </xdr:from>
    <xdr:to>
      <xdr:col>14</xdr:col>
      <xdr:colOff>230505</xdr:colOff>
      <xdr:row>3</xdr:row>
      <xdr:rowOff>148590</xdr:rowOff>
    </xdr:to>
    <xdr:pic>
      <xdr:nvPicPr>
        <xdr:cNvPr id="3" name="Picture 2">
          <a:extLst>
            <a:ext uri="{FF2B5EF4-FFF2-40B4-BE49-F238E27FC236}">
              <a16:creationId xmlns:a16="http://schemas.microsoft.com/office/drawing/2014/main" id="{40C33508-4FC1-43F6-85A9-99C0EE86A62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897880" y="106680"/>
          <a:ext cx="2943225" cy="590550"/>
        </a:xfrm>
        <a:prstGeom prst="rect">
          <a:avLst/>
        </a:prstGeom>
        <a:solidFill>
          <a:schemeClr val="bg1"/>
        </a:solidFill>
        <a:effectLst>
          <a:outerShdw blurRad="50800" dist="38100" dir="2700000" algn="tl" rotWithShape="0">
            <a:prstClr val="black">
              <a:alpha val="57000"/>
            </a:prstClr>
          </a:outerShdw>
        </a:effec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137160</xdr:colOff>
      <xdr:row>0</xdr:row>
      <xdr:rowOff>167640</xdr:rowOff>
    </xdr:from>
    <xdr:to>
      <xdr:col>6</xdr:col>
      <xdr:colOff>398145</xdr:colOff>
      <xdr:row>3</xdr:row>
      <xdr:rowOff>134709</xdr:rowOff>
    </xdr:to>
    <xdr:pic>
      <xdr:nvPicPr>
        <xdr:cNvPr id="2" name="Picture 1">
          <a:extLst>
            <a:ext uri="{FF2B5EF4-FFF2-40B4-BE49-F238E27FC236}">
              <a16:creationId xmlns:a16="http://schemas.microsoft.com/office/drawing/2014/main" id="{249BB806-A9E4-4FFB-AB94-4F02BDC6A5E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80035" y="167640"/>
          <a:ext cx="3007995" cy="54237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1097281</xdr:colOff>
      <xdr:row>0</xdr:row>
      <xdr:rowOff>95250</xdr:rowOff>
    </xdr:from>
    <xdr:to>
      <xdr:col>9</xdr:col>
      <xdr:colOff>22437</xdr:colOff>
      <xdr:row>4</xdr:row>
      <xdr:rowOff>93345</xdr:rowOff>
    </xdr:to>
    <xdr:pic>
      <xdr:nvPicPr>
        <xdr:cNvPr id="2" name="Picture 1">
          <a:extLst>
            <a:ext uri="{FF2B5EF4-FFF2-40B4-BE49-F238E27FC236}">
              <a16:creationId xmlns:a16="http://schemas.microsoft.com/office/drawing/2014/main" id="{3C1E92F8-3B2E-4AB6-BA60-6B96CFC28A6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06881" y="95250"/>
          <a:ext cx="4015316" cy="8210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2">
  <rv s="0">
    <v>13</v>
    <v>1</v>
  </rv>
  <rv s="1">
    <v>13</v>
    <v>3</v>
  </rv>
</rvData>
</file>

<file path=xl/richData/rdrichvaluestructure.xml><?xml version="1.0" encoding="utf-8"?>
<rvStructures xmlns="http://schemas.microsoft.com/office/spreadsheetml/2017/richdata" count="2">
  <s t="_error">
    <k n="errorType" t="i"/>
    <k n="propagated" t="b"/>
  </s>
  <s t="_error">
    <k n="errorType" t="i"/>
    <k n="subType" t="i"/>
  </s>
</rvStructure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A3C8BC5F-8181-47EB-8FDA-143B5EE52200}" name="Table1" displayName="Table1" ref="A1:L55" totalsRowShown="0">
  <tableColumns count="12">
    <tableColumn id="1" xr3:uid="{0467B056-04C6-4214-82F2-B13416E60EA1}" name="Rooms"/>
    <tableColumn id="2" xr3:uid="{E5CE359A-C422-49BF-B6BC-909CF2EBDACD}" name="Room2"/>
    <tableColumn id="3" xr3:uid="{881FBE55-3366-4A68-ACCC-2ED5AE329386}" name="Type"/>
    <tableColumn id="4" xr3:uid="{3E79F933-26FE-44E0-9488-84469B2F0550}" name="Material"/>
    <tableColumn id="5" xr3:uid="{F51773FE-E48B-407F-B781-BC96BC2E4CDC}" name="Barbados"/>
    <tableColumn id="6" xr3:uid="{32390793-A989-428A-BEAD-8321C046E431}" name="Cuba"/>
    <tableColumn id="7" xr3:uid="{C144F47E-4E4A-4DD9-A38B-0EBB45BBFB62}" name="Java"/>
    <tableColumn id="8" xr3:uid="{7879953A-3CE2-4F3E-B2A6-42D4F84BDABF}" name="Fiji"/>
    <tableColumn id="9" xr3:uid="{AE6320C9-92E3-4FB5-BD9D-A10B8BB88643}" name="Bermuda"/>
    <tableColumn id="10" xr3:uid="{6E5386A4-DDCD-4FF1-9699-344833C6FE6C}" name="Samoa"/>
    <tableColumn id="11" xr3:uid="{956CBF0E-C155-4288-A9FD-19FFC7A0ED47}" name="Hampton"/>
    <tableColumn id="12" xr3:uid="{74C92ECD-63D9-4558-B341-A6BB737B67CD}" name="Aruba"/>
  </tableColumns>
  <tableStyleInfo name="TableStyleMedium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D4AC4C75-9DA8-4CC7-90FF-E2A4D1954E5D}" name="Table16" displayName="Table16" ref="N11:N18" totalsRowShown="0">
  <autoFilter ref="N11:N18" xr:uid="{74E5C612-764E-4DC6-9D04-7DCBC5698AAE}"/>
  <tableColumns count="1">
    <tableColumn id="1" xr3:uid="{B8312957-B9D0-48B6-A462-6E191EFA72EE}" name="Sides"/>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BB9B5D75-8A0E-4659-9397-D8D5D2E70FCD}" name="Table17" displayName="Table17" ref="P11:P19" totalsRowShown="0">
  <autoFilter ref="P11:P19" xr:uid="{20C9329E-28EC-434F-805B-CB0BFD313650}"/>
  <tableColumns count="1">
    <tableColumn id="1" xr3:uid="{55DFA0C9-67FF-42DC-91D5-DFE0448ABF12}" name="Surveyors"/>
  </tableColumns>
  <tableStyleInfo name="TableStyleMedium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86633B-C11C-4502-B378-898910503672}" name="Table19" displayName="Table19" ref="X8:Y13" totalsRowShown="0">
  <autoFilter ref="X8:Y13" xr:uid="{AA1760FB-2A28-4D5B-99A9-142498CB11BA}"/>
  <tableColumns count="2">
    <tableColumn id="1" xr3:uid="{DBA4DEAC-EFF3-4F87-8252-03077585AA26}" name="Tframes"/>
    <tableColumn id="2" xr3:uid="{C89343A7-D475-47D2-8DAE-5B07F7E53042}" name="Column1"/>
  </tableColumns>
  <tableStyleInfo name="TableStyleMedium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B6A171E2-52DE-456C-BFEA-9502746DB8CB}" name="Table20" displayName="Table20" ref="AD8:AD16" totalsRowShown="0">
  <autoFilter ref="AD8:AD16" xr:uid="{C695E39D-118A-4D39-A50F-9D12D6A95394}"/>
  <sortState xmlns:xlrd2="http://schemas.microsoft.com/office/spreadsheetml/2017/richdata2" ref="AD9:AD16">
    <sortCondition ref="AD9:AD16"/>
  </sortState>
  <tableColumns count="1">
    <tableColumn id="1" xr3:uid="{876D70D5-35DA-4A55-BA7E-2ED1293DDFC8}" name="SalesTeam"/>
  </tableColumns>
  <tableStyleInfo name="TableStyleMedium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6C98040A-94C0-484B-9567-F9267792F561}" name="Table21" displayName="Table21" ref="T1:T5" totalsRowShown="0">
  <autoFilter ref="T1:T5" xr:uid="{6C98040A-94C0-484B-9567-F9267792F561}"/>
  <tableColumns count="1">
    <tableColumn id="1" xr3:uid="{CFB9E643-5022-44FA-90FC-CF8893338CDF}" name="HamptonL"/>
  </tableColumns>
  <tableStyleInfo name="TableStyleMedium2"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D30FED54-1D88-4ADC-B4DB-B6A6AB4EDB98}" name="Table22" displayName="Table22" ref="U14:U16" totalsRowShown="0" headerRowDxfId="273" dataDxfId="272">
  <autoFilter ref="U14:U16" xr:uid="{D30FED54-1D88-4ADC-B4DB-B6A6AB4EDB98}"/>
  <tableColumns count="1">
    <tableColumn id="1" xr3:uid="{202DB4A7-B2C0-47EC-9F47-86F839A4F8CB}" name="HamptonStyle" dataDxfId="271"/>
  </tableColumns>
  <tableStyleInfo name="TableStyleMedium2"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D820AC2C-BDE9-447B-A19F-215ED7108F31}" name="Table24" displayName="Table24" ref="U18:V21" totalsRowShown="0" headerRowDxfId="270" dataDxfId="269">
  <autoFilter ref="U18:V21" xr:uid="{D820AC2C-BDE9-447B-A19F-215ED7108F31}"/>
  <tableColumns count="2">
    <tableColumn id="1" xr3:uid="{36F5E48B-D54E-486A-BC22-55582F59DBD9}" name="HamptonTilt" dataDxfId="268"/>
    <tableColumn id="2" xr3:uid="{7EDE84CB-013E-4624-BDED-F1CEC79141D8}" name="ArubaTilt" dataDxfId="267"/>
  </tableColumns>
  <tableStyleInfo name="TableStyleMedium2"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5664C217-9459-4BDA-9E8A-68D4038DA1A8}" name="Table26" displayName="Table26" ref="V7:V12" totalsRowShown="0" tableBorderDxfId="266">
  <autoFilter ref="V7:V12" xr:uid="{5664C217-9459-4BDA-9E8A-68D4038DA1A8}"/>
  <tableColumns count="1">
    <tableColumn id="1" xr3:uid="{A96530D7-9AC5-417F-B7F2-CDE14BA6282D}" name="ArubaF"/>
  </tableColumns>
  <tableStyleInfo name="TableStyleMedium2"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0E2ED29E-590B-4896-BE36-2DB645266A90}" name="Table23" displayName="Table23" ref="AI26:BG66" totalsRowShown="0">
  <autoFilter ref="AI26:BG66" xr:uid="{0E2ED29E-590B-4896-BE36-2DB645266A90}"/>
  <tableColumns count="25">
    <tableColumn id="1" xr3:uid="{E4601571-9EA2-4ACC-85EA-9B1053BF5A36}" name="Lifetime"/>
    <tableColumn id="5" xr3:uid="{487614DB-C67E-44C8-A724-172EB681EDC9}" name="Tahiti Colour (MYT Basswood)"/>
    <tableColumn id="6" xr3:uid="{77DA08FD-FB6F-47AD-8F51-D1798DA2A479}" name="Tahiti Louvre"/>
    <tableColumn id="7" xr3:uid="{4863C8C4-E7F5-4737-B55D-90699F7F8F7E}" name="Tahiti Tilt Options"/>
    <tableColumn id="8" xr3:uid="{89D3ECCE-C48D-45E9-8290-80CF195B9041}" name="Tahiti Hinge"/>
    <tableColumn id="9" xr3:uid="{CA889164-832A-4836-8866-D73525D42D1D}" name="Maui Colours (MYT)"/>
    <tableColumn id="10" xr3:uid="{9E870027-AFD7-4CAA-8D74-40F3E267B352}" name="Maui Louvre"/>
    <tableColumn id="11" xr3:uid="{6042230B-6E81-415F-B616-27E757F18B92}" name="Maui Tilt Options"/>
    <tableColumn id="12" xr3:uid="{BAE1C8A4-5A62-4B7B-83CB-BB9DF3851530}" name="Maui Hinge"/>
    <tableColumn id="13" xr3:uid="{6F3A1C87-52EA-4C41-A42F-1E1F9664F08B}" name="Aruba Colour (MYT)"/>
    <tableColumn id="14" xr3:uid="{143A104F-D4B6-42E4-9237-6BCE1318C83B}" name="Aruba Louvre"/>
    <tableColumn id="15" xr3:uid="{232D8E55-A510-4FBE-A0DE-59827781BC1C}" name="Aruba Tilt"/>
    <tableColumn id="16" xr3:uid="{FD6C590D-53AC-4B33-95C8-4204FE0EB1F9}" name="ArubaHinge"/>
    <tableColumn id="17" xr3:uid="{7C56DC80-A637-4DCB-8F4F-23F59FD36C98}" name="Belize Colour (Lifetime)"/>
    <tableColumn id="24" xr3:uid="{C3D82B0A-ED05-41EA-AEFC-97655B865550}" name="Belize Louvre"/>
    <tableColumn id="23" xr3:uid="{742B12F6-CC72-4F98-8554-41B78CC8913E}" name="Belize Tilt"/>
    <tableColumn id="22" xr3:uid="{25FC0648-2EDD-4963-A60B-D10D9E757EF7}" name="Belize Hinge Colour"/>
    <tableColumn id="18" xr3:uid="{0B20BEF5-4979-4C54-8DE2-8C2187B34319}" name="Capri Colour (Lifetime)"/>
    <tableColumn id="19" xr3:uid="{F5225CF6-A33E-4980-80BF-069C90429EDF}" name="Capri Louvre"/>
    <tableColumn id="20" xr3:uid="{39D145C0-4E32-4D27-9BAA-C9D5A6B56BA7}" name="Capri Tilt"/>
    <tableColumn id="21" xr3:uid="{D1C582E5-D307-45EB-A9FD-9EBF9C3C7B53}" name="Capri Hinge"/>
    <tableColumn id="2" xr3:uid="{1C97285D-271E-407D-8F2F-F516365703AF}" name="Aruba Express Colour (Mimio)"/>
    <tableColumn id="3" xr3:uid="{5976D901-31F8-48D7-B560-C370ED999331}" name="Aruba Express Louvre"/>
    <tableColumn id="4" xr3:uid="{377FFA5D-6EC0-4036-B429-7F4D68A23707}" name="Aruba Express Tilt"/>
    <tableColumn id="25" xr3:uid="{DB0CFCFE-4021-4D12-ABDA-D1C288DD9E07}" name="Aruba Express Hinge"/>
  </tableColumns>
  <tableStyleInfo name="TableStyleMedium2"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90073E29-965A-4159-9ECD-BEA5A29D9E81}" name="Table25" displayName="Table25" ref="X21:X51" totalsRowShown="0" dataDxfId="265" tableBorderDxfId="264">
  <autoFilter ref="X21:X51" xr:uid="{90073E29-965A-4159-9ECD-BEA5A29D9E81}"/>
  <tableColumns count="1">
    <tableColumn id="1" xr3:uid="{19E3493A-0EF4-437E-92DB-D21751E66EC1}" name="ArubaConfig" dataDxfId="263"/>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3101FA9E-25BF-4260-A81F-0937A27A1A21}" name="Table2" displayName="Table2" ref="N1:S6" totalsRowShown="0">
  <autoFilter ref="N1:S6" xr:uid="{66D3B7D7-DA00-475B-B6E6-34ED2AB3585B}"/>
  <tableColumns count="6">
    <tableColumn id="1" xr3:uid="{76B02660-3404-4888-9B67-29CD339250A4}" name="BarbadosL"/>
    <tableColumn id="2" xr3:uid="{15123D73-96C4-4EEB-99D0-6EC63045D715}" name="CubaL"/>
    <tableColumn id="3" xr3:uid="{9FD145B6-5B9E-4C8F-8565-EA7D3E04E051}" name="JavaL"/>
    <tableColumn id="4" xr3:uid="{079788BF-CE3E-4DB1-BAC2-AFFC34FCD72D}" name="FijiL"/>
    <tableColumn id="5" xr3:uid="{DA35ECC6-ACDC-4FE8-A097-6E2711DFDD55}" name="BermudaL"/>
    <tableColumn id="6" xr3:uid="{805FB0C8-EF0F-4990-8BE3-4C9C1A19FC4C}" name="ArubaL"/>
  </tableColumns>
  <tableStyleInfo name="TableStyleMedium2"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E35CC978-5A3C-4E8E-9779-EF1BA2AADAD2}" name="TDAntigua" displayName="TDAntigua" ref="A1:W6" totalsRowShown="0">
  <autoFilter ref="A1:W6" xr:uid="{9CDCDDB5-2CDC-4277-8AD6-D561B2643E1E}"/>
  <tableColumns count="23">
    <tableColumn id="1" xr3:uid="{9A582BCB-81DD-4899-BA5F-4E9FC6483990}" name="Louvre Size"/>
    <tableColumn id="2" xr3:uid="{EDFEDD74-E6E4-445C-A86F-BC0A6BA70B28}" name="Min Width"/>
    <tableColumn id="3" xr3:uid="{C5895FC9-1B1F-44BF-9076-D4E981D533B8}" name="Max Width Single"/>
    <tableColumn id="4" xr3:uid="{72E5D9CC-2C88-4B74-B5F9-857B8FF3F9AD}" name="Max Width Bfold"/>
    <tableColumn id="5" xr3:uid="{3DE12CA0-36C0-4A5B-85DF-8D4F083F9B38}" name="Max Width Multifold"/>
    <tableColumn id="6" xr3:uid="{58A675D5-3B27-4D23-B2A0-B5B0392AE8B7}" name="Max Width Tracked"/>
    <tableColumn id="7" xr3:uid="{6EF33208-61E2-48BF-A5C2-86B275518F75}" name="Min Height"/>
    <tableColumn id="8" xr3:uid="{32C2C4C7-4F98-4389-AD89-093CD207A3BB}" name="Max Height"/>
    <tableColumn id="9" xr3:uid="{B24C96FE-8366-4087-8A21-251A7B78C168}" name="Midrail Required"/>
    <tableColumn id="10" xr3:uid="{C7472C9A-6C67-4A92-8296-DBF813F332F6}" name="Material"/>
    <tableColumn id="11" xr3:uid="{5F44EBBD-1798-40FD-9E2B-CFF093AF42D6}" name="Max Panels Hinged together"/>
    <tableColumn id="12" xr3:uid="{18D23FEE-00E4-46B0-8613-AF005471D2DB}" name="Solid Panels"/>
    <tableColumn id="13" xr3:uid="{E5ECBB56-AB02-431F-AB81-09921C6F3CBA}" name="Special Shapes"/>
    <tableColumn id="14" xr3:uid="{D0AA8212-2968-438D-AD49-82DA6F9F0C02}" name="Custom Bay Posts"/>
    <tableColumn id="15" xr3:uid="{A75AAFEB-A9CD-468C-8ED0-80449AA1444D}" name="Stile Type"/>
    <tableColumn id="16" xr3:uid="{21CFF6EB-E954-4B1C-A83A-BCCA5557043C}" name="Fixed Luvres"/>
    <tableColumn id="17" xr3:uid="{DA96FA6D-70F6-474E-B055-6DAE8FDDE5DC}" name="Midrail Tollerance" dataDxfId="13">
      <calculatedColumnFormula>+-19</calculatedColumnFormula>
    </tableColumn>
    <tableColumn id="18" xr3:uid="{77D8A195-00FF-4439-9946-565479AD669D}" name="Silent Tilt Split"/>
    <tableColumn id="19" xr3:uid="{434ECBCB-B182-4CD0-A612-BFEBC500C705}" name="Max Louvre Split" dataDxfId="12"/>
    <tableColumn id="20" xr3:uid="{797A09EA-72BE-445D-AE6E-6F7D23F4FEF2}" name="Top Track Only" dataDxfId="11"/>
    <tableColumn id="21" xr3:uid="{E70B8050-E78B-4BCA-9C0C-D96C151D7259}" name="Bifold/Bipass"/>
    <tableColumn id="22" xr3:uid="{F513CD69-4290-414C-95DC-D29F11FA5EE7}" name="Midrail Height"/>
    <tableColumn id="23" xr3:uid="{4D55B8AE-7F44-451A-BA8A-4C8A17A4297D}" name="Column1"/>
  </tableColumns>
  <tableStyleInfo name="TableStyleMedium2"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2578F09C-65F5-4071-9614-43552EEFE626}" name="TDBermuda" displayName="TDBermuda" ref="A1:V6" totalsRowShown="0">
  <autoFilter ref="A1:V6" xr:uid="{9CDCDDB5-2CDC-4277-8AD6-D561B2643E1E}"/>
  <tableColumns count="22">
    <tableColumn id="1" xr3:uid="{637E0E09-3726-4628-AF42-1531801C2F26}" name="Louvre Size"/>
    <tableColumn id="2" xr3:uid="{AF69FA80-DD5B-48AC-AF96-48561DD54F81}" name="Min Width"/>
    <tableColumn id="3" xr3:uid="{50CC656F-D16A-4CFD-8CCC-9B38EDF5A59B}" name="Max Width Single"/>
    <tableColumn id="4" xr3:uid="{AE3BC671-6128-4A6D-B4E1-5858F097E224}" name="Max Width Bfold"/>
    <tableColumn id="5" xr3:uid="{21924546-2D6D-44FC-B37C-96D960337C5E}" name="Max Width Multifold"/>
    <tableColumn id="6" xr3:uid="{668FC512-B8E3-4A83-8913-84F1019005E3}" name="Max Width Tracked"/>
    <tableColumn id="7" xr3:uid="{6E897A20-56E8-4490-9AD4-75F17131AFB2}" name="Min Height"/>
    <tableColumn id="8" xr3:uid="{93AE4EE9-AC78-421E-A618-9A11303D8DDB}" name="Max Height"/>
    <tableColumn id="9" xr3:uid="{C7323E9B-B1F4-4EC3-9449-C4F15CE8F4C0}" name="Midrail Required"/>
    <tableColumn id="10" xr3:uid="{840D3B26-EB9C-4925-9060-FC54551EACAD}" name="Material"/>
    <tableColumn id="11" xr3:uid="{E4E6CEA3-67D9-4896-8902-A5E16A4806D7}" name="Max Panels Hinged together" dataDxfId="10"/>
    <tableColumn id="12" xr3:uid="{3C81F701-53D6-4770-B495-F19621DE22DB}" name="Solid Panels"/>
    <tableColumn id="13" xr3:uid="{AFD9EA99-8926-4E2F-913D-422C921BB374}" name="Special Shapes"/>
    <tableColumn id="14" xr3:uid="{5C56C616-5636-4896-A099-F78BB64B7894}" name="Custom Bay Posts"/>
    <tableColumn id="15" xr3:uid="{A9A79988-D301-4E20-A94E-ECF6D0048B48}" name="Stile Type"/>
    <tableColumn id="16" xr3:uid="{287C488A-7313-4876-9EFC-D3DA63A0B5DC}" name="Fixed Luvres"/>
    <tableColumn id="17" xr3:uid="{B17C7B73-689B-446D-B256-A3AA0729E66C}" name="Midrail Tollerance" dataDxfId="9">
      <calculatedColumnFormula>+-19</calculatedColumnFormula>
    </tableColumn>
    <tableColumn id="18" xr3:uid="{B6652CEF-269B-4B11-96EC-520489589F1D}" name="Silent Tilt Split"/>
    <tableColumn id="19" xr3:uid="{AE644EB8-2141-45BA-8507-4D0F4F00C69F}" name="Max Louvre Split" dataDxfId="8"/>
    <tableColumn id="20" xr3:uid="{9D6454A9-653A-4AD1-B5B3-60E7B382B93A}" name="Top Track Only"/>
    <tableColumn id="21" xr3:uid="{AF8B3B59-1C81-4479-9723-AE2CDA020503}" name="Bifold/Bipass"/>
    <tableColumn id="22" xr3:uid="{C77E77DF-AF80-4394-A8BF-8C4276EC4A25}" name="Midrail Height"/>
  </tableColumns>
  <tableStyleInfo name="TableStyleMedium2"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9F3D0A90-07F3-4827-AE75-8AC6B03320F7}" name="TDCuba" displayName="TDCuba" ref="A1:V6" totalsRowShown="0">
  <autoFilter ref="A1:V6" xr:uid="{9CDCDDB5-2CDC-4277-8AD6-D561B2643E1E}"/>
  <tableColumns count="22">
    <tableColumn id="1" xr3:uid="{C08C5D61-ECB1-482A-940A-5C564DBD096D}" name="Louvre Size"/>
    <tableColumn id="2" xr3:uid="{5F838665-D0E9-45BB-BEC5-488CF0F8D937}" name="Min Width"/>
    <tableColumn id="3" xr3:uid="{741DA079-E6F6-4128-812B-44113F890E2E}" name="Max Width Single"/>
    <tableColumn id="4" xr3:uid="{2406D68F-8C4D-4DE3-B683-C1B929F69D47}" name="Max Width Bfold"/>
    <tableColumn id="5" xr3:uid="{219E179F-8151-404D-A909-47086812752F}" name="Max Width Multifold"/>
    <tableColumn id="6" xr3:uid="{CBF5D19A-658C-42EB-94E5-9A1B16AF0FC8}" name="Max Width Tracked"/>
    <tableColumn id="7" xr3:uid="{66E5670F-B386-430A-ABBC-5F1234D61CC5}" name="Min Height"/>
    <tableColumn id="8" xr3:uid="{CD9C6AC5-4C04-42F8-AC3E-CFC7E6655F66}" name="Max Height"/>
    <tableColumn id="9" xr3:uid="{2B72918A-AD7A-4735-B022-863267AE0B04}" name="Midrail Required"/>
    <tableColumn id="10" xr3:uid="{8DA8E0F8-C2F5-42C1-8E04-2A32F6B957CD}" name="Material"/>
    <tableColumn id="11" xr3:uid="{9A4531EF-90ED-49CE-817B-28BDB9AD498C}" name="Max Panels Hinged together"/>
    <tableColumn id="12" xr3:uid="{EA266167-0907-4A83-A991-BD9F0DA5BE75}" name="Solid Panels"/>
    <tableColumn id="13" xr3:uid="{7DFBF657-98E5-479D-AE2E-B79AD204F64B}" name="Special Shapes"/>
    <tableColumn id="14" xr3:uid="{AABD1F67-1044-4735-80FC-2A77B2AC07EA}" name="Custom Bay Posts"/>
    <tableColumn id="15" xr3:uid="{53129229-28E2-4EAD-B38D-AAC29A960019}" name="Stile Type"/>
    <tableColumn id="16" xr3:uid="{5F48309C-13AF-4434-8AC8-102C644C1692}" name="Fixed Luvres"/>
    <tableColumn id="17" xr3:uid="{0FEA1AE1-F3E7-44E3-B306-E88B4B50B43A}" name="Midrail Tollerance" dataDxfId="7">
      <calculatedColumnFormula>+-19</calculatedColumnFormula>
    </tableColumn>
    <tableColumn id="18" xr3:uid="{6E75B330-76A4-49D5-807D-931DCC52F764}" name="Silent Tilt Split"/>
    <tableColumn id="19" xr3:uid="{52CDBA02-4224-4D4A-A75A-D418706D9372}" name="Max Louvre Split" dataDxfId="6"/>
    <tableColumn id="20" xr3:uid="{54BAAF9E-43AC-4B36-ABE2-8C3280F0E25F}" name="Top Track Only"/>
    <tableColumn id="21" xr3:uid="{948A5249-6AE9-4777-83CA-3034DF6440DF}" name="Bifold/Bipass"/>
    <tableColumn id="22" xr3:uid="{CB7B2309-A299-42DC-BCD4-7FD60D1E6FBB}" name="Midrail Height"/>
  </tableColumns>
  <tableStyleInfo name="TableStyleMedium2"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363BE0DC-409F-439D-9A07-62CFAD95F66B}" name="TDJava" displayName="TDJava" ref="A1:V6" totalsRowShown="0">
  <autoFilter ref="A1:V6" xr:uid="{9CDCDDB5-2CDC-4277-8AD6-D561B2643E1E}"/>
  <tableColumns count="22">
    <tableColumn id="1" xr3:uid="{B8889D71-2B4E-41A3-966A-DDF510F32D98}" name="Louvre Size"/>
    <tableColumn id="2" xr3:uid="{3FAA369E-BF2D-43A3-8A4B-6D8A89A8BD25}" name="Min Width"/>
    <tableColumn id="3" xr3:uid="{CD4BEC78-A671-49A8-93A6-709FF2868101}" name="Max Width Single"/>
    <tableColumn id="4" xr3:uid="{3B05A771-4ACF-48D8-BE4D-4C0AC89B894B}" name="Max Width Bfold"/>
    <tableColumn id="5" xr3:uid="{47677CAF-5E7C-4CB7-AEC5-FDF9668B7D18}" name="Max Width Multifold"/>
    <tableColumn id="6" xr3:uid="{4A96F0B1-DB35-4E5A-9530-3D740CEB187F}" name="Max Width Tracked"/>
    <tableColumn id="7" xr3:uid="{A6C8D8BB-87AF-4A29-A501-58F52381C7BA}" name="Min Height"/>
    <tableColumn id="8" xr3:uid="{A84EA7F6-5450-4590-9F6F-00E1B5D95810}" name="Max Height"/>
    <tableColumn id="9" xr3:uid="{A6CDC119-23E5-4DA8-A953-36DC4759ED03}" name="Midrail Required"/>
    <tableColumn id="10" xr3:uid="{6E2CF8D9-C74A-4103-ABAF-AEFAE7D73205}" name="Material"/>
    <tableColumn id="11" xr3:uid="{EB0AA6CD-C7C2-4655-8E0D-7F84316816F4}" name="Max Panels Hinged together"/>
    <tableColumn id="12" xr3:uid="{DDD5487C-7485-41E5-B8D3-479E4F353F05}" name="Solid Panels"/>
    <tableColumn id="13" xr3:uid="{B033ACC5-C5BD-4CB2-9ED4-C77CC8CDB162}" name="Special Shapes"/>
    <tableColumn id="14" xr3:uid="{D2D8FBD7-995E-456F-86C7-745471A00BEB}" name="Custom Bay Posts"/>
    <tableColumn id="15" xr3:uid="{8C136552-8B04-41F3-BA1E-C94DF8CB0FBD}" name="Stile Type"/>
    <tableColumn id="16" xr3:uid="{38A6B4D7-8AFE-4F8B-A3EA-2220265A8953}" name="Fixed Luvres"/>
    <tableColumn id="17" xr3:uid="{AB4FC9A0-FFB0-44FB-9FCB-1B13090E6A23}" name="Midrail Tollerance" dataDxfId="5">
      <calculatedColumnFormula>+-19</calculatedColumnFormula>
    </tableColumn>
    <tableColumn id="18" xr3:uid="{C5A4B8A9-1B85-4727-BBD3-11F81EFF2709}" name="Silent Tilt Split"/>
    <tableColumn id="19" xr3:uid="{08A77E8A-32B6-49FD-803E-036213671E19}" name="Max Louvre Split" dataDxfId="4"/>
    <tableColumn id="20" xr3:uid="{3AA6EBC3-7525-42D2-9C76-040555CF1FA8}" name="Top Track Only"/>
    <tableColumn id="21" xr3:uid="{71A114ED-3401-4117-B47B-2C9EBF36F06B}" name="Bifold/Bipass"/>
    <tableColumn id="22" xr3:uid="{65AFCEC6-74EB-44E9-AAB1-AE97EA43907A}" name="Midrail Height"/>
  </tableColumns>
  <tableStyleInfo name="TableStyleMedium2"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41B9BD1C-9B0E-420C-9790-AD24CE0328C3}" name="TDFiji" displayName="TDFiji" ref="A1:W6" totalsRowShown="0">
  <autoFilter ref="A1:W6" xr:uid="{9CDCDDB5-2CDC-4277-8AD6-D561B2643E1E}"/>
  <tableColumns count="23">
    <tableColumn id="1" xr3:uid="{91680C0C-35BE-4DC6-899B-E886DADA96CC}" name="Louvre Size"/>
    <tableColumn id="2" xr3:uid="{671D7397-BD9A-4426-8358-D6DDBF1FA653}" name="Min Width"/>
    <tableColumn id="3" xr3:uid="{BF22F428-DA1A-4535-A7C2-4BE338AE953C}" name="Max Width Single"/>
    <tableColumn id="4" xr3:uid="{911B764A-488F-4FB3-B64E-1C218B757AD9}" name="Max Width Bfold"/>
    <tableColumn id="5" xr3:uid="{D5EA07CC-6CE1-4FF8-8BB0-62CD3DB30737}" name="Max Width Multifold"/>
    <tableColumn id="6" xr3:uid="{C024F824-26EB-43AE-A3FB-7DAC97C7A793}" name="Max Width Tracked"/>
    <tableColumn id="7" xr3:uid="{F7C2E9E4-C271-4303-B0AD-4631A18EF1D8}" name="Min Height"/>
    <tableColumn id="8" xr3:uid="{6BE64C5B-7184-4F2C-8595-CB00F1C3691B}" name="Max Height"/>
    <tableColumn id="9" xr3:uid="{B42CAA59-5DF2-444C-8B03-CF143EF80140}" name="Midrail Required"/>
    <tableColumn id="10" xr3:uid="{77C0B4B9-A9CE-43E1-8514-1B2048689429}" name="Material"/>
    <tableColumn id="11" xr3:uid="{FD104EEF-D79B-4418-AF40-A2233104F17E}" name="Max Panels Hinged together"/>
    <tableColumn id="12" xr3:uid="{F686B32F-58E0-4EF0-8B99-92B003BAA545}" name="Solid Panels"/>
    <tableColumn id="13" xr3:uid="{63400446-3B50-470B-903D-1D1E8C32CD14}" name="Special Shapes"/>
    <tableColumn id="14" xr3:uid="{918C5999-3C14-4E31-94C4-39ECCBC6E5B1}" name="Custom Bay Posts"/>
    <tableColumn id="15" xr3:uid="{4533CEAD-1114-4397-A111-94C456C5F9D1}" name="Stile Type"/>
    <tableColumn id="16" xr3:uid="{10F47199-4887-4879-88EF-14A96D10AEA2}" name="Fixed Luvres"/>
    <tableColumn id="17" xr3:uid="{9B09ADA9-125A-4F1B-94CE-E23DF72B995C}" name="Midrail Tollerance" dataDxfId="3">
      <calculatedColumnFormula>+-19</calculatedColumnFormula>
    </tableColumn>
    <tableColumn id="18" xr3:uid="{87259F97-BB51-47C4-BC96-06DAB0AA3548}" name="Silent Tilt Split"/>
    <tableColumn id="19" xr3:uid="{063804D8-8A5C-4C55-A85C-FE070ADF749C}" name="Max Louvre Split" dataDxfId="2"/>
    <tableColumn id="20" xr3:uid="{886F510E-FCF9-4554-A5EA-1FF26E0A5746}" name="Top Track Only"/>
    <tableColumn id="21" xr3:uid="{3BA37719-9E17-4A91-9A37-BF33FE65C660}" name="Bifold/Bipass"/>
    <tableColumn id="22" xr3:uid="{B79B68F6-4E37-47B7-AFE5-F83C475A8BF0}" name="Midrail Height"/>
    <tableColumn id="23" xr3:uid="{BF9CE285-6768-414E-9134-D0A5D241E801}" name="Skylight"/>
  </tableColumns>
  <tableStyleInfo name="TableStyleMedium2"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13C912-3B39-4551-881C-14268AF0B90A}" name="TDSamoa" displayName="TDSamoa" ref="A1:V6" totalsRowShown="0">
  <autoFilter ref="A1:V6" xr:uid="{9CDCDDB5-2CDC-4277-8AD6-D561B2643E1E}"/>
  <tableColumns count="22">
    <tableColumn id="1" xr3:uid="{C0CC6E99-00FC-4C0B-AC8E-5E400B6BE43A}" name="Louvre Size"/>
    <tableColumn id="2" xr3:uid="{67439CDC-4B36-498E-BAEB-27B1D8A1991A}" name="Min Width"/>
    <tableColumn id="3" xr3:uid="{262CDE6D-3161-43C5-9F08-7A2B5ADD9DB8}" name="Max Width Single"/>
    <tableColumn id="4" xr3:uid="{32864BFA-3ED3-4A49-A3E4-5DC70DBE2D5A}" name="Max Width Bfold"/>
    <tableColumn id="5" xr3:uid="{5D9B4650-8FC1-403B-9FBA-3BCB9DAE1641}" name="Max Width Multifold"/>
    <tableColumn id="6" xr3:uid="{8771B334-0C5F-494D-8B2B-04FAC048F79C}" name="Max Width Tracked"/>
    <tableColumn id="7" xr3:uid="{9FD703AE-7D9C-412E-B72C-5272650FD1E2}" name="Min Height"/>
    <tableColumn id="8" xr3:uid="{D6319554-006C-4B84-B5F0-2A73260B7513}" name="Max Height"/>
    <tableColumn id="9" xr3:uid="{2CF26522-C846-4884-B425-AEC3119441E3}" name="Midrail Required"/>
    <tableColumn id="10" xr3:uid="{806736B1-2D87-4D1E-96B8-C17850A4518D}" name="Material"/>
    <tableColumn id="11" xr3:uid="{DE8954F2-DF40-42D5-87B2-9C8B9BE11DDD}" name="Max Panels Hinged together"/>
    <tableColumn id="12" xr3:uid="{3FDE708F-BEDE-464A-A1E9-1D64F527D6D2}" name="Solid Panels"/>
    <tableColumn id="13" xr3:uid="{6A2B54C1-E9BA-4F3E-894D-49CEBB71E8B0}" name="Special Shapes"/>
    <tableColumn id="14" xr3:uid="{D9EEE8FB-7F82-4FA0-9E2A-83681307B00E}" name="Custom Bay Posts"/>
    <tableColumn id="15" xr3:uid="{BC9995F9-A7D4-4248-8528-BAE4E2176184}" name="Stile Type"/>
    <tableColumn id="16" xr3:uid="{40B11827-D448-499E-9030-D06CE963AE15}" name="Fixed Luvres"/>
    <tableColumn id="17" xr3:uid="{465E8A41-31AE-4293-9A44-F34FE011469C}" name="Midrail Tollerance" dataDxfId="1">
      <calculatedColumnFormula>+-19</calculatedColumnFormula>
    </tableColumn>
    <tableColumn id="18" xr3:uid="{1A61631B-2881-4E41-9EBB-64A5E93C27BE}" name="Silent Tilt Split"/>
    <tableColumn id="19" xr3:uid="{1410E43D-4546-4490-9778-57419BBAF771}" name="Max Louvre Split" dataDxfId="0"/>
    <tableColumn id="20" xr3:uid="{BE58EE03-FACC-4E72-869D-24D59BE650C3}" name="Top Track Only"/>
    <tableColumn id="21" xr3:uid="{07314558-CED3-483D-9C5E-9CCFB0A695B5}" name="Bifold/Bipass"/>
    <tableColumn id="22" xr3:uid="{8F0B927E-FEB4-476A-A1A1-EEE8233D128B}" name="Midrail Height"/>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7954F4A3-F055-4777-8AD1-121CB9459275}" name="Table3" displayName="Table3" ref="X1:Y6" totalsRowShown="0">
  <autoFilter ref="X1:Y6" xr:uid="{1996C0BD-1A9B-4A8A-B852-F5B59BC0251D}"/>
  <tableColumns count="2">
    <tableColumn id="1" xr3:uid="{2C36C35C-9028-4D74-A7F9-72AF75595082}" name="Frames"/>
    <tableColumn id="2" xr3:uid="{4E1413B3-EDD5-45F9-A9EA-A7899C797F74}" name="Frame alowance"/>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F9BE81B0-7A95-4066-9EA4-B5654281484E}" name="Table4" displayName="Table4" ref="Z1:Z4" totalsRowShown="0">
  <autoFilter ref="Z1:Z4" xr:uid="{9CAC6946-7F7C-434D-8862-5776184E8009}"/>
  <tableColumns count="1">
    <tableColumn id="1" xr3:uid="{10B500D5-DB67-4303-B525-683858B0AE7B}" name="Style"/>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341924E-B3BB-475D-892E-2FD610AF289A}" name="Table5" displayName="Table5" ref="AB1:AB5" totalsRowShown="0">
  <autoFilter ref="AB1:AB5" xr:uid="{072A3437-19AA-4168-83E0-A915652936DD}"/>
  <tableColumns count="1">
    <tableColumn id="1" xr3:uid="{F676DFC9-7DCF-444F-B537-8BBBE96D92BD}" name="TiltRod"/>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FF7CF33A-E9F1-411D-8221-F02529D7DB82}" name="Table6" displayName="Table6" ref="AD1:AD4" totalsRowShown="0">
  <autoFilter ref="AD1:AD4" xr:uid="{7D3AA9E7-4C9F-4BFA-9D9F-6A30A6DB313B}"/>
  <tableColumns count="1">
    <tableColumn id="1" xr3:uid="{08C5F3D7-3696-4038-ABF9-666DDDFFD32B}" name="HorizontalPost"/>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CA60248C-546F-4D3B-827C-5BBFA6226F06}" name="Table13" displayName="Table13" ref="AF1:AM20" totalsRowShown="0" headerRowDxfId="284" headerRowBorderDxfId="282" tableBorderDxfId="283">
  <autoFilter ref="AF1:AM20" xr:uid="{5C034BEC-1C74-4981-9783-AA9F01AA5748}"/>
  <tableColumns count="8">
    <tableColumn id="1" xr3:uid="{592616F7-4514-497D-8254-F75CD0898F03}" name="BarbadosH"/>
    <tableColumn id="2" xr3:uid="{65A838AC-5A6E-4F9F-AABD-26A57996AA5C}" name="CubaH"/>
    <tableColumn id="3" xr3:uid="{E28A8BFC-ED90-4263-97C5-59E966957C8C}" name="JavaH"/>
    <tableColumn id="4" xr3:uid="{809AE020-000A-40D6-847D-E1D01AE0D2C4}" name="FijiH"/>
    <tableColumn id="5" xr3:uid="{CB80D18C-C6F3-4A4A-94C6-ED19BE4DFD55}" name="BermudaH"/>
    <tableColumn id="6" xr3:uid="{193DC20A-6BD2-43D8-8301-894278387E33}" name="SamoaH"/>
    <tableColumn id="7" xr3:uid="{3E9A2C56-8459-46E9-B830-C06EF670A17B}" name="HamptonH"/>
    <tableColumn id="8" xr3:uid="{93CDAB96-9738-48D0-8E90-54D87F581317}" name="ArubaH"/>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59F0A8B2-D4EF-48A8-B746-A404FA3CCBD5}" name="Table14" displayName="Table14" ref="Y21:Z51" totalsRowShown="0">
  <autoFilter ref="Y21:Z51" xr:uid="{AD521D9C-F775-4022-B17B-8DCD6325528C}"/>
  <tableColumns count="2">
    <tableColumn id="1" xr3:uid="{16848E79-ACA8-49C8-8706-4F5C3682DB11}" name="Config"/>
    <tableColumn id="2" xr3:uid="{89BE96FD-119F-4911-9515-D879E04E5148}" name="Samoa_Tracked"/>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DB57EA26-2581-4629-98A0-0973F044F4DD}" name="Table15" displayName="Table15" ref="AO1:AU3" totalsRowShown="0" dataDxfId="281">
  <autoFilter ref="AO1:AU3" xr:uid="{D363A0C6-96D8-432A-A567-5B0D20037B6C}"/>
  <tableColumns count="7">
    <tableColumn id="1" xr3:uid="{34072875-80BF-4DE5-ABF0-DD10E92EB9C8}" name="Samoa Hinged P" dataDxfId="280"/>
    <tableColumn id="2" xr3:uid="{8E9782AF-0DFF-40E9-8A76-43EC2E49F89E}" name="Fiji Hinged P" dataDxfId="279"/>
    <tableColumn id="3" xr3:uid="{20F09125-C153-49F2-B7E9-6AB19295E80D}" name="Java Hinged P" dataDxfId="278"/>
    <tableColumn id="4" xr3:uid="{1673213F-7DFE-490D-B228-E491AF11400D}" name="Cuba Hinged P" dataDxfId="277"/>
    <tableColumn id="5" xr3:uid="{D76FFBEB-DAA8-4343-B6A7-285F980323CD}" name="Bermuda Hinged P" dataDxfId="276"/>
    <tableColumn id="6" xr3:uid="{78F1A474-27EC-4F88-BB4C-9AE3D63B8B42}" name="Barbados Hinged P" dataDxfId="275"/>
    <tableColumn id="7" xr3:uid="{476ECC8C-0E64-40B4-B95F-39DCEB8EAF65}" name="SDhapeStyle" dataDxfId="274"/>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8" Type="http://schemas.openxmlformats.org/officeDocument/2006/relationships/table" Target="../tables/table7.xml"/><Relationship Id="rId13" Type="http://schemas.openxmlformats.org/officeDocument/2006/relationships/table" Target="../tables/table12.xml"/><Relationship Id="rId18" Type="http://schemas.openxmlformats.org/officeDocument/2006/relationships/table" Target="../tables/table17.xml"/><Relationship Id="rId3" Type="http://schemas.openxmlformats.org/officeDocument/2006/relationships/table" Target="../tables/table2.xml"/><Relationship Id="rId7" Type="http://schemas.openxmlformats.org/officeDocument/2006/relationships/table" Target="../tables/table6.xml"/><Relationship Id="rId12" Type="http://schemas.openxmlformats.org/officeDocument/2006/relationships/table" Target="../tables/table11.xml"/><Relationship Id="rId17" Type="http://schemas.openxmlformats.org/officeDocument/2006/relationships/table" Target="../tables/table16.xml"/><Relationship Id="rId2" Type="http://schemas.openxmlformats.org/officeDocument/2006/relationships/table" Target="../tables/table1.xml"/><Relationship Id="rId16" Type="http://schemas.openxmlformats.org/officeDocument/2006/relationships/table" Target="../tables/table15.xml"/><Relationship Id="rId20" Type="http://schemas.openxmlformats.org/officeDocument/2006/relationships/table" Target="../tables/table19.xml"/><Relationship Id="rId1" Type="http://schemas.openxmlformats.org/officeDocument/2006/relationships/printerSettings" Target="../printerSettings/printerSettings15.bin"/><Relationship Id="rId6" Type="http://schemas.openxmlformats.org/officeDocument/2006/relationships/table" Target="../tables/table5.xml"/><Relationship Id="rId11" Type="http://schemas.openxmlformats.org/officeDocument/2006/relationships/table" Target="../tables/table10.xml"/><Relationship Id="rId5" Type="http://schemas.openxmlformats.org/officeDocument/2006/relationships/table" Target="../tables/table4.xml"/><Relationship Id="rId15" Type="http://schemas.openxmlformats.org/officeDocument/2006/relationships/table" Target="../tables/table14.xml"/><Relationship Id="rId10" Type="http://schemas.openxmlformats.org/officeDocument/2006/relationships/table" Target="../tables/table9.xml"/><Relationship Id="rId19" Type="http://schemas.openxmlformats.org/officeDocument/2006/relationships/table" Target="../tables/table18.xml"/><Relationship Id="rId4" Type="http://schemas.openxmlformats.org/officeDocument/2006/relationships/table" Target="../tables/table3.xml"/><Relationship Id="rId9" Type="http://schemas.openxmlformats.org/officeDocument/2006/relationships/table" Target="../tables/table8.xml"/><Relationship Id="rId14" Type="http://schemas.openxmlformats.org/officeDocument/2006/relationships/table" Target="../tables/table13.xm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18.bin"/><Relationship Id="rId1" Type="http://schemas.openxmlformats.org/officeDocument/2006/relationships/hyperlink" Target="mailto:sales@perfectblinds.co.uk" TargetMode="Externa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table" Target="../tables/table20.xml"/></Relationships>
</file>

<file path=xl/worksheets/_rels/sheet24.xml.rels><?xml version="1.0" encoding="UTF-8" standalone="yes"?>
<Relationships xmlns="http://schemas.openxmlformats.org/package/2006/relationships"><Relationship Id="rId1" Type="http://schemas.openxmlformats.org/officeDocument/2006/relationships/table" Target="../tables/table21.xml"/></Relationships>
</file>

<file path=xl/worksheets/_rels/sheet25.xml.rels><?xml version="1.0" encoding="UTF-8" standalone="yes"?>
<Relationships xmlns="http://schemas.openxmlformats.org/package/2006/relationships"><Relationship Id="rId1" Type="http://schemas.openxmlformats.org/officeDocument/2006/relationships/table" Target="../tables/table22.xml"/></Relationships>
</file>

<file path=xl/worksheets/_rels/sheet26.xml.rels><?xml version="1.0" encoding="UTF-8" standalone="yes"?>
<Relationships xmlns="http://schemas.openxmlformats.org/package/2006/relationships"><Relationship Id="rId1" Type="http://schemas.openxmlformats.org/officeDocument/2006/relationships/table" Target="../tables/table23.xml"/></Relationships>
</file>

<file path=xl/worksheets/_rels/sheet27.xml.rels><?xml version="1.0" encoding="UTF-8" standalone="yes"?>
<Relationships xmlns="http://schemas.openxmlformats.org/package/2006/relationships"><Relationship Id="rId1" Type="http://schemas.openxmlformats.org/officeDocument/2006/relationships/table" Target="../tables/table24.xml"/></Relationships>
</file>

<file path=xl/worksheets/_rels/sheet28.xml.rels><?xml version="1.0" encoding="UTF-8" standalone="yes"?>
<Relationships xmlns="http://schemas.openxmlformats.org/package/2006/relationships"><Relationship Id="rId1" Type="http://schemas.openxmlformats.org/officeDocument/2006/relationships/table" Target="../tables/table25.xml"/></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www.perfectshutters.co.uk/shutter-finance-options/" TargetMode="External"/><Relationship Id="rId1" Type="http://schemas.openxmlformats.org/officeDocument/2006/relationships/hyperlink" Target="https://www.perfectshutters.co.uk/terms/" TargetMode="External"/><Relationship Id="rId4"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7.bin"/><Relationship Id="rId1" Type="http://schemas.openxmlformats.org/officeDocument/2006/relationships/hyperlink" Target="mailto:sales@perfectblinds.co.uk" TargetMode="Externa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B6D74F-10C1-4801-ACAE-937CF64779E5}">
  <sheetPr codeName="Sheet1"/>
  <dimension ref="A1:AJ94"/>
  <sheetViews>
    <sheetView showGridLines="0" tabSelected="1" topLeftCell="A4" zoomScaleNormal="100" workbookViewId="0">
      <selection activeCell="R16" sqref="R16:AB16"/>
    </sheetView>
  </sheetViews>
  <sheetFormatPr defaultColWidth="8.85546875" defaultRowHeight="14.45"/>
  <cols>
    <col min="1" max="1" width="2.140625" style="8" customWidth="1"/>
    <col min="2" max="2" width="3.28515625" style="8" customWidth="1"/>
    <col min="3" max="3" width="11.85546875" style="8" bestFit="1" customWidth="1"/>
    <col min="4" max="4" width="10.28515625" style="8" bestFit="1" customWidth="1"/>
    <col min="5" max="5" width="9.42578125" style="8" bestFit="1" customWidth="1"/>
    <col min="6" max="6" width="6.7109375" style="8" customWidth="1"/>
    <col min="7" max="7" width="21.28515625" style="8" customWidth="1"/>
    <col min="8" max="8" width="10.7109375" style="8" bestFit="1" customWidth="1"/>
    <col min="9" max="9" width="8.28515625" style="8" customWidth="1"/>
    <col min="10" max="10" width="10" style="8" customWidth="1"/>
    <col min="11" max="12" width="9.7109375" style="8" customWidth="1"/>
    <col min="13" max="13" width="11.5703125" style="8" customWidth="1"/>
    <col min="14" max="14" width="11.5703125" style="8" bestFit="1" customWidth="1"/>
    <col min="15" max="15" width="11.5703125" style="8" customWidth="1"/>
    <col min="16" max="16" width="10.28515625" style="8" bestFit="1" customWidth="1"/>
    <col min="17" max="17" width="12.7109375" style="8" customWidth="1"/>
    <col min="18" max="18" width="7" style="8" customWidth="1"/>
    <col min="19" max="21" width="5.28515625" style="8" customWidth="1"/>
    <col min="22" max="22" width="5.7109375" style="8" bestFit="1" customWidth="1"/>
    <col min="23" max="28" width="5.28515625" style="8" customWidth="1"/>
    <col min="29" max="29" width="6.7109375" style="8" customWidth="1"/>
    <col min="30" max="30" width="9.42578125" style="8" customWidth="1"/>
    <col min="31" max="31" width="9.7109375" style="8" customWidth="1"/>
    <col min="32" max="32" width="8.5703125" style="8" customWidth="1"/>
    <col min="33" max="33" width="8.85546875" style="8" hidden="1" customWidth="1"/>
    <col min="34" max="34" width="12.28515625" style="8" hidden="1" customWidth="1"/>
    <col min="35" max="35" width="8.85546875" style="8" hidden="1" customWidth="1"/>
    <col min="36" max="36" width="8.85546875" style="173" hidden="1" customWidth="1"/>
    <col min="37" max="39" width="8.85546875" style="8" customWidth="1"/>
    <col min="40" max="16384" width="8.85546875" style="8"/>
  </cols>
  <sheetData>
    <row r="1" spans="1:36">
      <c r="B1" s="9"/>
    </row>
    <row r="2" spans="1:36">
      <c r="A2" s="9"/>
      <c r="B2" s="9"/>
      <c r="C2" s="9"/>
      <c r="D2" s="9"/>
      <c r="E2" s="9"/>
      <c r="F2" s="9"/>
      <c r="G2" s="9"/>
      <c r="M2" s="166"/>
      <c r="N2" s="166"/>
      <c r="O2" s="166"/>
      <c r="V2" s="223"/>
    </row>
    <row r="3" spans="1:36">
      <c r="A3" s="9"/>
      <c r="B3" s="9"/>
      <c r="C3" s="9"/>
      <c r="D3" s="9"/>
      <c r="E3" s="9"/>
      <c r="F3" s="9"/>
      <c r="G3" s="9"/>
      <c r="N3" s="166"/>
      <c r="O3" s="166"/>
    </row>
    <row r="4" spans="1:36">
      <c r="A4" s="9"/>
      <c r="B4" s="9"/>
      <c r="C4" s="9"/>
      <c r="D4" s="9"/>
      <c r="E4" s="9"/>
      <c r="F4" s="9"/>
      <c r="G4" s="9"/>
      <c r="M4" s="166"/>
      <c r="N4" s="166"/>
      <c r="O4" s="166"/>
    </row>
    <row r="5" spans="1:36">
      <c r="M5" s="166" t="s">
        <v>0</v>
      </c>
      <c r="N5" s="166"/>
      <c r="O5" s="166"/>
    </row>
    <row r="6" spans="1:36" ht="15" thickBot="1"/>
    <row r="7" spans="1:36" ht="27.6" customHeight="1" thickTop="1" thickBot="1">
      <c r="B7" s="204"/>
      <c r="C7" s="205" t="s">
        <v>1</v>
      </c>
      <c r="D7" s="205" t="s">
        <v>2</v>
      </c>
      <c r="E7" s="205" t="s">
        <v>3</v>
      </c>
      <c r="F7" s="790" t="s">
        <v>4</v>
      </c>
      <c r="G7" s="791"/>
      <c r="H7" s="205" t="s">
        <v>5</v>
      </c>
      <c r="I7" s="205" t="s">
        <v>6</v>
      </c>
      <c r="J7" s="205" t="s">
        <v>7</v>
      </c>
      <c r="K7" s="790" t="s">
        <v>8</v>
      </c>
      <c r="L7" s="791"/>
      <c r="M7" s="205" t="s">
        <v>9</v>
      </c>
      <c r="N7" s="205" t="s">
        <v>10</v>
      </c>
      <c r="O7" s="206" t="s">
        <v>11</v>
      </c>
      <c r="P7" s="206"/>
      <c r="Q7" s="790" t="s">
        <v>12</v>
      </c>
      <c r="R7" s="792"/>
      <c r="S7" s="792"/>
      <c r="T7" s="792"/>
      <c r="U7" s="792"/>
      <c r="V7" s="792"/>
      <c r="W7" s="792"/>
      <c r="X7" s="792"/>
      <c r="Y7" s="792"/>
      <c r="Z7" s="792"/>
      <c r="AA7" s="792"/>
      <c r="AB7" s="791"/>
      <c r="AC7" s="206" t="s">
        <v>13</v>
      </c>
      <c r="AD7" s="219" t="s">
        <v>14</v>
      </c>
      <c r="AE7" s="944" t="s">
        <v>15</v>
      </c>
      <c r="AF7" s="945"/>
    </row>
    <row r="8" spans="1:36" ht="15" thickTop="1">
      <c r="B8" s="774">
        <v>1</v>
      </c>
      <c r="C8" s="235" t="s">
        <v>16</v>
      </c>
      <c r="D8" s="780" t="s">
        <v>17</v>
      </c>
      <c r="E8" s="783" t="s">
        <v>18</v>
      </c>
      <c r="F8" s="786" t="s">
        <v>19</v>
      </c>
      <c r="G8" s="786"/>
      <c r="H8" s="750" t="s">
        <v>20</v>
      </c>
      <c r="I8" s="725" t="s">
        <v>21</v>
      </c>
      <c r="J8" s="725" t="s">
        <v>22</v>
      </c>
      <c r="K8" s="629"/>
      <c r="L8" s="640"/>
      <c r="M8" s="749">
        <v>3383</v>
      </c>
      <c r="N8" s="749">
        <v>2209</v>
      </c>
      <c r="O8" s="725" t="s">
        <v>23</v>
      </c>
      <c r="P8" s="752" t="s">
        <v>24</v>
      </c>
      <c r="Q8" s="753"/>
      <c r="R8" s="236" t="s">
        <v>25</v>
      </c>
      <c r="S8" s="236" t="s">
        <v>25</v>
      </c>
      <c r="T8" s="236" t="s">
        <v>25</v>
      </c>
      <c r="U8" s="236" t="s">
        <v>25</v>
      </c>
      <c r="V8" s="236"/>
      <c r="W8" s="236"/>
      <c r="X8" s="236"/>
      <c r="Y8" s="236"/>
      <c r="Z8" s="236"/>
      <c r="AA8" s="236"/>
      <c r="AB8" s="236"/>
      <c r="AC8" s="237"/>
      <c r="AD8" s="238"/>
      <c r="AE8" s="772" t="s">
        <v>26</v>
      </c>
      <c r="AF8" s="943"/>
    </row>
    <row r="9" spans="1:36">
      <c r="B9" s="774"/>
      <c r="C9" s="507"/>
      <c r="D9" s="781"/>
      <c r="E9" s="784"/>
      <c r="F9" s="771" t="str">
        <f>IF(D8="Shape","Please Select",IF(D8="S/Shade","Enter Shade Colour here!",""))</f>
        <v/>
      </c>
      <c r="G9" s="770"/>
      <c r="H9" s="750"/>
      <c r="I9" s="726"/>
      <c r="J9" s="726"/>
      <c r="K9" s="616"/>
      <c r="L9" s="641"/>
      <c r="M9" s="750"/>
      <c r="N9" s="750"/>
      <c r="O9" s="726"/>
      <c r="P9" s="754" t="s">
        <v>27</v>
      </c>
      <c r="Q9" s="755"/>
      <c r="R9" s="240"/>
      <c r="S9" s="240"/>
      <c r="T9" s="240"/>
      <c r="U9" s="240"/>
      <c r="V9" s="240"/>
      <c r="W9" s="240"/>
      <c r="X9" s="240"/>
      <c r="Y9" s="240"/>
      <c r="Z9" s="240"/>
      <c r="AA9" s="240"/>
      <c r="AB9" s="240" t="s">
        <v>28</v>
      </c>
      <c r="AC9" s="241" t="s">
        <v>29</v>
      </c>
      <c r="AD9" s="242" t="s">
        <v>30</v>
      </c>
      <c r="AE9" s="924">
        <f>IF(ISNA(IF(AE8="Quoted",INDEX(Matrix2!L57:L67,MATCH(Pricing!E8,Matrix2!K57:K67,0))+AD10*Matrix2!C19,INDEX(Matrix2!L3:L13,MATCH(Pricing!E8,Matrix2!K3:K13,0))+(AD10*Matrix2!C19)+Matrix2!O33+Matrix2!V33+Matrix2!R33+Matrix2!P33)),,IF(AE8="Quoted",(INDEX(Matrix2!L57:L67,MATCH(Pricing!E8,Matrix2!K57:K67,0))+(AD10*Matrix2!C19)+Matrix2!V92+(Matrix2!T92*Matrix2!F3)+Matrix2!P92+Matrix2!Y92+Matrix2!L264+Matrix2!L266+Matrix2!M92),INDEX(Matrix2!L3:L13,MATCH(Pricing!E8,Matrix2!K3:K13,0))+(AD10*Matrix2!C19)+Matrix2!V33+(Matrix2!T33*Matrix2!F3)+Matrix2!P33+Matrix2!Y33+Matrix2!L264+Matrix2!L266)+(Matrix2!C9*AH10)+Matrix2!M33)</f>
        <v>3945.2363850000002</v>
      </c>
      <c r="AF9" s="925"/>
      <c r="AG9" s="158"/>
    </row>
    <row r="10" spans="1:36" ht="15" thickBot="1">
      <c r="B10" s="774"/>
      <c r="C10" s="243"/>
      <c r="D10" s="782"/>
      <c r="E10" s="785"/>
      <c r="F10" s="508" t="s">
        <v>31</v>
      </c>
      <c r="G10" s="509" t="s">
        <v>19</v>
      </c>
      <c r="H10" s="751"/>
      <c r="I10" s="726"/>
      <c r="J10" s="727"/>
      <c r="K10" s="632"/>
      <c r="L10" s="642"/>
      <c r="M10" s="751"/>
      <c r="N10" s="751"/>
      <c r="O10" s="727"/>
      <c r="P10" s="736" t="s">
        <v>32</v>
      </c>
      <c r="Q10" s="737"/>
      <c r="R10" s="746" t="str">
        <f>IF(E8="","",Helper!C41)</f>
        <v>Incorrect frame type</v>
      </c>
      <c r="S10" s="747"/>
      <c r="T10" s="747"/>
      <c r="U10" s="747"/>
      <c r="V10" s="747"/>
      <c r="W10" s="747"/>
      <c r="X10" s="747"/>
      <c r="Y10" s="747"/>
      <c r="Z10" s="747"/>
      <c r="AA10" s="747"/>
      <c r="AB10" s="748"/>
      <c r="AC10" s="252" t="s">
        <v>33</v>
      </c>
      <c r="AD10" s="247">
        <f>IF(AE8="Quoted",Matrix2!N92,Matrix2!N33)</f>
        <v>7.4730470000000002</v>
      </c>
      <c r="AE10" s="941">
        <f>IF(AND(D8="",E8="",J8="",M8="",N8=""),0,IF(OR(D8="",E8="",J8="",M8="",N8="",AND(E8="Barbados",J8="Clearview")),"Incomplete",IF(ISNA(IF(AE8="Quoted",INDEX(Matrix2!L75:L85,MATCH(Pricing!E8,Matrix2!K75:K85,0))+AD10*Matrix2!C19+Matrix2!O92+Matrix2!V92+Matrix2!R92+Matrix2!P92,INDEX(Matrix2!L17:L27,MATCH(Pricing!E8,Matrix2!K17:K27,0))+AD10*Matrix2!C19+Matrix2!O33+Matrix2!V33+Matrix2!R33+Matrix2!P33)),,IF(AE8="Quoted",INDEX(Matrix2!L75:L85,MATCH(Pricing!E8,Matrix2!K75:K85,0))+(AD10*Matrix2!C19)+Matrix2!O92+Matrix2!V92+Matrix2!R92+Matrix2!P92+Matrix2!W92+Matrix2!Y92+Matrix2!L261+Matrix2!L264+Matrix2!L266+Matrix2!M92,INDEX(Matrix2!L17:L27,MATCH(Pricing!E8,Matrix2!K17:K27,0))+(AD10*Matrix2!C19)+(Matrix2!O33+Matrix2!V33+Matrix2!R33+Matrix2!P33+Matrix2!W33+Matrix2!Y33+Matrix2!L261+Matrix2!L264+Matrix2!L266+Matrix2!M33)))))</f>
        <v>2814.9380262500003</v>
      </c>
      <c r="AF10" s="942"/>
      <c r="AH10" s="8">
        <f>IF(AE8="Quoted",IF(J8="Silent",AD10,IF(J8="Split Tilt",AD10,0)),IF(J8="Silent",AD10,IF(J8="Split Tilt",AD10,0)))</f>
        <v>7.4730470000000002</v>
      </c>
    </row>
    <row r="11" spans="1:36" ht="15.75" customHeight="1" thickTop="1">
      <c r="B11" s="774">
        <v>2</v>
      </c>
      <c r="C11" s="254" t="s">
        <v>34</v>
      </c>
      <c r="D11" s="761" t="s">
        <v>35</v>
      </c>
      <c r="E11" s="787" t="s">
        <v>18</v>
      </c>
      <c r="F11" s="775" t="s">
        <v>19</v>
      </c>
      <c r="G11" s="776"/>
      <c r="H11" s="761" t="s">
        <v>20</v>
      </c>
      <c r="I11" s="761" t="s">
        <v>36</v>
      </c>
      <c r="J11" s="761" t="s">
        <v>22</v>
      </c>
      <c r="K11" s="634"/>
      <c r="L11" s="635"/>
      <c r="M11" s="741">
        <v>657</v>
      </c>
      <c r="N11" s="741">
        <v>1145</v>
      </c>
      <c r="O11" s="761" t="s">
        <v>33</v>
      </c>
      <c r="P11" s="764" t="s">
        <v>24</v>
      </c>
      <c r="Q11" s="765"/>
      <c r="R11" s="224" t="s">
        <v>37</v>
      </c>
      <c r="S11" s="224"/>
      <c r="T11" s="224"/>
      <c r="U11" s="224"/>
      <c r="V11" s="224"/>
      <c r="W11" s="224"/>
      <c r="X11" s="224"/>
      <c r="Y11" s="224"/>
      <c r="Z11" s="224"/>
      <c r="AA11" s="224"/>
      <c r="AB11" s="224"/>
      <c r="AC11" s="224"/>
      <c r="AD11" s="226"/>
      <c r="AE11" s="937" t="s">
        <v>26</v>
      </c>
      <c r="AF11" s="938"/>
    </row>
    <row r="12" spans="1:36">
      <c r="B12" s="774"/>
      <c r="C12" s="227"/>
      <c r="D12" s="762"/>
      <c r="E12" s="788"/>
      <c r="F12" s="744" t="str">
        <f>IF(D11="Shape","Please Select",IF(D11="S/Shade","Enter Shade Colour here!",""))</f>
        <v/>
      </c>
      <c r="G12" s="745"/>
      <c r="H12" s="762"/>
      <c r="I12" s="762"/>
      <c r="J12" s="762"/>
      <c r="K12" s="618"/>
      <c r="L12" s="636"/>
      <c r="M12" s="742"/>
      <c r="N12" s="742"/>
      <c r="O12" s="762"/>
      <c r="P12" s="766" t="s">
        <v>27</v>
      </c>
      <c r="Q12" s="767"/>
      <c r="R12" s="228"/>
      <c r="S12" s="228"/>
      <c r="T12" s="228"/>
      <c r="U12" s="228"/>
      <c r="V12" s="228"/>
      <c r="W12" s="228"/>
      <c r="X12" s="228"/>
      <c r="Y12" s="228"/>
      <c r="Z12" s="228"/>
      <c r="AA12" s="228"/>
      <c r="AB12" s="228" t="s">
        <v>28</v>
      </c>
      <c r="AC12" s="207" t="s">
        <v>29</v>
      </c>
      <c r="AD12" s="208" t="s">
        <v>30</v>
      </c>
      <c r="AE12" s="939">
        <f>IF(ISNA(IF(AE11="Quoted",INDEX(Matrix2!M57:M67,MATCH(Pricing!E11,Matrix2!K57:K67,0))+AD13*Matrix2!C19,INDEX(Matrix2!M3:M13,MATCH(Pricing!E11,Matrix2!K3:K13,0))+(AD13*Matrix2!C19)+Matrix2!O34+Matrix2!V34+Matrix2!R34+Matrix2!P34)),,IF(AE11="Quoted",(INDEX(Matrix2!M57:M67,MATCH(Pricing!E11,Matrix2!K57:K67,0))+(AD13*Matrix2!C19)+Matrix2!V93+(Matrix2!T93*Matrix2!F3)+Matrix2!P93+Matrix2!Y93+Matrix2!M264+Matrix2!M266+Matrix2!M93),INDEX(Matrix2!M3:M13,MATCH(Pricing!E11,Matrix2!K3:K13,0))+(AD13*Matrix2!C19)+Matrix2!V34+(Matrix2!T34*Matrix2!F3)+Matrix2!P34+Matrix2!Y34+Matrix2!M264+Matrix2!M266)+(Matrix2!C9*AH13)+Matrix2!M34)</f>
        <v>417.280575</v>
      </c>
      <c r="AF12" s="940"/>
    </row>
    <row r="13" spans="1:36" ht="15" thickBot="1">
      <c r="B13" s="774"/>
      <c r="C13" s="255"/>
      <c r="D13" s="762"/>
      <c r="E13" s="789"/>
      <c r="F13" s="229" t="s">
        <v>31</v>
      </c>
      <c r="G13" s="230" t="s">
        <v>19</v>
      </c>
      <c r="H13" s="763"/>
      <c r="I13" s="763"/>
      <c r="J13" s="763"/>
      <c r="K13" s="637"/>
      <c r="L13" s="638"/>
      <c r="M13" s="743"/>
      <c r="N13" s="743"/>
      <c r="O13" s="777"/>
      <c r="P13" s="756" t="s">
        <v>32</v>
      </c>
      <c r="Q13" s="757"/>
      <c r="R13" s="758" t="str">
        <f>IF(E11="","",Helper!C42)</f>
        <v/>
      </c>
      <c r="S13" s="759"/>
      <c r="T13" s="759"/>
      <c r="U13" s="759"/>
      <c r="V13" s="759"/>
      <c r="W13" s="759"/>
      <c r="X13" s="759"/>
      <c r="Y13" s="759"/>
      <c r="Z13" s="759"/>
      <c r="AA13" s="759"/>
      <c r="AB13" s="760"/>
      <c r="AC13" s="231" t="s">
        <v>33</v>
      </c>
      <c r="AD13" s="232">
        <f>IF(AE11="Quoted",Matrix2!N93,Matrix2!N34)</f>
        <v>0.75226499999999996</v>
      </c>
      <c r="AE13" s="906">
        <f>IF(AND(D11="",E11="",J11="",M11="",N11=""),0,IF(OR(D11="",E11="",J11="",M11="",N11="",AND(E11="Barbados",J11="Clearview")),"Incomplete",IF(ISNA(IF(AE11="Quoted",INDEX(Matrix2!M75:M85,MATCH(Pricing!E11,Matrix2!K75:K85,0))+AD13*Matrix2!C19+Matrix2!O93+Matrix2!V93+Matrix2!R93+Matrix2!P93,INDEX(Matrix2!M17:M27,MATCH(Pricing!E11,Matrix2!K17:K27,0))+AD13*Matrix2!C19+Matrix2!O34+Matrix2!V34+Matrix2!R34+Matrix2!P34)),,IF(AE11="Quoted",INDEX(Matrix2!M75:M85,MATCH(Pricing!E11,Matrix2!K75:K85,0))+AD13*Matrix2!C19+Matrix2!O93+Matrix2!V93+Matrix2!R93+Matrix2!P93+Matrix2!M93,INDEX(Matrix2!M17:M27,MATCH(Pricing!E11,Matrix2!K17:K27,0))+AD13*Matrix2!C19)+(Matrix2!O34+Matrix2!V34+Matrix2!R34+Matrix2!P34+Matrix2!W34+Matrix2!Y34+Matrix2!M261+Matrix2!M264+Matrix2!M266+Matrix2!M34))))</f>
        <v>303.50049374999998</v>
      </c>
      <c r="AF13" s="907"/>
      <c r="AH13" s="8">
        <f>IF(AE11="Quoted",IF(J11="Silent",AD13,IF(J11="Split Tilt",AD13,0)),IF(J11="Silent",AD13,IF(J11="Split Tilt",AD13,0)))</f>
        <v>0.75226499999999996</v>
      </c>
    </row>
    <row r="14" spans="1:36" ht="15.75" customHeight="1" thickTop="1">
      <c r="B14" s="774">
        <v>3</v>
      </c>
      <c r="C14" s="237" t="s">
        <v>38</v>
      </c>
      <c r="D14" s="725" t="s">
        <v>35</v>
      </c>
      <c r="E14" s="749" t="s">
        <v>18</v>
      </c>
      <c r="F14" s="772" t="s">
        <v>19</v>
      </c>
      <c r="G14" s="773"/>
      <c r="H14" s="725" t="s">
        <v>20</v>
      </c>
      <c r="I14" s="725" t="s">
        <v>36</v>
      </c>
      <c r="J14" s="725" t="s">
        <v>22</v>
      </c>
      <c r="K14" s="629"/>
      <c r="L14" s="630"/>
      <c r="M14" s="749">
        <v>2436</v>
      </c>
      <c r="N14" s="749">
        <v>1583</v>
      </c>
      <c r="O14" s="725" t="s">
        <v>23</v>
      </c>
      <c r="P14" s="752" t="s">
        <v>24</v>
      </c>
      <c r="Q14" s="753"/>
      <c r="R14" s="236" t="s">
        <v>37</v>
      </c>
      <c r="S14" s="236" t="s">
        <v>39</v>
      </c>
      <c r="T14" s="236" t="s">
        <v>37</v>
      </c>
      <c r="U14" s="236" t="s">
        <v>39</v>
      </c>
      <c r="V14" s="236" t="s">
        <v>40</v>
      </c>
      <c r="W14" s="236" t="s">
        <v>39</v>
      </c>
      <c r="X14" s="236" t="s">
        <v>40</v>
      </c>
      <c r="Y14" s="236"/>
      <c r="Z14" s="236"/>
      <c r="AA14" s="236"/>
      <c r="AB14" s="236"/>
      <c r="AC14" s="248"/>
      <c r="AD14" s="249"/>
      <c r="AE14" s="908" t="s">
        <v>26</v>
      </c>
      <c r="AF14" s="909"/>
    </row>
    <row r="15" spans="1:36">
      <c r="B15" s="774"/>
      <c r="C15" s="239"/>
      <c r="D15" s="726"/>
      <c r="E15" s="750"/>
      <c r="F15" s="770" t="str">
        <f>IF(D14="Shape","Please Select",IF(D14="S/Shade","Enter Shade Colour here!",""))</f>
        <v/>
      </c>
      <c r="G15" s="771"/>
      <c r="H15" s="726"/>
      <c r="I15" s="726"/>
      <c r="J15" s="726"/>
      <c r="K15" s="616"/>
      <c r="L15" s="631"/>
      <c r="M15" s="750"/>
      <c r="N15" s="750"/>
      <c r="O15" s="726"/>
      <c r="P15" s="754" t="s">
        <v>27</v>
      </c>
      <c r="Q15" s="755"/>
      <c r="R15" s="240"/>
      <c r="S15" s="240"/>
      <c r="T15" s="240"/>
      <c r="U15" s="240"/>
      <c r="V15" s="240"/>
      <c r="W15" s="240"/>
      <c r="X15" s="240"/>
      <c r="Y15" s="240"/>
      <c r="Z15" s="240"/>
      <c r="AA15" s="240"/>
      <c r="AB15" s="240" t="s">
        <v>28</v>
      </c>
      <c r="AC15" s="241" t="s">
        <v>29</v>
      </c>
      <c r="AD15" s="242" t="s">
        <v>30</v>
      </c>
      <c r="AE15" s="924">
        <f>IF(ISNA(IF(AE14="Quoted",INDEX(Matrix2!N57:N67,MATCH(Pricing!E14,Matrix2!K57:K67,0))+AD16*Matrix2!C19,INDEX(Matrix2!N3:N13,MATCH(Pricing!E14,Matrix2!K3:K13,0))+(AD16*Matrix2!C19)+Matrix2!O35+Matrix2!V35+Matrix2!R35+Matrix2!P35)),,IF(AE14="Quoted",(INDEX(Matrix2!N57:N67,MATCH(Pricing!E14,Matrix2!K57:K67,0))+(AD16*Matrix2!C19)+Matrix2!V94+(Matrix2!T94*Matrix2!F3)+Matrix2!P94+Matrix2!Y94+Matrix2!N264+Matrix2!N266+Matrix2!M94),INDEX(Matrix2!N3:N13,MATCH(Pricing!E14,Matrix2!K3:K13,0))+(AD16*Matrix2!C19)+Matrix2!V35+(Matrix2!T35*Matrix2!F3)+Matrix2!P35+Matrix2!Y35+Matrix2!N264+Matrix2!N266)+(Matrix2!C9*AH16)+Matrix2!M35)</f>
        <v>1754.5655399999998</v>
      </c>
      <c r="AF15" s="925"/>
    </row>
    <row r="16" spans="1:36" ht="15" thickBot="1">
      <c r="B16" s="774"/>
      <c r="C16" s="253"/>
      <c r="D16" s="726"/>
      <c r="E16" s="778"/>
      <c r="F16" s="244" t="s">
        <v>31</v>
      </c>
      <c r="G16" s="245" t="s">
        <v>19</v>
      </c>
      <c r="H16" s="727"/>
      <c r="I16" s="727"/>
      <c r="J16" s="727"/>
      <c r="K16" s="632"/>
      <c r="L16" s="633"/>
      <c r="M16" s="751"/>
      <c r="N16" s="751"/>
      <c r="O16" s="727"/>
      <c r="P16" s="736" t="s">
        <v>32</v>
      </c>
      <c r="Q16" s="737"/>
      <c r="R16" s="1661" t="s">
        <v>41</v>
      </c>
      <c r="S16" s="1662"/>
      <c r="T16" s="1662"/>
      <c r="U16" s="1662"/>
      <c r="V16" s="1662"/>
      <c r="W16" s="1662"/>
      <c r="X16" s="1662"/>
      <c r="Y16" s="1662"/>
      <c r="Z16" s="1662"/>
      <c r="AA16" s="1662"/>
      <c r="AB16" s="1663"/>
      <c r="AC16" s="246" t="s">
        <v>33</v>
      </c>
      <c r="AD16" s="250">
        <f>IF(AE14="Quoted",Matrix2!N94,Matrix2!N35)</f>
        <v>3.8561879999999999</v>
      </c>
      <c r="AE16" s="906">
        <f>IF(AND(D14="",E14="",J14="",M14="",N14=""),0,IF(OR(D14="",E14="",J14="",M14="",N14="",AND(E14="Barbados",J14="Clearview")),"Incomplete",IF(ISNA(IF(AE14="Quoted",INDEX(Matrix2!N75:N85,MATCH(Pricing!E14,Matrix2!K75:K85,0))+AD16*Matrix2!C19+Matrix2!O94+Matrix2!V94+Matrix2!R94+Matrix2!P94,INDEX(Matrix2!N17:N27,MATCH(Pricing!E14,Matrix2!K17:K27,0))+AD16*Matrix2!C19+Matrix2!O35+Matrix2!V35+Matrix2!R35+Matrix2!P35)),,IF(AE14="Quoted",INDEX(Matrix2!N75:N85,MATCH(Pricing!E14,Matrix2!K75:K85,0))+AD16*Matrix2!C19+Matrix2!O94+Matrix2!V94+Matrix2!R94+Matrix2!P94+Matrix2!M94,INDEX(Matrix2!N17:N27,MATCH(Pricing!E14,Matrix2!K17:K27,0))+AD16*Matrix2!C19)+(Matrix2!O35+Matrix2!V35+Matrix2!R35+Matrix2!P35+Matrix2!W35+Matrix2!Y35+Matrix2!N261+Matrix2!N264+Matrix2!N266+Matrix2!M35))))</f>
        <v>1171.3171050000001</v>
      </c>
      <c r="AF16" s="907"/>
      <c r="AG16" s="159"/>
      <c r="AH16" s="8">
        <f>IF(AE14="Quoted",IF(J14="Silent",AD16,IF(J14="Split Tilt",AD16,0)),IF(J14="Silent",AD16,IF(J14="Split Tilt",AD16,0)))</f>
        <v>3.8561879999999999</v>
      </c>
      <c r="AJ16" s="173" t="s">
        <v>42</v>
      </c>
    </row>
    <row r="17" spans="2:36" ht="15.75" customHeight="1" thickTop="1">
      <c r="B17" s="774">
        <v>4</v>
      </c>
      <c r="C17" s="254" t="s">
        <v>43</v>
      </c>
      <c r="D17" s="761" t="s">
        <v>35</v>
      </c>
      <c r="E17" s="741" t="s">
        <v>18</v>
      </c>
      <c r="F17" s="775" t="s">
        <v>19</v>
      </c>
      <c r="G17" s="776"/>
      <c r="H17" s="761" t="s">
        <v>20</v>
      </c>
      <c r="I17" s="761" t="s">
        <v>36</v>
      </c>
      <c r="J17" s="761" t="s">
        <v>22</v>
      </c>
      <c r="K17" s="634"/>
      <c r="L17" s="635"/>
      <c r="M17" s="741">
        <v>1797</v>
      </c>
      <c r="N17" s="741">
        <v>1293</v>
      </c>
      <c r="O17" s="761" t="s">
        <v>23</v>
      </c>
      <c r="P17" s="764" t="s">
        <v>24</v>
      </c>
      <c r="Q17" s="765"/>
      <c r="R17" s="224" t="s">
        <v>37</v>
      </c>
      <c r="S17" s="224" t="s">
        <v>39</v>
      </c>
      <c r="T17" s="224" t="s">
        <v>40</v>
      </c>
      <c r="U17" s="224" t="s">
        <v>39</v>
      </c>
      <c r="V17" s="224" t="s">
        <v>40</v>
      </c>
      <c r="W17" s="224"/>
      <c r="X17" s="224"/>
      <c r="Y17" s="224"/>
      <c r="Z17" s="224"/>
      <c r="AA17" s="224"/>
      <c r="AB17" s="224"/>
      <c r="AC17" s="225"/>
      <c r="AD17" s="226"/>
      <c r="AE17" s="937" t="s">
        <v>26</v>
      </c>
      <c r="AF17" s="938"/>
      <c r="AJ17" s="173" t="b">
        <f>IF(ISERROR(IF(AND(C8="Bathroom",E8&lt;&gt;"Java"),"Recommend JAVA upgrade(Warranty Issue)",IF(AND(D8="S/Shade",I8&lt;&gt;"F/Frame"),"F/Frame Required with S/Shade",IF(AND(D8&lt;&gt;"S/Shade",I8="F/Frame"),"S/Shade required with F/Frame",IF(OR(AND(D8="Shape",E8&lt;&gt;"Fiji"),AND(D8="Shape",E8&lt;&gt;"Samoa")),"Fiji or Samoa required for SHAPE shutters",IF(OR(AND(D8="French Door Cutout",E8&lt;&gt;"Fiji"),AND(D8="French Door Cutout",E8&lt;&gt;"Samoa")),"Fiji or Samoa required for French Doors",IF(ISNUMBER(SEARCH("(",Matrix2!AD22))=FALSE,IF(AND((Pricing!M8/LEN(Matrix2!AD22)&gt;550),E8="JAVA",H8="47mm",Matrix2!AD22=1),"Max Panel Width of 500 with Java 47mm Louvre exceeded",IF(ISNUMBER(SEARCH("(",Matrix2!AD22))=FALSE,IF(ISNUMBER(SEARCH("(",Matrix2!AD22))=FALSE,IF(OR(AND((Pricing!M8/LEN(Matrix2!AD22)&gt;800),E8="JAVA",H8="63mm",OR(Matrix2!AD22="L",Matrix2!AD22="R",Matrix2!AD22="LR")),AND((Pricing!M8/LEN(Matrix2!AD22)&gt;800),E8="JAVA",H8="76mm",OR(Matrix2!AD22="L",Matrix2!AD22="R",Matrix2!AD22="LR"))),"Max Panel Width of 800mm with Java 63/76mm Louvre exceeded",IF(ISNUMBER(SEARCH("(",Matrix2!AD22))=FALSE,IF(OR(AND((Pricing!M8/LEN(Matrix2!AD22)&gt;890),E8="JAVA",H8="89mm",OR(Matrix2!AD22="L",Matrix2!AD22="R",Matrix2!AD22="LR")),AND((Pricing!M8/LEN(Matrix2!AD22)&gt;890),E8="JAVA",H8="114mm",OR(Matrix2!AD22="L",Matrix2!AD22="R",Matrix2!AD22="LR"))),"Max Panel Width of 800mm with Java 89/114mm Louvre exceeded",IF(ISNUMBER(SEARCH("(",Matrix2!AD22))=FALSE,IF(AND(OR(ISNUMBER(SEARCH("LL",Matrix2!AD22)),ISNUMBER(SEARCH("RR",Matrix2!AD22))),(M8/Matrix2!AD19)&gt;550,E8="Java",H8="47mm"),"Max Bifold Panel width of 550 exceeded for Java 47mm",IF(ISNUMBER(SEARCH("(",Matrix2!AD22))=FALSE,IF(AND(OR(ISNUMBER(SEARCH("LL",Matrix2!AD22)),ISNUMBER(SEARCH("RR",Matrix2!AD22))),(M8/Matrix2!AD19)&gt;610,E8="Java",H8&lt;&gt;"47mm"),"Max Bifold Panel width of 610 exceeded for Java 63 - 114mm",IF(ISNUMBER(SEARCH("(",Matrix2!AD22))=FALSE,IF(AND(OR(ISNUMBER(SEARCH("LLL",Matrix2!AD22)),ISNUMBER(SEARCH("RRR",Matrix2!AD22))),D8&lt;&gt;"Tracked",E8="Java",H8&lt;&gt;"47mm"),"This Configuration requires a Track System",IF(ISNUMBER(SEARCH("(",Matrix2!AD22))=FALSE,IF((M8/Matrix2!AD19)&lt;152,"Minimum panel width of 152mm exceeded",IF(OR(AND(N8&gt;=1276,O8="Please Select",E8="Java"),AND(N8&gt;=1276,O8="No",E8="Java")),"A Mid Rail is required for this height","At The END")))))))))))))))))))))),"")</f>
        <v>0</v>
      </c>
    </row>
    <row r="18" spans="2:36">
      <c r="B18" s="774"/>
      <c r="C18" s="227" t="s">
        <v>44</v>
      </c>
      <c r="D18" s="762"/>
      <c r="E18" s="742"/>
      <c r="F18" s="744" t="str">
        <f>IF(D17="Shape","Please Select",IF(D17="S/Shade","Enter Shade Colour here!",""))</f>
        <v/>
      </c>
      <c r="G18" s="745"/>
      <c r="H18" s="762"/>
      <c r="I18" s="762"/>
      <c r="J18" s="762"/>
      <c r="K18" s="618"/>
      <c r="L18" s="636"/>
      <c r="M18" s="742"/>
      <c r="N18" s="742"/>
      <c r="O18" s="762"/>
      <c r="P18" s="766" t="s">
        <v>27</v>
      </c>
      <c r="Q18" s="767"/>
      <c r="R18" s="228"/>
      <c r="S18" s="228"/>
      <c r="T18" s="228"/>
      <c r="U18" s="228"/>
      <c r="V18" s="228"/>
      <c r="W18" s="228"/>
      <c r="X18" s="228"/>
      <c r="Y18" s="228"/>
      <c r="Z18" s="228"/>
      <c r="AA18" s="228"/>
      <c r="AB18" s="228" t="s">
        <v>28</v>
      </c>
      <c r="AC18" s="207" t="s">
        <v>29</v>
      </c>
      <c r="AD18" s="208" t="s">
        <v>30</v>
      </c>
      <c r="AE18" s="939">
        <f>IF(ISNA(IF(AE17="Quoted",INDEX(Matrix2!O57:O67,MATCH(Pricing!E17,Matrix2!K57:K67,0))+AD19*Matrix2!C19,INDEX(Matrix2!O3:O13,MATCH(Pricing!E17,Matrix2!K3:K13,0))+(AD19*Matrix2!C19)+Matrix2!O36+Matrix2!V36+Matrix2!R36+Matrix2!P36)),,IF(AE17="Quoted",(INDEX(Matrix2!O57:O67,MATCH(Pricing!E17,Matrix2!K57:K67,0))+(AD19*Matrix2!C19)+Matrix2!V95+(Matrix2!T95*Matrix2!F3)+Matrix2!P95+Matrix2!Y95+Matrix2!O264+Matrix2!O266+Matrix2!M95),INDEX(Matrix2!O3:O13,MATCH(Pricing!E17,Matrix2!K3:K13,0))+(AD19*Matrix2!C19)+Matrix2!V36+(Matrix2!T36*Matrix2!F3)+Matrix2!P36+Matrix2!Y36+Matrix2!O264+Matrix2!O266)+(Matrix2!C9*AH19)+Matrix2!M36)</f>
        <v>1057.202055</v>
      </c>
      <c r="AF18" s="940"/>
    </row>
    <row r="19" spans="2:36" ht="15" thickBot="1">
      <c r="B19" s="774"/>
      <c r="C19" s="255"/>
      <c r="D19" s="762"/>
      <c r="E19" s="779"/>
      <c r="F19" s="229" t="s">
        <v>31</v>
      </c>
      <c r="G19" s="230" t="s">
        <v>19</v>
      </c>
      <c r="H19" s="763"/>
      <c r="I19" s="777"/>
      <c r="J19" s="763"/>
      <c r="K19" s="637"/>
      <c r="L19" s="638"/>
      <c r="M19" s="743"/>
      <c r="N19" s="743"/>
      <c r="O19" s="777"/>
      <c r="P19" s="756" t="s">
        <v>32</v>
      </c>
      <c r="Q19" s="757"/>
      <c r="R19" s="758" t="str">
        <f>IF(E17="","",Helper!C44)</f>
        <v/>
      </c>
      <c r="S19" s="759"/>
      <c r="T19" s="759"/>
      <c r="U19" s="759"/>
      <c r="V19" s="759"/>
      <c r="W19" s="759"/>
      <c r="X19" s="759"/>
      <c r="Y19" s="759"/>
      <c r="Z19" s="759"/>
      <c r="AA19" s="759"/>
      <c r="AB19" s="760"/>
      <c r="AC19" s="231" t="s">
        <v>45</v>
      </c>
      <c r="AD19" s="232">
        <f>IF(AE17="Quoted",Matrix2!N95,Matrix2!N36)</f>
        <v>2.3235209999999999</v>
      </c>
      <c r="AE19" s="906">
        <f>IF(AND(D17="",E17="",J17="",M17="",N17=""),0,IF(OR(D17="",E17="",J17="",M17="",N17="",AND(E17="Barbados",J17="Clearview")),"Incomplete",IF(ISNA(IF(AE17="Quoted",INDEX(Matrix2!O75:O85,MATCH(Pricing!E17,Matrix2!K75:K85,0))+AD19*Matrix2!C19+Matrix2!O95+Matrix2!V95+Matrix2!R95+Matrix2!P95,INDEX(Matrix2!O17:O27,MATCH(Pricing!E17,Matrix2!K17:K27,0))+AD19*Matrix2!C19+Matrix2!O36+Matrix2!V36+Matrix2!R36+Matrix2!P36)),,IF(AE17="Quoted",INDEX(Matrix2!O75:O85,MATCH(Pricing!E17,Matrix2!K75:K85,0))+AD19*Matrix2!C19+Matrix2!O95+Matrix2!V95+Matrix2!R95+Matrix2!P95+Matrix2!M95,INDEX(Matrix2!O17:O27,MATCH(Pricing!E17,Matrix2!K17:K27,0))+AD19*Matrix2!C19)+(Matrix2!O36)+Matrix2!V36+Matrix2!R36+Matrix2!P36+Matrix2!W36+Matrix2!Y36+Matrix2!O261+Matrix2!O264+Matrix2!O266+Matrix2!M36)))</f>
        <v>705.7695037499999</v>
      </c>
      <c r="AF19" s="907"/>
      <c r="AH19" s="8">
        <f>IF(AE17="Quoted",IF(J17="Silent",AD19,IF(J17="Split Tilt",AD19,0)),IF(J17="Silent",AD19,IF(J17="Split Tilt",AD19,0)))</f>
        <v>2.3235209999999999</v>
      </c>
      <c r="AJ19" s="173" t="s">
        <v>46</v>
      </c>
    </row>
    <row r="20" spans="2:36" ht="15.75" customHeight="1" thickTop="1">
      <c r="B20" s="774">
        <v>5</v>
      </c>
      <c r="C20" s="237"/>
      <c r="D20" s="725"/>
      <c r="E20" s="725"/>
      <c r="F20" s="772"/>
      <c r="G20" s="773"/>
      <c r="H20" s="725"/>
      <c r="I20" s="725"/>
      <c r="J20" s="725"/>
      <c r="K20" s="629"/>
      <c r="L20" s="630"/>
      <c r="M20" s="749" t="str">
        <f>IF(SUM(K20:L22)=0,"",SUM(K20:L22))</f>
        <v/>
      </c>
      <c r="N20" s="749"/>
      <c r="O20" s="725" t="s">
        <v>47</v>
      </c>
      <c r="P20" s="752" t="s">
        <v>24</v>
      </c>
      <c r="Q20" s="753"/>
      <c r="R20" s="236"/>
      <c r="S20" s="236"/>
      <c r="T20" s="236"/>
      <c r="U20" s="236"/>
      <c r="V20" s="236"/>
      <c r="W20" s="236"/>
      <c r="X20" s="236"/>
      <c r="Y20" s="236"/>
      <c r="Z20" s="236"/>
      <c r="AA20" s="236"/>
      <c r="AB20" s="236"/>
      <c r="AC20" s="248"/>
      <c r="AD20" s="251"/>
      <c r="AE20" s="962" t="s">
        <v>26</v>
      </c>
      <c r="AF20" s="963"/>
      <c r="AJ20" s="173" t="str">
        <f>IF(AND(C8="Bathroom",E8&lt;&gt;"Java"),"Recommend JAVA upgrade(Warranty Issue)",IF(AND(D8="S/Shade",I8&lt;&gt;"F/Frame"),"F/Frame Required with S/Shade",IF(AND(D8&lt;&gt;"S/Shade",I8="F/Frame"),"S/Shade required with F/Frame",IF(OR(AND(D8="Shape",E8&lt;&gt;"Fiji"),AND(D8="Shape",E8&lt;&gt;"Samoa")),"Fiji or Samoa required for SHAPE shutters",IF(OR(AND(D8="French Door Cutout",E8&lt;&gt;"Fiji"),AND(D8="French Door Cutout",E8&lt;&gt;"Samoa")),"Fiji or Samoa required for French Doors",IF(ISNUMBER(SEARCH("(",Matrix2!AD22))=FALSE,IF(OR(AND((Pricing!M8/LEN(Matrix2!AD22)&gt;890),E8="Fiji",H8="63mm",OR(Matrix2!AD22="L",Matrix2!AD22="R",Matrix2!AD22="LR")),AND((Pricing!M8/LEN(Matrix2!AD22)&gt;890),E8="Fiji",H8="76mm",OR(Matrix2!AD22="L",Matrix2!AD22="R",Matrix2!AD22="LR"))),"Max Panel Width of 890mm with Fiji 63/76mm Louvre exceeded","The End"),IF(ISNUMBER(SEARCH("(",Matrix2!AD22))=FALSE,IF(OR(AND((Pricing!M8/LEN(Matrix2!AD22)&gt;1047),E8="Fiji",H8="89mm",OR(Matrix2!AD22="L",Matrix2!AD22="R",Matrix2!AD22="LR")),AND((Pricing!M8/LEN(Matrix2!AD22)&gt;1047),E8="Fiji",H8="114mm",OR(Matrix2!AD22="L",Matrix2!AD22="R",Matrix2!AD22="LR"))),"Max Panel Width of 1047mm with Java 89/114mm Louvre exceeded",IF(ISNUMBER(SEARCH("(",Matrix2!AD22))=FALSE,IF(AND(OR(ISNUMBER(SEARCH("LL",Matrix2!AD22)),ISNUMBER(SEARCH("RR",Matrix2!AD22))),(M8/Matrix2!AD19)&gt;660,E8="Fiji"),"Max Bifold/Tracked Panel width of 660 exceeded",IF(ISNUMBER(SEARCH("(",Matrix2!AD22))=FALSE,IF(AND(I8="Top Track Only",(M8/Matrix2!AD19)&gt;550,E8="Fiji"),"Max (Top Track) Panel width of 550 exceeded"),"The End")))))))))))</f>
        <v>The End</v>
      </c>
    </row>
    <row r="21" spans="2:36">
      <c r="B21" s="774"/>
      <c r="C21" s="239"/>
      <c r="D21" s="726"/>
      <c r="E21" s="726"/>
      <c r="F21" s="770" t="str">
        <f>IF(D20="Shape","Please Select",IF(D20="S/Shade","Enter Shade Colour here!",""))</f>
        <v/>
      </c>
      <c r="G21" s="771"/>
      <c r="H21" s="726"/>
      <c r="I21" s="726"/>
      <c r="J21" s="726"/>
      <c r="K21" s="616"/>
      <c r="L21" s="631"/>
      <c r="M21" s="750"/>
      <c r="N21" s="750"/>
      <c r="O21" s="726"/>
      <c r="P21" s="754" t="s">
        <v>27</v>
      </c>
      <c r="Q21" s="755"/>
      <c r="R21" s="240"/>
      <c r="S21" s="240"/>
      <c r="T21" s="240"/>
      <c r="U21" s="240"/>
      <c r="V21" s="240"/>
      <c r="W21" s="240"/>
      <c r="X21" s="240"/>
      <c r="Y21" s="240"/>
      <c r="Z21" s="240"/>
      <c r="AA21" s="240"/>
      <c r="AB21" s="240" t="s">
        <v>28</v>
      </c>
      <c r="AC21" s="241" t="s">
        <v>29</v>
      </c>
      <c r="AD21" s="242" t="s">
        <v>30</v>
      </c>
      <c r="AE21" s="924">
        <f>IF(ISNA(IF(AE20="Quoted",INDEX(Matrix2!P57:P67,MATCH(Pricing!E20,Matrix2!K57:K67,0))+AD22*Matrix2!C19,INDEX(Matrix2!P3:P13,MATCH(Pricing!E20,Matrix2!K3:K13,0))+(AD22*Matrix2!C19)+Matrix2!O37+Matrix2!V37+Matrix2!R37+Matrix2!P37)),,IF(AE20="Quoted",(INDEX(Matrix2!P57:P67,MATCH(Pricing!E20,Matrix2!K57:K67,0))+(AD22*Matrix2!C19)+Matrix2!V96+(Matrix2!T96*Matrix2!F3)+Matrix2!P96+Matrix2!Y96+Matrix2!P264+Matrix2!P266+Matrix2!M96),INDEX(Matrix2!P3:P13,MATCH(Pricing!E20,Matrix2!K3:K13,0))+(AD22*Matrix2!C19)+Matrix2!V37+(Matrix2!T37*Matrix2!F3)+Matrix2!P37+Matrix2!Y37+Matrix2!P264+Matrix2!P266)+(Matrix2!C9*AH22)+Matrix2!M37)</f>
        <v>0</v>
      </c>
      <c r="AF21" s="925"/>
    </row>
    <row r="22" spans="2:36" ht="15" thickBot="1">
      <c r="B22" s="774"/>
      <c r="C22" s="253"/>
      <c r="D22" s="726"/>
      <c r="E22" s="728"/>
      <c r="F22" s="244" t="s">
        <v>31</v>
      </c>
      <c r="G22" s="245"/>
      <c r="H22" s="727"/>
      <c r="I22" s="728"/>
      <c r="J22" s="727"/>
      <c r="K22" s="632"/>
      <c r="L22" s="633"/>
      <c r="M22" s="778"/>
      <c r="N22" s="751"/>
      <c r="O22" s="727"/>
      <c r="P22" s="736" t="s">
        <v>32</v>
      </c>
      <c r="Q22" s="737"/>
      <c r="R22" s="746" t="str">
        <f>IF(E20="","",Helper!C45)</f>
        <v/>
      </c>
      <c r="S22" s="747"/>
      <c r="T22" s="747"/>
      <c r="U22" s="747"/>
      <c r="V22" s="747"/>
      <c r="W22" s="747"/>
      <c r="X22" s="747"/>
      <c r="Y22" s="747"/>
      <c r="Z22" s="747"/>
      <c r="AA22" s="747"/>
      <c r="AB22" s="748"/>
      <c r="AC22" s="246" t="s">
        <v>45</v>
      </c>
      <c r="AD22" s="250">
        <f>IF(AE20="Quoted",Matrix2!N96,Matrix2!N37)</f>
        <v>0</v>
      </c>
      <c r="AE22" s="906">
        <f>IF(AND(D20="",E20="",J20="",M20="",N20=""),0,IF(OR(D20="",E20="",J20="",M20="",N20="",AND(E20="Barbados",J20="Clearview")),"Incomplete",IF(ISNA(IF(AE20="Quoted",INDEX(Matrix2!P75:P85,MATCH(Pricing!E20,Matrix2!K75:K85,0))+AD22*Matrix2!C19+Matrix2!O96+Matrix2!V96+Matrix2!R96+Matrix2!P96,INDEX(Matrix2!P17:P27,MATCH(Pricing!E20,Matrix2!K17:K27,0))+AD22*Matrix2!C19+Matrix2!O37+Matrix2!V37+Matrix2!R37+Matrix2!P37)),,IF(AE20="Quoted",INDEX(Matrix2!P75:P85,MATCH(Pricing!E20,Matrix2!K75:K85,0))+AD22*Matrix2!C19+Matrix2!O96+Matrix2!V96+Matrix2!R96+Matrix2!P96+Matrix2!M96,INDEX(Matrix2!P17:P27,MATCH(Pricing!E20,Matrix2!K17:K27,0))+AD22*Matrix2!C19)+(Matrix2!O37)+Matrix2!V37+Matrix2!R37+Matrix2!P37+Matrix2!W37+Matrix2!Y37+Matrix2!P261+Matrix2!P264+Matrix2!P266+Matrix2!M37)))</f>
        <v>0</v>
      </c>
      <c r="AF22" s="907"/>
      <c r="AH22" s="8">
        <f>IF(AE20="Quoted",IF(J20="Silent",AD22,IF(J20="Split Tilt",AD22,0)),IF(J20="Silent",AD22,IF(J20="Split Tilt",AD22,0)))</f>
        <v>0</v>
      </c>
      <c r="AJ22" s="173" t="s">
        <v>48</v>
      </c>
    </row>
    <row r="23" spans="2:36" ht="15.75" customHeight="1" thickTop="1">
      <c r="B23" s="774">
        <v>6</v>
      </c>
      <c r="C23" s="254"/>
      <c r="D23" s="761"/>
      <c r="E23" s="761"/>
      <c r="F23" s="775"/>
      <c r="G23" s="776"/>
      <c r="H23" s="761"/>
      <c r="I23" s="761"/>
      <c r="J23" s="761"/>
      <c r="K23" s="634"/>
      <c r="L23" s="635"/>
      <c r="M23" s="741" t="str">
        <f>IF(SUM(K23:L25)=0,"",SUM(K23:L25))</f>
        <v/>
      </c>
      <c r="N23" s="741"/>
      <c r="O23" s="761" t="s">
        <v>47</v>
      </c>
      <c r="P23" s="764" t="s">
        <v>24</v>
      </c>
      <c r="Q23" s="765"/>
      <c r="R23" s="224"/>
      <c r="S23" s="224"/>
      <c r="T23" s="224"/>
      <c r="U23" s="224"/>
      <c r="V23" s="224"/>
      <c r="W23" s="224"/>
      <c r="X23" s="224"/>
      <c r="Y23" s="224"/>
      <c r="Z23" s="224"/>
      <c r="AA23" s="224"/>
      <c r="AB23" s="224"/>
      <c r="AC23" s="225"/>
      <c r="AD23" s="226"/>
      <c r="AE23" s="937" t="s">
        <v>26</v>
      </c>
      <c r="AF23" s="938"/>
    </row>
    <row r="24" spans="2:36">
      <c r="B24" s="774"/>
      <c r="C24" s="227"/>
      <c r="D24" s="762"/>
      <c r="E24" s="762"/>
      <c r="F24" s="744" t="str">
        <f>IF(D23="Shape","Please Select",IF(D23="S/Shade","Enter Shade Colour here!",""))</f>
        <v/>
      </c>
      <c r="G24" s="745"/>
      <c r="H24" s="762"/>
      <c r="I24" s="762"/>
      <c r="J24" s="762"/>
      <c r="K24" s="618"/>
      <c r="L24" s="636"/>
      <c r="M24" s="742"/>
      <c r="N24" s="742"/>
      <c r="O24" s="762"/>
      <c r="P24" s="766" t="s">
        <v>27</v>
      </c>
      <c r="Q24" s="767"/>
      <c r="R24" s="228"/>
      <c r="S24" s="228"/>
      <c r="T24" s="228"/>
      <c r="U24" s="228"/>
      <c r="V24" s="228"/>
      <c r="W24" s="228"/>
      <c r="X24" s="228"/>
      <c r="Y24" s="228"/>
      <c r="Z24" s="228"/>
      <c r="AA24" s="228"/>
      <c r="AB24" s="228" t="s">
        <v>28</v>
      </c>
      <c r="AC24" s="207" t="s">
        <v>29</v>
      </c>
      <c r="AD24" s="208" t="s">
        <v>30</v>
      </c>
      <c r="AE24" s="939">
        <f>IF(ISNA(IF(AE23="Quoted",INDEX(Matrix2!Q57:Q67,MATCH(Pricing!E23,Matrix2!K57:K67,0))+AD25*Matrix2!C19,INDEX(Matrix2!Q3:Q13,MATCH(Pricing!E23,Matrix2!K3:K13,0))+(AD25*Matrix2!C19)+Matrix2!O38+Matrix2!V38+Matrix2!R38+Matrix2!P38)),,IF(AE23="Quoted",(INDEX(Matrix2!Q57:Q67,MATCH(Pricing!E23,Matrix2!K57:K67,0))+(AD25*Matrix2!C19)+Matrix2!V97+(Matrix2!T97*Matrix2!F3)+Matrix2!P97+Matrix2!Y97+Matrix2!Q264+Matrix2!Q266+Matrix2!M97),INDEX(Matrix2!Q3:Q13,MATCH(Pricing!E23,Matrix2!K3:K13,0))+(AD25*Matrix2!C19)+Matrix2!V38+(Matrix2!T38*Matrix2!F3)+Matrix2!P38+Matrix2!Y38+Matrix2!Q264+Matrix2!Q266)+(Matrix2!C9*AH25)+Matrix2!M38)</f>
        <v>0</v>
      </c>
      <c r="AF24" s="940"/>
    </row>
    <row r="25" spans="2:36" ht="15" thickBot="1">
      <c r="B25" s="774"/>
      <c r="C25" s="255"/>
      <c r="D25" s="762"/>
      <c r="E25" s="777"/>
      <c r="F25" s="229" t="s">
        <v>31</v>
      </c>
      <c r="G25" s="230"/>
      <c r="H25" s="763"/>
      <c r="I25" s="777"/>
      <c r="J25" s="763"/>
      <c r="K25" s="637"/>
      <c r="L25" s="638"/>
      <c r="M25" s="743"/>
      <c r="N25" s="743"/>
      <c r="O25" s="777"/>
      <c r="P25" s="756" t="s">
        <v>32</v>
      </c>
      <c r="Q25" s="757"/>
      <c r="R25" s="758" t="str">
        <f>IF(E23="","",Helper!C46)</f>
        <v/>
      </c>
      <c r="S25" s="759"/>
      <c r="T25" s="759"/>
      <c r="U25" s="759"/>
      <c r="V25" s="759"/>
      <c r="W25" s="759"/>
      <c r="X25" s="759"/>
      <c r="Y25" s="759"/>
      <c r="Z25" s="759"/>
      <c r="AA25" s="759"/>
      <c r="AB25" s="760"/>
      <c r="AC25" s="231" t="s">
        <v>45</v>
      </c>
      <c r="AD25" s="232">
        <f>IF(AE23="Quoted",Matrix2!N97,Matrix2!N38)</f>
        <v>0</v>
      </c>
      <c r="AE25" s="906">
        <f>IF(AND(D23="",E23="",J23="",M23="",N23=""),0,IF(OR(D23="",E23="",J23="",M23="",N23="",AND(E23="Barbados",J23="Clearview")),"Incomplete",IF(ISNA(IF(AE23="Quoted",INDEX(Matrix2!Q75:Q85,MATCH(Pricing!E23,Matrix2!K75:K85,0))+AD25*Matrix2!C19+Matrix2!O97+Matrix2!V97+Matrix2!R97+Matrix2!P97,INDEX(Matrix2!Q17:Q27,MATCH(Pricing!E23,Matrix2!K17:K27,0))+AD25*Matrix2!C19+Matrix2!O38+Matrix2!V38+Matrix2!R38+Matrix2!P38)),,IF(AE23="Quoted",INDEX(Matrix2!Q75:Q85,MATCH(Pricing!E23,Matrix2!K75:K85,0))+AD25*Matrix2!C19+Matrix2!O97+Matrix2!V97+Matrix2!R97+Matrix2!P97+Matrix2!M97,INDEX(Matrix2!Q17:Q27,MATCH(Pricing!E23,Matrix2!K17:K27,0))+AD25*Matrix2!C19)+(Matrix2!O38)+Matrix2!V38+Matrix2!R38+Matrix2!P38+Matrix2!W38+Matrix2!Y38+Matrix2!Q261+Matrix2!Q264+Matrix2!Q266+Matrix2!M38)))</f>
        <v>0</v>
      </c>
      <c r="AF25" s="907"/>
      <c r="AH25" s="8">
        <f>IF(AE23="Quoted",IF(J23="Silent",AD25,IF(J23="Split Tilt",AD25,0)),IF(J23="Silent",AD25,IF(J23="Split Tilt",AD25,0)))</f>
        <v>0</v>
      </c>
    </row>
    <row r="26" spans="2:36" ht="15.75" customHeight="1" thickTop="1">
      <c r="B26" s="774">
        <v>7</v>
      </c>
      <c r="C26" s="237"/>
      <c r="D26" s="725"/>
      <c r="E26" s="725"/>
      <c r="F26" s="772"/>
      <c r="G26" s="773"/>
      <c r="H26" s="725"/>
      <c r="I26" s="725"/>
      <c r="J26" s="725"/>
      <c r="K26" s="629"/>
      <c r="L26" s="630"/>
      <c r="M26" s="749" t="str">
        <f>IF(SUM(K26:L28)=0,"",SUM(K26:L28))</f>
        <v/>
      </c>
      <c r="N26" s="749"/>
      <c r="O26" s="725" t="s">
        <v>47</v>
      </c>
      <c r="P26" s="752" t="s">
        <v>24</v>
      </c>
      <c r="Q26" s="753"/>
      <c r="R26" s="236"/>
      <c r="S26" s="236"/>
      <c r="T26" s="236"/>
      <c r="U26" s="236"/>
      <c r="V26" s="236"/>
      <c r="W26" s="236"/>
      <c r="X26" s="236"/>
      <c r="Y26" s="236"/>
      <c r="Z26" s="236"/>
      <c r="AA26" s="236"/>
      <c r="AB26" s="236"/>
      <c r="AC26" s="248"/>
      <c r="AD26" s="249"/>
      <c r="AE26" s="908" t="s">
        <v>26</v>
      </c>
      <c r="AF26" s="909"/>
    </row>
    <row r="27" spans="2:36">
      <c r="B27" s="774"/>
      <c r="C27" s="239"/>
      <c r="D27" s="726"/>
      <c r="E27" s="726"/>
      <c r="F27" s="770" t="str">
        <f>IF(D26="Shape","Please Select",IF(D26="S/Shade","Enter Shade Colour here!",""))</f>
        <v/>
      </c>
      <c r="G27" s="771"/>
      <c r="H27" s="726"/>
      <c r="I27" s="726"/>
      <c r="J27" s="726"/>
      <c r="K27" s="616"/>
      <c r="L27" s="631"/>
      <c r="M27" s="750"/>
      <c r="N27" s="750"/>
      <c r="O27" s="726"/>
      <c r="P27" s="754" t="s">
        <v>27</v>
      </c>
      <c r="Q27" s="755"/>
      <c r="R27" s="240"/>
      <c r="S27" s="240"/>
      <c r="T27" s="240"/>
      <c r="U27" s="240"/>
      <c r="V27" s="240"/>
      <c r="W27" s="240"/>
      <c r="X27" s="240"/>
      <c r="Y27" s="240"/>
      <c r="Z27" s="240"/>
      <c r="AA27" s="240"/>
      <c r="AB27" s="240" t="s">
        <v>28</v>
      </c>
      <c r="AC27" s="241" t="s">
        <v>29</v>
      </c>
      <c r="AD27" s="242" t="s">
        <v>30</v>
      </c>
      <c r="AE27" s="924">
        <f>IF(ISNA(IF(AE26="Quoted",INDEX(Matrix2!R57:R67,MATCH(Pricing!E26,Matrix2!K57:K67,0))+AD28*Matrix2!C19,INDEX(Matrix2!R3:R13,MATCH(Pricing!E26,Matrix2!K3:K13,0))+(AD28*Matrix2!C19)+Matrix2!O39+Matrix2!V39+Matrix2!R39+Matrix2!P39)),,IF(AE26="Quoted",(INDEX(Matrix2!R57:R67,MATCH(Pricing!E26,Matrix2!K57:K67,0))+(AD28*Matrix2!C19)+Matrix2!V98+(Matrix2!T98*Matrix2!F3)+Matrix2!P98+Matrix2!Y98+Matrix2!R264+Matrix2!R266+Matrix2!M98),INDEX(Matrix2!R3:R13,MATCH(Pricing!E26,Matrix2!K3:K13,0))+(AD26*Matrix2!C19)+Matrix2!V39+(Matrix2!T39*Matrix2!F3)+Matrix2!P39+Matrix2!Y39+Matrix2!R264+Matrix2!R266)+(Matrix2!C9*AH28)+Matrix2!M39)</f>
        <v>0</v>
      </c>
      <c r="AF27" s="925"/>
    </row>
    <row r="28" spans="2:36" ht="15" thickBot="1">
      <c r="B28" s="774"/>
      <c r="C28" s="253"/>
      <c r="D28" s="726"/>
      <c r="E28" s="726"/>
      <c r="F28" s="244" t="s">
        <v>31</v>
      </c>
      <c r="G28" s="245"/>
      <c r="H28" s="727"/>
      <c r="I28" s="728"/>
      <c r="J28" s="727"/>
      <c r="K28" s="632"/>
      <c r="L28" s="633"/>
      <c r="M28" s="751"/>
      <c r="N28" s="751"/>
      <c r="O28" s="727"/>
      <c r="P28" s="736" t="s">
        <v>32</v>
      </c>
      <c r="Q28" s="737"/>
      <c r="R28" s="746" t="str">
        <f>IF(E26="","",Helper!C47)</f>
        <v/>
      </c>
      <c r="S28" s="747"/>
      <c r="T28" s="747"/>
      <c r="U28" s="747"/>
      <c r="V28" s="747"/>
      <c r="W28" s="747"/>
      <c r="X28" s="747"/>
      <c r="Y28" s="747"/>
      <c r="Z28" s="747"/>
      <c r="AA28" s="747"/>
      <c r="AB28" s="748"/>
      <c r="AC28" s="246" t="s">
        <v>45</v>
      </c>
      <c r="AD28" s="250">
        <f>IF(AE26="Quoted",Matrix2!N98,Matrix2!N39)</f>
        <v>0</v>
      </c>
      <c r="AE28" s="906">
        <f>IF(AND(D26="",E26="",J26="",M26="",N26=""),0,IF(OR(D26="",E26="",J26="",M26="",N26="",AND(E26="Barbados",J26="Clearview")),"Incomplete",IF(ISNA(IF(AE26="Quoted",INDEX(Matrix2!R75:R85,MATCH(Pricing!E26,Matrix2!K75:K85,0))+AD28*Matrix2!C19+Matrix2!O98+Matrix2!V98+Matrix2!R98+Matrix2!P98,INDEX(Matrix2!R17:R27,MATCH(Pricing!E26,Matrix2!K17:K27,0))+AD28*Matrix2!C19+Matrix2!O39+Matrix2!V39+Matrix2!R39+Matrix2!P39)),,IF(AE26="Quoted",INDEX(Matrix2!R75:R85,MATCH(Pricing!E26,Matrix2!K75:K85,0))+AD28*Matrix2!C19+Matrix2!O98+Matrix2!V98+Matrix2!R98+Matrix2!P98+Matrix2!M98,INDEX(Matrix2!R17:R27,MATCH(Pricing!E26,Matrix2!K17:K27,0))+AD28*Matrix2!C19)+(Matrix2!O39)+Matrix2!V39+Matrix2!R39+Matrix2!P39+Matrix2!W39+Matrix2!Y39+Matrix2!R261+Matrix2!R264+Matrix2!R266+Matrix2!M39)))</f>
        <v>0</v>
      </c>
      <c r="AF28" s="907"/>
      <c r="AH28" s="8">
        <f>IF(AE26="Quoted",IF(J26="Silent",AD28,IF(J26="Split Tilt",AD28,0)),IF(J26="Silent",AD28,IF(J26="Split Tilt",AD28,0)))</f>
        <v>0</v>
      </c>
    </row>
    <row r="29" spans="2:36" ht="15.75" customHeight="1" thickTop="1">
      <c r="B29" s="774">
        <v>8</v>
      </c>
      <c r="C29" s="254"/>
      <c r="D29" s="761"/>
      <c r="E29" s="761"/>
      <c r="F29" s="775"/>
      <c r="G29" s="776"/>
      <c r="H29" s="761"/>
      <c r="I29" s="761"/>
      <c r="J29" s="761"/>
      <c r="K29" s="634"/>
      <c r="L29" s="635"/>
      <c r="M29" s="741" t="str">
        <f>IF(SUM(K29:L31)=0,"",SUM(K29:L31))</f>
        <v/>
      </c>
      <c r="N29" s="741"/>
      <c r="O29" s="761" t="s">
        <v>47</v>
      </c>
      <c r="P29" s="764" t="s">
        <v>24</v>
      </c>
      <c r="Q29" s="765"/>
      <c r="R29" s="224"/>
      <c r="S29" s="224"/>
      <c r="T29" s="224"/>
      <c r="U29" s="224"/>
      <c r="V29" s="224"/>
      <c r="W29" s="224"/>
      <c r="X29" s="224"/>
      <c r="Y29" s="224"/>
      <c r="Z29" s="224"/>
      <c r="AA29" s="224"/>
      <c r="AB29" s="224"/>
      <c r="AC29" s="225"/>
      <c r="AD29" s="226"/>
      <c r="AE29" s="937" t="s">
        <v>26</v>
      </c>
      <c r="AF29" s="938"/>
    </row>
    <row r="30" spans="2:36">
      <c r="B30" s="774"/>
      <c r="C30" s="227"/>
      <c r="D30" s="762"/>
      <c r="E30" s="762"/>
      <c r="F30" s="744" t="str">
        <f>IF(D29="Shape","Please Select",IF(D29="S/Shade","Enter Shade Colour here!",""))</f>
        <v/>
      </c>
      <c r="G30" s="745"/>
      <c r="H30" s="762"/>
      <c r="I30" s="762"/>
      <c r="J30" s="762"/>
      <c r="K30" s="618"/>
      <c r="L30" s="636"/>
      <c r="M30" s="742"/>
      <c r="N30" s="742"/>
      <c r="O30" s="762"/>
      <c r="P30" s="766" t="s">
        <v>27</v>
      </c>
      <c r="Q30" s="767"/>
      <c r="R30" s="228"/>
      <c r="S30" s="228"/>
      <c r="T30" s="228"/>
      <c r="U30" s="228"/>
      <c r="V30" s="228"/>
      <c r="W30" s="228"/>
      <c r="X30" s="228"/>
      <c r="Y30" s="228"/>
      <c r="Z30" s="228"/>
      <c r="AA30" s="228"/>
      <c r="AB30" s="228" t="s">
        <v>28</v>
      </c>
      <c r="AC30" s="207" t="s">
        <v>29</v>
      </c>
      <c r="AD30" s="208" t="s">
        <v>30</v>
      </c>
      <c r="AE30" s="939">
        <f>IF(ISNA(IF(AE29="Quoted",INDEX(Matrix2!S57:S67,MATCH(Pricing!E29,Matrix2!K57:K67,0))+AD31*Matrix2!C19,INDEX(Matrix2!S3:S13,MATCH(Pricing!E29,Matrix2!K3:K13,0))+(AD31*Matrix2!C19)+Matrix2!O40+Matrix2!V40+Matrix2!R40+Matrix2!P40)),,IF(AE29="Quoted",(INDEX(Matrix2!S57:S67,MATCH(Pricing!E29,Matrix2!K57:K67,0))+(AD31*Matrix2!C19)+Matrix2!V99+(Matrix2!T99*Matrix2!F3)+Matrix2!P99+Matrix2!Y99+Matrix2!S264+Matrix2!S266+Matrix2!M99),INDEX(Matrix2!S3:S13,MATCH(Pricing!E29,Matrix2!K3:K13,0))+(AD29*Matrix2!C19)+Matrix2!V40+(Matrix2!T40*Matrix2!F3)+Matrix2!P40+Matrix2!Y40+Matrix2!S264+Matrix2!S266)+(Matrix2!C9*AH31)+Matrix2!M40)</f>
        <v>0</v>
      </c>
      <c r="AF30" s="940"/>
    </row>
    <row r="31" spans="2:36" ht="15" thickBot="1">
      <c r="B31" s="774"/>
      <c r="C31" s="255"/>
      <c r="D31" s="762"/>
      <c r="E31" s="762"/>
      <c r="F31" s="229" t="s">
        <v>31</v>
      </c>
      <c r="G31" s="230"/>
      <c r="H31" s="763"/>
      <c r="I31" s="777"/>
      <c r="J31" s="763"/>
      <c r="K31" s="637"/>
      <c r="L31" s="638"/>
      <c r="M31" s="743"/>
      <c r="N31" s="743"/>
      <c r="O31" s="763"/>
      <c r="P31" s="756" t="s">
        <v>32</v>
      </c>
      <c r="Q31" s="757"/>
      <c r="R31" s="758" t="str">
        <f>IF(E29="","",Helper!C48)</f>
        <v/>
      </c>
      <c r="S31" s="759"/>
      <c r="T31" s="759"/>
      <c r="U31" s="759"/>
      <c r="V31" s="759"/>
      <c r="W31" s="759"/>
      <c r="X31" s="759"/>
      <c r="Y31" s="759"/>
      <c r="Z31" s="759"/>
      <c r="AA31" s="759"/>
      <c r="AB31" s="760"/>
      <c r="AC31" s="231" t="s">
        <v>45</v>
      </c>
      <c r="AD31" s="232">
        <f>IF(AE29="Quoted",Matrix2!N99,Matrix2!N40)</f>
        <v>0</v>
      </c>
      <c r="AE31" s="906">
        <f>IF(AND(D29="",E29="",J29="",M29="",N29=""),0,IF(OR(D29="",E29="",J29="",M29="",N29="",AND(E29="Barbados",J29="Clearview")),"Incomplete",IF(ISNA(IF(AE29="Quoted",INDEX(Matrix2!S75:S85,MATCH(Pricing!E29,Matrix2!K75:K85,0))+AD31*Matrix2!C19+Matrix2!O99+Matrix2!V99+Matrix2!R99+Matrix2!P99,INDEX(Matrix2!S17:S27,MATCH(Pricing!E29,Matrix2!K17:K27,0))+AD31*Matrix2!C19+Matrix2!O40+Matrix2!V40+Matrix2!R40+Matrix2!P40)),,IF(AE29="Quoted",INDEX(Matrix2!S75:S85,MATCH(Pricing!E29,Matrix2!K75:K85,0))+AD31*Matrix2!C19+Matrix2!O99+Matrix2!V99+Matrix2!R99+Matrix2!P99+Matrix2!M99,INDEX(Matrix2!S17:S27,MATCH(Pricing!E29,Matrix2!K17:K27,0))+AD31*Matrix2!C19)+(Matrix2!O40)+Matrix2!V40+Matrix2!R40+Matrix2!P40+Matrix2!W40+Matrix2!Y40+Matrix2!S261+Matrix2!S264+Matrix2!S266+Matrix2!M40)))</f>
        <v>0</v>
      </c>
      <c r="AF31" s="907"/>
      <c r="AH31" s="8">
        <f>IF(AE29="Quoted",IF(J29="Silent",AD31,IF(J29="Split Tilt",AD31,0)),IF(J29="Silent",AD31,IF(J29="Split Tilt",AD31,0)))</f>
        <v>0</v>
      </c>
    </row>
    <row r="32" spans="2:36" ht="15.75" customHeight="1" thickTop="1">
      <c r="B32" s="774">
        <v>9</v>
      </c>
      <c r="C32" s="237"/>
      <c r="D32" s="725"/>
      <c r="E32" s="725"/>
      <c r="F32" s="772"/>
      <c r="G32" s="773"/>
      <c r="H32" s="725"/>
      <c r="I32" s="725"/>
      <c r="J32" s="725"/>
      <c r="K32" s="629"/>
      <c r="L32" s="630"/>
      <c r="M32" s="749" t="str">
        <f>IF(SUM(K32:L34)=0,"",SUM(K32:L34))</f>
        <v/>
      </c>
      <c r="N32" s="749"/>
      <c r="O32" s="725" t="s">
        <v>47</v>
      </c>
      <c r="P32" s="752" t="s">
        <v>24</v>
      </c>
      <c r="Q32" s="753"/>
      <c r="R32" s="236"/>
      <c r="S32" s="236"/>
      <c r="T32" s="236"/>
      <c r="U32" s="236"/>
      <c r="V32" s="236"/>
      <c r="W32" s="236"/>
      <c r="X32" s="236"/>
      <c r="Y32" s="236"/>
      <c r="Z32" s="236"/>
      <c r="AA32" s="236"/>
      <c r="AB32" s="236"/>
      <c r="AC32" s="248"/>
      <c r="AD32" s="249"/>
      <c r="AE32" s="908" t="s">
        <v>26</v>
      </c>
      <c r="AF32" s="909"/>
    </row>
    <row r="33" spans="2:34">
      <c r="B33" s="774"/>
      <c r="C33" s="239"/>
      <c r="D33" s="726"/>
      <c r="E33" s="726"/>
      <c r="F33" s="770" t="str">
        <f>IF(D32="Shape","Please Select",IF(D32="S/Shade","Enter Shade Colour here!",""))</f>
        <v/>
      </c>
      <c r="G33" s="771"/>
      <c r="H33" s="726"/>
      <c r="I33" s="726"/>
      <c r="J33" s="726"/>
      <c r="K33" s="616"/>
      <c r="L33" s="631"/>
      <c r="M33" s="750"/>
      <c r="N33" s="750"/>
      <c r="O33" s="726"/>
      <c r="P33" s="754" t="s">
        <v>27</v>
      </c>
      <c r="Q33" s="755"/>
      <c r="R33" s="240"/>
      <c r="S33" s="240"/>
      <c r="T33" s="240"/>
      <c r="U33" s="240"/>
      <c r="V33" s="240"/>
      <c r="W33" s="240"/>
      <c r="X33" s="240"/>
      <c r="Y33" s="240"/>
      <c r="Z33" s="240"/>
      <c r="AA33" s="240"/>
      <c r="AB33" s="240" t="s">
        <v>28</v>
      </c>
      <c r="AC33" s="241" t="s">
        <v>29</v>
      </c>
      <c r="AD33" s="242" t="s">
        <v>30</v>
      </c>
      <c r="AE33" s="924">
        <f>IF(ISNA(IF(AE32="Quoted",INDEX(Matrix2!T57:T67,MATCH(Pricing!E32,Matrix2!K57:K67,0))+AD34*Matrix2!C19,INDEX(Matrix2!T3:T13,MATCH(Pricing!E32,Matrix2!K3:K13,0))+(AD34*Matrix2!C19)+Matrix2!O41+Matrix2!V41+Matrix2!R41+Matrix2!P41)),,IF(AE32="Quoted",INDEX(Matrix2!T57:T67,MATCH(Pricing!E32,Matrix2!K57:K67,0))+AD34*Matrix2!C19+Matrix2!V100+Matrix2!R100+Matrix2!P100+Matrix2!M100,INDEX(Matrix2!T3:T13,MATCH(Pricing!E32,Matrix2!K3:K13,0))+(AD34*Matrix2!C19)+Matrix2!V41+(Matrix2!T41*Matrix2!F3)+Matrix2!P41+Matrix2!Y41+Matrix2!T264+Matrix2!T266)+(Matrix2!C9*AH34)+Matrix2!M41)</f>
        <v>0</v>
      </c>
      <c r="AF33" s="925"/>
    </row>
    <row r="34" spans="2:34" ht="15" thickBot="1">
      <c r="B34" s="774"/>
      <c r="C34" s="253"/>
      <c r="D34" s="726"/>
      <c r="E34" s="726"/>
      <c r="F34" s="244" t="s">
        <v>31</v>
      </c>
      <c r="G34" s="245"/>
      <c r="H34" s="727"/>
      <c r="I34" s="728"/>
      <c r="J34" s="727"/>
      <c r="K34" s="632"/>
      <c r="L34" s="633"/>
      <c r="M34" s="751"/>
      <c r="N34" s="751"/>
      <c r="O34" s="727"/>
      <c r="P34" s="736" t="s">
        <v>32</v>
      </c>
      <c r="Q34" s="737"/>
      <c r="R34" s="746" t="str">
        <f>IF(E32="","",Helper!C49)</f>
        <v/>
      </c>
      <c r="S34" s="747"/>
      <c r="T34" s="747"/>
      <c r="U34" s="747"/>
      <c r="V34" s="747"/>
      <c r="W34" s="747"/>
      <c r="X34" s="747"/>
      <c r="Y34" s="747"/>
      <c r="Z34" s="747"/>
      <c r="AA34" s="747"/>
      <c r="AB34" s="748"/>
      <c r="AC34" s="246" t="s">
        <v>33</v>
      </c>
      <c r="AD34" s="250">
        <f>IF(AE32="Quoted",Matrix2!N100,Matrix2!N41)</f>
        <v>0</v>
      </c>
      <c r="AE34" s="906">
        <f>IF(AND(D32="",E32="",J32="",M32="",N32=""),0,IF(OR(D32="",E32="",J32="",M32="",N32="",AND(E32="Barbados",J32="Clearview")),"Incomplete",IF(ISNA(IF(AE32="Quoted",INDEX(Matrix2!T75:T85,MATCH(Pricing!E32,Matrix2!K75:K85,0))+AD34*Matrix2!C19+Matrix2!O100+Matrix2!V100+Matrix2!R100+Matrix2!P100,INDEX(Matrix2!T17:T27,MATCH(Pricing!E32,Matrix2!K17:K27,0))+AD34*Matrix2!C19+Matrix2!O41+Matrix2!V41+Matrix2!R41+Matrix2!P41)),,IF(AE32="Quoted",INDEX(Matrix2!T75:T85,MATCH(Pricing!E32,Matrix2!K75:K85,0))+AD34*Matrix2!C19+Matrix2!O100+Matrix2!V100+Matrix2!R100+Matrix2!P100+Matrix2!M100,INDEX(Matrix2!T17:T27,MATCH(Pricing!E32,Matrix2!K17:K27,0))+AD34*Matrix2!C19)+(Matrix2!O41)+Matrix2!V41+Matrix2!R41+Matrix2!P41+Matrix2!W41+Matrix2!Y41+Matrix2!T261+Matrix2!T264+Matrix2!T266+Matrix2!M41)))</f>
        <v>0</v>
      </c>
      <c r="AF34" s="907"/>
      <c r="AH34" s="8">
        <f>IF(AE32="Quoted",IF(J32="Silent",AD34,IF(J32="Split Tilt",AD34,0)),IF(J32="Silent",AD34,IF(J32="Split Tilt",AD34,0)))</f>
        <v>0</v>
      </c>
    </row>
    <row r="35" spans="2:34" ht="15" thickTop="1">
      <c r="B35" s="774">
        <v>10</v>
      </c>
      <c r="C35" s="254"/>
      <c r="D35" s="761"/>
      <c r="E35" s="761"/>
      <c r="F35" s="775"/>
      <c r="G35" s="776"/>
      <c r="H35" s="761"/>
      <c r="I35" s="761"/>
      <c r="J35" s="761"/>
      <c r="K35" s="634"/>
      <c r="L35" s="635"/>
      <c r="M35" s="741" t="str">
        <f>IF(SUM(K35:L37)=0,"",SUM(K35:L37))</f>
        <v/>
      </c>
      <c r="N35" s="741"/>
      <c r="O35" s="761" t="s">
        <v>47</v>
      </c>
      <c r="P35" s="764" t="s">
        <v>24</v>
      </c>
      <c r="Q35" s="765"/>
      <c r="R35" s="224"/>
      <c r="S35" s="224"/>
      <c r="T35" s="224"/>
      <c r="U35" s="224"/>
      <c r="V35" s="224"/>
      <c r="W35" s="224"/>
      <c r="X35" s="224"/>
      <c r="Y35" s="224"/>
      <c r="Z35" s="224"/>
      <c r="AA35" s="224"/>
      <c r="AB35" s="224"/>
      <c r="AC35" s="225"/>
      <c r="AD35" s="226"/>
      <c r="AE35" s="937" t="s">
        <v>26</v>
      </c>
      <c r="AF35" s="938"/>
    </row>
    <row r="36" spans="2:34">
      <c r="B36" s="774"/>
      <c r="C36" s="227"/>
      <c r="D36" s="762"/>
      <c r="E36" s="762"/>
      <c r="F36" s="744" t="str">
        <f>IF(D35="Shape","Please Select",IF(D35="S/Shade","Enter Shade Colour here!",""))</f>
        <v/>
      </c>
      <c r="G36" s="745"/>
      <c r="H36" s="762"/>
      <c r="I36" s="762"/>
      <c r="J36" s="762"/>
      <c r="K36" s="618"/>
      <c r="L36" s="636"/>
      <c r="M36" s="742"/>
      <c r="N36" s="742"/>
      <c r="O36" s="762"/>
      <c r="P36" s="766" t="s">
        <v>27</v>
      </c>
      <c r="Q36" s="767"/>
      <c r="R36" s="228"/>
      <c r="S36" s="228"/>
      <c r="T36" s="228"/>
      <c r="U36" s="228"/>
      <c r="V36" s="228"/>
      <c r="W36" s="228"/>
      <c r="X36" s="228"/>
      <c r="Y36" s="228"/>
      <c r="Z36" s="228"/>
      <c r="AA36" s="228"/>
      <c r="AB36" s="228" t="s">
        <v>28</v>
      </c>
      <c r="AC36" s="207" t="s">
        <v>29</v>
      </c>
      <c r="AD36" s="208" t="s">
        <v>30</v>
      </c>
      <c r="AE36" s="939">
        <f>IF(ISNA(IF(AE35="Quoted",INDEX(Matrix2!U57:U67,MATCH(Pricing!E35,Matrix2!K57:K67,0))+AD37*Matrix2!C19,INDEX(Matrix2!U3:U13,MATCH(Pricing!E35,Matrix2!K3:K13,0))+(AD37*Matrix2!C19)+Matrix2!O42+Matrix2!V42+Matrix2!R42+Matrix2!P42)),,IF(AE35="Quoted",INDEX(Matrix2!U57:U67,MATCH(Pricing!E35,Matrix2!K57:K67,0))+AD37*Matrix2!C19+Matrix2!V101+Matrix2!R101+Matrix2!P101+Matrix2!M101,INDEX(Matrix2!U3:U13,MATCH(Pricing!E35,Matrix2!K3:K13,0))+(AD37*Matrix2!C19)+Matrix2!V42+(Matrix2!T42*Matrix2!F3)+Matrix2!P42+Matrix2!Y42+Matrix2!U264+Matrix2!U266)+(Matrix2!C9*AH37)+Matrix2!M42)</f>
        <v>0</v>
      </c>
      <c r="AF36" s="940"/>
    </row>
    <row r="37" spans="2:34" ht="15" thickBot="1">
      <c r="B37" s="774"/>
      <c r="C37" s="255"/>
      <c r="D37" s="762"/>
      <c r="E37" s="762"/>
      <c r="F37" s="229" t="s">
        <v>31</v>
      </c>
      <c r="G37" s="230"/>
      <c r="H37" s="763"/>
      <c r="I37" s="777"/>
      <c r="J37" s="763"/>
      <c r="K37" s="637"/>
      <c r="L37" s="638"/>
      <c r="M37" s="743"/>
      <c r="N37" s="743"/>
      <c r="O37" s="763"/>
      <c r="P37" s="756" t="s">
        <v>32</v>
      </c>
      <c r="Q37" s="757"/>
      <c r="R37" s="758" t="str">
        <f>IF(E35="","",Helper!C50)</f>
        <v/>
      </c>
      <c r="S37" s="759"/>
      <c r="T37" s="759"/>
      <c r="U37" s="759"/>
      <c r="V37" s="759"/>
      <c r="W37" s="759"/>
      <c r="X37" s="759"/>
      <c r="Y37" s="759"/>
      <c r="Z37" s="759"/>
      <c r="AA37" s="759"/>
      <c r="AB37" s="760"/>
      <c r="AC37" s="231" t="s">
        <v>45</v>
      </c>
      <c r="AD37" s="232">
        <f>IF(AE35="Quoted",Matrix2!N101,Matrix2!N42)</f>
        <v>0</v>
      </c>
      <c r="AE37" s="906">
        <f>IF(AND(D35="",E35="",J35="",M35="",N35=""),0,IF(OR(D35="",E35="",J35="",M35="",N35="",AND(E35="Barbados",J35="Clearview")),"Incomplete",IF(ISNA(IF(AE35="Quoted",INDEX(Matrix2!U75:U85,MATCH(Pricing!E35,Matrix2!K75:K85,0))+AD37*Matrix2!C19+Matrix2!O101+Matrix2!V101+Matrix2!R101+Matrix2!P101,INDEX(Matrix2!U17:U27,MATCH(Pricing!E35,Matrix2!K17:K27,0))+AD37*Matrix2!C19+Matrix2!O42+Matrix2!V42+Matrix2!R42+Matrix2!P42)),,IF(AE35="Quoted",INDEX(Matrix2!U75:U85,MATCH(Pricing!E35,Matrix2!K75:K85,0))+AD37*Matrix2!C19+Matrix2!O101+Matrix2!V101+Matrix2!R101+Matrix2!P101+Matrix2!M101,INDEX(Matrix2!U17:U27,MATCH(Pricing!E35,Matrix2!K17:K27,0))+AD37*Matrix2!C19)+(Matrix2!O42)+Matrix2!V42+Matrix2!R42+Matrix2!P42+Matrix2!W42+Matrix2!Y42+Matrix2!U261+Matrix2!U264+Matrix2!U266+Matrix2!M42)))</f>
        <v>0</v>
      </c>
      <c r="AF37" s="907"/>
      <c r="AH37" s="8">
        <f>IF(AE35="Quoted",IF(J35="Silent",AD37,IF(J35="Split Tilt",AD37,0)),IF(J35="Silent",AD37,IF(J35="Split Tilt",AD37,0)))</f>
        <v>0</v>
      </c>
    </row>
    <row r="38" spans="2:34" ht="15" thickTop="1">
      <c r="B38" s="774">
        <v>11</v>
      </c>
      <c r="C38" s="237"/>
      <c r="D38" s="725"/>
      <c r="E38" s="725"/>
      <c r="F38" s="772"/>
      <c r="G38" s="773"/>
      <c r="H38" s="725"/>
      <c r="I38" s="725"/>
      <c r="J38" s="725"/>
      <c r="K38" s="629"/>
      <c r="L38" s="630"/>
      <c r="M38" s="749" t="str">
        <f>IF(SUM(K38:L40)=0,"",SUM(K38:L40))</f>
        <v/>
      </c>
      <c r="N38" s="749"/>
      <c r="O38" s="725" t="s">
        <v>47</v>
      </c>
      <c r="P38" s="752" t="s">
        <v>24</v>
      </c>
      <c r="Q38" s="753"/>
      <c r="R38" s="236"/>
      <c r="S38" s="236"/>
      <c r="T38" s="236"/>
      <c r="U38" s="236"/>
      <c r="V38" s="236"/>
      <c r="W38" s="236"/>
      <c r="X38" s="236"/>
      <c r="Y38" s="236"/>
      <c r="Z38" s="236"/>
      <c r="AA38" s="236"/>
      <c r="AB38" s="236"/>
      <c r="AC38" s="248"/>
      <c r="AD38" s="249"/>
      <c r="AE38" s="908" t="s">
        <v>26</v>
      </c>
      <c r="AF38" s="909"/>
    </row>
    <row r="39" spans="2:34">
      <c r="B39" s="774"/>
      <c r="C39" s="239"/>
      <c r="D39" s="726"/>
      <c r="E39" s="726"/>
      <c r="F39" s="770" t="str">
        <f>IF(D38="Shape","Please Select",IF(D38="S/Shade","Enter Shade Colour here!",""))</f>
        <v/>
      </c>
      <c r="G39" s="771"/>
      <c r="H39" s="726"/>
      <c r="I39" s="726"/>
      <c r="J39" s="726"/>
      <c r="K39" s="616"/>
      <c r="L39" s="631"/>
      <c r="M39" s="750"/>
      <c r="N39" s="750"/>
      <c r="O39" s="726"/>
      <c r="P39" s="754" t="s">
        <v>27</v>
      </c>
      <c r="Q39" s="755"/>
      <c r="R39" s="240"/>
      <c r="S39" s="240"/>
      <c r="T39" s="240"/>
      <c r="U39" s="240"/>
      <c r="V39" s="240"/>
      <c r="W39" s="240"/>
      <c r="X39" s="240"/>
      <c r="Y39" s="240"/>
      <c r="Z39" s="240"/>
      <c r="AA39" s="240"/>
      <c r="AB39" s="240" t="s">
        <v>28</v>
      </c>
      <c r="AC39" s="241" t="s">
        <v>29</v>
      </c>
      <c r="AD39" s="242" t="s">
        <v>30</v>
      </c>
      <c r="AE39" s="924">
        <f>IF(ISNA(IF(AE38="Quoted",INDEX(Matrix2!V57:V67,MATCH(Pricing!E38,Matrix2!K57:K67,0))+AD40*Matrix2!C19,INDEX(Matrix2!V3:V13,MATCH(Pricing!E38,Matrix2!K3:K13,0))+(AD40*Matrix2!C19)+Matrix2!O43+Matrix2!V43+Matrix2!R43+Matrix2!P43)),,IF(AE38="Quoted",INDEX(Matrix2!V57:V67,MATCH(Pricing!E38,Matrix2!K57:K67,0))+AD40*Matrix2!C19+Matrix2!V102+Matrix2!R102+Matrix2!P102+Matrix2!M102,INDEX(Matrix2!V3:V13,MATCH(Pricing!E38,Matrix2!K3:K13,0))+(AD40*Matrix2!C19)+Matrix2!V43+(Matrix2!T43*Matrix2!F3)+Matrix2!P43+Matrix2!Y43+Matrix2!V264+Matrix2!V266)+(Matrix2!C9*AH40)+Matrix2!M43)</f>
        <v>0</v>
      </c>
      <c r="AF39" s="925"/>
    </row>
    <row r="40" spans="2:34" ht="15" thickBot="1">
      <c r="B40" s="774"/>
      <c r="C40" s="253"/>
      <c r="D40" s="726"/>
      <c r="E40" s="726"/>
      <c r="F40" s="244" t="s">
        <v>31</v>
      </c>
      <c r="G40" s="245"/>
      <c r="H40" s="727"/>
      <c r="I40" s="728"/>
      <c r="J40" s="727"/>
      <c r="K40" s="632"/>
      <c r="L40" s="633"/>
      <c r="M40" s="751"/>
      <c r="N40" s="751"/>
      <c r="O40" s="727"/>
      <c r="P40" s="736" t="s">
        <v>32</v>
      </c>
      <c r="Q40" s="737"/>
      <c r="R40" s="746" t="str">
        <f>IF(E38="","",Helper!C51)</f>
        <v/>
      </c>
      <c r="S40" s="747"/>
      <c r="T40" s="747"/>
      <c r="U40" s="747"/>
      <c r="V40" s="747"/>
      <c r="W40" s="747"/>
      <c r="X40" s="747"/>
      <c r="Y40" s="747"/>
      <c r="Z40" s="747"/>
      <c r="AA40" s="747"/>
      <c r="AB40" s="748"/>
      <c r="AC40" s="246" t="s">
        <v>45</v>
      </c>
      <c r="AD40" s="250">
        <f>IF(AE38="Quoted",Matrix2!N102,Matrix2!N43)</f>
        <v>0</v>
      </c>
      <c r="AE40" s="906">
        <f>IF(AND(D38="",E38="",J38="",M38="",N38=""),0,IF(OR(D38="",E38="",J38="",M38="",N38="",AND(E38="Barbados",J38="Clearview")),"Incomplete",IF(ISNA(IF(AE38="Quoted",INDEX(Matrix2!V75:V85,MATCH(Pricing!E38,Matrix2!K75:K85,0))+AD40*Matrix2!C19+Matrix2!O102+Matrix2!V102+Matrix2!R102+Matrix2!P102,INDEX(Matrix2!V17:V27,MATCH(Pricing!E38,Matrix2!K17:K27,0))+AD40*Matrix2!C19+Matrix2!O43+Matrix2!V43+Matrix2!R43+Matrix2!P43)),,IF(AE38="Quoted",INDEX(Matrix2!V75:V85,MATCH(Pricing!E38,Matrix2!K75:K85,0))+AD40*Matrix2!C19+Matrix2!O102+Matrix2!V102+Matrix2!R102+Matrix2!P102+Matrix2!M102,INDEX(Matrix2!V17:V27,MATCH(Pricing!E38,Matrix2!K17:K27,0))+AD40*Matrix2!C19)+(Matrix2!O43)+Matrix2!V43+Matrix2!R43+Matrix2!P43+Matrix2!W43+Matrix2!Y43+Matrix2!V261+Matrix2!V264+Matrix2!V266+Matrix2!M43)))</f>
        <v>0</v>
      </c>
      <c r="AF40" s="907"/>
      <c r="AH40" s="8">
        <f>IF(AE38="Quoted",IF(J38="Silent",AD40,IF(J38="Split Tilt",AD40,0)),IF(J38="Silent",AD40,IF(J38="Split Tilt",AD40,0)))</f>
        <v>0</v>
      </c>
    </row>
    <row r="41" spans="2:34" ht="15" thickTop="1">
      <c r="B41" s="774">
        <v>12</v>
      </c>
      <c r="C41" s="254"/>
      <c r="D41" s="761"/>
      <c r="E41" s="761"/>
      <c r="F41" s="775"/>
      <c r="G41" s="776"/>
      <c r="H41" s="761"/>
      <c r="I41" s="761"/>
      <c r="J41" s="761"/>
      <c r="K41" s="634"/>
      <c r="L41" s="635"/>
      <c r="M41" s="741" t="str">
        <f>IF(SUM(K41:L43)=0,"",SUM(K41:L43))</f>
        <v/>
      </c>
      <c r="N41" s="741"/>
      <c r="O41" s="761" t="s">
        <v>47</v>
      </c>
      <c r="P41" s="764" t="s">
        <v>24</v>
      </c>
      <c r="Q41" s="765"/>
      <c r="R41" s="224"/>
      <c r="S41" s="224"/>
      <c r="T41" s="224"/>
      <c r="U41" s="224"/>
      <c r="V41" s="224"/>
      <c r="W41" s="224"/>
      <c r="X41" s="224"/>
      <c r="Y41" s="224"/>
      <c r="Z41" s="224"/>
      <c r="AA41" s="224"/>
      <c r="AB41" s="224"/>
      <c r="AC41" s="225"/>
      <c r="AD41" s="233"/>
      <c r="AE41" s="937" t="s">
        <v>26</v>
      </c>
      <c r="AF41" s="938"/>
    </row>
    <row r="42" spans="2:34">
      <c r="B42" s="774"/>
      <c r="C42" s="227"/>
      <c r="D42" s="762"/>
      <c r="E42" s="762"/>
      <c r="F42" s="744" t="str">
        <f>IF(D41="Shape","Please Select",IF(D41="S/Shade","Enter Shade Colour here!",""))</f>
        <v/>
      </c>
      <c r="G42" s="745"/>
      <c r="H42" s="762"/>
      <c r="I42" s="762"/>
      <c r="J42" s="762"/>
      <c r="K42" s="618"/>
      <c r="L42" s="636"/>
      <c r="M42" s="742"/>
      <c r="N42" s="742"/>
      <c r="O42" s="762"/>
      <c r="P42" s="766" t="s">
        <v>27</v>
      </c>
      <c r="Q42" s="767"/>
      <c r="R42" s="228"/>
      <c r="S42" s="228"/>
      <c r="T42" s="228"/>
      <c r="U42" s="228"/>
      <c r="V42" s="228"/>
      <c r="W42" s="228"/>
      <c r="X42" s="228"/>
      <c r="Y42" s="228"/>
      <c r="Z42" s="228"/>
      <c r="AA42" s="228"/>
      <c r="AB42" s="228" t="s">
        <v>28</v>
      </c>
      <c r="AC42" s="207" t="s">
        <v>29</v>
      </c>
      <c r="AD42" s="208" t="s">
        <v>30</v>
      </c>
      <c r="AE42" s="939">
        <f>IF(ISNA(IF(AE41="Quoted",INDEX(Matrix2!W57:W67,MATCH(Pricing!E41,Matrix2!K57:K67,0))+AD43*Matrix2!C19,INDEX(Matrix2!W3:W13,MATCH(Pricing!E41,Matrix2!K3:K13,0))+(AD43*Matrix2!C19)+Matrix2!O44+Matrix2!V44+Matrix2!R44+Matrix2!P44)),,IF(AE41="Quoted",INDEX(Matrix2!W57:W67,MATCH(Pricing!E41,Matrix2!K57:K67,0))+AD43*Matrix2!C19+Matrix2!V103+Matrix2!R103+Matrix2!P103+Matrix2!M103,INDEX(Matrix2!W3:W13,MATCH(Pricing!E41,Matrix2!K3:K13,0))+(AD43*Matrix2!C19)+Matrix2!V44+(Matrix2!T44*Matrix2!F3)+Matrix2!P44+Matrix2!Y44+Matrix2!W264+Matrix2!W266)+(Matrix2!C9*AH43)+Matrix2!M44)</f>
        <v>0</v>
      </c>
      <c r="AF42" s="940"/>
    </row>
    <row r="43" spans="2:34" ht="15" thickBot="1">
      <c r="B43" s="774"/>
      <c r="C43" s="255"/>
      <c r="D43" s="762"/>
      <c r="E43" s="762"/>
      <c r="F43" s="229" t="s">
        <v>31</v>
      </c>
      <c r="G43" s="230"/>
      <c r="H43" s="763"/>
      <c r="I43" s="777"/>
      <c r="J43" s="763"/>
      <c r="K43" s="637"/>
      <c r="L43" s="638"/>
      <c r="M43" s="743"/>
      <c r="N43" s="743"/>
      <c r="O43" s="763"/>
      <c r="P43" s="756" t="s">
        <v>32</v>
      </c>
      <c r="Q43" s="757"/>
      <c r="R43" s="758" t="str">
        <f>IF(E41="","",Helper!C52)</f>
        <v/>
      </c>
      <c r="S43" s="759"/>
      <c r="T43" s="759"/>
      <c r="U43" s="759"/>
      <c r="V43" s="759"/>
      <c r="W43" s="759"/>
      <c r="X43" s="759"/>
      <c r="Y43" s="759"/>
      <c r="Z43" s="759"/>
      <c r="AA43" s="759"/>
      <c r="AB43" s="760"/>
      <c r="AC43" s="234" t="s">
        <v>45</v>
      </c>
      <c r="AD43" s="232">
        <f>IF(AE41="Quoted",Matrix2!N103,Matrix2!N44)</f>
        <v>0</v>
      </c>
      <c r="AE43" s="906">
        <f>IF(AND(D41="",E41="",J41="",M41="",N41=""),0,IF(OR(D41="",E41="",J41="",M41="",N41="",AND(E41="Barbados",J41="Clearview")),"Incomplete",IF(ISNA(IF(AE41="Quoted",INDEX(Matrix2!W75:W85,MATCH(Pricing!E41,Matrix2!K75:K85,0))+AD43*Matrix2!C19+Matrix2!O103+Matrix2!V103+Matrix2!R103+Matrix2!P103,INDEX(Matrix2!W17:W27,MATCH(Pricing!E41,Matrix2!K17:K27,0))+AD43*Matrix2!C19+Matrix2!O44+Matrix2!V44+Matrix2!R44+Matrix2!P44)),,IF(AE41="Quoted",INDEX(Matrix2!W75:W85,MATCH(Pricing!E41,Matrix2!K75:K85,0))+AD43*Matrix2!C19+Matrix2!O103+Matrix2!V103+Matrix2!R103+Matrix2!P103+Matrix2!M103,INDEX(Matrix2!W17:W27,MATCH(Pricing!E41,Matrix2!K17:K27,0))+AD43*Matrix2!C19)+(Matrix2!O44)+Matrix2!V44+Matrix2!R44+Matrix2!P44+Matrix2!W44+Matrix2!Y44+Matrix2!W261+Matrix2!W264+Matrix2!W266+Matrix2!M44)))</f>
        <v>0</v>
      </c>
      <c r="AF43" s="907"/>
      <c r="AH43" s="8">
        <f>IF(AE41="Quoted",IF(J41="Silent",AD43,IF(J41="Split Tilt",AD43,0)),IF(J41="Silent",AD43,IF(J41="Split Tilt",AD43,0)))</f>
        <v>0</v>
      </c>
    </row>
    <row r="44" spans="2:34" ht="15" thickTop="1">
      <c r="B44" s="774">
        <v>13</v>
      </c>
      <c r="C44" s="237"/>
      <c r="D44" s="725"/>
      <c r="E44" s="725"/>
      <c r="F44" s="772"/>
      <c r="G44" s="773"/>
      <c r="H44" s="725"/>
      <c r="I44" s="725"/>
      <c r="J44" s="738"/>
      <c r="K44" s="629"/>
      <c r="L44" s="630"/>
      <c r="M44" s="749" t="str">
        <f>IF(SUM(K44:L46)=0,"",SUM(K44:L46))</f>
        <v/>
      </c>
      <c r="N44" s="749"/>
      <c r="O44" s="725" t="s">
        <v>47</v>
      </c>
      <c r="P44" s="752" t="s">
        <v>24</v>
      </c>
      <c r="Q44" s="753"/>
      <c r="R44" s="236"/>
      <c r="S44" s="236"/>
      <c r="T44" s="236"/>
      <c r="U44" s="236"/>
      <c r="V44" s="236"/>
      <c r="W44" s="236"/>
      <c r="X44" s="236"/>
      <c r="Y44" s="236"/>
      <c r="Z44" s="236"/>
      <c r="AA44" s="236"/>
      <c r="AB44" s="236"/>
      <c r="AC44" s="235"/>
      <c r="AD44" s="251"/>
      <c r="AE44" s="908" t="s">
        <v>26</v>
      </c>
      <c r="AF44" s="909"/>
    </row>
    <row r="45" spans="2:34">
      <c r="B45" s="774"/>
      <c r="C45" s="239"/>
      <c r="D45" s="726"/>
      <c r="E45" s="726"/>
      <c r="F45" s="770" t="str">
        <f>IF(D44="Shape","Please Select",IF(D44="S/Shade","Enter Shade Colour here!",""))</f>
        <v/>
      </c>
      <c r="G45" s="771"/>
      <c r="H45" s="726"/>
      <c r="I45" s="726"/>
      <c r="J45" s="739"/>
      <c r="K45" s="616"/>
      <c r="L45" s="631"/>
      <c r="M45" s="750"/>
      <c r="N45" s="750"/>
      <c r="O45" s="726"/>
      <c r="P45" s="754" t="s">
        <v>27</v>
      </c>
      <c r="Q45" s="755"/>
      <c r="R45" s="240"/>
      <c r="S45" s="240"/>
      <c r="T45" s="240"/>
      <c r="U45" s="240"/>
      <c r="V45" s="240"/>
      <c r="W45" s="240"/>
      <c r="X45" s="240"/>
      <c r="Y45" s="240"/>
      <c r="Z45" s="240"/>
      <c r="AA45" s="240"/>
      <c r="AB45" s="240" t="s">
        <v>28</v>
      </c>
      <c r="AC45" s="241" t="s">
        <v>29</v>
      </c>
      <c r="AD45" s="242" t="s">
        <v>30</v>
      </c>
      <c r="AE45" s="924">
        <f>IF(ISNA(IF(AE44="Quoted",INDEX(Matrix2!X57:X67,MATCH(Pricing!E44,Matrix2!K57:K67,0))+AD46*Matrix2!C19,INDEX(Matrix2!X3:X13,MATCH(Pricing!E44,Matrix2!K3:K13,0))+(AD46*Matrix2!C19)+Matrix2!O45+Matrix2!V45+Matrix2!R45+Matrix2!P45)),,IF(AE44="Quoted",INDEX(Matrix2!X57:X67,MATCH(Pricing!E44,Matrix2!K57:K67,0))+AD46*Matrix2!C19+Matrix2!V104+Matrix2!R104+Matrix2!P104+Matrix2!M104,INDEX(Matrix2!X3:X13,MATCH(Pricing!E44,Matrix2!K3:K13,0))+(AD46*Matrix2!C19)+Matrix2!V45+(Matrix2!T45*Matrix2!F3)+Matrix2!P45+Matrix2!Y45+Matrix2!X264+Matrix2!X266)+(Matrix2!C9*AH46)+Matrix2!M45)</f>
        <v>0</v>
      </c>
      <c r="AF45" s="925"/>
    </row>
    <row r="46" spans="2:34" ht="15" thickBot="1">
      <c r="B46" s="774"/>
      <c r="C46" s="253"/>
      <c r="D46" s="726"/>
      <c r="E46" s="726"/>
      <c r="F46" s="244" t="s">
        <v>31</v>
      </c>
      <c r="G46" s="245"/>
      <c r="H46" s="727"/>
      <c r="I46" s="728"/>
      <c r="J46" s="740"/>
      <c r="K46" s="632"/>
      <c r="L46" s="633"/>
      <c r="M46" s="751"/>
      <c r="N46" s="751"/>
      <c r="O46" s="727"/>
      <c r="P46" s="736" t="s">
        <v>32</v>
      </c>
      <c r="Q46" s="737"/>
      <c r="R46" s="746" t="str">
        <f>IF(E44="","",Helper!C53)</f>
        <v/>
      </c>
      <c r="S46" s="747"/>
      <c r="T46" s="747"/>
      <c r="U46" s="747"/>
      <c r="V46" s="747"/>
      <c r="W46" s="747"/>
      <c r="X46" s="747"/>
      <c r="Y46" s="747"/>
      <c r="Z46" s="747"/>
      <c r="AA46" s="747"/>
      <c r="AB46" s="748"/>
      <c r="AC46" s="246" t="s">
        <v>45</v>
      </c>
      <c r="AD46" s="250">
        <f>IF(AE44="Quoted",Matrix2!N104,Matrix2!N45)</f>
        <v>0</v>
      </c>
      <c r="AE46" s="906">
        <f>IF(AND(D44="",E44="",J44="",M44="",N44=""),0,IF(OR(D44="",E44="",J44="",M44="",N44="",AND(E44="Barbados",J44="Clearview")),"Incomplete",IF(ISNA(IF(AE44="Quoted",INDEX(Matrix2!X75:X85,MATCH(Pricing!E44,Matrix2!K75:K85,0))+AD46*Matrix2!C19+Matrix2!O104+Matrix2!V104+Matrix2!R104+Matrix2!P104,INDEX(Matrix2!X17:X27,MATCH(Pricing!E44,Matrix2!K17:K27,0))+AD46*Matrix2!C19+Matrix2!O45+Matrix2!V45+Matrix2!R45+Matrix2!P45)),,IF(AE44="Quoted",INDEX(Matrix2!X75:X85,MATCH(Pricing!E44,Matrix2!K75:K85,0))+AD46*Matrix2!C19+Matrix2!O104+Matrix2!V104+Matrix2!R104+Matrix2!P104+Matrix2!M104,INDEX(Matrix2!X17:X27,MATCH(Pricing!E44,Matrix2!K17:K27,0))+AD46*Matrix2!C19)+(Matrix2!O45)+Matrix2!V45+Matrix2!R45+Matrix2!P45+Matrix2!W45+Matrix2!Y45+Matrix2!X261+Matrix2!X264+Matrix2!X266+Matrix2!M45)))</f>
        <v>0</v>
      </c>
      <c r="AF46" s="907"/>
      <c r="AH46" s="8">
        <f>IF(AE44="Quoted",IF(J44="Silent",AD46,IF(J44="Split Tilt",AD46,0)),IF(J44="Silent",AD46,IF(J44="Split Tilt",AD46,0)))</f>
        <v>0</v>
      </c>
    </row>
    <row r="47" spans="2:34" ht="15" thickTop="1">
      <c r="B47" s="774">
        <v>14</v>
      </c>
      <c r="C47" s="254"/>
      <c r="D47" s="761"/>
      <c r="E47" s="761"/>
      <c r="F47" s="775"/>
      <c r="G47" s="776"/>
      <c r="H47" s="761"/>
      <c r="I47" s="761"/>
      <c r="J47" s="761"/>
      <c r="K47" s="634"/>
      <c r="L47" s="635"/>
      <c r="M47" s="741" t="str">
        <f>IF(SUM(K47:L49)=0,"",SUM(K47:L49))</f>
        <v/>
      </c>
      <c r="N47" s="741"/>
      <c r="O47" s="761" t="s">
        <v>47</v>
      </c>
      <c r="P47" s="764" t="s">
        <v>24</v>
      </c>
      <c r="Q47" s="765"/>
      <c r="R47" s="224"/>
      <c r="S47" s="224"/>
      <c r="T47" s="224"/>
      <c r="U47" s="224"/>
      <c r="V47" s="224"/>
      <c r="W47" s="224"/>
      <c r="X47" s="224"/>
      <c r="Y47" s="224"/>
      <c r="Z47" s="224"/>
      <c r="AA47" s="224"/>
      <c r="AB47" s="224"/>
      <c r="AC47" s="225"/>
      <c r="AD47" s="233"/>
      <c r="AE47" s="937" t="s">
        <v>26</v>
      </c>
      <c r="AF47" s="938"/>
    </row>
    <row r="48" spans="2:34">
      <c r="B48" s="774"/>
      <c r="C48" s="227"/>
      <c r="D48" s="762"/>
      <c r="E48" s="762"/>
      <c r="F48" s="744" t="str">
        <f>IF(D47="Shape","Please Select",IF(D47="S/Shade","Enter Shade Colour here!",""))</f>
        <v/>
      </c>
      <c r="G48" s="745"/>
      <c r="H48" s="762"/>
      <c r="I48" s="762"/>
      <c r="J48" s="762"/>
      <c r="K48" s="618"/>
      <c r="L48" s="636"/>
      <c r="M48" s="742"/>
      <c r="N48" s="742"/>
      <c r="O48" s="762"/>
      <c r="P48" s="766" t="s">
        <v>27</v>
      </c>
      <c r="Q48" s="767"/>
      <c r="R48" s="228"/>
      <c r="S48" s="228"/>
      <c r="T48" s="228"/>
      <c r="U48" s="228"/>
      <c r="V48" s="228"/>
      <c r="W48" s="228"/>
      <c r="X48" s="228"/>
      <c r="Y48" s="228"/>
      <c r="Z48" s="228"/>
      <c r="AA48" s="228"/>
      <c r="AB48" s="228" t="s">
        <v>28</v>
      </c>
      <c r="AC48" s="207" t="s">
        <v>29</v>
      </c>
      <c r="AD48" s="208" t="s">
        <v>30</v>
      </c>
      <c r="AE48" s="939">
        <f>IF(ISNA(IF(AE47="Quoted",INDEX(Matrix2!Y57:Y67,MATCH(Pricing!E47,Matrix2!K57:K67,0))+AD49*Matrix2!C19,INDEX(Matrix2!Y3:Y13,MATCH(Pricing!E47,Matrix2!K3:K13,0))+(AD49*Matrix2!C19)+Matrix2!O46+Matrix2!V46+Matrix2!R46+Matrix2!P46)),,IF(AE47="Quoted",INDEX(Matrix2!Y57:Y67,MATCH(Pricing!E47,Matrix2!K57:K67,0))+AD49*Matrix2!C19+Matrix2!V105+Matrix2!R105+Matrix2!P105+Matrix2!M105,INDEX(Matrix2!Y3:Y13,MATCH(Pricing!E47,Matrix2!K3:K13,0))+(AD49*Matrix2!C19)+Matrix2!V46+(Matrix2!T46*Matrix2!F3)+Matrix2!P46+Matrix2!Y46+Matrix2!Y264+Matrix2!Y266)+(Matrix2!C9*AH49)+Matrix2!M46)</f>
        <v>0</v>
      </c>
      <c r="AF48" s="940"/>
    </row>
    <row r="49" spans="2:35" ht="15" thickBot="1">
      <c r="B49" s="774"/>
      <c r="C49" s="255"/>
      <c r="D49" s="762"/>
      <c r="E49" s="762"/>
      <c r="F49" s="229" t="s">
        <v>31</v>
      </c>
      <c r="G49" s="230"/>
      <c r="H49" s="763"/>
      <c r="I49" s="777"/>
      <c r="J49" s="763"/>
      <c r="K49" s="637"/>
      <c r="L49" s="638"/>
      <c r="M49" s="743"/>
      <c r="N49" s="743"/>
      <c r="O49" s="763"/>
      <c r="P49" s="756" t="s">
        <v>32</v>
      </c>
      <c r="Q49" s="757"/>
      <c r="R49" s="758" t="str">
        <f>IF(E47="","",Helper!C54)</f>
        <v/>
      </c>
      <c r="S49" s="759"/>
      <c r="T49" s="759"/>
      <c r="U49" s="759"/>
      <c r="V49" s="759"/>
      <c r="W49" s="759"/>
      <c r="X49" s="759"/>
      <c r="Y49" s="759"/>
      <c r="Z49" s="759"/>
      <c r="AA49" s="759"/>
      <c r="AB49" s="760"/>
      <c r="AC49" s="231" t="s">
        <v>45</v>
      </c>
      <c r="AD49" s="232">
        <f>IF(AE47="Quoted",Matrix2!N105,Matrix2!N46)</f>
        <v>0</v>
      </c>
      <c r="AE49" s="906">
        <f>IF(AND(D47="",E47="",J47="",M47="",N47=""),0,IF(OR(D47="",E47="",J47="",M47="",N47="",AND(E47="Barbados",J47="Clearview")),"Incomplete",IF(ISNA(IF(AE47="Quoted",INDEX(Matrix2!Y75:Y85,MATCH(Pricing!E47,Matrix2!K75:K85,0))+AD49*Matrix2!C19+Matrix2!O105+Matrix2!V105+Matrix2!R105+Matrix2!P105,INDEX(Matrix2!Y17:Y27,MATCH(Pricing!E47,Matrix2!K17:K27,0))+AD49*Matrix2!C19+Matrix2!O46+Matrix2!V46+Matrix2!R46+Matrix2!P46)),,IF(AE47="Quoted",INDEX(Matrix2!Y75:Y85,MATCH(Pricing!E47,Matrix2!K75:K85,0))+AD49*Matrix2!C19+Matrix2!O105+Matrix2!V105+Matrix2!R105+Matrix2!P105+Matrix2!M105,INDEX(Matrix2!Y17:Y27,MATCH(Pricing!E47,Matrix2!K17:K27,0))+AD49*Matrix2!C19)+(Matrix2!O46)+Matrix2!V46+Matrix2!R46+Matrix2!P46+Matrix2!W46+Matrix2!Y46+Matrix2!Y261+Matrix2!Y264+Matrix2!Y266+Matrix2!M47)))</f>
        <v>0</v>
      </c>
      <c r="AF49" s="907"/>
      <c r="AH49" s="8">
        <f>IF(AE47="Quoted",IF(J47="Silent",AD49,IF(J47="Split Tilt",AD49,0)),IF(J47="Silent",AD49,IF(J47="Split Tilt",AD49,0)))</f>
        <v>0</v>
      </c>
    </row>
    <row r="50" spans="2:35" ht="15" thickTop="1">
      <c r="B50" s="774">
        <v>15</v>
      </c>
      <c r="C50" s="237"/>
      <c r="D50" s="725"/>
      <c r="E50" s="725"/>
      <c r="F50" s="772"/>
      <c r="G50" s="773"/>
      <c r="H50" s="725"/>
      <c r="I50" s="725"/>
      <c r="J50" s="725"/>
      <c r="K50" s="629"/>
      <c r="L50" s="630"/>
      <c r="M50" s="749" t="str">
        <f>IF(SUM(K50:L52)=0,"",SUM(K50:L52))</f>
        <v/>
      </c>
      <c r="N50" s="749"/>
      <c r="O50" s="725" t="s">
        <v>47</v>
      </c>
      <c r="P50" s="752" t="s">
        <v>24</v>
      </c>
      <c r="Q50" s="753"/>
      <c r="R50" s="236"/>
      <c r="S50" s="236"/>
      <c r="T50" s="236"/>
      <c r="U50" s="236"/>
      <c r="V50" s="236"/>
      <c r="W50" s="236"/>
      <c r="X50" s="236"/>
      <c r="Y50" s="236"/>
      <c r="Z50" s="236"/>
      <c r="AA50" s="236"/>
      <c r="AB50" s="236"/>
      <c r="AC50" s="248"/>
      <c r="AD50" s="251"/>
      <c r="AE50" s="908" t="s">
        <v>26</v>
      </c>
      <c r="AF50" s="909"/>
    </row>
    <row r="51" spans="2:35">
      <c r="B51" s="774"/>
      <c r="C51" s="239"/>
      <c r="D51" s="726"/>
      <c r="E51" s="726"/>
      <c r="F51" s="770" t="str">
        <f>IF(D50="Shape","Please Select",IF(D50="S/Shade","Enter Shade Colour here!",""))</f>
        <v/>
      </c>
      <c r="G51" s="771"/>
      <c r="H51" s="726"/>
      <c r="I51" s="726"/>
      <c r="J51" s="726"/>
      <c r="K51" s="616"/>
      <c r="L51" s="631"/>
      <c r="M51" s="750"/>
      <c r="N51" s="750"/>
      <c r="O51" s="726"/>
      <c r="P51" s="754" t="s">
        <v>27</v>
      </c>
      <c r="Q51" s="755"/>
      <c r="R51" s="240"/>
      <c r="S51" s="240"/>
      <c r="T51" s="240"/>
      <c r="U51" s="240"/>
      <c r="V51" s="240"/>
      <c r="W51" s="240"/>
      <c r="X51" s="240"/>
      <c r="Y51" s="240"/>
      <c r="Z51" s="240"/>
      <c r="AA51" s="240"/>
      <c r="AB51" s="240" t="s">
        <v>28</v>
      </c>
      <c r="AC51" s="241" t="s">
        <v>29</v>
      </c>
      <c r="AD51" s="242" t="s">
        <v>30</v>
      </c>
      <c r="AE51" s="924">
        <f>IF(ISNA(IF(AE50="Quoted",INDEX(Matrix2!Z57:Z67,MATCH(Pricing!E50,Matrix2!K57:K67,0))+AD52*Matrix2!C19,INDEX(Matrix2!Z3:Z13,MATCH(Pricing!E50,Matrix2!K3:K13,0))+(AD52*Matrix2!C19)+Matrix2!O47+Matrix2!V47+Matrix2!R47+Matrix2!P47)),,IF(AE50="Quoted",INDEX(Matrix2!Z57:Z67,MATCH(Pricing!E50,Matrix2!K57:K67,0))+AD52*Matrix2!C19+Matrix2!V106+Matrix2!R106+Matrix2!P106+Matrix2!M106,INDEX(Matrix2!Z3:Z13,MATCH(Pricing!E50,Matrix2!K3:K13,0))+(AD52*Matrix2!C19)+Matrix2!V47+(Matrix2!T47*Matrix2!F3)+Matrix2!P47+Matrix2!Y47+Matrix2!Z264+Matrix2!Z266)+(Matrix2!C9*AH52)+Matrix2!M47)</f>
        <v>0</v>
      </c>
      <c r="AF51" s="925"/>
    </row>
    <row r="52" spans="2:35" ht="15" thickBot="1">
      <c r="B52" s="774"/>
      <c r="C52" s="243"/>
      <c r="D52" s="726"/>
      <c r="E52" s="726"/>
      <c r="F52" s="244" t="s">
        <v>31</v>
      </c>
      <c r="G52" s="245"/>
      <c r="H52" s="727"/>
      <c r="I52" s="727"/>
      <c r="J52" s="727"/>
      <c r="K52" s="617"/>
      <c r="L52" s="639"/>
      <c r="M52" s="751"/>
      <c r="N52" s="751"/>
      <c r="O52" s="727"/>
      <c r="P52" s="736" t="s">
        <v>32</v>
      </c>
      <c r="Q52" s="737"/>
      <c r="R52" s="798" t="str">
        <f>IF(E50="","",Helper!C55)</f>
        <v/>
      </c>
      <c r="S52" s="747"/>
      <c r="T52" s="747"/>
      <c r="U52" s="747"/>
      <c r="V52" s="747"/>
      <c r="W52" s="747"/>
      <c r="X52" s="747"/>
      <c r="Y52" s="747"/>
      <c r="Z52" s="747"/>
      <c r="AA52" s="747"/>
      <c r="AB52" s="748"/>
      <c r="AC52" s="252" t="s">
        <v>33</v>
      </c>
      <c r="AD52" s="247">
        <f>IF(AE50="Quoted",Matrix2!N106,Matrix2!N47)</f>
        <v>0</v>
      </c>
      <c r="AE52" s="906">
        <f>IF(AND(D50="",E50="",J50="",M50="",N50=""),0,IF(OR(D50="",E50="",J50="",M50="",N50="",AND(E50="Barbados",J50="Clearview")),"Incomplete",IF(ISNA(IF(AE50="Quoted",INDEX(Matrix2!Z75:Z85,MATCH(Pricing!E50,Matrix2!K75:K85,0))+AD52*Matrix2!C19+Matrix2!O106+Matrix2!V106+Matrix2!R106+Matrix2!P106,INDEX(Matrix2!Z17:Z27,MATCH(Pricing!E50,Matrix2!K17:K27,0))+AD52*Matrix2!C19+Matrix2!O47+Matrix2!V47+Matrix2!R47+Matrix2!P47)),,IF(AE50="Quoted",INDEX(Matrix2!Z75:Z85,MATCH(Pricing!E50,Matrix2!K75:K85,0))+AD52*Matrix2!C19+Matrix2!O106+Matrix2!V106+Matrix2!R106+Matrix2!P106+Matrix2!M106,INDEX(Matrix2!Z17:Z27,MATCH(Pricing!E50,Matrix2!K17:K27,0))+AD52*Matrix2!C19)+(Matrix2!O47)+Matrix2!V47+Matrix2!R47+Matrix2!P47+Matrix2!W47+Matrix2!Y47+Matrix2!Z261+Matrix2!Z264+Matrix2!Z266+Matrix2!M47)))</f>
        <v>0</v>
      </c>
      <c r="AF52" s="907"/>
      <c r="AH52" s="8">
        <f>IF(AE50="Quoted",IF(J50="Silent",AD52,IF(J50="Split Tilt",AD52,0)),IF(J50="Silent",AD52,IF(J50="Split Tilt",AD52,0)))</f>
        <v>0</v>
      </c>
      <c r="AI52" s="8">
        <f>VLOOKUP(L59,Matrix2!B31:C41,2,0)</f>
        <v>0.25</v>
      </c>
    </row>
    <row r="53" spans="2:35">
      <c r="B53" s="808" t="s">
        <v>49</v>
      </c>
      <c r="C53" s="809"/>
      <c r="D53" s="814" t="s">
        <v>50</v>
      </c>
      <c r="E53" s="799"/>
      <c r="F53" s="800"/>
      <c r="G53" s="800"/>
      <c r="H53" s="800"/>
      <c r="I53" s="800"/>
      <c r="J53" s="800"/>
      <c r="K53" s="800"/>
      <c r="L53" s="800"/>
      <c r="M53" s="800"/>
      <c r="N53" s="800"/>
      <c r="O53" s="800"/>
      <c r="P53" s="800"/>
      <c r="Q53" s="800"/>
      <c r="R53" s="800"/>
      <c r="S53" s="800"/>
      <c r="T53" s="800"/>
      <c r="U53" s="800"/>
      <c r="V53" s="800"/>
      <c r="W53" s="800"/>
      <c r="X53" s="800"/>
      <c r="Y53" s="800"/>
      <c r="Z53" s="800"/>
      <c r="AA53" s="800"/>
      <c r="AB53" s="800"/>
      <c r="AC53" s="801"/>
      <c r="AD53" s="215" t="str">
        <f>""</f>
        <v/>
      </c>
      <c r="AE53" s="218" t="s">
        <v>51</v>
      </c>
      <c r="AF53" s="217" t="str">
        <f>IF(AD53="","","Discount")</f>
        <v/>
      </c>
    </row>
    <row r="54" spans="2:35">
      <c r="B54" s="810"/>
      <c r="C54" s="811"/>
      <c r="D54" s="815"/>
      <c r="E54" s="802"/>
      <c r="F54" s="803"/>
      <c r="G54" s="803"/>
      <c r="H54" s="803"/>
      <c r="I54" s="803"/>
      <c r="J54" s="803"/>
      <c r="K54" s="803"/>
      <c r="L54" s="803"/>
      <c r="M54" s="803"/>
      <c r="N54" s="803"/>
      <c r="O54" s="803"/>
      <c r="P54" s="803"/>
      <c r="Q54" s="803"/>
      <c r="R54" s="803"/>
      <c r="S54" s="803"/>
      <c r="T54" s="803"/>
      <c r="U54" s="803"/>
      <c r="V54" s="803"/>
      <c r="W54" s="803"/>
      <c r="X54" s="803"/>
      <c r="Y54" s="803"/>
      <c r="Z54" s="803"/>
      <c r="AA54" s="803"/>
      <c r="AB54" s="803"/>
      <c r="AC54" s="804"/>
      <c r="AD54" s="910" t="str">
        <f>IF(AD53="","",SUM(IF(AD9="3 for 2",AD10,0) + IF(AD12="3 for 2",AD13,0) + IF(AD15="3 for 2",AD16,0)) + IF(AD18="3 for 2",AD19,0) +IF(AD21="3 for 2",AD22,0) + IF(AD24="3 for 2",AD25,0)+IF(AD27="3 for 2",AD28,0)+IF(AD30="3 for 2",AD31,0)+IF(AD33="3 for 2",AD34,0) +IF(AD36="3 for 2",AD37,0) +IF(AD39="3 for 2",AD40,0) + IF(AD42="3 for 2",AD43,0) +IF(AD45="3 for 2",AD46,0) + IF(AD48="3 for 2",AD49,0) +IF(AD51="3 for 2",AD52,0))</f>
        <v/>
      </c>
      <c r="AE54" s="910">
        <f>SUM(Matrix2!N33:N47)</f>
        <v>14.405021</v>
      </c>
      <c r="AF54" s="912" t="str">
        <f>IF(AD53="","",IF(AE54=AD54,"N/A",(AE54-AD54)/AE54 - 1))</f>
        <v/>
      </c>
    </row>
    <row r="55" spans="2:35" ht="15" thickBot="1">
      <c r="B55" s="812"/>
      <c r="C55" s="813"/>
      <c r="D55" s="816"/>
      <c r="E55" s="805"/>
      <c r="F55" s="806"/>
      <c r="G55" s="806"/>
      <c r="H55" s="806"/>
      <c r="I55" s="806"/>
      <c r="J55" s="806"/>
      <c r="K55" s="806"/>
      <c r="L55" s="806"/>
      <c r="M55" s="806"/>
      <c r="N55" s="806"/>
      <c r="O55" s="806"/>
      <c r="P55" s="806"/>
      <c r="Q55" s="806"/>
      <c r="R55" s="806"/>
      <c r="S55" s="806"/>
      <c r="T55" s="806"/>
      <c r="U55" s="806"/>
      <c r="V55" s="806"/>
      <c r="W55" s="806"/>
      <c r="X55" s="806"/>
      <c r="Y55" s="806"/>
      <c r="Z55" s="806"/>
      <c r="AA55" s="806"/>
      <c r="AB55" s="806"/>
      <c r="AC55" s="807"/>
      <c r="AD55" s="911"/>
      <c r="AE55" s="911"/>
      <c r="AF55" s="913"/>
    </row>
    <row r="56" spans="2:35" ht="15" thickBot="1">
      <c r="B56" s="163"/>
      <c r="C56" s="164"/>
      <c r="D56" s="164"/>
      <c r="E56" s="164"/>
      <c r="F56" s="164"/>
      <c r="G56" s="164"/>
      <c r="H56" s="164"/>
      <c r="I56" s="164"/>
      <c r="J56" s="164"/>
      <c r="K56" s="164"/>
      <c r="L56" s="164"/>
      <c r="M56" s="164"/>
      <c r="N56" s="164"/>
      <c r="O56" s="164"/>
      <c r="P56" s="164"/>
      <c r="Q56" s="164"/>
      <c r="R56" s="164"/>
      <c r="S56" s="164"/>
      <c r="T56" s="164"/>
      <c r="U56" s="164"/>
      <c r="V56" s="164"/>
      <c r="W56" s="164"/>
      <c r="X56" s="164"/>
      <c r="Y56" s="164"/>
      <c r="Z56" s="164"/>
      <c r="AA56" s="164"/>
      <c r="AB56" s="164"/>
      <c r="AC56" s="164"/>
      <c r="AD56" s="164"/>
      <c r="AE56" s="164"/>
      <c r="AF56" s="165"/>
      <c r="AG56" s="13"/>
    </row>
    <row r="57" spans="2:35">
      <c r="B57" s="166"/>
      <c r="C57" s="166"/>
      <c r="D57" s="166"/>
      <c r="E57" s="166"/>
      <c r="F57" s="166"/>
      <c r="G57" s="166"/>
      <c r="H57" s="166"/>
      <c r="I57" s="166"/>
      <c r="J57" s="166"/>
      <c r="K57" s="166"/>
      <c r="L57" s="166"/>
      <c r="M57" s="166"/>
      <c r="N57" s="166"/>
      <c r="O57" s="166"/>
      <c r="P57" s="166"/>
      <c r="Q57" s="166"/>
      <c r="R57" s="166"/>
      <c r="S57" s="166"/>
      <c r="T57" s="166"/>
      <c r="U57" s="166"/>
      <c r="V57" s="166"/>
      <c r="W57" s="166"/>
      <c r="X57" s="166"/>
      <c r="Y57" s="166"/>
      <c r="Z57" s="166"/>
      <c r="AA57" s="166"/>
      <c r="AB57" s="166"/>
      <c r="AC57" s="166"/>
      <c r="AD57" s="166"/>
      <c r="AE57" s="166"/>
      <c r="AF57" s="166"/>
    </row>
    <row r="58" spans="2:35" ht="23.45" customHeight="1">
      <c r="B58" s="793" t="s">
        <v>52</v>
      </c>
      <c r="C58" s="794"/>
      <c r="D58" s="795"/>
      <c r="E58" s="575" t="s">
        <v>53</v>
      </c>
      <c r="F58" s="576"/>
      <c r="G58" s="796" t="s">
        <v>54</v>
      </c>
      <c r="H58" s="797"/>
      <c r="I58" s="797"/>
      <c r="J58" s="797"/>
      <c r="K58" s="615"/>
      <c r="L58" s="793" t="s">
        <v>55</v>
      </c>
      <c r="M58" s="795"/>
      <c r="N58" s="555" t="s">
        <v>56</v>
      </c>
      <c r="O58" s="286" t="s">
        <v>57</v>
      </c>
      <c r="P58" s="220" t="s">
        <v>58</v>
      </c>
      <c r="Q58" s="547" t="s">
        <v>59</v>
      </c>
      <c r="R58" s="550" t="s">
        <v>60</v>
      </c>
      <c r="S58" s="817" t="s">
        <v>61</v>
      </c>
      <c r="T58" s="817"/>
      <c r="U58" s="817"/>
      <c r="V58" s="817"/>
      <c r="W58" s="818"/>
      <c r="X58" s="920" t="s">
        <v>62</v>
      </c>
      <c r="Y58" s="921"/>
      <c r="Z58" s="921"/>
      <c r="AA58" s="921"/>
      <c r="AB58" s="921" t="s">
        <v>58</v>
      </c>
      <c r="AC58" s="921"/>
      <c r="AD58" s="921"/>
      <c r="AE58" s="946">
        <f>IF(ISERROR(+(O59-P59)/O59),,+(O59-P59)/O59)</f>
        <v>0.2500630757249751</v>
      </c>
      <c r="AF58" s="947"/>
      <c r="AG58" s="191"/>
      <c r="AH58" s="192"/>
    </row>
    <row r="59" spans="2:35">
      <c r="B59" s="819"/>
      <c r="C59" s="820"/>
      <c r="D59" s="820"/>
      <c r="E59" s="823"/>
      <c r="F59" s="824"/>
      <c r="G59" s="827"/>
      <c r="H59" s="828"/>
      <c r="I59" s="828"/>
      <c r="J59" s="828"/>
      <c r="K59" s="285"/>
      <c r="L59" s="343" t="s">
        <v>63</v>
      </c>
      <c r="M59" s="344"/>
      <c r="N59" s="287">
        <f>IF(ISNA(INDEX(Matrix2!$AA$116:$AA$126,MATCH(Pricing!L59,Matrix2!$K$116:$K$126,0))),"",INDEX(Matrix2!$AA$116:$AA$126,MATCH(Pricing!L59,Matrix2!$K$116:$K$126,0)))</f>
        <v>14.405021</v>
      </c>
      <c r="O59" s="541">
        <f>IF(ISNA(INDEX(Matrix2!$AE$86:$AE$96,MATCH(Pricing!L59,Matrix2!$AC$86:$AC$96,0))),"",INDEX(Matrix2!$AE$86:$AE$96,MATCH(Pricing!L59,Matrix2!$AC$86:$AC$96,0)))</f>
        <v>5041.7573499999999</v>
      </c>
      <c r="P59" s="541">
        <f>IF(N59="","",IF(N59&gt;0,ROUNDDOWN(O59-(O59*VLOOKUP(L59,Matrix2!$B$31:$C$41,2,0)),0.2),))</f>
        <v>3781</v>
      </c>
      <c r="Q59" s="552">
        <f>IF(SUM(Matrix2!N92:N106)&gt;0,Matrix2!AA75,)</f>
        <v>0</v>
      </c>
      <c r="R59" s="551">
        <f>IF(ISERROR(SUM(P59/O59)-1),0,SUM(P59/O59)-1)</f>
        <v>-0.2500630757249751</v>
      </c>
      <c r="S59" s="668">
        <f>IF(ISERROR(+(O59-P59)/O59),,+(O59-P59)/O59)</f>
        <v>0.2500630757249751</v>
      </c>
      <c r="T59" s="669"/>
      <c r="U59" s="669"/>
      <c r="V59" s="669"/>
      <c r="W59" s="670"/>
      <c r="X59" s="922">
        <f>SUM(O59)</f>
        <v>5041.7573499999999</v>
      </c>
      <c r="Y59" s="718"/>
      <c r="Z59" s="718"/>
      <c r="AA59" s="718"/>
      <c r="AB59" s="923">
        <f>SUM(P59)</f>
        <v>3781</v>
      </c>
      <c r="AC59" s="718"/>
      <c r="AD59" s="718"/>
      <c r="AE59" s="948"/>
      <c r="AF59" s="949"/>
    </row>
    <row r="60" spans="2:35">
      <c r="B60" s="821"/>
      <c r="C60" s="822"/>
      <c r="D60" s="822"/>
      <c r="E60" s="825"/>
      <c r="F60" s="826"/>
      <c r="G60" s="829" t="s">
        <v>64</v>
      </c>
      <c r="H60" s="830"/>
      <c r="I60" s="830"/>
      <c r="J60" s="830"/>
      <c r="K60" s="612"/>
      <c r="L60" s="345" t="str" cm="1">
        <f t="array" ref="L60">_xlfn._xlws.SORT(_xlfn.UNIQUE(_xlfn._xlws.FILTER(E8:E52,(E8:E52&lt;&gt;"")*(E8:E52&lt;&gt;"Aruba"),"")))</f>
        <v>Barbados</v>
      </c>
      <c r="M60" s="346"/>
      <c r="N60" s="287">
        <f>IF(ISNA(INDEX(Matrix2!$AA$116:$AA$126,MATCH(Pricing!L60,Matrix2!$K$116:$K$126,0))),"",INDEX(Matrix2!$AA$116:$AA$126,MATCH(Pricing!L60,Matrix2!$K$116:$K$126,0)))</f>
        <v>14.405021</v>
      </c>
      <c r="O60" s="541">
        <f>IF(ISNA(INDEX(Matrix2!$AE$86:$AE$96,MATCH(Pricing!L60,Matrix2!$AC$86:$AC$96,0))),"",INDEX(Matrix2!$AE$86:$AE$96,MATCH(Pricing!L60,Matrix2!$AC$86:$AC$96,0)))</f>
        <v>1080.376575</v>
      </c>
      <c r="P60" s="541">
        <f>IF(N60="","",IF(N60&gt;0,ROUNDDOWN(O60-(O60*VLOOKUP(L60,Matrix2!$B$31:$C$41,2,0)),0.2),))</f>
        <v>594</v>
      </c>
      <c r="Q60" s="552">
        <f>IF(ISNA(IF(INDEX(Matrix2!$AA$133:$AA$140,MATCH(Pricing!L60,Matrix2!$K$133:$K$140,0))&gt;0,ROUNDDOWN(INDEX(Matrix2!$AA$149:$AA$156,MATCH(Pricing!L60,Matrix2!$K$149:$K$156,0)),0.2),)),"",IF(INDEX(Matrix2!$AA$133:$AA$140,MATCH(Pricing!L60,Matrix2!$K$133:$K$140,0))&gt;0,ROUNDDOWN(INDEX(Matrix2!$AA$149:$AA$156,MATCH(Pricing!L60,Matrix2!$K$149:$K$156,0)),0.2),))</f>
        <v>0</v>
      </c>
      <c r="R60" s="551">
        <f t="shared" ref="R60:R71" si="0">IF(ISERROR(SUM(P60/O60)-1),,SUM(P60/O60)-1)</f>
        <v>-0.45019170746089154</v>
      </c>
      <c r="S60" s="671"/>
      <c r="T60" s="672"/>
      <c r="U60" s="672"/>
      <c r="V60" s="672"/>
      <c r="W60" s="673"/>
      <c r="X60" s="717"/>
      <c r="Y60" s="718"/>
      <c r="Z60" s="718"/>
      <c r="AA60" s="718"/>
      <c r="AB60" s="718"/>
      <c r="AC60" s="718"/>
      <c r="AD60" s="718"/>
      <c r="AE60" s="948"/>
      <c r="AF60" s="949"/>
    </row>
    <row r="61" spans="2:35">
      <c r="B61" s="853" t="s">
        <v>65</v>
      </c>
      <c r="C61" s="854"/>
      <c r="D61" s="855"/>
      <c r="E61" s="856" t="s">
        <v>66</v>
      </c>
      <c r="F61" s="857"/>
      <c r="G61" s="858" t="s">
        <v>50</v>
      </c>
      <c r="H61" s="859"/>
      <c r="I61" s="859"/>
      <c r="J61" s="859"/>
      <c r="K61" s="613"/>
      <c r="L61" s="345"/>
      <c r="M61" s="346"/>
      <c r="N61" s="287" t="str">
        <f>IF(ISNA(INDEX(Matrix2!$AA$116:$AA$126,MATCH(Pricing!L61,Matrix2!$K$116:$K$126,0))),"",INDEX(Matrix2!$AA$116:$AA$126,MATCH(Pricing!L61,Matrix2!$K$116:$K$126,0)))</f>
        <v/>
      </c>
      <c r="O61" s="541" t="str">
        <f>IF(ISNA(INDEX(Matrix2!$AE$86:$AE$96,MATCH(Pricing!L61,Matrix2!$AC$86:$AC$96,0))),"",INDEX(Matrix2!$AE$86:$AE$96,MATCH(Pricing!L61,Matrix2!$AC$86:$AC$96,0)))</f>
        <v/>
      </c>
      <c r="P61" s="541" t="str">
        <f>IF(N61="","",IF(N61&gt;0,ROUNDDOWN(O61-(O61*VLOOKUP(L61,Matrix2!$B$31:$C$41,2,0)),0.2),))</f>
        <v/>
      </c>
      <c r="Q61" s="552" t="str">
        <f>IF(ISNA(IF(INDEX(Matrix2!$AA$133:$AA$140,MATCH(Pricing!L61,Matrix2!$K$133:$K$140,0))&gt;0,ROUNDDOWN(INDEX(Matrix2!$AA$149:$AA$156,MATCH(Pricing!L61,Matrix2!$K$149:$K$156,0)),0.2),)),"",IF(INDEX(Matrix2!$AA$133:$AA$140,MATCH(Pricing!L61,Matrix2!$K$133:$K$140,0))&gt;0,ROUNDDOWN(INDEX(Matrix2!$AA$149:$AA$156,MATCH(Pricing!L61,Matrix2!$K$149:$K$156,0)),0.2),))</f>
        <v/>
      </c>
      <c r="R61" s="551">
        <f t="shared" si="0"/>
        <v>0</v>
      </c>
      <c r="S61" s="869" t="str">
        <f>IF(AB66&lt;1000,"Finance not available","Please Select")</f>
        <v>Please Select</v>
      </c>
      <c r="T61" s="869"/>
      <c r="U61" s="869"/>
      <c r="V61" s="869"/>
      <c r="W61" s="870"/>
      <c r="X61" s="917" t="s">
        <v>67</v>
      </c>
      <c r="Y61" s="714"/>
      <c r="Z61" s="714"/>
      <c r="AA61" s="714"/>
      <c r="AB61" s="714"/>
      <c r="AC61" s="714"/>
      <c r="AD61" s="714"/>
      <c r="AE61" s="950">
        <f>IF(ISERROR(+(X62-AB62)/X62),,+(X62-AB62)/X62)</f>
        <v>0.44638234252278297</v>
      </c>
      <c r="AF61" s="951"/>
    </row>
    <row r="62" spans="2:35">
      <c r="B62" s="862"/>
      <c r="C62" s="863"/>
      <c r="D62" s="863"/>
      <c r="E62" s="864"/>
      <c r="F62" s="865"/>
      <c r="G62" s="829" t="s">
        <v>68</v>
      </c>
      <c r="H62" s="830"/>
      <c r="I62" s="830"/>
      <c r="J62" s="830"/>
      <c r="K62" s="612"/>
      <c r="L62" s="345"/>
      <c r="M62" s="346"/>
      <c r="N62" s="287" t="str">
        <f>IF(ISNA(INDEX(Matrix2!$AA$116:$AA$126,MATCH(Pricing!L62,Matrix2!$K$116:$K$126,0))),"",INDEX(Matrix2!$AA$116:$AA$126,MATCH(Pricing!L62,Matrix2!$K$116:$K$126,0)))</f>
        <v/>
      </c>
      <c r="O62" s="541" t="str">
        <f>IF(ISNA(INDEX(Matrix2!$AE$86:$AE$96,MATCH(Pricing!L62,Matrix2!$AC$86:$AC$96,0))),"",INDEX(Matrix2!$AE$86:$AE$96,MATCH(Pricing!L62,Matrix2!$AC$86:$AC$96,0)))</f>
        <v/>
      </c>
      <c r="P62" s="541" t="str">
        <f>IF(N62="","",IF(N62&gt;0,ROUNDDOWN(O62-(O62*VLOOKUP(L62,Matrix2!$B$31:$C$41,2,0)),0.2),))</f>
        <v/>
      </c>
      <c r="Q62" s="552" t="str">
        <f>IF(ISNA(IF(INDEX(Matrix2!$AA$133:$AA$140,MATCH(Pricing!L62,Matrix2!$K$133:$K$140,0))&gt;0,ROUNDDOWN(INDEX(Matrix2!$AA$149:$AA$156,MATCH(Pricing!L62,Matrix2!$K$149:$K$156,0)),0.2),)),"",IF(INDEX(Matrix2!$AA$133:$AA$140,MATCH(Pricing!L62,Matrix2!$K$133:$K$140,0))&gt;0,ROUNDDOWN(INDEX(Matrix2!$AA$149:$AA$156,MATCH(Pricing!L62,Matrix2!$K$149:$K$156,0)),0.2),))</f>
        <v/>
      </c>
      <c r="R62" s="551">
        <f t="shared" si="0"/>
        <v>0</v>
      </c>
      <c r="S62" s="842" t="s">
        <v>69</v>
      </c>
      <c r="T62" s="880"/>
      <c r="U62" s="872">
        <f>IF(S61="Finance Not Available",0,AB66)</f>
        <v>4920</v>
      </c>
      <c r="V62" s="873"/>
      <c r="W62" s="874"/>
      <c r="X62" s="922">
        <f>SUM(O60:O71)</f>
        <v>2057.3765750000002</v>
      </c>
      <c r="Y62" s="718"/>
      <c r="Z62" s="718"/>
      <c r="AA62" s="718"/>
      <c r="AB62" s="923">
        <f>IF(X61= "Upgrade &amp; Extras (10%)", X62-(X62*10%),SUM(P60:P71))</f>
        <v>1139</v>
      </c>
      <c r="AC62" s="718"/>
      <c r="AD62" s="718"/>
      <c r="AE62" s="950"/>
      <c r="AF62" s="951"/>
      <c r="AG62" s="160"/>
    </row>
    <row r="63" spans="2:35" ht="18.75" customHeight="1">
      <c r="B63" s="821"/>
      <c r="C63" s="822"/>
      <c r="D63" s="822"/>
      <c r="E63" s="825"/>
      <c r="F63" s="826"/>
      <c r="G63" s="858" t="s">
        <v>47</v>
      </c>
      <c r="H63" s="859"/>
      <c r="I63" s="859"/>
      <c r="J63" s="859"/>
      <c r="K63" s="613"/>
      <c r="L63" s="345"/>
      <c r="M63" s="346"/>
      <c r="N63" s="287" t="str">
        <f>IF(ISNA(INDEX(Matrix2!$AA$116:$AA$126,MATCH(Pricing!L63,Matrix2!$K$116:$K$126,0))),"",INDEX(Matrix2!$AA$116:$AA$126,MATCH(Pricing!L63,Matrix2!$K$116:$K$126,0)))</f>
        <v/>
      </c>
      <c r="O63" s="541" t="str">
        <f>IF(ISNA(INDEX(Matrix2!$AE$86:$AE$96,MATCH(Pricing!L63,Matrix2!$AC$86:$AC$96,0))),"",INDEX(Matrix2!$AE$86:$AE$96,MATCH(Pricing!L63,Matrix2!$AC$86:$AC$96,0)))</f>
        <v/>
      </c>
      <c r="P63" s="541" t="str">
        <f>IF(N63="","",IF(N63&gt;0,ROUNDDOWN(O63-(O63*VLOOKUP(L63,Matrix2!$B$31:$C$41,2,0)),0.2),))</f>
        <v/>
      </c>
      <c r="Q63" s="552" t="str">
        <f>IF(ISNA(IF(INDEX(Matrix2!$AA$133:$AA$140,MATCH(Pricing!L63,Matrix2!$K$133:$K$140,0))&gt;0,ROUNDDOWN(INDEX(Matrix2!$AA$149:$AA$156,MATCH(Pricing!L63,Matrix2!$K$149:$K$156,0)),0.2),)),"",IF(INDEX(Matrix2!$AA$133:$AA$140,MATCH(Pricing!L63,Matrix2!$K$133:$K$140,0))&gt;0,ROUNDDOWN(INDEX(Matrix2!$AA$149:$AA$156,MATCH(Pricing!L63,Matrix2!$K$149:$K$156,0)),0.2),))</f>
        <v/>
      </c>
      <c r="R63" s="551">
        <f t="shared" si="0"/>
        <v>0</v>
      </c>
      <c r="S63" s="871" t="s">
        <v>70</v>
      </c>
      <c r="T63" s="842"/>
      <c r="U63" s="872">
        <f>Matrix2!C12*U62</f>
        <v>1230</v>
      </c>
      <c r="V63" s="873"/>
      <c r="W63" s="874"/>
      <c r="X63" s="918" t="s">
        <v>71</v>
      </c>
      <c r="Y63" s="919"/>
      <c r="Z63" s="919"/>
      <c r="AA63" s="919"/>
      <c r="AB63" s="919"/>
      <c r="AC63" s="919"/>
      <c r="AD63" s="919"/>
      <c r="AE63" s="952">
        <f>IF(ISERROR(+(X64-AB64)/X64),,+(X64-AB64)/X64)</f>
        <v>0</v>
      </c>
      <c r="AF63" s="953"/>
      <c r="AG63" s="169"/>
    </row>
    <row r="64" spans="2:35" ht="18" customHeight="1">
      <c r="B64" s="577"/>
      <c r="C64" s="285"/>
      <c r="D64" s="285"/>
      <c r="E64" s="167"/>
      <c r="F64" s="168"/>
      <c r="G64" s="860" t="s">
        <v>72</v>
      </c>
      <c r="H64" s="861"/>
      <c r="I64" s="861"/>
      <c r="J64" s="861"/>
      <c r="K64" s="614"/>
      <c r="L64" s="345"/>
      <c r="M64" s="346"/>
      <c r="N64" s="287" t="str">
        <f>IF(ISNA(INDEX(Matrix2!$AA$116:$AA$126,MATCH(Pricing!L64,Matrix2!$K$116:$K$126,0))),"",INDEX(Matrix2!$AA$116:$AA$126,MATCH(Pricing!L64,Matrix2!$K$116:$K$126,0)))</f>
        <v/>
      </c>
      <c r="O64" s="541" t="str">
        <f>IF(ISNA(INDEX(Matrix2!$AE$86:$AE$96,MATCH(Pricing!L64,Matrix2!$AC$86:$AC$96,0))),"",INDEX(Matrix2!$AE$86:$AE$96,MATCH(Pricing!L64,Matrix2!$AC$86:$AC$96,0)))</f>
        <v/>
      </c>
      <c r="P64" s="541" t="str">
        <f>IF(N64="","",IF(N64&gt;0,ROUNDDOWN(O64-(O64*VLOOKUP(L64,Matrix2!$B$31:$C$41,2,0)),0.2),))</f>
        <v/>
      </c>
      <c r="Q64" s="552" t="str">
        <f>IF(ISNA(IF(INDEX(Matrix2!$AA$133:$AA$140,MATCH(Pricing!L64,Matrix2!$K$133:$K$140,0))&gt;0,ROUNDDOWN(INDEX(Matrix2!$AA$149:$AA$156,MATCH(Pricing!L64,Matrix2!$K$149:$K$156,0)),0.2),)),"",IF(INDEX(Matrix2!$AA$133:$AA$140,MATCH(Pricing!L64,Matrix2!$K$133:$K$140,0))&gt;0,ROUNDDOWN(INDEX(Matrix2!$AA$149:$AA$156,MATCH(Pricing!L64,Matrix2!$K$149:$K$156,0)),0.2),))</f>
        <v/>
      </c>
      <c r="R64" s="551">
        <f t="shared" si="0"/>
        <v>0</v>
      </c>
      <c r="S64" s="875" t="s">
        <v>73</v>
      </c>
      <c r="T64" s="876"/>
      <c r="U64" s="877">
        <f>IF(ISERROR(IF(OR(S61="Finance Please Select",S61="Finance No"),"",U63/U62)),,IF(OR(S61="Finance Please Select",S61="Finance No"),"",U63/U62))</f>
        <v>0.25</v>
      </c>
      <c r="V64" s="878"/>
      <c r="W64" s="879"/>
      <c r="X64" s="927">
        <f>SUM(Matrix2!Z33:Z47)</f>
        <v>0</v>
      </c>
      <c r="Y64" s="916"/>
      <c r="Z64" s="916"/>
      <c r="AA64" s="916"/>
      <c r="AB64" s="916">
        <f>IF(X63 = "Survey &amp; Installation 25%",(X64-X64*0.25),X64)</f>
        <v>0</v>
      </c>
      <c r="AC64" s="916"/>
      <c r="AD64" s="916"/>
      <c r="AE64" s="954"/>
      <c r="AF64" s="955"/>
      <c r="AG64" s="169"/>
    </row>
    <row r="65" spans="2:34" ht="18" customHeight="1">
      <c r="B65" s="837" t="s">
        <v>74</v>
      </c>
      <c r="C65" s="838"/>
      <c r="D65" s="771"/>
      <c r="E65" s="839" t="s">
        <v>75</v>
      </c>
      <c r="F65" s="840"/>
      <c r="G65" s="866" t="s">
        <v>76</v>
      </c>
      <c r="H65" s="867"/>
      <c r="I65" s="868"/>
      <c r="J65" s="583" t="s">
        <v>77</v>
      </c>
      <c r="K65" s="627"/>
      <c r="L65" s="841" t="s">
        <v>78</v>
      </c>
      <c r="M65" s="842"/>
      <c r="N65" s="288">
        <f>SUM(Matrix2!U33:U47)</f>
        <v>14.405021</v>
      </c>
      <c r="O65" s="539">
        <f>ROUNDDOWN(SUM(Matrix2!U33:U47)*Matrix2!C9,0.2)</f>
        <v>432</v>
      </c>
      <c r="P65" s="539">
        <f>SUM(Matrix2!O33:O47)</f>
        <v>0</v>
      </c>
      <c r="Q65" s="552">
        <f>SUM(Matrix2!O92:O106)</f>
        <v>0</v>
      </c>
      <c r="R65" s="551">
        <f t="shared" si="0"/>
        <v>-1</v>
      </c>
      <c r="S65" s="892" t="s">
        <v>79</v>
      </c>
      <c r="T65" s="892"/>
      <c r="U65" s="893">
        <f>IF(ISERROR(U62-U63),"",U62-U63)</f>
        <v>3690</v>
      </c>
      <c r="V65" s="894"/>
      <c r="W65" s="895"/>
      <c r="X65" s="928" t="s">
        <v>80</v>
      </c>
      <c r="Y65" s="929"/>
      <c r="Z65" s="929"/>
      <c r="AA65" s="929"/>
      <c r="AB65" s="930" t="s">
        <v>81</v>
      </c>
      <c r="AC65" s="930"/>
      <c r="AD65" s="930"/>
      <c r="AE65" s="956" t="s">
        <v>82</v>
      </c>
      <c r="AF65" s="957"/>
    </row>
    <row r="66" spans="2:34" ht="18" customHeight="1">
      <c r="B66" s="843" t="s">
        <v>83</v>
      </c>
      <c r="C66" s="844"/>
      <c r="D66" s="845"/>
      <c r="E66" s="849"/>
      <c r="F66" s="850"/>
      <c r="G66" s="572"/>
      <c r="H66" s="573"/>
      <c r="I66" s="573"/>
      <c r="J66" s="578"/>
      <c r="K66" s="578"/>
      <c r="L66" s="835" t="s">
        <v>17</v>
      </c>
      <c r="M66" s="836"/>
      <c r="N66" s="289">
        <f>IF(COUNTIF(D8:D52,"=Tracked")&gt;=1,SUM(Matrix2!Q33:Q47),)</f>
        <v>3.383</v>
      </c>
      <c r="O66" s="542">
        <f>ROUNDDOWN(SUM(Matrix2!P33:P47),0.2)</f>
        <v>545</v>
      </c>
      <c r="P66" s="579">
        <f t="shared" ref="P66" si="1">O66</f>
        <v>545</v>
      </c>
      <c r="Q66" s="552">
        <f>ROUNDDOWN(SUM(Matrix2!P92:P106),0.2)</f>
        <v>0</v>
      </c>
      <c r="R66" s="551">
        <f t="shared" si="0"/>
        <v>0</v>
      </c>
      <c r="S66" s="887" t="s">
        <v>84</v>
      </c>
      <c r="T66" s="888"/>
      <c r="U66" s="889">
        <f>ABS(IF(OR(S61="Please Select",S61="Finance Not Available"),0,Data!AV12)*-1)</f>
        <v>0</v>
      </c>
      <c r="V66" s="890"/>
      <c r="W66" s="891"/>
      <c r="X66" s="931">
        <f>SUM(X59+X62+X64)</f>
        <v>7099.1339250000001</v>
      </c>
      <c r="Y66" s="932"/>
      <c r="Z66" s="932"/>
      <c r="AA66" s="932"/>
      <c r="AB66" s="935">
        <f>IF(Data!U26&gt;0,"Line Error",(AB59+AB62+AB64)-(IF(P74="",,P74))-P75)+SUM(Matrix2!AA33:AA47)</f>
        <v>4920</v>
      </c>
      <c r="AC66" s="935"/>
      <c r="AD66" s="935"/>
      <c r="AE66" s="958">
        <f>X66-AB66</f>
        <v>2179.1339250000001</v>
      </c>
      <c r="AF66" s="959"/>
    </row>
    <row r="67" spans="2:34" ht="18" customHeight="1">
      <c r="B67" s="846"/>
      <c r="C67" s="847"/>
      <c r="D67" s="848"/>
      <c r="E67" s="851"/>
      <c r="F67" s="852"/>
      <c r="G67" s="768" t="s">
        <v>85</v>
      </c>
      <c r="H67" s="769"/>
      <c r="I67" s="769"/>
      <c r="J67" s="583" t="s">
        <v>77</v>
      </c>
      <c r="K67" s="627"/>
      <c r="L67" s="841" t="s">
        <v>86</v>
      </c>
      <c r="M67" s="842"/>
      <c r="N67" s="290">
        <f>IF(COUNTIF(Matrix2!T33:T47,"&gt;0"),SUM(Matrix2!T33:T47),)</f>
        <v>0</v>
      </c>
      <c r="O67" s="543">
        <f>SUM(Matrix2!T33:T47)*Matrix2!F3</f>
        <v>0</v>
      </c>
      <c r="P67" s="543">
        <f>SUM(Matrix2!R33:R47)</f>
        <v>0</v>
      </c>
      <c r="Q67" s="552">
        <f>IF(COUNTIF(Matrix2!T92:T106,"&gt;=1"),ROUNDDOWN(SUM(Matrix2!R92:R106),0.2),)</f>
        <v>0</v>
      </c>
      <c r="R67" s="551">
        <f>IF(ISERROR(SUM(P67/O67)-1),,SUM(P67/O67)-1)</f>
        <v>0</v>
      </c>
      <c r="S67" s="882" t="s">
        <v>87</v>
      </c>
      <c r="T67" s="883"/>
      <c r="U67" s="884">
        <f>ABS(IF(OR(S61="Please Select",S61="Finance Not Available"),0,Data!AV13)*-1)</f>
        <v>0</v>
      </c>
      <c r="V67" s="885"/>
      <c r="W67" s="886"/>
      <c r="X67" s="933"/>
      <c r="Y67" s="934"/>
      <c r="Z67" s="934"/>
      <c r="AA67" s="934"/>
      <c r="AB67" s="936"/>
      <c r="AC67" s="936"/>
      <c r="AD67" s="936"/>
      <c r="AE67" s="960"/>
      <c r="AF67" s="961"/>
    </row>
    <row r="68" spans="2:34" ht="18.600000000000001">
      <c r="B68" s="837" t="s">
        <v>88</v>
      </c>
      <c r="C68" s="838"/>
      <c r="D68" s="838"/>
      <c r="E68" s="838"/>
      <c r="F68" s="838"/>
      <c r="G68" s="574"/>
      <c r="H68" s="580"/>
      <c r="I68" s="580"/>
      <c r="J68" s="578"/>
      <c r="K68" s="578"/>
      <c r="L68" s="841" t="s">
        <v>89</v>
      </c>
      <c r="M68" s="842"/>
      <c r="N68" s="289">
        <f>SUMPRODUCT(COUNTIF(Matrix2!Y33:Y47,"&gt;=1"))</f>
        <v>0</v>
      </c>
      <c r="O68" s="539">
        <f>SUM(Matrix2!Y33:Y47)</f>
        <v>0</v>
      </c>
      <c r="P68" s="539">
        <f t="shared" ref="P68:P69" si="2">O68</f>
        <v>0</v>
      </c>
      <c r="Q68" s="552">
        <f>IF(COUNTIF(Matrix2!Y92:Y106,"&gt;=1"),ROUNDDOWN(SUM(Matrix2!Y92:Y106),0.2),)</f>
        <v>0</v>
      </c>
      <c r="R68" s="551">
        <f t="shared" si="0"/>
        <v>0</v>
      </c>
      <c r="S68" s="882" t="s">
        <v>90</v>
      </c>
      <c r="T68" s="883"/>
      <c r="U68" s="884">
        <f>ABS(IF(OR(S61="Please Select",S61="Finance Not Available"),0,Data!AV14)*-1)</f>
        <v>0</v>
      </c>
      <c r="V68" s="885"/>
      <c r="W68" s="886"/>
      <c r="X68" s="926" t="s">
        <v>18</v>
      </c>
      <c r="Y68" s="914"/>
      <c r="Z68" s="914"/>
      <c r="AA68" s="914"/>
      <c r="AB68" s="914" t="s">
        <v>91</v>
      </c>
      <c r="AC68" s="914"/>
      <c r="AD68" s="914"/>
      <c r="AE68" s="914" t="s">
        <v>92</v>
      </c>
      <c r="AF68" s="915"/>
    </row>
    <row r="69" spans="2:34">
      <c r="B69" s="684"/>
      <c r="C69" s="685"/>
      <c r="D69" s="685"/>
      <c r="E69" s="685"/>
      <c r="F69" s="686"/>
      <c r="G69" s="678" t="s">
        <v>93</v>
      </c>
      <c r="H69" s="679"/>
      <c r="I69" s="679"/>
      <c r="J69" s="583" t="s">
        <v>77</v>
      </c>
      <c r="K69" s="627"/>
      <c r="L69" s="841" t="s">
        <v>94</v>
      </c>
      <c r="M69" s="842"/>
      <c r="N69" s="290">
        <f>IF(OR(Matrix2!X48&gt;0,Matrix2!AA264&gt;0,Matrix2!AA266&gt;0,Matrix2!AA261&gt;0),1,0)</f>
        <v>0</v>
      </c>
      <c r="O69" s="539">
        <f>IF(OR(Matrix2!AA261&gt;0,Matrix2!AA264&gt;0,Matrix2!AA266&gt;0),Matrix2!AA264+IF(Matrix2!AA266&gt;0,Matrix2!AA266,+IF(Matrix2!AA261&gt;0,Matrix2!AA261+(IF(AND(N69&gt;=1,Matrix2!X48&gt;0),N69*Matrix2!F11,)),IF(AND(N69&gt;=1,Matrix2!X48&gt;0),N69*Matrix2!F11,))),0)</f>
        <v>0</v>
      </c>
      <c r="P69" s="539">
        <f t="shared" si="2"/>
        <v>0</v>
      </c>
      <c r="Q69" s="553">
        <f>IF(COUNTIF(Matrix2!X92:X106,"&gt;=1"),ROUNDDOWN(SUM(Matrix2!X92:X106),0.2),)</f>
        <v>0</v>
      </c>
      <c r="R69" s="551">
        <f t="shared" si="0"/>
        <v>0</v>
      </c>
      <c r="S69" s="900" t="s">
        <v>95</v>
      </c>
      <c r="T69" s="901"/>
      <c r="U69" s="896">
        <f>ABS(IF(OR(S61="Please Select",S61="Finance Not Available"),0,Data!AV15)*-1)</f>
        <v>0</v>
      </c>
      <c r="V69" s="896"/>
      <c r="W69" s="897"/>
      <c r="X69" s="721" t="str">
        <f>TEXT(INDEX(Matrix2!AA244:AA254,MATCH(Pricing!X68,Matrix2!K244:K254,0)),"£#,##0")  &amp; IF(TEXT(INDEX(Matrix2!AA244:AA254,MATCH(Pricing!X68,Matrix2!K244:K254,0)),"£#,##0")="£0",,  "  (£"&amp;ROUND(INDEX(Matrix2!AA244:AA254,MATCH(Pricing!X68,Matrix2!K244:K254,0))+AB66+SUM(P65:P71),0)&amp;")")</f>
        <v>£0</v>
      </c>
      <c r="Y69" s="721"/>
      <c r="Z69" s="721"/>
      <c r="AA69" s="722"/>
      <c r="AB69" s="732" t="str">
        <f>TEXT(INDEX(Matrix2!AA244:AA254,MATCH(Pricing!AB68,Matrix2!K244:K254,0)),"£#,##0")  &amp; IF(TEXT(INDEX(Matrix2!AA244:AA254,MATCH(Pricing!AB68,Matrix2!K244:K254,0)),"£#,##0")="£0",,  "  (£"&amp;ROUND(INDEX(Matrix2!AA244:AA254,MATCH(Pricing!AB68,Matrix2!K244:K254,0))+P59+SUM(P65:P71),0)&amp;")")</f>
        <v>£951  (£5277)</v>
      </c>
      <c r="AC69" s="831"/>
      <c r="AD69" s="832"/>
      <c r="AE69" s="732" t="str">
        <f>TEXT(INDEX(Matrix2!AA244:AA254,MATCH(Pricing!AE68,Matrix2!K244:K254,0)),"£#,##0")  &amp; IF(TEXT(INDEX(Matrix2!AA244:AA254,MATCH(Pricing!AE68,Matrix2!K244:K254,0)),"£#,##0")="£0",,  "  (£"&amp;ROUND(INDEX(Matrix2!AA244:AA254,MATCH(Pricing!AE68,Matrix2!K244:K254,0))+P59+SUM(P65:P71),0)&amp;")")</f>
        <v>£1,426  (£5752)</v>
      </c>
      <c r="AF69" s="733"/>
      <c r="AH69" s="223"/>
    </row>
    <row r="70" spans="2:34" ht="15" thickBot="1">
      <c r="B70" s="687"/>
      <c r="C70" s="688"/>
      <c r="D70" s="688"/>
      <c r="E70" s="688"/>
      <c r="F70" s="689"/>
      <c r="G70" s="456"/>
      <c r="H70" s="578"/>
      <c r="I70" s="578"/>
      <c r="J70" s="578"/>
      <c r="K70" s="578"/>
      <c r="L70" s="841" t="s">
        <v>96</v>
      </c>
      <c r="M70" s="842"/>
      <c r="N70" s="290">
        <f>COUNTIF(Matrix2!V33:V47,"&gt;=1") + COUNTIF(Matrix2!W33:W47,"&gt;=1")</f>
        <v>0</v>
      </c>
      <c r="O70" s="539">
        <f>IF(N70&gt;0,SUM(Matrix2!V33:V47),0) + IF(N70&gt;0,SUM(Matrix2!W33:W47),0)</f>
        <v>0</v>
      </c>
      <c r="P70" s="539">
        <f>O70</f>
        <v>0</v>
      </c>
      <c r="Q70" s="553">
        <f>IF(COUNTIF(Matrix2!V92:V106,"&gt;=1"),ROUNDDOWN(SUM(Matrix2!V92:V106),0.2),)</f>
        <v>0</v>
      </c>
      <c r="R70" s="551">
        <f t="shared" si="0"/>
        <v>0</v>
      </c>
      <c r="S70" s="902" t="s">
        <v>97</v>
      </c>
      <c r="T70" s="903"/>
      <c r="U70" s="898">
        <f>ABS(IF(OR(S61="Please Select",S61="Finance Not Available"),0,Data!AV16)*-1)</f>
        <v>0</v>
      </c>
      <c r="V70" s="898"/>
      <c r="W70" s="899"/>
      <c r="X70" s="723"/>
      <c r="Y70" s="723"/>
      <c r="Z70" s="723"/>
      <c r="AA70" s="724"/>
      <c r="AB70" s="734"/>
      <c r="AC70" s="833"/>
      <c r="AD70" s="834"/>
      <c r="AE70" s="734"/>
      <c r="AF70" s="735"/>
      <c r="AH70" s="223"/>
    </row>
    <row r="71" spans="2:34">
      <c r="B71" s="687"/>
      <c r="C71" s="688"/>
      <c r="D71" s="688"/>
      <c r="E71" s="688"/>
      <c r="F71" s="689"/>
      <c r="G71" s="676" t="s">
        <v>98</v>
      </c>
      <c r="H71" s="677"/>
      <c r="I71" s="677"/>
      <c r="J71" s="584" t="str">
        <f>IF(OR(J65="Select",J65="No"),"N/A","")</f>
        <v>N/A</v>
      </c>
      <c r="K71" s="628"/>
      <c r="L71" s="841" t="s">
        <v>99</v>
      </c>
      <c r="M71" s="842"/>
      <c r="N71" s="290">
        <f>IF(COUNTIF(Matrix2!M33:M47,"&gt;=0"),COUNTIF(Matrix2!M33:M47,"&gt;0"),)</f>
        <v>0</v>
      </c>
      <c r="O71" s="539">
        <f>SUM(Matrix2!M33:M47)</f>
        <v>0</v>
      </c>
      <c r="P71" s="539">
        <f>O71</f>
        <v>0</v>
      </c>
      <c r="Q71" s="553">
        <f>IF(COUNTIF(Matrix2!M92:M106,"&gt;=1"),ROUNDDOWN(SUM(Matrix2!M92:M106),0.2),)</f>
        <v>0</v>
      </c>
      <c r="R71" s="551">
        <f t="shared" si="0"/>
        <v>0</v>
      </c>
      <c r="S71" s="904" t="str">
        <f>IF(OR(N74="Managers Discretion",N75="Managers Discretion"),"Auth Code:","Misc Notes")</f>
        <v>Misc Notes</v>
      </c>
      <c r="T71" s="904"/>
      <c r="U71" s="904"/>
      <c r="V71" s="904"/>
      <c r="W71" s="905"/>
      <c r="X71" s="715" t="s">
        <v>100</v>
      </c>
      <c r="Y71" s="716"/>
      <c r="Z71" s="716"/>
      <c r="AA71" s="716"/>
      <c r="AB71" s="714" t="s">
        <v>101</v>
      </c>
      <c r="AC71" s="714"/>
      <c r="AD71" s="714"/>
      <c r="AE71" s="716" t="s">
        <v>102</v>
      </c>
      <c r="AF71" s="729"/>
    </row>
    <row r="72" spans="2:34" ht="14.45" customHeight="1" thickBot="1">
      <c r="B72" s="687"/>
      <c r="C72" s="688"/>
      <c r="D72" s="688"/>
      <c r="E72" s="688"/>
      <c r="F72" s="689"/>
      <c r="G72" s="456"/>
      <c r="H72" s="578"/>
      <c r="I72" s="578"/>
      <c r="J72" s="578"/>
      <c r="K72" s="578"/>
      <c r="L72" s="881"/>
      <c r="M72" s="683"/>
      <c r="N72" s="288"/>
      <c r="O72" s="539"/>
      <c r="P72" s="539"/>
      <c r="Q72" s="548" t="str">
        <f>"(S &amp; I): £" &amp; ROUND(SUM(Matrix2!Z92:Z106),0.2)</f>
        <v>(S &amp; I): £0</v>
      </c>
      <c r="R72" s="554"/>
      <c r="S72" s="904"/>
      <c r="T72" s="904"/>
      <c r="U72" s="904"/>
      <c r="V72" s="904"/>
      <c r="W72" s="905"/>
      <c r="X72" s="715"/>
      <c r="Y72" s="716"/>
      <c r="Z72" s="716"/>
      <c r="AA72" s="716"/>
      <c r="AB72" s="662">
        <f>IF(AB66=0,0,ROUNDUP(50%*AB66,0.2))</f>
        <v>2460</v>
      </c>
      <c r="AC72" s="663"/>
      <c r="AD72" s="664"/>
      <c r="AE72" s="716"/>
      <c r="AF72" s="729"/>
      <c r="AG72" s="8" t="str" cm="1">
        <f t="array" ref="AG72:AG78">IF(AB66&lt;1000,NoFinance,IF($N$74="10% Promo",FinanceOptions2,FinanceOptions))</f>
        <v>Please Select</v>
      </c>
    </row>
    <row r="73" spans="2:34">
      <c r="B73" s="687"/>
      <c r="C73" s="688"/>
      <c r="D73" s="688"/>
      <c r="E73" s="688"/>
      <c r="F73" s="689"/>
      <c r="G73" s="768" t="s">
        <v>103</v>
      </c>
      <c r="H73" s="769"/>
      <c r="I73" s="769"/>
      <c r="J73" s="583" t="s">
        <v>77</v>
      </c>
      <c r="K73" s="627"/>
      <c r="L73" s="698"/>
      <c r="M73" s="699"/>
      <c r="N73" s="291" t="s">
        <v>104</v>
      </c>
      <c r="O73" s="544">
        <f>SUM(O59:O71)</f>
        <v>7099.1339250000001</v>
      </c>
      <c r="P73" s="544">
        <f>ROUND(SUM(P59:P71),0.2)</f>
        <v>4920</v>
      </c>
      <c r="Q73" s="549">
        <f>ROUND(SUM(Q59:Q72)+SUM(Matrix2!Z92:Z106),0.2)</f>
        <v>0</v>
      </c>
      <c r="R73" s="545"/>
      <c r="S73" s="656"/>
      <c r="T73" s="656"/>
      <c r="U73" s="656"/>
      <c r="V73" s="656"/>
      <c r="W73" s="657"/>
      <c r="X73" s="715"/>
      <c r="Y73" s="716"/>
      <c r="Z73" s="716"/>
      <c r="AA73" s="716"/>
      <c r="AB73" s="714" t="s">
        <v>105</v>
      </c>
      <c r="AC73" s="714"/>
      <c r="AD73" s="714"/>
      <c r="AE73" s="716"/>
      <c r="AF73" s="729"/>
      <c r="AG73" s="8" t="str">
        <v>12 Months @ 0%</v>
      </c>
    </row>
    <row r="74" spans="2:34">
      <c r="B74" s="687"/>
      <c r="C74" s="688"/>
      <c r="D74" s="688"/>
      <c r="E74" s="688"/>
      <c r="F74" s="689"/>
      <c r="G74" s="456"/>
      <c r="H74" s="578"/>
      <c r="I74" s="578"/>
      <c r="J74" s="578"/>
      <c r="K74" s="578"/>
      <c r="L74" s="221"/>
      <c r="M74" s="222"/>
      <c r="N74" s="682" t="s">
        <v>106</v>
      </c>
      <c r="O74" s="683"/>
      <c r="P74" s="543" t="str">
        <f>IF(N74="5% Promo",Data!AB13,IF(Pricing!N74="10% Promo",Data!AB14,""))</f>
        <v/>
      </c>
      <c r="Q74" s="682" t="str">
        <f>IF(N74="Price Match","Copy quote required",IF(AND(OR(N74="Managers Discretion",N75="Managers Discretion"),S74=""),"Auth Code Required",IF(AND(OR(N74="Managers Discretion",N75="Managers Discretion"),S74&lt;&gt;""),"Auth Code:","")))</f>
        <v/>
      </c>
      <c r="R74" s="693"/>
      <c r="S74" s="658"/>
      <c r="T74" s="658"/>
      <c r="U74" s="658"/>
      <c r="V74" s="658"/>
      <c r="W74" s="659"/>
      <c r="X74" s="717" t="s">
        <v>107</v>
      </c>
      <c r="Y74" s="718"/>
      <c r="Z74" s="718"/>
      <c r="AA74" s="718"/>
      <c r="AB74" s="662">
        <f>AB66-AB72</f>
        <v>2460</v>
      </c>
      <c r="AC74" s="663"/>
      <c r="AD74" s="664"/>
      <c r="AE74" s="730" t="s">
        <v>108</v>
      </c>
      <c r="AF74" s="731"/>
      <c r="AG74" s="8" t="str">
        <v>2 Years @ 10.9%</v>
      </c>
    </row>
    <row r="75" spans="2:34" ht="15" thickBot="1">
      <c r="B75" s="690"/>
      <c r="C75" s="691"/>
      <c r="D75" s="691"/>
      <c r="E75" s="691"/>
      <c r="F75" s="692"/>
      <c r="G75" s="581"/>
      <c r="H75" s="582"/>
      <c r="I75" s="582"/>
      <c r="J75" s="582"/>
      <c r="K75" s="582"/>
      <c r="L75" s="694" t="str">
        <f>IF(AE54=0,"",IF(AB66&gt;0,IFERROR("BP: "&amp; IF(AB66&gt;0,ROUND((SUM(AB66-SUM(P60:P71))/AE54),0),ROUND((SUM(AB66-SUM(P60:P71))/AE54),0))&amp;" | SVBP: 0",IFERROR("BP: "&amp;ROUND((SUM(AB66-SUM(P60:P71))/AE54),0)&amp;" | "&amp;"SVBP:"&amp;TEXT(Matrix2!AA167+Matrix2!Z183,"#,##0"),"BP: 0")),IFERROR("BP: "&amp;ROUND((SUM(AB66-SUM(P60:P71))/AE54),0)&amp;" | SVBP: 0",IFERROR("BP: "&amp;ROUND((SUM(AB66-SUM(P60:P71))/AE54),0)&amp;" | "&amp;"SVBP:"&amp;TEXT(Matrix2!AA167+Matrix2!Z183,"#,##0"),"BP: 0"))))</f>
        <v>BP: 262 | SVBP: 0</v>
      </c>
      <c r="M75" s="695"/>
      <c r="N75" s="680" t="str">
        <f>IF(N74="Other:", "","Other:")</f>
        <v/>
      </c>
      <c r="O75" s="681"/>
      <c r="P75" s="546"/>
      <c r="Q75" s="696" t="str">
        <f>IF(N75="Price Match","Copy quote required","")</f>
        <v/>
      </c>
      <c r="R75" s="697"/>
      <c r="S75" s="660"/>
      <c r="T75" s="660"/>
      <c r="U75" s="660"/>
      <c r="V75" s="660"/>
      <c r="W75" s="661"/>
      <c r="X75" s="719"/>
      <c r="Y75" s="720"/>
      <c r="Z75" s="720"/>
      <c r="AA75" s="720"/>
      <c r="AB75" s="665"/>
      <c r="AC75" s="666"/>
      <c r="AD75" s="667"/>
      <c r="AE75" s="712"/>
      <c r="AF75" s="713"/>
      <c r="AG75" s="8" t="str">
        <v>3 Years @ 10.9%</v>
      </c>
    </row>
    <row r="76" spans="2:34">
      <c r="B76" s="166"/>
      <c r="C76" s="166"/>
      <c r="D76" s="166"/>
      <c r="E76" s="166"/>
      <c r="F76" s="166"/>
      <c r="G76" s="166"/>
      <c r="H76" s="166"/>
      <c r="I76" s="166"/>
      <c r="J76" s="166"/>
      <c r="K76" s="166"/>
      <c r="L76" s="166"/>
      <c r="M76" s="482"/>
      <c r="N76" s="483">
        <f>ROUND(SUM(AB66-SUM(O60:O71))/AE54,0)</f>
        <v>199</v>
      </c>
      <c r="O76" s="166"/>
      <c r="P76" s="483"/>
      <c r="Q76" s="484" t="e">
        <f>(P76-N76)/P76</f>
        <v>#DIV/0!</v>
      </c>
      <c r="R76" s="166"/>
      <c r="S76" s="483" t="e">
        <f>IF(Q76=0,"",IF(OR(Q76&gt;=0.05,Q76&lt;=0.05),"True",IF(Q76=0,"","")))</f>
        <v>#DIV/0!</v>
      </c>
      <c r="T76" s="166"/>
      <c r="U76" s="166"/>
      <c r="V76" s="166"/>
      <c r="W76" s="166"/>
      <c r="X76" s="166"/>
      <c r="Y76" s="166"/>
      <c r="Z76" s="166"/>
      <c r="AA76" s="166"/>
      <c r="AB76" s="166"/>
      <c r="AC76" s="166"/>
      <c r="AD76" s="166"/>
      <c r="AE76" s="166"/>
      <c r="AF76" s="166"/>
      <c r="AG76" s="8" t="str">
        <v>4 Years @ 10.9%</v>
      </c>
    </row>
    <row r="77" spans="2:34">
      <c r="B77" s="706" t="s">
        <v>109</v>
      </c>
      <c r="C77" s="707"/>
      <c r="D77" s="700"/>
      <c r="E77" s="700"/>
      <c r="F77" s="700"/>
      <c r="G77" s="700"/>
      <c r="H77" s="700"/>
      <c r="I77" s="700"/>
      <c r="J77" s="700"/>
      <c r="K77" s="700"/>
      <c r="L77" s="700"/>
      <c r="M77" s="700"/>
      <c r="N77" s="700"/>
      <c r="O77" s="700"/>
      <c r="P77" s="700"/>
      <c r="Q77" s="700"/>
      <c r="R77" s="700"/>
      <c r="S77" s="700"/>
      <c r="T77" s="700"/>
      <c r="U77" s="700"/>
      <c r="V77" s="700"/>
      <c r="W77" s="700"/>
      <c r="X77" s="700"/>
      <c r="Y77" s="700"/>
      <c r="Z77" s="700"/>
      <c r="AA77" s="700"/>
      <c r="AB77" s="700"/>
      <c r="AC77" s="700"/>
      <c r="AD77" s="700"/>
      <c r="AE77" s="700"/>
      <c r="AF77" s="701"/>
      <c r="AG77" s="8" t="str">
        <v>5 Years @ 10.9%</v>
      </c>
    </row>
    <row r="78" spans="2:34">
      <c r="B78" s="708"/>
      <c r="C78" s="709"/>
      <c r="D78" s="702"/>
      <c r="E78" s="702"/>
      <c r="F78" s="702"/>
      <c r="G78" s="702"/>
      <c r="H78" s="702"/>
      <c r="I78" s="702"/>
      <c r="J78" s="702"/>
      <c r="K78" s="702"/>
      <c r="L78" s="702"/>
      <c r="M78" s="702"/>
      <c r="N78" s="702"/>
      <c r="O78" s="702"/>
      <c r="P78" s="702"/>
      <c r="Q78" s="702"/>
      <c r="R78" s="702"/>
      <c r="S78" s="702"/>
      <c r="T78" s="702"/>
      <c r="U78" s="702"/>
      <c r="V78" s="702"/>
      <c r="W78" s="702"/>
      <c r="X78" s="702"/>
      <c r="Y78" s="702"/>
      <c r="Z78" s="702"/>
      <c r="AA78" s="702"/>
      <c r="AB78" s="702"/>
      <c r="AC78" s="702"/>
      <c r="AD78" s="702"/>
      <c r="AE78" s="702"/>
      <c r="AF78" s="703"/>
      <c r="AG78" s="8" t="str">
        <v>Finance Not Available</v>
      </c>
    </row>
    <row r="79" spans="2:34">
      <c r="B79" s="708"/>
      <c r="C79" s="709"/>
      <c r="D79" s="702"/>
      <c r="E79" s="702"/>
      <c r="F79" s="702"/>
      <c r="G79" s="702"/>
      <c r="H79" s="702"/>
      <c r="I79" s="702"/>
      <c r="J79" s="702"/>
      <c r="K79" s="702"/>
      <c r="L79" s="702"/>
      <c r="M79" s="702"/>
      <c r="N79" s="702"/>
      <c r="O79" s="702"/>
      <c r="P79" s="702"/>
      <c r="Q79" s="702"/>
      <c r="R79" s="702"/>
      <c r="S79" s="702"/>
      <c r="T79" s="702"/>
      <c r="U79" s="702"/>
      <c r="V79" s="702"/>
      <c r="W79" s="702"/>
      <c r="X79" s="702"/>
      <c r="Y79" s="702"/>
      <c r="Z79" s="702"/>
      <c r="AA79" s="702"/>
      <c r="AB79" s="702"/>
      <c r="AC79" s="702"/>
      <c r="AD79" s="702"/>
      <c r="AE79" s="702"/>
      <c r="AF79" s="703"/>
    </row>
    <row r="80" spans="2:34">
      <c r="B80" s="708"/>
      <c r="C80" s="709"/>
      <c r="D80" s="702"/>
      <c r="E80" s="702"/>
      <c r="F80" s="702"/>
      <c r="G80" s="702"/>
      <c r="H80" s="702"/>
      <c r="I80" s="702"/>
      <c r="J80" s="702"/>
      <c r="K80" s="702"/>
      <c r="L80" s="702"/>
      <c r="M80" s="702"/>
      <c r="N80" s="702"/>
      <c r="O80" s="702"/>
      <c r="P80" s="702"/>
      <c r="Q80" s="702"/>
      <c r="R80" s="702"/>
      <c r="S80" s="702"/>
      <c r="T80" s="702"/>
      <c r="U80" s="702"/>
      <c r="V80" s="702"/>
      <c r="W80" s="702"/>
      <c r="X80" s="702"/>
      <c r="Y80" s="702"/>
      <c r="Z80" s="702"/>
      <c r="AA80" s="702"/>
      <c r="AB80" s="702"/>
      <c r="AC80" s="702"/>
      <c r="AD80" s="702"/>
      <c r="AE80" s="702"/>
      <c r="AF80" s="703"/>
    </row>
    <row r="81" spans="2:32">
      <c r="B81" s="708"/>
      <c r="C81" s="709"/>
      <c r="D81" s="702"/>
      <c r="E81" s="702"/>
      <c r="F81" s="702"/>
      <c r="G81" s="702"/>
      <c r="H81" s="702"/>
      <c r="I81" s="702"/>
      <c r="J81" s="702"/>
      <c r="K81" s="702"/>
      <c r="L81" s="702"/>
      <c r="M81" s="702"/>
      <c r="N81" s="702"/>
      <c r="O81" s="702"/>
      <c r="P81" s="702"/>
      <c r="Q81" s="702"/>
      <c r="R81" s="702"/>
      <c r="S81" s="702"/>
      <c r="T81" s="702"/>
      <c r="U81" s="702"/>
      <c r="V81" s="702"/>
      <c r="W81" s="702"/>
      <c r="X81" s="702"/>
      <c r="Y81" s="702"/>
      <c r="Z81" s="702"/>
      <c r="AA81" s="702"/>
      <c r="AB81" s="702"/>
      <c r="AC81" s="702"/>
      <c r="AD81" s="702"/>
      <c r="AE81" s="702"/>
      <c r="AF81" s="703"/>
    </row>
    <row r="82" spans="2:32">
      <c r="B82" s="710"/>
      <c r="C82" s="711"/>
      <c r="D82" s="704"/>
      <c r="E82" s="704"/>
      <c r="F82" s="704"/>
      <c r="G82" s="704"/>
      <c r="H82" s="704"/>
      <c r="I82" s="704"/>
      <c r="J82" s="704"/>
      <c r="K82" s="704"/>
      <c r="L82" s="704"/>
      <c r="M82" s="704"/>
      <c r="N82" s="704"/>
      <c r="O82" s="704"/>
      <c r="P82" s="704"/>
      <c r="Q82" s="704"/>
      <c r="R82" s="704"/>
      <c r="S82" s="704"/>
      <c r="T82" s="704"/>
      <c r="U82" s="704"/>
      <c r="V82" s="704"/>
      <c r="W82" s="704"/>
      <c r="X82" s="704"/>
      <c r="Y82" s="704"/>
      <c r="Z82" s="704"/>
      <c r="AA82" s="704"/>
      <c r="AB82" s="704"/>
      <c r="AC82" s="704"/>
      <c r="AD82" s="704"/>
      <c r="AE82" s="704"/>
      <c r="AF82" s="705"/>
    </row>
    <row r="83" spans="2:32">
      <c r="B83" s="457"/>
      <c r="C83" s="458"/>
      <c r="D83" s="458"/>
      <c r="E83" s="458"/>
      <c r="F83" s="458"/>
      <c r="G83" s="458"/>
      <c r="H83" s="458"/>
      <c r="I83" s="458"/>
      <c r="J83" s="458"/>
      <c r="K83" s="458"/>
      <c r="L83" s="458"/>
      <c r="M83" s="458"/>
      <c r="N83" s="458"/>
      <c r="O83" s="458"/>
      <c r="P83" s="458"/>
      <c r="Q83" s="458"/>
      <c r="R83" s="458"/>
      <c r="S83" s="458"/>
      <c r="T83" s="458"/>
      <c r="U83" s="458"/>
      <c r="V83" s="458"/>
      <c r="W83" s="458"/>
      <c r="X83" s="458"/>
      <c r="Y83" s="458"/>
      <c r="Z83" s="458"/>
      <c r="AA83" s="458"/>
      <c r="AB83" s="458"/>
      <c r="AC83" s="458"/>
      <c r="AD83" s="458"/>
      <c r="AE83" s="458"/>
      <c r="AF83" s="457"/>
    </row>
    <row r="84" spans="2:32">
      <c r="B84" s="674" t="s">
        <v>110</v>
      </c>
      <c r="C84" s="674"/>
      <c r="D84" s="674"/>
      <c r="E84" s="674"/>
      <c r="F84" s="674"/>
      <c r="G84" s="674"/>
      <c r="H84" s="674"/>
      <c r="I84" s="674"/>
      <c r="J84" s="674"/>
      <c r="K84" s="674"/>
      <c r="L84" s="674"/>
      <c r="M84" s="458"/>
      <c r="N84" s="458"/>
      <c r="O84" s="481"/>
      <c r="P84" s="458"/>
      <c r="Q84" s="458"/>
      <c r="R84" s="458"/>
      <c r="S84" s="458"/>
      <c r="T84" s="458"/>
      <c r="U84" s="458"/>
      <c r="V84" s="458"/>
      <c r="W84" s="458"/>
      <c r="X84" s="458"/>
      <c r="Y84" s="458"/>
      <c r="Z84" s="458"/>
      <c r="AA84" s="458"/>
      <c r="AB84" s="458"/>
      <c r="AC84" s="458"/>
      <c r="AD84" s="458"/>
      <c r="AE84" s="458"/>
      <c r="AF84" s="458"/>
    </row>
    <row r="85" spans="2:32">
      <c r="B85" s="674"/>
      <c r="C85" s="674"/>
      <c r="D85" s="674"/>
      <c r="E85" s="674"/>
      <c r="F85" s="674"/>
      <c r="G85" s="674"/>
      <c r="H85" s="674"/>
      <c r="I85" s="674"/>
      <c r="J85" s="674"/>
      <c r="K85" s="674"/>
      <c r="L85" s="674"/>
      <c r="M85" s="458"/>
      <c r="N85" s="458"/>
      <c r="O85" s="481"/>
      <c r="P85" s="458"/>
      <c r="Q85" s="458"/>
      <c r="R85" s="458"/>
      <c r="S85" s="458"/>
      <c r="T85" s="458"/>
      <c r="U85" s="458"/>
      <c r="V85" s="458"/>
      <c r="W85" s="458"/>
      <c r="X85" s="458"/>
      <c r="Y85" s="458"/>
      <c r="Z85" s="458"/>
      <c r="AA85" s="458"/>
      <c r="AB85" s="458"/>
      <c r="AC85" s="458"/>
      <c r="AD85" s="458"/>
      <c r="AE85" s="458"/>
      <c r="AF85" s="458"/>
    </row>
    <row r="86" spans="2:32">
      <c r="B86" s="414" t="s">
        <v>111</v>
      </c>
      <c r="C86"/>
      <c r="D86"/>
      <c r="E86"/>
      <c r="F86"/>
      <c r="G86"/>
      <c r="H86"/>
      <c r="I86"/>
      <c r="J86"/>
      <c r="K86"/>
      <c r="L86"/>
      <c r="M86" s="458"/>
      <c r="N86" s="458"/>
      <c r="O86" s="458"/>
      <c r="P86" s="458"/>
      <c r="Q86" s="458"/>
      <c r="R86" s="458"/>
      <c r="S86" s="458"/>
      <c r="T86" s="458"/>
      <c r="U86" s="458"/>
      <c r="V86" s="458"/>
      <c r="W86" s="458"/>
      <c r="X86" s="458"/>
      <c r="Y86" s="458"/>
      <c r="Z86" s="458"/>
      <c r="AA86" s="458"/>
      <c r="AB86" s="458"/>
      <c r="AC86" s="458"/>
      <c r="AD86" s="458"/>
      <c r="AE86" s="458"/>
      <c r="AF86" s="458"/>
    </row>
    <row r="87" spans="2:32">
      <c r="B87" s="675"/>
      <c r="C87" s="675"/>
      <c r="D87" s="675"/>
      <c r="E87" s="675"/>
      <c r="F87" s="675"/>
      <c r="G87" s="675"/>
      <c r="H87" s="675"/>
      <c r="I87" s="675"/>
      <c r="J87" s="675"/>
      <c r="K87" s="675"/>
      <c r="L87" s="675"/>
      <c r="M87" s="458"/>
      <c r="N87" s="458"/>
      <c r="O87" s="458"/>
      <c r="P87" s="458"/>
      <c r="Q87" s="458"/>
      <c r="R87" s="458"/>
      <c r="S87" s="458"/>
      <c r="T87" s="458"/>
      <c r="U87" s="458"/>
      <c r="V87" s="458"/>
      <c r="W87" s="458"/>
      <c r="X87" s="458"/>
      <c r="Y87" s="458"/>
      <c r="Z87" s="458"/>
      <c r="AA87" s="458"/>
      <c r="AB87" s="458"/>
      <c r="AC87" s="458"/>
      <c r="AD87" s="458"/>
      <c r="AE87" s="458"/>
      <c r="AF87" s="458"/>
    </row>
    <row r="88" spans="2:32">
      <c r="B88" s="675"/>
      <c r="C88" s="675"/>
      <c r="D88" s="675"/>
      <c r="E88" s="675"/>
      <c r="F88" s="675"/>
      <c r="G88" s="675"/>
      <c r="H88" s="675"/>
      <c r="I88" s="675"/>
      <c r="J88" s="675"/>
      <c r="K88" s="675"/>
      <c r="L88" s="675"/>
      <c r="M88" s="458"/>
      <c r="N88" s="458"/>
      <c r="O88" s="458"/>
      <c r="P88" s="458"/>
      <c r="Q88" s="458"/>
      <c r="R88" s="458"/>
      <c r="S88" s="458"/>
      <c r="T88" s="458"/>
      <c r="U88" s="458"/>
      <c r="V88" s="458"/>
      <c r="W88" s="458"/>
      <c r="X88" s="458"/>
      <c r="Y88" s="458"/>
      <c r="Z88" s="458"/>
      <c r="AA88" s="458"/>
      <c r="AB88" s="458"/>
      <c r="AC88" s="458"/>
      <c r="AD88" s="458"/>
      <c r="AE88" s="458"/>
      <c r="AF88" s="458"/>
    </row>
    <row r="89" spans="2:32">
      <c r="B89" s="675"/>
      <c r="C89" s="675"/>
      <c r="D89" s="675"/>
      <c r="E89" s="675"/>
      <c r="F89" s="675"/>
      <c r="G89" s="675"/>
      <c r="H89" s="675"/>
      <c r="I89" s="675"/>
      <c r="J89" s="675"/>
      <c r="K89" s="675"/>
      <c r="L89" s="675"/>
    </row>
    <row r="90" spans="2:32">
      <c r="B90" s="675"/>
      <c r="C90" s="675"/>
      <c r="D90" s="675"/>
      <c r="E90" s="675"/>
      <c r="F90" s="675"/>
      <c r="G90" s="675"/>
      <c r="H90" s="675"/>
      <c r="I90" s="675"/>
      <c r="J90" s="675"/>
      <c r="K90" s="675"/>
      <c r="L90" s="675"/>
      <c r="M90" s="157"/>
      <c r="N90" s="157"/>
      <c r="O90" s="157"/>
      <c r="P90" s="157"/>
      <c r="Q90" s="157"/>
      <c r="R90" s="157"/>
      <c r="S90" s="157"/>
      <c r="T90" s="157"/>
      <c r="U90" s="157"/>
      <c r="V90" s="157"/>
      <c r="W90" s="157"/>
      <c r="X90" s="157"/>
      <c r="Y90" s="157"/>
      <c r="Z90" s="157"/>
      <c r="AA90" s="157"/>
      <c r="AB90" s="157"/>
      <c r="AC90" s="157"/>
      <c r="AD90" s="157"/>
      <c r="AE90" s="157"/>
      <c r="AF90" s="157"/>
    </row>
    <row r="91" spans="2:32">
      <c r="B91" s="157"/>
      <c r="C91" s="157"/>
      <c r="D91" s="157"/>
      <c r="E91" s="157"/>
      <c r="F91" s="157"/>
      <c r="G91" s="157"/>
      <c r="H91" s="157"/>
      <c r="I91" s="157"/>
      <c r="J91" s="157"/>
      <c r="K91" s="157"/>
      <c r="L91" s="157"/>
      <c r="M91" s="157"/>
      <c r="N91" s="157"/>
      <c r="O91" s="157"/>
      <c r="P91" s="157"/>
      <c r="Q91" s="157"/>
      <c r="R91" s="157"/>
      <c r="S91" s="157"/>
      <c r="T91" s="157"/>
      <c r="U91" s="157"/>
      <c r="V91" s="157"/>
      <c r="W91" s="157"/>
      <c r="X91" s="157"/>
      <c r="Y91" s="157"/>
      <c r="Z91" s="157"/>
      <c r="AA91" s="157"/>
      <c r="AB91" s="157"/>
      <c r="AC91" s="157"/>
      <c r="AD91" s="157"/>
      <c r="AE91" s="157"/>
      <c r="AF91" s="157"/>
    </row>
    <row r="92" spans="2:32">
      <c r="B92" s="157" t="s">
        <v>112</v>
      </c>
      <c r="C92" s="157"/>
      <c r="D92" s="157"/>
      <c r="E92" s="157"/>
      <c r="F92" s="157"/>
      <c r="G92" s="157"/>
      <c r="H92" s="157"/>
      <c r="I92" s="157"/>
      <c r="J92" s="157"/>
      <c r="K92" s="157"/>
      <c r="L92" s="157"/>
      <c r="M92" s="157"/>
      <c r="N92" s="157"/>
      <c r="O92" s="157"/>
      <c r="P92" s="157"/>
      <c r="Q92" s="157"/>
      <c r="R92" s="157"/>
      <c r="S92" s="157"/>
      <c r="T92" s="157"/>
      <c r="U92" s="157"/>
      <c r="V92" s="157"/>
      <c r="W92" s="157"/>
      <c r="X92" s="157"/>
      <c r="Y92" s="157"/>
      <c r="Z92" s="157"/>
      <c r="AA92" s="157"/>
      <c r="AB92" s="157"/>
      <c r="AC92" s="157"/>
      <c r="AD92" s="157"/>
      <c r="AE92" s="157"/>
      <c r="AF92" s="157"/>
    </row>
    <row r="93" spans="2:32">
      <c r="B93" s="157"/>
      <c r="C93" s="157"/>
      <c r="D93" s="157"/>
      <c r="E93" s="157"/>
      <c r="F93" s="157"/>
      <c r="G93" s="157"/>
      <c r="H93" s="157"/>
      <c r="I93" s="157"/>
      <c r="J93" s="157"/>
      <c r="K93" s="157"/>
      <c r="L93" s="157"/>
      <c r="M93" s="157"/>
      <c r="N93" s="157"/>
      <c r="O93" s="157"/>
      <c r="P93" s="157"/>
      <c r="Q93" s="157"/>
      <c r="R93" s="157"/>
      <c r="S93" s="157"/>
      <c r="T93" s="157"/>
      <c r="U93" s="157"/>
      <c r="V93" s="157"/>
      <c r="W93" s="157"/>
      <c r="X93" s="157"/>
      <c r="Y93" s="157"/>
      <c r="Z93" s="157"/>
      <c r="AA93" s="157"/>
      <c r="AB93" s="157"/>
      <c r="AC93" s="157"/>
      <c r="AD93" s="157"/>
      <c r="AE93" s="157"/>
      <c r="AF93" s="157"/>
    </row>
    <row r="94" spans="2:32">
      <c r="B94" s="157"/>
      <c r="C94" s="157"/>
      <c r="D94" s="157"/>
      <c r="E94" s="157"/>
      <c r="F94" s="157"/>
      <c r="G94" s="157"/>
      <c r="H94" s="157"/>
      <c r="I94" s="157"/>
      <c r="J94" s="157"/>
      <c r="K94" s="157"/>
      <c r="L94" s="157"/>
      <c r="M94" s="157"/>
      <c r="N94" s="157"/>
      <c r="O94" s="157"/>
      <c r="P94" s="157"/>
      <c r="Q94" s="157"/>
      <c r="R94" s="157"/>
      <c r="S94" s="157"/>
      <c r="T94" s="157"/>
      <c r="U94" s="157"/>
      <c r="V94" s="157"/>
      <c r="W94" s="157"/>
      <c r="X94" s="157"/>
      <c r="Y94" s="157"/>
      <c r="Z94" s="157"/>
      <c r="AA94" s="157"/>
      <c r="AB94" s="157"/>
      <c r="AC94" s="157"/>
      <c r="AD94" s="157"/>
      <c r="AE94" s="157"/>
      <c r="AF94" s="157"/>
    </row>
  </sheetData>
  <sheetProtection formatCells="0" selectLockedCells="1"/>
  <dataConsolidate/>
  <mergeCells count="382">
    <mergeCell ref="AE10:AF10"/>
    <mergeCell ref="AE9:AF9"/>
    <mergeCell ref="AE8:AF8"/>
    <mergeCell ref="AE7:AF7"/>
    <mergeCell ref="AE58:AF60"/>
    <mergeCell ref="AE61:AF62"/>
    <mergeCell ref="AE63:AF64"/>
    <mergeCell ref="AE65:AF65"/>
    <mergeCell ref="AE66:AF67"/>
    <mergeCell ref="AE19:AF19"/>
    <mergeCell ref="AE18:AF18"/>
    <mergeCell ref="AE17:AF17"/>
    <mergeCell ref="AE16:AF16"/>
    <mergeCell ref="AE15:AF15"/>
    <mergeCell ref="AE14:AF14"/>
    <mergeCell ref="AE13:AF13"/>
    <mergeCell ref="AE12:AF12"/>
    <mergeCell ref="AE11:AF11"/>
    <mergeCell ref="AE28:AF28"/>
    <mergeCell ref="AE21:AF21"/>
    <mergeCell ref="AE20:AF20"/>
    <mergeCell ref="AE37:AF37"/>
    <mergeCell ref="AE25:AF25"/>
    <mergeCell ref="AE24:AF24"/>
    <mergeCell ref="AE23:AF23"/>
    <mergeCell ref="AE22:AF22"/>
    <mergeCell ref="AE48:AF48"/>
    <mergeCell ref="AE49:AF49"/>
    <mergeCell ref="AE47:AF47"/>
    <mergeCell ref="AE46:AF46"/>
    <mergeCell ref="AE45:AF45"/>
    <mergeCell ref="AE44:AF44"/>
    <mergeCell ref="AE43:AF43"/>
    <mergeCell ref="AE42:AF42"/>
    <mergeCell ref="AE41:AF41"/>
    <mergeCell ref="AE34:AF34"/>
    <mergeCell ref="AE33:AF33"/>
    <mergeCell ref="AE32:AF32"/>
    <mergeCell ref="AE31:AF31"/>
    <mergeCell ref="AE30:AF30"/>
    <mergeCell ref="AE29:AF29"/>
    <mergeCell ref="AE40:AF40"/>
    <mergeCell ref="AE39:AF39"/>
    <mergeCell ref="AE38:AF38"/>
    <mergeCell ref="AE27:AF27"/>
    <mergeCell ref="AE26:AF26"/>
    <mergeCell ref="AE36:AF36"/>
    <mergeCell ref="AE35:AF35"/>
    <mergeCell ref="AE52:AF52"/>
    <mergeCell ref="AE50:AF50"/>
    <mergeCell ref="AD54:AD55"/>
    <mergeCell ref="AE54:AE55"/>
    <mergeCell ref="AF54:AF55"/>
    <mergeCell ref="AE68:AF68"/>
    <mergeCell ref="AB64:AD64"/>
    <mergeCell ref="X61:AD61"/>
    <mergeCell ref="X63:AD63"/>
    <mergeCell ref="X58:AA58"/>
    <mergeCell ref="X59:AA60"/>
    <mergeCell ref="AB58:AD58"/>
    <mergeCell ref="AB59:AD60"/>
    <mergeCell ref="AE51:AF51"/>
    <mergeCell ref="X68:AA68"/>
    <mergeCell ref="AB68:AD68"/>
    <mergeCell ref="X62:AA62"/>
    <mergeCell ref="AB62:AD62"/>
    <mergeCell ref="X64:AA64"/>
    <mergeCell ref="X65:AA65"/>
    <mergeCell ref="AB65:AD65"/>
    <mergeCell ref="X66:AA67"/>
    <mergeCell ref="AB66:AD67"/>
    <mergeCell ref="U64:W64"/>
    <mergeCell ref="S62:T62"/>
    <mergeCell ref="U62:W62"/>
    <mergeCell ref="B68:F68"/>
    <mergeCell ref="L70:M70"/>
    <mergeCell ref="L72:M72"/>
    <mergeCell ref="S68:T68"/>
    <mergeCell ref="U68:W68"/>
    <mergeCell ref="S66:T66"/>
    <mergeCell ref="U66:W66"/>
    <mergeCell ref="U67:W67"/>
    <mergeCell ref="S65:T65"/>
    <mergeCell ref="U65:W65"/>
    <mergeCell ref="S67:T67"/>
    <mergeCell ref="U69:W69"/>
    <mergeCell ref="U70:W70"/>
    <mergeCell ref="S69:T69"/>
    <mergeCell ref="S70:T70"/>
    <mergeCell ref="S71:W72"/>
    <mergeCell ref="L71:M71"/>
    <mergeCell ref="G67:I67"/>
    <mergeCell ref="L67:M67"/>
    <mergeCell ref="L69:M69"/>
    <mergeCell ref="L68:M68"/>
    <mergeCell ref="B59:D60"/>
    <mergeCell ref="E59:F60"/>
    <mergeCell ref="G59:J59"/>
    <mergeCell ref="G60:J60"/>
    <mergeCell ref="AB69:AD70"/>
    <mergeCell ref="L66:M66"/>
    <mergeCell ref="B65:D65"/>
    <mergeCell ref="E65:F65"/>
    <mergeCell ref="L65:M65"/>
    <mergeCell ref="B66:D67"/>
    <mergeCell ref="E66:F67"/>
    <mergeCell ref="B61:D61"/>
    <mergeCell ref="E61:F61"/>
    <mergeCell ref="G61:J61"/>
    <mergeCell ref="G64:J64"/>
    <mergeCell ref="G63:J63"/>
    <mergeCell ref="B62:D63"/>
    <mergeCell ref="G62:J62"/>
    <mergeCell ref="E62:F63"/>
    <mergeCell ref="G65:I65"/>
    <mergeCell ref="S61:W61"/>
    <mergeCell ref="S63:T63"/>
    <mergeCell ref="U63:W63"/>
    <mergeCell ref="S64:T64"/>
    <mergeCell ref="B58:D58"/>
    <mergeCell ref="L58:M58"/>
    <mergeCell ref="G58:J58"/>
    <mergeCell ref="P52:Q52"/>
    <mergeCell ref="R52:AB52"/>
    <mergeCell ref="E53:AC55"/>
    <mergeCell ref="M50:M52"/>
    <mergeCell ref="N50:N52"/>
    <mergeCell ref="O50:O52"/>
    <mergeCell ref="P50:Q50"/>
    <mergeCell ref="F51:G51"/>
    <mergeCell ref="B50:B52"/>
    <mergeCell ref="D50:D52"/>
    <mergeCell ref="E50:E52"/>
    <mergeCell ref="F50:G50"/>
    <mergeCell ref="H50:H52"/>
    <mergeCell ref="B53:C55"/>
    <mergeCell ref="D53:D55"/>
    <mergeCell ref="S58:W58"/>
    <mergeCell ref="P43:Q43"/>
    <mergeCell ref="R43:AB43"/>
    <mergeCell ref="N41:N43"/>
    <mergeCell ref="O41:O43"/>
    <mergeCell ref="P41:Q41"/>
    <mergeCell ref="P42:Q42"/>
    <mergeCell ref="J41:J43"/>
    <mergeCell ref="M41:M43"/>
    <mergeCell ref="B47:B49"/>
    <mergeCell ref="D47:D49"/>
    <mergeCell ref="E47:E49"/>
    <mergeCell ref="F47:G47"/>
    <mergeCell ref="H47:H49"/>
    <mergeCell ref="I47:I49"/>
    <mergeCell ref="J47:J49"/>
    <mergeCell ref="M44:M46"/>
    <mergeCell ref="F45:G45"/>
    <mergeCell ref="D44:D46"/>
    <mergeCell ref="E44:E46"/>
    <mergeCell ref="F44:G44"/>
    <mergeCell ref="H44:H46"/>
    <mergeCell ref="I44:I46"/>
    <mergeCell ref="B44:B46"/>
    <mergeCell ref="B41:B43"/>
    <mergeCell ref="D41:D43"/>
    <mergeCell ref="E41:E43"/>
    <mergeCell ref="F41:G41"/>
    <mergeCell ref="H41:H43"/>
    <mergeCell ref="I41:I43"/>
    <mergeCell ref="F39:G39"/>
    <mergeCell ref="F38:G38"/>
    <mergeCell ref="H38:H40"/>
    <mergeCell ref="I38:I40"/>
    <mergeCell ref="F42:G42"/>
    <mergeCell ref="P40:Q40"/>
    <mergeCell ref="M38:M40"/>
    <mergeCell ref="J38:J40"/>
    <mergeCell ref="R40:AB40"/>
    <mergeCell ref="N38:N40"/>
    <mergeCell ref="O38:O40"/>
    <mergeCell ref="P39:Q39"/>
    <mergeCell ref="P38:Q38"/>
    <mergeCell ref="J32:J34"/>
    <mergeCell ref="M32:M34"/>
    <mergeCell ref="N32:N34"/>
    <mergeCell ref="O32:O34"/>
    <mergeCell ref="P32:Q32"/>
    <mergeCell ref="P33:Q33"/>
    <mergeCell ref="M35:M37"/>
    <mergeCell ref="J35:J37"/>
    <mergeCell ref="B38:B40"/>
    <mergeCell ref="D38:D40"/>
    <mergeCell ref="E38:E40"/>
    <mergeCell ref="P34:Q34"/>
    <mergeCell ref="P29:Q29"/>
    <mergeCell ref="P30:Q30"/>
    <mergeCell ref="P37:Q37"/>
    <mergeCell ref="R37:AB37"/>
    <mergeCell ref="N35:N37"/>
    <mergeCell ref="O35:O37"/>
    <mergeCell ref="P35:Q35"/>
    <mergeCell ref="P36:Q36"/>
    <mergeCell ref="R34:AB34"/>
    <mergeCell ref="H29:H31"/>
    <mergeCell ref="I29:I31"/>
    <mergeCell ref="J29:J31"/>
    <mergeCell ref="B29:B31"/>
    <mergeCell ref="B35:B37"/>
    <mergeCell ref="D35:D37"/>
    <mergeCell ref="E35:E37"/>
    <mergeCell ref="F35:G35"/>
    <mergeCell ref="H35:H37"/>
    <mergeCell ref="I35:I37"/>
    <mergeCell ref="F36:G36"/>
    <mergeCell ref="F7:G7"/>
    <mergeCell ref="Q7:AB7"/>
    <mergeCell ref="R10:AB10"/>
    <mergeCell ref="F12:G12"/>
    <mergeCell ref="F15:G15"/>
    <mergeCell ref="P13:Q13"/>
    <mergeCell ref="P14:Q14"/>
    <mergeCell ref="M14:M16"/>
    <mergeCell ref="N14:N16"/>
    <mergeCell ref="P15:Q15"/>
    <mergeCell ref="J8:J10"/>
    <mergeCell ref="P10:Q10"/>
    <mergeCell ref="O8:O10"/>
    <mergeCell ref="P8:Q8"/>
    <mergeCell ref="F9:G9"/>
    <mergeCell ref="P9:Q9"/>
    <mergeCell ref="J14:J16"/>
    <mergeCell ref="M8:M10"/>
    <mergeCell ref="N8:N10"/>
    <mergeCell ref="O14:O16"/>
    <mergeCell ref="K7:L7"/>
    <mergeCell ref="B8:B10"/>
    <mergeCell ref="D8:D10"/>
    <mergeCell ref="E8:E10"/>
    <mergeCell ref="R13:AB13"/>
    <mergeCell ref="N11:N13"/>
    <mergeCell ref="P11:Q11"/>
    <mergeCell ref="P12:Q12"/>
    <mergeCell ref="M11:M13"/>
    <mergeCell ref="O11:O13"/>
    <mergeCell ref="F8:G8"/>
    <mergeCell ref="H8:H10"/>
    <mergeCell ref="I8:I10"/>
    <mergeCell ref="I11:I13"/>
    <mergeCell ref="J11:J13"/>
    <mergeCell ref="B11:B13"/>
    <mergeCell ref="D11:D13"/>
    <mergeCell ref="E11:E13"/>
    <mergeCell ref="F11:G11"/>
    <mergeCell ref="H11:H13"/>
    <mergeCell ref="B14:B16"/>
    <mergeCell ref="D14:D16"/>
    <mergeCell ref="R22:AB22"/>
    <mergeCell ref="N20:N22"/>
    <mergeCell ref="O20:O22"/>
    <mergeCell ref="P20:Q20"/>
    <mergeCell ref="R19:AB19"/>
    <mergeCell ref="P17:Q17"/>
    <mergeCell ref="P18:Q18"/>
    <mergeCell ref="N17:N19"/>
    <mergeCell ref="O17:O19"/>
    <mergeCell ref="P22:Q22"/>
    <mergeCell ref="E14:E16"/>
    <mergeCell ref="F14:G14"/>
    <mergeCell ref="H14:H16"/>
    <mergeCell ref="I14:I16"/>
    <mergeCell ref="E17:E19"/>
    <mergeCell ref="I17:I19"/>
    <mergeCell ref="J17:J19"/>
    <mergeCell ref="F17:G17"/>
    <mergeCell ref="M17:M19"/>
    <mergeCell ref="F18:G18"/>
    <mergeCell ref="P16:Q16"/>
    <mergeCell ref="R16:AB16"/>
    <mergeCell ref="P25:Q25"/>
    <mergeCell ref="R28:AB28"/>
    <mergeCell ref="R31:AB31"/>
    <mergeCell ref="N23:N25"/>
    <mergeCell ref="P23:Q23"/>
    <mergeCell ref="P24:Q24"/>
    <mergeCell ref="J23:J25"/>
    <mergeCell ref="M29:M31"/>
    <mergeCell ref="O23:O25"/>
    <mergeCell ref="O29:O31"/>
    <mergeCell ref="J26:J28"/>
    <mergeCell ref="M26:M28"/>
    <mergeCell ref="N26:N28"/>
    <mergeCell ref="O26:O28"/>
    <mergeCell ref="P26:Q26"/>
    <mergeCell ref="P27:Q27"/>
    <mergeCell ref="P31:Q31"/>
    <mergeCell ref="N29:N31"/>
    <mergeCell ref="B17:B19"/>
    <mergeCell ref="H17:H19"/>
    <mergeCell ref="F21:G21"/>
    <mergeCell ref="F20:G20"/>
    <mergeCell ref="H20:H22"/>
    <mergeCell ref="D17:D19"/>
    <mergeCell ref="R25:AB25"/>
    <mergeCell ref="P28:Q28"/>
    <mergeCell ref="M23:M25"/>
    <mergeCell ref="F24:G24"/>
    <mergeCell ref="H26:H28"/>
    <mergeCell ref="I26:I28"/>
    <mergeCell ref="P21:Q21"/>
    <mergeCell ref="J20:J22"/>
    <mergeCell ref="I20:I22"/>
    <mergeCell ref="D23:D25"/>
    <mergeCell ref="E23:E25"/>
    <mergeCell ref="F23:G23"/>
    <mergeCell ref="H23:H25"/>
    <mergeCell ref="I23:I25"/>
    <mergeCell ref="M20:M22"/>
    <mergeCell ref="P19:Q19"/>
    <mergeCell ref="B20:B22"/>
    <mergeCell ref="D20:D22"/>
    <mergeCell ref="E20:E22"/>
    <mergeCell ref="F27:G27"/>
    <mergeCell ref="F33:G33"/>
    <mergeCell ref="F32:G32"/>
    <mergeCell ref="F30:G30"/>
    <mergeCell ref="B26:B28"/>
    <mergeCell ref="D26:D28"/>
    <mergeCell ref="E26:E28"/>
    <mergeCell ref="B23:B25"/>
    <mergeCell ref="D29:D31"/>
    <mergeCell ref="E29:E31"/>
    <mergeCell ref="F29:G29"/>
    <mergeCell ref="B32:B34"/>
    <mergeCell ref="D32:D34"/>
    <mergeCell ref="E32:E34"/>
    <mergeCell ref="F26:G26"/>
    <mergeCell ref="H32:H34"/>
    <mergeCell ref="I32:I34"/>
    <mergeCell ref="AE71:AF73"/>
    <mergeCell ref="AE74:AF74"/>
    <mergeCell ref="AE69:AF70"/>
    <mergeCell ref="P46:Q46"/>
    <mergeCell ref="J44:J46"/>
    <mergeCell ref="M47:M49"/>
    <mergeCell ref="F48:G48"/>
    <mergeCell ref="I50:I52"/>
    <mergeCell ref="J50:J52"/>
    <mergeCell ref="R46:AB46"/>
    <mergeCell ref="N44:N46"/>
    <mergeCell ref="O44:O46"/>
    <mergeCell ref="P44:Q44"/>
    <mergeCell ref="P45:Q45"/>
    <mergeCell ref="P49:Q49"/>
    <mergeCell ref="R49:AB49"/>
    <mergeCell ref="N47:N49"/>
    <mergeCell ref="O47:O49"/>
    <mergeCell ref="P47:Q47"/>
    <mergeCell ref="P48:Q48"/>
    <mergeCell ref="P51:Q51"/>
    <mergeCell ref="G73:I73"/>
    <mergeCell ref="S73:W75"/>
    <mergeCell ref="AB72:AD72"/>
    <mergeCell ref="AB74:AD75"/>
    <mergeCell ref="S59:W59"/>
    <mergeCell ref="S60:W60"/>
    <mergeCell ref="B84:L85"/>
    <mergeCell ref="B87:L90"/>
    <mergeCell ref="G71:I71"/>
    <mergeCell ref="G69:I69"/>
    <mergeCell ref="N75:O75"/>
    <mergeCell ref="N74:O74"/>
    <mergeCell ref="B69:F75"/>
    <mergeCell ref="Q74:R74"/>
    <mergeCell ref="L75:M75"/>
    <mergeCell ref="Q75:R75"/>
    <mergeCell ref="L73:M73"/>
    <mergeCell ref="D77:AF82"/>
    <mergeCell ref="B77:C82"/>
    <mergeCell ref="AE75:AF75"/>
    <mergeCell ref="AB73:AD73"/>
    <mergeCell ref="AB71:AD71"/>
    <mergeCell ref="X71:AA73"/>
    <mergeCell ref="X74:AA75"/>
    <mergeCell ref="X69:AA70"/>
  </mergeCells>
  <conditionalFormatting sqref="B1:B3">
    <cfRule type="expression" dxfId="1188" priority="1646">
      <formula>$AH1="Quoted"</formula>
    </cfRule>
  </conditionalFormatting>
  <conditionalFormatting sqref="C8:O10">
    <cfRule type="expression" dxfId="1187" priority="17">
      <formula>$AE$8="Quoted"</formula>
    </cfRule>
  </conditionalFormatting>
  <conditionalFormatting sqref="C11:O13 P12:AF13">
    <cfRule type="expression" dxfId="1186" priority="40">
      <formula>$AE$11="Quoted"</formula>
    </cfRule>
  </conditionalFormatting>
  <conditionalFormatting sqref="C8:AF10">
    <cfRule type="expression" dxfId="1185" priority="4">
      <formula>$AE$10="Incomplete"</formula>
    </cfRule>
  </conditionalFormatting>
  <conditionalFormatting sqref="C11:AF13">
    <cfRule type="expression" dxfId="1184" priority="2">
      <formula>$AE$13="Incomplete"</formula>
    </cfRule>
  </conditionalFormatting>
  <conditionalFormatting sqref="C14:AF16">
    <cfRule type="expression" dxfId="1183" priority="719">
      <formula>$AE$14="Quoted"</formula>
    </cfRule>
    <cfRule type="expression" dxfId="1182" priority="67">
      <formula>$AE$16="Incomplete"</formula>
    </cfRule>
  </conditionalFormatting>
  <conditionalFormatting sqref="C17:AF19">
    <cfRule type="expression" dxfId="1181" priority="701">
      <formula>$AE$17="Quoted"</formula>
    </cfRule>
    <cfRule type="expression" dxfId="1180" priority="66">
      <formula>$AE$19="Incomplete"</formula>
    </cfRule>
  </conditionalFormatting>
  <conditionalFormatting sqref="C20:AF22">
    <cfRule type="expression" dxfId="1179" priority="65">
      <formula>$AE$22="Incomplete"</formula>
    </cfRule>
    <cfRule type="expression" dxfId="1178" priority="698">
      <formula>$AE$20="Quoted"</formula>
    </cfRule>
  </conditionalFormatting>
  <conditionalFormatting sqref="C23:AF25">
    <cfRule type="expression" dxfId="1177" priority="64">
      <formula>$AE$25="Incomplete"</formula>
    </cfRule>
    <cfRule type="expression" dxfId="1176" priority="695">
      <formula>$AE$23="Quoted"</formula>
    </cfRule>
  </conditionalFormatting>
  <conditionalFormatting sqref="C26:AF28">
    <cfRule type="expression" dxfId="1175" priority="63">
      <formula>$AE$28="Incomplete"</formula>
    </cfRule>
    <cfRule type="expression" dxfId="1174" priority="567">
      <formula>$AE$26="Quoted"</formula>
    </cfRule>
  </conditionalFormatting>
  <conditionalFormatting sqref="C29:AF29 C30:F30 H30:AF30 C31:AF31">
    <cfRule type="expression" dxfId="1173" priority="62">
      <formula>$AE$31="Incomplete"</formula>
    </cfRule>
  </conditionalFormatting>
  <conditionalFormatting sqref="C29:AF31">
    <cfRule type="expression" dxfId="1172" priority="690">
      <formula>$AE$29="Quoted"</formula>
    </cfRule>
  </conditionalFormatting>
  <conditionalFormatting sqref="C32:AF34">
    <cfRule type="expression" dxfId="1171" priority="61">
      <formula>$AE$34="Incomplete"</formula>
    </cfRule>
    <cfRule type="expression" dxfId="1170" priority="687">
      <formula>$AE$32="Quoted"</formula>
    </cfRule>
  </conditionalFormatting>
  <conditionalFormatting sqref="C35:AF37">
    <cfRule type="expression" dxfId="1169" priority="60">
      <formula>$AE$37="Incomplete"</formula>
    </cfRule>
    <cfRule type="expression" dxfId="1168" priority="684">
      <formula>$AE$35="Quoted"</formula>
    </cfRule>
  </conditionalFormatting>
  <conditionalFormatting sqref="C38:AF40">
    <cfRule type="expression" dxfId="1167" priority="681">
      <formula>$AE$38="Quoted"</formula>
    </cfRule>
    <cfRule type="expression" dxfId="1166" priority="59">
      <formula>$AE$40="Incomplete"</formula>
    </cfRule>
  </conditionalFormatting>
  <conditionalFormatting sqref="C41:AF43">
    <cfRule type="expression" dxfId="1165" priority="58">
      <formula>$AE$43="Incomplete"</formula>
    </cfRule>
    <cfRule type="expression" dxfId="1164" priority="678">
      <formula>$AE$41="Quoted"</formula>
    </cfRule>
  </conditionalFormatting>
  <conditionalFormatting sqref="C44:AF46">
    <cfRule type="expression" dxfId="1163" priority="675">
      <formula>$AE$44="Quoted"</formula>
    </cfRule>
    <cfRule type="expression" dxfId="1162" priority="57">
      <formula>$AE$46="Incomplete"</formula>
    </cfRule>
  </conditionalFormatting>
  <conditionalFormatting sqref="C47:AF49">
    <cfRule type="expression" dxfId="1161" priority="672">
      <formula>$AE$47="Quoted"</formula>
    </cfRule>
    <cfRule type="expression" dxfId="1160" priority="56">
      <formula>$AE$49="Incomplete"</formula>
    </cfRule>
  </conditionalFormatting>
  <conditionalFormatting sqref="C50:AF52">
    <cfRule type="expression" dxfId="1159" priority="55">
      <formula>$AE$52="Incomplete"</formula>
    </cfRule>
    <cfRule type="expression" dxfId="1158" priority="669">
      <formula>$AE$50="Quoted"</formula>
    </cfRule>
  </conditionalFormatting>
  <conditionalFormatting sqref="D8">
    <cfRule type="expression" dxfId="1157" priority="16">
      <formula>OR($D$8="Tracked",$D$8="S/Shade", $D$8="Shape",$D$8="French Door Cutout")</formula>
    </cfRule>
  </conditionalFormatting>
  <conditionalFormatting sqref="D8:D10">
    <cfRule type="expression" dxfId="1156" priority="23">
      <formula>$D8="Tracked"</formula>
    </cfRule>
  </conditionalFormatting>
  <conditionalFormatting sqref="D11">
    <cfRule type="expression" dxfId="1155" priority="36">
      <formula>OR($D$11="Tracked",$D$11="S/Shade", $D$11="Shape",$D$11="French Door Cutout")</formula>
    </cfRule>
  </conditionalFormatting>
  <conditionalFormatting sqref="D11:D13">
    <cfRule type="containsText" dxfId="1154" priority="32" operator="containsText" text="Tier">
      <formula>NOT(ISERROR(SEARCH("Tier",D11)))</formula>
    </cfRule>
  </conditionalFormatting>
  <conditionalFormatting sqref="D14">
    <cfRule type="expression" dxfId="1153" priority="327">
      <formula>OR($D$14="Tracked",$D$14="S/Shade", $D$14="Shape",$D$14="French Door Cutout")</formula>
    </cfRule>
  </conditionalFormatting>
  <conditionalFormatting sqref="D14:D52">
    <cfRule type="containsText" dxfId="1152" priority="328" operator="containsText" text="Tier">
      <formula>NOT(ISERROR(SEARCH("Tier",D14)))</formula>
    </cfRule>
  </conditionalFormatting>
  <conditionalFormatting sqref="D17:D19">
    <cfRule type="expression" dxfId="1151" priority="329">
      <formula>OR($D$17="Tracked",$D$17="S/Shade", $D$17="Shape",$D$17="French Door Cutout")</formula>
    </cfRule>
  </conditionalFormatting>
  <conditionalFormatting sqref="D17:D20">
    <cfRule type="expression" dxfId="1150" priority="332">
      <formula>IF(C17="","",AND(C17="Shape",D17&lt;&gt;"Fiji",C17="Shape",D17&lt;&gt;"Samoa"))</formula>
    </cfRule>
  </conditionalFormatting>
  <conditionalFormatting sqref="D20">
    <cfRule type="expression" dxfId="1149" priority="566">
      <formula>OR($D$20="Tracked",$D$20="S/Shade", $D$20="Shape",$D$20="French Door Cutout")</formula>
    </cfRule>
  </conditionalFormatting>
  <conditionalFormatting sqref="D23">
    <cfRule type="expression" dxfId="1148" priority="560">
      <formula>OR($D$23="Tracked",$D$23="S/Shade", $D$23="Shape",$D$23="French Door Cutout")</formula>
    </cfRule>
    <cfRule type="expression" dxfId="1147" priority="562">
      <formula>IF(C23="","",AND(C23="Shape",D23&lt;&gt;"Fiji",C23="Shape",D23&lt;&gt;"Samoa"))</formula>
    </cfRule>
  </conditionalFormatting>
  <conditionalFormatting sqref="D26">
    <cfRule type="expression" dxfId="1146" priority="557">
      <formula>OR($D$26="Tracked",$D$26="S/Shade", $D$26="Shape",$D$26="French Door Cutout")</formula>
    </cfRule>
    <cfRule type="expression" dxfId="1145" priority="559">
      <formula>IF(C26="","",AND(C26="Shape",D26&lt;&gt;"Fiji",C26="Shape",D26&lt;&gt;"Samoa"))</formula>
    </cfRule>
  </conditionalFormatting>
  <conditionalFormatting sqref="D29">
    <cfRule type="expression" dxfId="1144" priority="553">
      <formula>OR($D$29="Tracked",$D$29="S/Shade", $D$29="Shape",$D$29="French Door Cutout")</formula>
    </cfRule>
    <cfRule type="expression" dxfId="1143" priority="555">
      <formula>IF(C29="","",AND(C29="Shape",D29&lt;&gt;"Fiji",C29="Shape",D29&lt;&gt;"Samoa"))</formula>
    </cfRule>
  </conditionalFormatting>
  <conditionalFormatting sqref="D29:D31">
    <cfRule type="expression" dxfId="1142" priority="556">
      <formula>$AE$29="Quoted"</formula>
    </cfRule>
  </conditionalFormatting>
  <conditionalFormatting sqref="D32">
    <cfRule type="expression" dxfId="1141" priority="551">
      <formula>IF(C32="","",AND(C32="Shape",D32&lt;&gt;"Fiji",C32="Shape",D32&lt;&gt;"Samoa"))</formula>
    </cfRule>
    <cfRule type="expression" dxfId="1140" priority="549">
      <formula>OR($D$32="Tracked",$D$32="S/Shade", $D$32="Shape",$D$32="French Door Cutout")</formula>
    </cfRule>
  </conditionalFormatting>
  <conditionalFormatting sqref="D35">
    <cfRule type="expression" dxfId="1139" priority="547">
      <formula>IF(C35="","",AND(C35="Shape",D35&lt;&gt;"Fiji",C35="Shape",D35&lt;&gt;"Samoa"))</formula>
    </cfRule>
    <cfRule type="expression" dxfId="1138" priority="545">
      <formula>OR($D$35="Tracked",$D$35="S/Shade", $D$35="Shape",$D$35="French Door Cutout")</formula>
    </cfRule>
  </conditionalFormatting>
  <conditionalFormatting sqref="D38">
    <cfRule type="expression" dxfId="1137" priority="543">
      <formula>IF(C38="","",AND(C38="Shape",D38&lt;&gt;"Fiji",C38="Shape",D38&lt;&gt;"Samoa"))</formula>
    </cfRule>
    <cfRule type="expression" dxfId="1136" priority="541">
      <formula>OR($D$38="Tracked",$D$38="S/Shade", $D$38="Shape",$D$38="French Door Cutout")</formula>
    </cfRule>
  </conditionalFormatting>
  <conditionalFormatting sqref="D41">
    <cfRule type="expression" dxfId="1135" priority="539">
      <formula>IF(C41="","",AND(C41="Shape",D41&lt;&gt;"Fiji",C41="Shape",D41&lt;&gt;"Samoa"))</formula>
    </cfRule>
    <cfRule type="expression" dxfId="1134" priority="537">
      <formula>OR($D$41="Tracked",$D$41="S/Shade", $D$41="Shape",$D$41="French Door Cutout")</formula>
    </cfRule>
  </conditionalFormatting>
  <conditionalFormatting sqref="D44">
    <cfRule type="expression" dxfId="1133" priority="533">
      <formula>OR($D$44="Tracked",$D$44="S/Shade", $D$44="Shape",$D$44="French Door Cutout")</formula>
    </cfRule>
    <cfRule type="expression" dxfId="1132" priority="535">
      <formula>IF(C44="","",AND(C44="Shape",D44&lt;&gt;"Fiji",C44="Shape",D44&lt;&gt;"Samoa"))</formula>
    </cfRule>
  </conditionalFormatting>
  <conditionalFormatting sqref="D47">
    <cfRule type="expression" dxfId="1131" priority="531">
      <formula>IF(C47="","",AND(C47="Shape",D47&lt;&gt;"Fiji",C47="Shape",D47&lt;&gt;"Samoa"))</formula>
    </cfRule>
    <cfRule type="expression" dxfId="1130" priority="529">
      <formula>OR($D$47="Tracked",$D$47="S/Shade", $D$47="Shape",$D$47="French Door Cutout")</formula>
    </cfRule>
  </conditionalFormatting>
  <conditionalFormatting sqref="D50">
    <cfRule type="expression" dxfId="1129" priority="527">
      <formula>IF(C50="","",AND(C50="Shape",D50&lt;&gt;"Fiji",C50="Shape",D50&lt;&gt;"Samoa"))</formula>
    </cfRule>
    <cfRule type="expression" dxfId="1128" priority="525">
      <formula>OR($D$50="Tracked",$D$50="S/Shade", $D$50="Shape",$D$50="French Door Cutout")</formula>
    </cfRule>
  </conditionalFormatting>
  <conditionalFormatting sqref="D53:D55">
    <cfRule type="expression" dxfId="1127" priority="251">
      <formula>$D$53="Yes"</formula>
    </cfRule>
  </conditionalFormatting>
  <conditionalFormatting sqref="E14">
    <cfRule type="expression" dxfId="1126" priority="323">
      <formula>IF(D14="","",AND(D14="French Door Cutout",E14&lt;&gt;"Fiji",D14="French Door Cutout",E14&lt;&gt;"Samoa"))</formula>
    </cfRule>
    <cfRule type="expression" dxfId="1125" priority="325">
      <formula>AND(OR($C14="Bathroom",$C15="Bathroom",$C16="Bathroom"),AND($E14&lt;&gt;"Java",$E14&lt;&gt;"Belize"))</formula>
    </cfRule>
  </conditionalFormatting>
  <conditionalFormatting sqref="E14:E19">
    <cfRule type="expression" dxfId="1124" priority="320">
      <formula>$AE$20="Quoted"</formula>
    </cfRule>
  </conditionalFormatting>
  <conditionalFormatting sqref="E17">
    <cfRule type="expression" dxfId="1123" priority="321">
      <formula>AND(OR($C17="Bathroom",$C18="Bathroom",$C19="Bathroom"),AND($E17&lt;&gt;"Java",$E17&lt;&gt;"Belize"))</formula>
    </cfRule>
    <cfRule type="expression" dxfId="1122" priority="319">
      <formula>IF(D17="","",AND(D17="French Door Cutout",E17&lt;&gt;"Fiji",D17="French Door Cutout",E17&lt;&gt;"Samoa"))</formula>
    </cfRule>
  </conditionalFormatting>
  <conditionalFormatting sqref="E20:E52">
    <cfRule type="expression" dxfId="1121" priority="460">
      <formula>IF(D20="","",AND(D20="French Door Cutout",E20&lt;&gt;"Fiji",D20="French Door Cutout",E20&lt;&gt;"Samoa"))</formula>
    </cfRule>
    <cfRule type="expression" dxfId="1120" priority="790">
      <formula>AND(OR($C20="Bathroom",$C21="Bathroom",$C22="Bathroom"),AND($E20&lt;&gt;"Java",$E20&lt;&gt;"Belize"))</formula>
    </cfRule>
  </conditionalFormatting>
  <conditionalFormatting sqref="F9">
    <cfRule type="expression" dxfId="1119" priority="15">
      <formula>$F$9&lt;&gt;""</formula>
    </cfRule>
  </conditionalFormatting>
  <conditionalFormatting sqref="F12">
    <cfRule type="expression" dxfId="1118" priority="29">
      <formula>$F$12&lt;&gt;""</formula>
    </cfRule>
  </conditionalFormatting>
  <conditionalFormatting sqref="F30">
    <cfRule type="expression" dxfId="1117" priority="266">
      <formula>$F$30&lt;&gt;""</formula>
    </cfRule>
  </conditionalFormatting>
  <conditionalFormatting sqref="F9:G9">
    <cfRule type="expression" dxfId="1116" priority="24">
      <formula>AND($F8&lt;&gt;"",$D8="Shape",$E8="Capri")</formula>
    </cfRule>
  </conditionalFormatting>
  <conditionalFormatting sqref="F15:G15">
    <cfRule type="expression" dxfId="1115" priority="276">
      <formula>$F$15&lt;&gt;""</formula>
    </cfRule>
  </conditionalFormatting>
  <conditionalFormatting sqref="F18:G18">
    <cfRule type="expression" dxfId="1114" priority="274">
      <formula>$F$18&lt;&gt;""</formula>
    </cfRule>
  </conditionalFormatting>
  <conditionalFormatting sqref="F21:G21">
    <cfRule type="expression" dxfId="1113" priority="272">
      <formula>$F$21&lt;&gt;""</formula>
    </cfRule>
  </conditionalFormatting>
  <conditionalFormatting sqref="F24:G24">
    <cfRule type="expression" dxfId="1112" priority="270">
      <formula>$F$24&lt;&gt;""</formula>
    </cfRule>
  </conditionalFormatting>
  <conditionalFormatting sqref="F27:G27">
    <cfRule type="expression" dxfId="1111" priority="268">
      <formula>$F$27&lt;&gt;""</formula>
    </cfRule>
  </conditionalFormatting>
  <conditionalFormatting sqref="F33:G33">
    <cfRule type="expression" dxfId="1110" priority="264">
      <formula>$F$33&lt;&gt;""</formula>
    </cfRule>
  </conditionalFormatting>
  <conditionalFormatting sqref="F36:G36">
    <cfRule type="expression" dxfId="1109" priority="262">
      <formula>$F$36&lt;&gt;""</formula>
    </cfRule>
    <cfRule type="expression" dxfId="1108" priority="263">
      <formula>$AE$8="Quoted"</formula>
    </cfRule>
  </conditionalFormatting>
  <conditionalFormatting sqref="F39:G39">
    <cfRule type="expression" dxfId="1107" priority="260">
      <formula>$F$39&lt;&gt;""</formula>
    </cfRule>
  </conditionalFormatting>
  <conditionalFormatting sqref="F42:G42">
    <cfRule type="expression" dxfId="1106" priority="258">
      <formula>$F$42&lt;&gt;""</formula>
    </cfRule>
  </conditionalFormatting>
  <conditionalFormatting sqref="F45:G45">
    <cfRule type="expression" dxfId="1105" priority="256">
      <formula>$F$45&lt;&gt;""</formula>
    </cfRule>
  </conditionalFormatting>
  <conditionalFormatting sqref="F48:G48">
    <cfRule type="expression" dxfId="1104" priority="254">
      <formula>$F$48&lt;&gt;""</formula>
    </cfRule>
  </conditionalFormatting>
  <conditionalFormatting sqref="F51:G51">
    <cfRule type="expression" dxfId="1103" priority="252">
      <formula>$F$51&lt;&gt;""</formula>
    </cfRule>
  </conditionalFormatting>
  <conditionalFormatting sqref="G10">
    <cfRule type="expression" dxfId="1102" priority="1">
      <formula>AND($G$10="",$F$8&lt;&gt;"")</formula>
    </cfRule>
  </conditionalFormatting>
  <conditionalFormatting sqref="G13">
    <cfRule type="expression" dxfId="1101" priority="33">
      <formula>AND($F11&lt;&gt;"",$G13="")</formula>
    </cfRule>
    <cfRule type="expression" dxfId="1100" priority="37">
      <formula>AND($E11 = "Java",$G13 &lt;&gt; "Stainless Steel")</formula>
    </cfRule>
  </conditionalFormatting>
  <conditionalFormatting sqref="G16 G19 G22 G25 G28 G31 G34 G37 G40 G43 G46 G49 G52">
    <cfRule type="expression" dxfId="1099" priority="339">
      <formula>AND($F14&lt;&gt;"",$G16="")</formula>
    </cfRule>
  </conditionalFormatting>
  <conditionalFormatting sqref="G16">
    <cfRule type="expression" dxfId="1098" priority="418">
      <formula>AND($E14 = "Java",$G16 &lt;&gt; "Stainless Steel")</formula>
    </cfRule>
  </conditionalFormatting>
  <conditionalFormatting sqref="G19">
    <cfRule type="expression" dxfId="1097" priority="455">
      <formula>AND($E17 = "Java",$G19 &lt;&gt; "Stainless Steel")</formula>
    </cfRule>
  </conditionalFormatting>
  <conditionalFormatting sqref="G22">
    <cfRule type="expression" dxfId="1096" priority="1529">
      <formula>AND($E20 = "Java",$G22 &lt;&gt; "Stainless Steel")</formula>
    </cfRule>
  </conditionalFormatting>
  <conditionalFormatting sqref="G25">
    <cfRule type="expression" dxfId="1095" priority="1507">
      <formula>AND($E23 = "Java",$G25 &lt;&gt; "Stainless Steel")</formula>
    </cfRule>
  </conditionalFormatting>
  <conditionalFormatting sqref="G28">
    <cfRule type="expression" dxfId="1094" priority="1485">
      <formula>AND($E26 = "Java",$G28 &lt;&gt; "Stainless Steel")</formula>
    </cfRule>
  </conditionalFormatting>
  <conditionalFormatting sqref="G31">
    <cfRule type="expression" dxfId="1093" priority="1463">
      <formula>AND($E29 = "Java",$G31 &lt;&gt; "Stainless Steel")</formula>
    </cfRule>
  </conditionalFormatting>
  <conditionalFormatting sqref="G34">
    <cfRule type="expression" dxfId="1092" priority="1441">
      <formula>AND($E32 = "Java",$G34 &lt;&gt; "Stainless Steel")</formula>
    </cfRule>
  </conditionalFormatting>
  <conditionalFormatting sqref="G37">
    <cfRule type="expression" dxfId="1091" priority="1419">
      <formula>AND($E35 = "Java",$G37 &lt;&gt; "Stainless Steel")</formula>
    </cfRule>
  </conditionalFormatting>
  <conditionalFormatting sqref="G40">
    <cfRule type="expression" dxfId="1090" priority="1397">
      <formula>AND($E38 = "Java",$G40 &lt;&gt; "Stainless Steel")</formula>
    </cfRule>
  </conditionalFormatting>
  <conditionalFormatting sqref="G43">
    <cfRule type="expression" dxfId="1089" priority="1375">
      <formula>AND($E41 = "Java",$G43 &lt;&gt; "Stainless Steel")</formula>
    </cfRule>
  </conditionalFormatting>
  <conditionalFormatting sqref="G46">
    <cfRule type="expression" dxfId="1088" priority="1353">
      <formula>AND($E44 = "Java",$G46 &lt;&gt; "Stainless Steel")</formula>
    </cfRule>
  </conditionalFormatting>
  <conditionalFormatting sqref="G49">
    <cfRule type="expression" dxfId="1087" priority="1331">
      <formula>AND($E47 = "Java",$G49 &lt;&gt; "Stainless Steel")</formula>
    </cfRule>
  </conditionalFormatting>
  <conditionalFormatting sqref="G52">
    <cfRule type="expression" dxfId="1086" priority="1309">
      <formula>AND($E50 = "Java",$G52 &lt;&gt; "Stainless Steel")</formula>
    </cfRule>
  </conditionalFormatting>
  <conditionalFormatting sqref="H8 H11">
    <cfRule type="expression" dxfId="1085" priority="31">
      <formula>AND($E8&lt;&gt;"",$H8="")</formula>
    </cfRule>
  </conditionalFormatting>
  <conditionalFormatting sqref="H14 H17 H20 H23 H26 H29 H32 H35 H38 H41 H44 H47 H50">
    <cfRule type="expression" dxfId="1084" priority="286">
      <formula>AND($E14&lt;&gt;"",$H14="")</formula>
    </cfRule>
  </conditionalFormatting>
  <conditionalFormatting sqref="I8 I11">
    <cfRule type="expression" dxfId="1083" priority="30">
      <formula>AND($E8&lt;&gt;"",$I8="")</formula>
    </cfRule>
  </conditionalFormatting>
  <conditionalFormatting sqref="I8">
    <cfRule type="expression" dxfId="1082" priority="14">
      <formula>AND(E5="Hampton",I5&lt;&gt;"L Frame",I5&lt;&gt;"Z Frame",I5&lt;&gt;"Deco Frame",I5&lt;&gt;"Tier on Tier +HTP")</formula>
    </cfRule>
    <cfRule type="expression" dxfId="1081" priority="13">
      <formula>AND($D5="S/Shade",$I5&lt;&gt;"FFrame")</formula>
    </cfRule>
    <cfRule type="expression" dxfId="1080" priority="12">
      <formula>OR(AND($D5="Tracked",I5="M Track"),AND($D5="Tracked",$I5="Track and Board"),AND($D5="Tracked",$I5="Top Track Only"),,AND($D5="Tracked",$I5="Track Bypass"))</formula>
    </cfRule>
    <cfRule type="expression" dxfId="1079" priority="11">
      <formula>OR(AND($D5="Tracked",I5&lt;&gt;"M Track"),AND($D5="Tracked",$I5&lt;&gt;"Track and Board"),AND($D5="Tracked",$I5&lt;&gt;"Top Track Only"))</formula>
    </cfRule>
    <cfRule type="expression" dxfId="1078" priority="10">
      <formula>OR(AND($D5&lt;&gt;"Tracked",I5="M Track"),AND($D5&lt;&gt;"Tracked",$I5="Track and Board"),AND($D5&lt;&gt;"Tracked",$I5="Top Track Only"))</formula>
    </cfRule>
  </conditionalFormatting>
  <conditionalFormatting sqref="I8:I10">
    <cfRule type="expression" dxfId="1077" priority="20">
      <formula>OR(AND($D8="Tracked",I8="M Track"),AND($D8="Tracked",$I8="Track and Board"),AND($D8="Tracked",$I8="Top Track Only"))</formula>
    </cfRule>
    <cfRule type="expression" dxfId="1076" priority="18">
      <formula>AND($D8&lt;&gt;"S/Shade",$I8="FFrame")</formula>
    </cfRule>
  </conditionalFormatting>
  <conditionalFormatting sqref="I8:I11">
    <cfRule type="expression" dxfId="1075" priority="19">
      <formula>AND($D8="S/Shade",$I8&lt;&gt;"FFrame")</formula>
    </cfRule>
    <cfRule type="expression" dxfId="1074" priority="22">
      <formula>OR(AND($D8&lt;&gt;"Tracked",I8="M Track"),AND($D8&lt;&gt;"Tracked",$I8="Track and Board"),AND($D8&lt;&gt;"Tracked",$I8="Top Track Only"))</formula>
    </cfRule>
    <cfRule type="expression" dxfId="1073" priority="21">
      <formula>OR(AND($D8="Tracked",I8&lt;&gt;"M Track"),AND($D8="Tracked",$I8&lt;&gt;"Track and Board"),AND($D8="Tracked",$I8&lt;&gt;"Top Track Only"))</formula>
    </cfRule>
  </conditionalFormatting>
  <conditionalFormatting sqref="I11">
    <cfRule type="expression" dxfId="1072" priority="38">
      <formula>AND(E11="Hampton",I11&lt;&gt;"L Frame",I11&lt;&gt;"Z Frame",I11&lt;&gt;"Deco Frame",I11&lt;&gt;"Tier on Tier +HTP")</formula>
    </cfRule>
    <cfRule type="expression" dxfId="1071" priority="39">
      <formula>OR(AND($D11="Tracked",I11="M Track"),AND($D11="Tracked",$I11="Track and Board"),AND($D11="Tracked",$I11="Top Track Only"),,AND($D11="Tracked",$I11="Track Bypass"))</formula>
    </cfRule>
  </conditionalFormatting>
  <conditionalFormatting sqref="I14 I17 I20 I23 I26 I29 I32 I35 I38 I41 I44 I47 I50">
    <cfRule type="expression" dxfId="1070" priority="283">
      <formula>AND($E14&lt;&gt;"",$I14="")</formula>
    </cfRule>
  </conditionalFormatting>
  <conditionalFormatting sqref="I14">
    <cfRule type="expression" dxfId="1069" priority="413">
      <formula>IF(H14="","",AND(H14="Shape",I14&lt;&gt;"Fiji",H14="Shape",I14&lt;&gt;"Samoa"))</formula>
    </cfRule>
    <cfRule type="expression" dxfId="1068" priority="288">
      <formula>AND($D14="S/Shade",$I14&lt;&gt;"FFrame")</formula>
    </cfRule>
  </conditionalFormatting>
  <conditionalFormatting sqref="I17">
    <cfRule type="expression" dxfId="1067" priority="287">
      <formula>AND($D17="S/Shade",$I17&lt;&gt;"FFrame")</formula>
    </cfRule>
  </conditionalFormatting>
  <conditionalFormatting sqref="I20:I34">
    <cfRule type="expression" dxfId="1066" priority="710">
      <formula>OR(AND($D20="Tracked",I20="M Track"),AND($D20="Tracked",$I20="Track and Board"),AND($D20="Tracked",$I20="Top Track Only"))</formula>
    </cfRule>
  </conditionalFormatting>
  <conditionalFormatting sqref="I20:I52">
    <cfRule type="expression" dxfId="1065" priority="464">
      <formula>AND(E20="Hampton",I20&lt;&gt;"L Frame",I20&lt;&gt;"Z Frame",I20&lt;&gt;"Deco Frame",I20&lt;&gt;"Tier on Tier +HTP")</formula>
    </cfRule>
    <cfRule type="expression" dxfId="1064" priority="670">
      <formula>AND($D20&lt;&gt;"S/Shade",$I20="FFrame")</formula>
    </cfRule>
    <cfRule type="expression" dxfId="1063" priority="671">
      <formula>AND($D20="S/Shade",$I20&lt;&gt;"FFrame")</formula>
    </cfRule>
    <cfRule type="expression" dxfId="1062" priority="712">
      <formula>OR(AND($D20&lt;&gt;"Tracked",I20="M Track"),AND($D20&lt;&gt;"Tracked",$I20="Track and Board"),AND($D20&lt;&gt;"Tracked",$I20="Top Track Only"))</formula>
    </cfRule>
    <cfRule type="expression" dxfId="1061" priority="711">
      <formula>OR(AND($D20="Tracked",I20&lt;&gt;"M Track"),AND($D20="Tracked",$I20&lt;&gt;"Track and Board"),AND($D20="Tracked",$I20&lt;&gt;"Top Track Only"))</formula>
    </cfRule>
  </conditionalFormatting>
  <conditionalFormatting sqref="I35:I43">
    <cfRule type="expression" dxfId="1060" priority="727">
      <formula>OR(AND($D35="Tracked",I35="M Track"),AND($D35="Tracked",$I35="Track and Board"),AND($D35="Tracked",$I35="Top Track Only"))</formula>
    </cfRule>
  </conditionalFormatting>
  <conditionalFormatting sqref="I35:I52">
    <cfRule type="expression" dxfId="1059" priority="1308">
      <formula>OR(AND($D35&lt;&gt;"Tracked",I35="M Track"),AND($D35&lt;&gt;"Tracked",$I35="Track and Board"),AND($D35&lt;&gt;"Tracked",$I35="Top Track Only"))</formula>
    </cfRule>
    <cfRule type="expression" dxfId="1058" priority="1307">
      <formula>OR(AND($D35="Tracked",I35&lt;&gt;"M Track"),AND($D35="Tracked",$I35&lt;&gt;"Track and Board"),AND($D35="Tracked",$I35&lt;&gt;"Top Track Only"))</formula>
    </cfRule>
  </conditionalFormatting>
  <conditionalFormatting sqref="I44:I46">
    <cfRule type="expression" dxfId="1057" priority="726">
      <formula>" =OR(AND($D44=""Tracked"",I44=""M Track""),AND($D44=""Tracked"",$I44=""Track and Board""),AND($D44=""Tracked"",$I44=""Top Track Only""))"</formula>
    </cfRule>
  </conditionalFormatting>
  <conditionalFormatting sqref="I47:I52">
    <cfRule type="expression" dxfId="1056" priority="725">
      <formula>OR(AND($D47="Tracked",I47="M Track"),AND($D47="Tracked",$I47="Track and Board"),AND($D47="Tracked",$I47="Top Track Only"))</formula>
    </cfRule>
  </conditionalFormatting>
  <conditionalFormatting sqref="J8:K8 J11:K11 J17:K17 J20:K20 J23:K23 J26:K26 J29:K29 J32:K32 J35:K35 J38:K38 J41:K41 J44:K44 J47:K47 J50:K50">
    <cfRule type="expression" dxfId="1055" priority="28">
      <formula>AND($E8&lt;&gt;"",$J8="")</formula>
    </cfRule>
    <cfRule type="expression" dxfId="1054" priority="9">
      <formula>OR(AND(J5="Silent",N5&gt;1276,N5&lt;=1879,O8="Please Select"),AND(J5="Silent",N5&gt;1276,N5&lt;=1879,O5="No"))</formula>
    </cfRule>
    <cfRule type="expression" dxfId="1053" priority="26">
      <formula>OR(AND(J8="Silent",N8&gt;1276,N8&lt;=1879,O8="Please Select"),AND(J8="Silent",N8&gt;1276,N8&lt;=1879,O8="No"))</formula>
    </cfRule>
  </conditionalFormatting>
  <conditionalFormatting sqref="J8:K52">
    <cfRule type="expression" dxfId="1052" priority="25">
      <formula>AND(E8="Hampton",J8&lt;&gt;"Clearview",J8&lt;&gt;"Central",J8&lt;&gt;"Offset")</formula>
    </cfRule>
  </conditionalFormatting>
  <conditionalFormatting sqref="J14:K14">
    <cfRule type="expression" dxfId="1051" priority="81">
      <formula>OR(AND(J11="Silent",N11&gt;1276,N11&lt;=1879,O14="Please Select"),AND(J11="Silent",N11&gt;1276,N11&lt;=1879,O11="No"))</formula>
    </cfRule>
    <cfRule type="expression" dxfId="1050" priority="249">
      <formula>AND($E14&lt;&gt;"",$J14="")</formula>
    </cfRule>
    <cfRule type="expression" dxfId="1049" priority="118">
      <formula>OR(AND(J14="Silent",N14&gt;1276,N14&lt;=1879,O14="Please Select"),AND(J14="Silent",N14&gt;1276,N14&lt;=1879,O14="No"))</formula>
    </cfRule>
  </conditionalFormatting>
  <conditionalFormatting sqref="J20:K22">
    <cfRule type="expression" dxfId="1048" priority="749">
      <formula>OR(AND(J20="Silent",N20&gt;1276,N20&lt;=1879,O20="Please Select"),AND(J20="Silent",N20&gt;1276,N8&lt;=1879,O20="No"))</formula>
    </cfRule>
  </conditionalFormatting>
  <conditionalFormatting sqref="J20:K52">
    <cfRule type="expression" dxfId="1047" priority="466">
      <formula>AND(E20="Aruba",J20&lt;&gt;"Silent")</formula>
    </cfRule>
  </conditionalFormatting>
  <conditionalFormatting sqref="J23:K25">
    <cfRule type="expression" dxfId="1046" priority="748">
      <formula>OR(AND(J23="Silent",N23&gt;1276,N23&lt;=1879,O23="Please Select"),AND(J23="Silent",N23&gt;1276,N8&lt;=1879,O23="No"))</formula>
    </cfRule>
  </conditionalFormatting>
  <conditionalFormatting sqref="J26:K28">
    <cfRule type="expression" dxfId="1045" priority="732">
      <formula>OR(AND(J26="Silent",N26&gt;1276,N26&lt;=1879,O26="Please Select"),AND(J26="Silent",N26&gt;1276,N8&lt;=1879,O26="No"))</formula>
    </cfRule>
  </conditionalFormatting>
  <conditionalFormatting sqref="J29:K31">
    <cfRule type="expression" dxfId="1044" priority="746">
      <formula>OR(AND(J29="Silent",N29&gt;1276,N29&lt;=1879,O29="Please Select"),AND(J29="Silent",N29&gt;1276,N8&lt;=1879,O29="No"))</formula>
    </cfRule>
  </conditionalFormatting>
  <conditionalFormatting sqref="J32:K34">
    <cfRule type="expression" dxfId="1043" priority="745">
      <formula>OR(AND(J32="Silent",N32&gt;1276,N32&lt;=1879,O32="Please Select"),AND(J32="Silent",N32&gt;1276,N8&lt;=1879,O32="No"))</formula>
    </cfRule>
  </conditionalFormatting>
  <conditionalFormatting sqref="J35:K37">
    <cfRule type="expression" dxfId="1042" priority="744">
      <formula>OR(AND(J35="Silent",N35&gt;1276,N35&lt;=1879,O35="Please Select"),AND(J35="Silent",N35&gt;1276,N8&lt;=1879,O35="No"))</formula>
    </cfRule>
  </conditionalFormatting>
  <conditionalFormatting sqref="J38:K40">
    <cfRule type="expression" dxfId="1041" priority="743">
      <formula>OR(AND(J38="Silent",N38&gt;1276,N38&lt;=1879,O38="Please Select"),AND(J38="Silent",N38&gt;1276,N8&lt;=1879,O38="No"))</formula>
    </cfRule>
  </conditionalFormatting>
  <conditionalFormatting sqref="J41:K43">
    <cfRule type="expression" dxfId="1040" priority="742">
      <formula>OR(AND(J41="Silent",N41&gt;1276,N41&lt;=1879,O41="Please Select"),AND(J41="Silent",N41&gt;1276,N8&lt;=1879,O41="No"))</formula>
    </cfRule>
  </conditionalFormatting>
  <conditionalFormatting sqref="J44:K46">
    <cfRule type="expression" dxfId="1039" priority="741">
      <formula>OR(AND(J44="Silent",N44&gt;1276,N44&lt;=1879,O44="Please Select"),AND(J44="Silent",N44&gt;1276,N8&lt;=1879,O44="No"))</formula>
    </cfRule>
  </conditionalFormatting>
  <conditionalFormatting sqref="J47:K49">
    <cfRule type="expression" dxfId="1038" priority="740">
      <formula>OR(AND(J47="Silent",N47&gt;1276,N47&lt;=1879,O47="Please Select"),AND(J47="Silent",N47&gt;1276,N8&lt;=1879,O47="No"))</formula>
    </cfRule>
  </conditionalFormatting>
  <conditionalFormatting sqref="J50:K52">
    <cfRule type="expression" dxfId="1037" priority="724">
      <formula>OR(AND(J50="Silent",N50&gt;1276,N50&lt;=1879,O50="Please Select"),AND(J50="Silent",N50&gt;1276,N8&lt;=1879,O50="No"))</formula>
    </cfRule>
  </conditionalFormatting>
  <conditionalFormatting sqref="J65:K65 J67:K67 J69:K69">
    <cfRule type="cellIs" dxfId="1036" priority="282" operator="equal">
      <formula>"Select"</formula>
    </cfRule>
  </conditionalFormatting>
  <conditionalFormatting sqref="J71:K71">
    <cfRule type="cellIs" dxfId="1035" priority="281" operator="equal">
      <formula>"N/A"</formula>
    </cfRule>
  </conditionalFormatting>
  <conditionalFormatting sqref="J73:K73">
    <cfRule type="cellIs" dxfId="1034" priority="280" operator="equal">
      <formula>"Select"</formula>
    </cfRule>
  </conditionalFormatting>
  <conditionalFormatting sqref="K8:K9 J8:J52 K11:K52">
    <cfRule type="expression" dxfId="1033" priority="8">
      <formula>AND(E5="Hampton",J5&lt;&gt;"Clearview",J5&lt;&gt;"Central",J5&lt;&gt;"Offset")</formula>
    </cfRule>
  </conditionalFormatting>
  <conditionalFormatting sqref="K10">
    <cfRule type="expression" dxfId="1032" priority="1674">
      <formula>AND(F7="Hampton",#REF!&lt;&gt;"Clearview",#REF!&lt;&gt;"Central",#REF!&lt;&gt;"Offset")</formula>
    </cfRule>
  </conditionalFormatting>
  <conditionalFormatting sqref="L75">
    <cfRule type="expression" dxfId="1031" priority="500">
      <formula>IF(Q76=0,"",IF(OR(Q76&gt;=0.05,Q76&lt;=0.05),"True",IF(Q76=0,"","")))</formula>
    </cfRule>
  </conditionalFormatting>
  <conditionalFormatting sqref="M8 M11 M17 M20 M23 M26 M29 M32 M35 M38 M41 M44 M47 M50">
    <cfRule type="expression" dxfId="1030" priority="34">
      <formula>AND($E8&lt;&gt;"",$M8="")</formula>
    </cfRule>
  </conditionalFormatting>
  <conditionalFormatting sqref="M8:M52">
    <cfRule type="expression" dxfId="1029" priority="35">
      <formula>AND($E8="Hampton",$M8&lt;266)</formula>
    </cfRule>
  </conditionalFormatting>
  <conditionalFormatting sqref="M14">
    <cfRule type="expression" dxfId="1028" priority="341">
      <formula>AND($E14&lt;&gt;"",$M14="")</formula>
    </cfRule>
  </conditionalFormatting>
  <conditionalFormatting sqref="N8 N11 N17 N20 N23 N26 N29 N32 N35 N38 N41 N44 N47 N50">
    <cfRule type="expression" dxfId="1027" priority="27">
      <formula>AND($E8&lt;&gt;"",$N8="")</formula>
    </cfRule>
  </conditionalFormatting>
  <conditionalFormatting sqref="N14">
    <cfRule type="expression" dxfId="1026" priority="228">
      <formula>AND($E14&lt;&gt;"",$N14="")</formula>
    </cfRule>
  </conditionalFormatting>
  <conditionalFormatting sqref="P59:P71">
    <cfRule type="cellIs" dxfId="1025" priority="54" operator="lessThan">
      <formula>$O59</formula>
    </cfRule>
  </conditionalFormatting>
  <conditionalFormatting sqref="P65">
    <cfRule type="expression" dxfId="1024" priority="754">
      <formula>$O$65&lt;&gt;$P$65</formula>
    </cfRule>
  </conditionalFormatting>
  <conditionalFormatting sqref="P67">
    <cfRule type="expression" dxfId="1023" priority="759">
      <formula>$O$67&lt;&gt;$P$67</formula>
    </cfRule>
  </conditionalFormatting>
  <conditionalFormatting sqref="P74">
    <cfRule type="expression" dxfId="1022" priority="461">
      <formula>OR($N$74&lt;&gt;"Other:",$N$74="")</formula>
    </cfRule>
  </conditionalFormatting>
  <conditionalFormatting sqref="P75">
    <cfRule type="cellIs" dxfId="1021" priority="614" operator="greaterThan">
      <formula>0</formula>
    </cfRule>
    <cfRule type="cellIs" dxfId="1020" priority="618" operator="greaterThan">
      <formula>0</formula>
    </cfRule>
    <cfRule type="expression" dxfId="1019" priority="619">
      <formula>"&lt;&gt;"""""</formula>
    </cfRule>
  </conditionalFormatting>
  <conditionalFormatting sqref="P11:X11">
    <cfRule type="expression" dxfId="1018" priority="3">
      <formula>$AE$11="Quoted"</formula>
    </cfRule>
  </conditionalFormatting>
  <conditionalFormatting sqref="P8:AF10">
    <cfRule type="expression" dxfId="1017" priority="5">
      <formula>$AE$8="Quoted"</formula>
    </cfRule>
  </conditionalFormatting>
  <conditionalFormatting sqref="Q59:R73">
    <cfRule type="expression" dxfId="1016" priority="1625">
      <formula>$Q$73&gt;0</formula>
    </cfRule>
  </conditionalFormatting>
  <conditionalFormatting sqref="Q74:R75">
    <cfRule type="cellIs" dxfId="1015" priority="655" operator="greaterThan">
      <formula>""""""</formula>
    </cfRule>
  </conditionalFormatting>
  <conditionalFormatting sqref="R15:Z15">
    <cfRule type="expression" dxfId="1014" priority="350">
      <formula>$AE$14="Quoted"</formula>
    </cfRule>
  </conditionalFormatting>
  <conditionalFormatting sqref="R9:AA9">
    <cfRule type="expression" dxfId="1013" priority="363">
      <formula>AND(OR(R8="(C)",R8="(B)",R8="(CB)",R8="(T)",R8="(G)"),R9="")</formula>
    </cfRule>
  </conditionalFormatting>
  <conditionalFormatting sqref="R12:AA12">
    <cfRule type="expression" dxfId="1012" priority="1575">
      <formula>AND(OR(R11="(C)",R11="(B)",R11="(CB)",R11="(T)",R11="(G)"),R12="")</formula>
    </cfRule>
  </conditionalFormatting>
  <conditionalFormatting sqref="R15:AA15">
    <cfRule type="expression" dxfId="1011" priority="351">
      <formula>AND(OR(R14="(C)",R14="(B)",R14="(CB)",R14="(T)",R14="(G)"),R15="")</formula>
    </cfRule>
  </conditionalFormatting>
  <conditionalFormatting sqref="R18:AA18">
    <cfRule type="expression" dxfId="1010" priority="343">
      <formula>AND(OR(R17="(C)",R17="(B)",R17="(CB)",R17="(T)",R17="(G)"),R18="")</formula>
    </cfRule>
  </conditionalFormatting>
  <conditionalFormatting sqref="R21:AA21">
    <cfRule type="expression" dxfId="1009" priority="1509">
      <formula>AND(OR(R20="(C)",R20="(B)",R20="(CB)",R20="(T)",R20="(G)"),R21="")</formula>
    </cfRule>
  </conditionalFormatting>
  <conditionalFormatting sqref="R24:AA24">
    <cfRule type="expression" dxfId="1008" priority="1487">
      <formula>AND(OR(R23="(C)",R23="(B)",R23="(CB)",R23="(T)",R23="(G)"),R24="")</formula>
    </cfRule>
  </conditionalFormatting>
  <conditionalFormatting sqref="R27:AA27">
    <cfRule type="expression" dxfId="1007" priority="1465">
      <formula>AND(OR(R26="(C)",R26="(B)",R26="(CB)",R26="(T)",R26="(G)"),R27="")</formula>
    </cfRule>
  </conditionalFormatting>
  <conditionalFormatting sqref="R30:AA30">
    <cfRule type="expression" dxfId="1006" priority="1443">
      <formula>AND(OR(R29="(C)",R29="(B)",R29="(CB)",R29="(T)",R29="(G)"),R30="")</formula>
    </cfRule>
  </conditionalFormatting>
  <conditionalFormatting sqref="R33:AA33">
    <cfRule type="expression" dxfId="1005" priority="1421">
      <formula>AND(OR(R32="(C)",R32="(B)",R32="(CB)",R32="(T)",R32="(G)"),R33="")</formula>
    </cfRule>
  </conditionalFormatting>
  <conditionalFormatting sqref="R36:AA36">
    <cfRule type="expression" dxfId="1004" priority="1399">
      <formula>AND(OR(R35="(C)",R35="(B)",R35="(CB)",R35="(T)",R35="(G)"),R36="")</formula>
    </cfRule>
  </conditionalFormatting>
  <conditionalFormatting sqref="R39:AA39">
    <cfRule type="expression" dxfId="1003" priority="1377">
      <formula>AND(OR(R38="(C)",R38="(B)",R38="(CB)",R38="(T)",R38="(G)"),R39="")</formula>
    </cfRule>
  </conditionalFormatting>
  <conditionalFormatting sqref="R42:AA42">
    <cfRule type="expression" dxfId="1002" priority="1355">
      <formula>AND(OR(R41="(C)",R41="(B)",R41="(CB)",R41="(T)",R41="(G)"),R42="")</formula>
    </cfRule>
  </conditionalFormatting>
  <conditionalFormatting sqref="R45:AA45">
    <cfRule type="expression" dxfId="1001" priority="1333">
      <formula>AND(OR(R44="(C)",R44="(B)",R44="(CB)",R44="(T)",R44="(G)"),R45="")</formula>
    </cfRule>
  </conditionalFormatting>
  <conditionalFormatting sqref="R48:AA48">
    <cfRule type="expression" dxfId="1000" priority="1311">
      <formula>AND(OR(R47="(C)",R47="(B)",R47="(CB)",R47="(T)",R47="(G)"),R48="")</formula>
    </cfRule>
  </conditionalFormatting>
  <conditionalFormatting sqref="R51:AA51">
    <cfRule type="expression" dxfId="999" priority="1289">
      <formula>AND(OR(R50="(C)",R50="(B)",R50="(CB)",R50="(T)",R50="(G)"),R51="")</formula>
    </cfRule>
  </conditionalFormatting>
  <conditionalFormatting sqref="R10:AB10">
    <cfRule type="cellIs" dxfId="998" priority="1611" operator="greaterThan">
      <formula>""""""</formula>
    </cfRule>
  </conditionalFormatting>
  <conditionalFormatting sqref="R13:AB13">
    <cfRule type="cellIs" dxfId="997" priority="1589" operator="greaterThan">
      <formula>""""""</formula>
    </cfRule>
  </conditionalFormatting>
  <conditionalFormatting sqref="R16:AB16">
    <cfRule type="cellIs" dxfId="996" priority="1568" operator="greaterThan">
      <formula>""""""</formula>
    </cfRule>
  </conditionalFormatting>
  <conditionalFormatting sqref="R19:AB19">
    <cfRule type="cellIs" dxfId="995" priority="1546" operator="greaterThan">
      <formula>""""""</formula>
    </cfRule>
  </conditionalFormatting>
  <conditionalFormatting sqref="R22:AB22">
    <cfRule type="cellIs" dxfId="994" priority="1524" operator="greaterThan">
      <formula>""""""</formula>
    </cfRule>
  </conditionalFormatting>
  <conditionalFormatting sqref="R25:AB25">
    <cfRule type="cellIs" dxfId="993" priority="593" operator="greaterThan">
      <formula>""""""</formula>
    </cfRule>
  </conditionalFormatting>
  <conditionalFormatting sqref="R28:AB28">
    <cfRule type="cellIs" dxfId="992" priority="1480" operator="greaterThan">
      <formula>""""""</formula>
    </cfRule>
  </conditionalFormatting>
  <conditionalFormatting sqref="R31:AB31">
    <cfRule type="cellIs" dxfId="991" priority="1458" operator="greaterThan">
      <formula>""""""</formula>
    </cfRule>
  </conditionalFormatting>
  <conditionalFormatting sqref="R34:AB34">
    <cfRule type="cellIs" dxfId="990" priority="1436" operator="greaterThan">
      <formula>""""""</formula>
    </cfRule>
  </conditionalFormatting>
  <conditionalFormatting sqref="R37:AB37">
    <cfRule type="cellIs" dxfId="989" priority="1414" operator="greaterThan">
      <formula>""""""</formula>
    </cfRule>
  </conditionalFormatting>
  <conditionalFormatting sqref="R40:AB40">
    <cfRule type="cellIs" dxfId="988" priority="1392" operator="greaterThan">
      <formula>""""""</formula>
    </cfRule>
  </conditionalFormatting>
  <conditionalFormatting sqref="R43:AB43">
    <cfRule type="cellIs" dxfId="987" priority="1370" operator="greaterThan">
      <formula>""""""</formula>
    </cfRule>
  </conditionalFormatting>
  <conditionalFormatting sqref="R46:AB46">
    <cfRule type="cellIs" dxfId="986" priority="1348" operator="greaterThan">
      <formula>""""""</formula>
    </cfRule>
  </conditionalFormatting>
  <conditionalFormatting sqref="R49:AB49">
    <cfRule type="cellIs" dxfId="985" priority="1326" operator="greaterThan">
      <formula>""""""</formula>
    </cfRule>
  </conditionalFormatting>
  <conditionalFormatting sqref="R52:AB52">
    <cfRule type="cellIs" dxfId="984" priority="1304" operator="greaterThan">
      <formula>""""""</formula>
    </cfRule>
  </conditionalFormatting>
  <conditionalFormatting sqref="S59">
    <cfRule type="cellIs" dxfId="983" priority="1643" operator="greaterThan">
      <formula>34%</formula>
    </cfRule>
  </conditionalFormatting>
  <conditionalFormatting sqref="S61 S67 U67">
    <cfRule type="expression" dxfId="982" priority="77">
      <formula>$S$61="2 Years @ 10.9%"</formula>
    </cfRule>
  </conditionalFormatting>
  <conditionalFormatting sqref="S61 S70 U70">
    <cfRule type="expression" dxfId="981" priority="73">
      <formula>$S$61="5 Years @ 10.9%"</formula>
    </cfRule>
  </conditionalFormatting>
  <conditionalFormatting sqref="S61 S66:W66">
    <cfRule type="expression" dxfId="980" priority="668">
      <formula>$S$61="12 months @ 0%"</formula>
    </cfRule>
  </conditionalFormatting>
  <conditionalFormatting sqref="S61 S69:W69">
    <cfRule type="expression" dxfId="979" priority="74">
      <formula>$S$61="4 Years @ 10.9%"</formula>
    </cfRule>
  </conditionalFormatting>
  <conditionalFormatting sqref="S61">
    <cfRule type="expression" dxfId="978" priority="78">
      <formula>AND($S61="Please Select",$AB$66&gt;1000)</formula>
    </cfRule>
  </conditionalFormatting>
  <conditionalFormatting sqref="S67:S68 U67:U68">
    <cfRule type="expression" dxfId="977" priority="1617">
      <formula>$S$61="Finance Yes (12 months @ 0%)"</formula>
    </cfRule>
  </conditionalFormatting>
  <conditionalFormatting sqref="S68 U68 S66:W66">
    <cfRule type="expression" dxfId="976" priority="1618">
      <formula>$S$61="Finance Yes (24 months @ 14.9%)"</formula>
    </cfRule>
  </conditionalFormatting>
  <conditionalFormatting sqref="S68">
    <cfRule type="expression" dxfId="975" priority="79">
      <formula>$S68="Please Select"</formula>
    </cfRule>
  </conditionalFormatting>
  <conditionalFormatting sqref="S71">
    <cfRule type="expression" dxfId="974" priority="248">
      <formula>$S$71="Auth Code:"</formula>
    </cfRule>
  </conditionalFormatting>
  <conditionalFormatting sqref="S59:W59">
    <cfRule type="cellIs" dxfId="973" priority="660" operator="between">
      <formula>0.33</formula>
      <formula>0.339</formula>
    </cfRule>
  </conditionalFormatting>
  <conditionalFormatting sqref="S61:W61">
    <cfRule type="expression" dxfId="972" priority="462">
      <formula>$S$61="Finance NOT available"</formula>
    </cfRule>
  </conditionalFormatting>
  <conditionalFormatting sqref="S66:W66 S67 U67">
    <cfRule type="expression" dxfId="971" priority="1615">
      <formula>$S$61="Finance Yes (36 months @ 14.9%)"</formula>
    </cfRule>
  </conditionalFormatting>
  <conditionalFormatting sqref="S68:W68 S61">
    <cfRule type="expression" dxfId="970" priority="1623">
      <formula>$S$61="3 Years @ 10.9%"</formula>
    </cfRule>
  </conditionalFormatting>
  <conditionalFormatting sqref="U63:W63">
    <cfRule type="expression" dxfId="969" priority="1621">
      <formula>AND($S$61&lt;&gt;"Finance Please Select",$S$61&lt;&gt;"Finance No")</formula>
    </cfRule>
    <cfRule type="expression" dxfId="968" priority="1620">
      <formula>$U$63&lt;ROUNDDOWN((20%*U62),0.2)</formula>
    </cfRule>
    <cfRule type="expression" dxfId="967" priority="1619" stopIfTrue="1">
      <formula>$U$63&gt;0</formula>
    </cfRule>
  </conditionalFormatting>
  <conditionalFormatting sqref="X9">
    <cfRule type="expression" priority="366">
      <formula>AND(OR(X8="(C)",X8="(B)",X8="(CB)",X8="(T)",X8="(G)"),X9="")</formula>
    </cfRule>
  </conditionalFormatting>
  <conditionalFormatting sqref="Y11:AF11">
    <cfRule type="expression" dxfId="966" priority="571">
      <formula>$AE$11="Quoted"</formula>
    </cfRule>
  </conditionalFormatting>
  <conditionalFormatting sqref="AB9">
    <cfRule type="expression" dxfId="965" priority="805">
      <formula>$AB$9="LOR"</formula>
    </cfRule>
  </conditionalFormatting>
  <conditionalFormatting sqref="AB12">
    <cfRule type="expression" dxfId="964" priority="804">
      <formula>$AB$12="LOR"</formula>
    </cfRule>
  </conditionalFormatting>
  <conditionalFormatting sqref="AB15">
    <cfRule type="expression" dxfId="963" priority="803">
      <formula>$AB$15="LOR"</formula>
    </cfRule>
  </conditionalFormatting>
  <conditionalFormatting sqref="AB18">
    <cfRule type="expression" dxfId="962" priority="802">
      <formula>$AB$18="LOR"</formula>
    </cfRule>
  </conditionalFormatting>
  <conditionalFormatting sqref="AB21">
    <cfRule type="expression" dxfId="961" priority="801">
      <formula>$AB$21="LOR"</formula>
    </cfRule>
  </conditionalFormatting>
  <conditionalFormatting sqref="AB24">
    <cfRule type="expression" dxfId="960" priority="800">
      <formula>$AB$24="LOR"</formula>
    </cfRule>
  </conditionalFormatting>
  <conditionalFormatting sqref="AB27">
    <cfRule type="expression" dxfId="959" priority="799">
      <formula>$AB$27="LOR"</formula>
    </cfRule>
  </conditionalFormatting>
  <conditionalFormatting sqref="AB30">
    <cfRule type="expression" dxfId="958" priority="798">
      <formula>$AB$30="LOR"</formula>
    </cfRule>
  </conditionalFormatting>
  <conditionalFormatting sqref="AB33">
    <cfRule type="expression" dxfId="957" priority="797">
      <formula>$AB$33="LOR"</formula>
    </cfRule>
  </conditionalFormatting>
  <conditionalFormatting sqref="AB36">
    <cfRule type="expression" dxfId="956" priority="796">
      <formula>$AB$36="LOR"</formula>
    </cfRule>
  </conditionalFormatting>
  <conditionalFormatting sqref="AB39">
    <cfRule type="expression" dxfId="955" priority="795">
      <formula>$AB$39="LOR"</formula>
    </cfRule>
  </conditionalFormatting>
  <conditionalFormatting sqref="AB42">
    <cfRule type="expression" dxfId="954" priority="794">
      <formula>$AB$42="LOR"</formula>
    </cfRule>
  </conditionalFormatting>
  <conditionalFormatting sqref="AB45">
    <cfRule type="expression" dxfId="953" priority="793">
      <formula>$AB$45="LOR"</formula>
    </cfRule>
  </conditionalFormatting>
  <conditionalFormatting sqref="AB48">
    <cfRule type="expression" dxfId="952" priority="792">
      <formula>$AB$48="LOR"</formula>
    </cfRule>
  </conditionalFormatting>
  <conditionalFormatting sqref="AB51">
    <cfRule type="expression" dxfId="951" priority="791">
      <formula>$AB$51="LOR"</formula>
    </cfRule>
  </conditionalFormatting>
  <conditionalFormatting sqref="AD9:AD51">
    <cfRule type="cellIs" dxfId="950" priority="635" operator="equal">
      <formula>"3 for 2"</formula>
    </cfRule>
  </conditionalFormatting>
  <conditionalFormatting sqref="AE58">
    <cfRule type="cellIs" dxfId="949" priority="1655" operator="equal">
      <formula>+(O59-P59)/O59</formula>
    </cfRule>
  </conditionalFormatting>
  <conditionalFormatting sqref="AE74">
    <cfRule type="expression" dxfId="948" priority="657">
      <formula>$AE$74="Building Works"</formula>
    </cfRule>
  </conditionalFormatting>
  <conditionalFormatting sqref="AF54">
    <cfRule type="expression" dxfId="947" priority="634">
      <formula>$AF$54="N/A"</formula>
    </cfRule>
  </conditionalFormatting>
  <dataValidations count="69">
    <dataValidation type="list" allowBlank="1" showInputMessage="1" showErrorMessage="1" sqref="G61:K61" xr:uid="{7CCFE90C-4A58-460C-898E-9AC520F85C5A}">
      <formula1>"Please select,Yes,No"</formula1>
    </dataValidation>
    <dataValidation type="list" allowBlank="1" showInputMessage="1" sqref="S61:W61" xr:uid="{B70E28DA-D176-4077-8700-2838B382F98C}">
      <formula1>IF(AB66&lt;1000,NoFinance,FinanceOptions)</formula1>
    </dataValidation>
    <dataValidation type="list" allowBlank="1" showInputMessage="1" showErrorMessage="1" sqref="O20:O23 O26:O52 O14:O17 O8:O11" xr:uid="{F5696151-2C04-41C4-B6ED-3E4146E0B454}">
      <formula1>"Please Select,Yes,Partial,No"</formula1>
    </dataValidation>
    <dataValidation type="list" allowBlank="1" showInputMessage="1" showErrorMessage="1" sqref="AC10 AC13 AC16 AC19 AC22 AC25 AC28 AC31 AC34 AC37 AC40 AC43 AC46 AC49 AC52" xr:uid="{26D3DB43-1BEF-4C05-8812-7A861691D826}">
      <formula1>"No,1,2,3,4"</formula1>
    </dataValidation>
    <dataValidation type="list" allowBlank="1" showInputMessage="1" showErrorMessage="1" sqref="H11:H52" xr:uid="{2DDE10B3-82AD-45A0-86FA-B4F9C9FB4E49}">
      <formula1>IF(E11="Aruba Express",ArubaExpressL,IF(E11="ANTIGUA",BarbadosL,INDIRECT(E11 &amp; "L")))</formula1>
    </dataValidation>
    <dataValidation type="list" allowBlank="1" showInputMessage="1" showErrorMessage="1" sqref="G63" xr:uid="{C019D1D0-490C-4ED7-ACB6-022193062E29}">
      <formula1>"Please Select,Yes,No,N/A"</formula1>
    </dataValidation>
    <dataValidation type="list" allowBlank="1" sqref="C52 C49 C40 C43 C46 C28 C22 C25 C31 C34 C37 C16 C19 C13" xr:uid="{C0B4EB5C-ADEF-4513-B4AB-8E8E53E355A0}">
      <formula1>"Left,Centre,Right"</formula1>
    </dataValidation>
    <dataValidation type="list" allowBlank="1" showInputMessage="1" showErrorMessage="1" sqref="AE29 AE11 AE26 AE14 AE17 AE20 AE23 AE8 AE32 AE35 AE38 AE41 AE44 AE47 AE50" xr:uid="{73C05CE2-BEE6-4A03-A07C-8C003DE3B630}">
      <formula1>"Price, Quoted"</formula1>
    </dataValidation>
    <dataValidation type="list" allowBlank="1" showInputMessage="1" sqref="C50 C47 C32 C44 C41 C38 C35 C29 C26 C20 C23 C14 C17 C11 C8" xr:uid="{657B9B7E-8914-4006-A2A1-40DBDF2A313D}">
      <formula1>rooms</formula1>
    </dataValidation>
    <dataValidation type="list" allowBlank="1" showInputMessage="1" sqref="C51 C48 C33 C45 C42 C39 C36 C30 C27 C21 C24 C15 C18 C12 C9" xr:uid="{389A0DCA-D60A-4087-8B3A-84BE24269838}">
      <formula1>RoomLoc</formula1>
    </dataValidation>
    <dataValidation type="list" allowBlank="1" showInputMessage="1" showErrorMessage="1" sqref="D11:D52" xr:uid="{5B943941-0F96-4673-98B0-011C8598CA26}">
      <formula1>Shuttype</formula1>
    </dataValidation>
    <dataValidation type="list" allowBlank="1" showInputMessage="1" showErrorMessage="1" sqref="F50:G50 F23:G23 F11:G11 F14:G14 F17:G17 F20:G20 F26:G26 F29:G29 F32:G32 F35:G35 F38:G38 F41:G41 F44:G44 F47:G47" xr:uid="{1531FB94-9A0E-4F22-A062-FF754E6A4ECC}">
      <formula1>IF(E11="Aruba Express",ArubaExpress,IF(AND(D11="S/Shade",E11="Barbados"),AntSS,IF(E11="Antigua",Barbados,INDIRECT(E11))))</formula1>
    </dataValidation>
    <dataValidation type="list" allowBlank="1" showInputMessage="1" showErrorMessage="1" sqref="G22 G40 G43 G46 G49 G37 G34 G16 G13 G19 G25 G28 G31 G52" xr:uid="{726E64BC-7F71-4D89-B025-C15FE310415D}">
      <formula1>IF(E11="Aruba Express",ArubaEH,IF(E11="Antigua",BarbadosH,INDIRECT(E11 &amp; "H")))</formula1>
    </dataValidation>
    <dataValidation type="list" allowBlank="1" showInputMessage="1" showErrorMessage="1" sqref="R29:AB29 R41:AB41 R17:AB17 R44:AB44 R47:AB47 R50:AB50 R38:AB38 T14:AB14 R26:AB26 R23:AB23 R35:AB35 R32:AB32 T20:AB20" xr:uid="{8E62922A-1694-4D48-B895-732AB2597240}">
      <formula1>IF($E14="Aruba",ArubaConfig,Config1)</formula1>
    </dataValidation>
    <dataValidation type="list" allowBlank="1" showInputMessage="1" showErrorMessage="1" sqref="AB9 AB21 AB18 AB45 AB48 AB12 AB15 AB24 AB27 AB30 AB33 AB36 AB39 AB42 AB51" xr:uid="{DA00039F-4C2D-4FDD-BE93-83642387C46A}">
      <formula1>"LOR, ROL"</formula1>
    </dataValidation>
    <dataValidation type="list" allowBlank="1" showInputMessage="1" showErrorMessage="1" sqref="I50:I52" xr:uid="{CC8A433F-A593-4117-ABE1-F76CF141B288}">
      <formula1>IF($D$50="Tracked",TFrame,IF($D$50="S/Shade",SSFrame,IF($E50="Hampton",Hamptonf,Frame)))</formula1>
    </dataValidation>
    <dataValidation type="list" allowBlank="1" showInputMessage="1" showErrorMessage="1" sqref="I35:I37" xr:uid="{98062B70-DDCD-45D6-981A-CE55A73FFA0B}">
      <formula1>IF($D$35="Tracked",TFrame,IF($D$35="S/Shade",SSFrame,IF($E35="Hampton",Hamptonf,Frame)))</formula1>
    </dataValidation>
    <dataValidation type="list" allowBlank="1" showInputMessage="1" showErrorMessage="1" sqref="I38:I40" xr:uid="{629847EF-21B2-415A-82AB-B0E75787D145}">
      <formula1>IF($D$38="Tracked",TFrame,IF($D$38="S/Shade",SSFrame,IF($E38="Hampton",Hamptonf,Frame)))</formula1>
    </dataValidation>
    <dataValidation type="list" allowBlank="1" showInputMessage="1" showErrorMessage="1" sqref="I41:I43" xr:uid="{C6B02707-6558-49FA-AD13-A8BE563DA043}">
      <formula1>IF($D$41="Tracked",TFrame,IF($D$41="S/Shade",SSFrame,IF($E41="Hampton",Hamptonf,Frame)))</formula1>
    </dataValidation>
    <dataValidation type="list" allowBlank="1" showInputMessage="1" showErrorMessage="1" sqref="I44:I46" xr:uid="{3B951A23-7CB8-4564-844E-57FDF3EAACC0}">
      <formula1>IF($D$44="Tracked",TFrame,IF($D$44="S/Shade",SSFrame,IF($E44="Hampton",Hamptonf,Frame)))</formula1>
    </dataValidation>
    <dataValidation type="list" allowBlank="1" showInputMessage="1" showErrorMessage="1" sqref="I47:I49" xr:uid="{107B4D85-6614-431C-B264-09CB67B3A8F3}">
      <formula1>IF($D$47="Tracked",TFrame,IF($D$47="S/Shade",SSFrame,IF($E47="Hampton",Hamptonf,Frame)))</formula1>
    </dataValidation>
    <dataValidation type="list" allowBlank="1" showInputMessage="1" showErrorMessage="1" sqref="E35:E37" xr:uid="{56964DCC-EC55-4BDC-B148-C2EBA06426CE}">
      <formula1>IF(OR($D$35="Shape",$D$35="French Door Cutout"),Shapes,Matorder)</formula1>
    </dataValidation>
    <dataValidation type="list" allowBlank="1" showInputMessage="1" showErrorMessage="1" sqref="E38:E40" xr:uid="{61EFAFD8-8927-4C12-BD14-D689930DFA28}">
      <formula1>IF(OR($D$38="Shape",$D$38="French Door Cutout"),Shapes,Matorder)</formula1>
    </dataValidation>
    <dataValidation type="list" allowBlank="1" showInputMessage="1" showErrorMessage="1" sqref="E41:E43" xr:uid="{CCE56C8D-23DA-40F2-A51C-4BF80510F20F}">
      <formula1>IF(OR($D$41="Shape",$D$41="French Door Cutout"),Shapes,Matorder)</formula1>
    </dataValidation>
    <dataValidation type="list" allowBlank="1" showInputMessage="1" showErrorMessage="1" sqref="E44:E46" xr:uid="{2C528719-439C-4056-883E-822D443357DA}">
      <formula1>IF(OR($D$44="Shape",$D$44="French Door Cutout"),Shapes,Matorder)</formula1>
    </dataValidation>
    <dataValidation type="list" allowBlank="1" showInputMessage="1" showErrorMessage="1" sqref="E47:E49" xr:uid="{5FB45665-9DC7-464D-B1E0-36406F379363}">
      <formula1>IF(OR($D$47="Shape",$D$47="French Door Cutout"),Shapes,Matorder)</formula1>
    </dataValidation>
    <dataValidation type="list" allowBlank="1" showInputMessage="1" showErrorMessage="1" sqref="E50:E52" xr:uid="{648AFDE7-8379-4E52-A8A7-6753D4CFFD26}">
      <formula1>IF(OR($D$50="Shape",$D$50="French Door Cutout"),Shapes,Matorder)</formula1>
    </dataValidation>
    <dataValidation type="list" allowBlank="1" showInputMessage="1" showErrorMessage="1" sqref="E62:F63" xr:uid="{EFCCBCB8-ADA8-44E7-ADD0-0D9D24089973}">
      <formula1>SalesTeam</formula1>
    </dataValidation>
    <dataValidation type="list" allowBlank="1" showInputMessage="1" showErrorMessage="1" sqref="X74" xr:uid="{8078021B-DA2A-41F8-A046-2FC154D52608}">
      <formula1>"Please Select:,Yes, No"</formula1>
    </dataValidation>
    <dataValidation type="list" allowBlank="1" showInputMessage="1" showErrorMessage="1" sqref="AD12 AD15 AD18 AD21 AD24 AD27 AD30 AD33 AD36 AD39 AD42 AD45 AD48 AD51 AD9" xr:uid="{AFA4B386-1FD6-4DAE-9803-C520F43BFE07}">
      <formula1>"SQM, 3 for 2"</formula1>
    </dataValidation>
    <dataValidation type="list" allowBlank="1" showInputMessage="1" showErrorMessage="1" sqref="AE71:AE72" xr:uid="{BC1B2F22-904A-4889-ADA6-D7FE2F89B42D}">
      <formula1>"Select Method,Card,BACS,Cash"</formula1>
    </dataValidation>
    <dataValidation type="list" allowBlank="1" showInputMessage="1" sqref="AE74" xr:uid="{00692895-6384-480C-83C4-31D16D30FE38}">
      <formula1>"Survey Date:,TBC,ASAP,Building Works"</formula1>
    </dataValidation>
    <dataValidation type="list" showInputMessage="1" showErrorMessage="1" sqref="AD53" xr:uid="{E66F450C-B2E4-4D5F-9343-87E6BAB465F9}">
      <formula1>"3-4-2 SQM, ="""""</formula1>
    </dataValidation>
    <dataValidation type="list" allowBlank="1" showInputMessage="1" showErrorMessage="1" sqref="X63:AD63" xr:uid="{D9710C16-1C22-4222-8D3A-010398101636}">
      <formula1>"Survey &amp; Installation, Survey &amp; Installation 25%"</formula1>
    </dataValidation>
    <dataValidation type="list" allowBlank="1" showInputMessage="1" sqref="N75:O75" xr:uid="{5F0BD275-1019-44A4-AD84-B4ECDE99FC46}">
      <formula1>"Other:,Price Match,Friends &amp; Family,Managers Discretion"</formula1>
    </dataValidation>
    <dataValidation type="list" allowBlank="1" showInputMessage="1" showErrorMessage="1" sqref="E26:E28" xr:uid="{7405AA05-184D-4BFA-B143-7AF066018A0D}">
      <formula1>IF(OR($D$26="Shape",$D$26="French Door Cutout"),Shapes,Matorder)</formula1>
    </dataValidation>
    <dataValidation type="list" allowBlank="1" showInputMessage="1" showErrorMessage="1" sqref="E29:E31" xr:uid="{2F3D0B25-4778-4383-93F8-FD761525F459}">
      <formula1>IF(OR($D$29="Shape",$D$29="French Door Cutout"),Shapes,Matorder)</formula1>
    </dataValidation>
    <dataValidation type="list" allowBlank="1" showInputMessage="1" showErrorMessage="1" sqref="E32:E34" xr:uid="{D636BF57-A979-47AB-8017-1F09DA7D3261}">
      <formula1>IF(OR($D$32="Shape",$D$32="French Door Cutout"),Shapes,Matorder)</formula1>
    </dataValidation>
    <dataValidation type="list" allowBlank="1" showInputMessage="1" showErrorMessage="1" sqref="I17:I19" xr:uid="{80FDC276-2AF3-41D1-B74E-83334148BA29}">
      <formula1>IF($D$17="Tracked",TFrame,IF($D$17="S/Shade",SSFrame,IF($E17="Hampton",Hamptonf,Frame)))</formula1>
    </dataValidation>
    <dataValidation type="list" allowBlank="1" showInputMessage="1" showErrorMessage="1" sqref="I20:I22" xr:uid="{FB235F7E-AABE-41BC-9131-54E92E48B6C3}">
      <formula1>IF($D$20="Tracked",TFrame,IF($D$20="S/Shade",SSFrame,IF($E20="Hampton",Hamptonf,Frame)))</formula1>
    </dataValidation>
    <dataValidation type="list" allowBlank="1" showInputMessage="1" showErrorMessage="1" sqref="I23:I25" xr:uid="{D48D362B-5E1B-4F10-A52F-334B4A3F767A}">
      <formula1>IF($D$23="Tracked",TFrame,IF($D$23="S/Shade",SSFrame,IF($E23="Hampton",Hamptonf,Frame)))</formula1>
    </dataValidation>
    <dataValidation type="list" allowBlank="1" showInputMessage="1" showErrorMessage="1" sqref="I26:I28" xr:uid="{DD200680-407D-4DD9-B7B4-021EE0B3B238}">
      <formula1>IF($D$26="Tracked",TFrame,IF($D$26="S/Shade",SSFrame,IF($E26="Hampton",Hamptonf,Frame)))</formula1>
    </dataValidation>
    <dataValidation type="list" allowBlank="1" showInputMessage="1" showErrorMessage="1" sqref="I29:I31" xr:uid="{7A306391-9172-44A5-9DF3-8878D41E2796}">
      <formula1>IF($D$29="Tracked",TFrame,IF($D$29="S/Shade",SSFrame,IF($E29="Hampton",Hamptonf,Frame)))</formula1>
    </dataValidation>
    <dataValidation type="list" allowBlank="1" showInputMessage="1" showErrorMessage="1" sqref="I32:I34" xr:uid="{4707067B-6696-463C-8061-3633540BD972}">
      <formula1>IF($D$32="Tracked",TFrame,IF($D$32="S/Shade",SSFrame,IF($E32="Hampton",Hamptonf,Frame)))</formula1>
    </dataValidation>
    <dataValidation type="list" allowBlank="1" showInputMessage="1" showErrorMessage="1" sqref="X61:AD61" xr:uid="{35C99E70-2226-4D5F-A8B1-76E42EF0AE06}">
      <formula1>"Upgrade &amp; Extras, Upgrade &amp; Extras (10%)"</formula1>
    </dataValidation>
    <dataValidation type="list" allowBlank="1" showInputMessage="1" showErrorMessage="1" sqref="N74:O74" xr:uid="{755EBE4E-49E2-4FD9-9848-5BEF96CCCFA1}">
      <formula1>IF(++$S$61="Please Select",Discounts,DiscountsFin)</formula1>
    </dataValidation>
    <dataValidation allowBlank="1" showInputMessage="1" showErrorMessage="1" prompt="Maximum height without a mid rail is 1879mm_x000a__x000a_Maximum height for Silent Tilt is 1372" sqref="N17:N52" xr:uid="{350AB78D-6630-45F1-9207-5B33F8F71E3E}"/>
    <dataValidation allowBlank="1" showInputMessage="1" showErrorMessage="1" prompt="Maximum height without a mid rail is 1879mm_x000a__x000a_Maximum height for Silent Tilt is 1372mm" sqref="N8:N16" xr:uid="{BF8B0D8E-02BC-4610-81C5-0AF63B55144F}"/>
    <dataValidation type="list" allowBlank="1" showInputMessage="1" showErrorMessage="1" sqref="AE68:AF68" xr:uid="{B8285A44-9961-45C5-AE55-2708B7943E32}">
      <formula1>MMaterial</formula1>
    </dataValidation>
    <dataValidation type="list" allowBlank="1" showInputMessage="1" showErrorMessage="1" sqref="I11:I13" xr:uid="{72534E28-0BA9-46EC-94B4-27259978C6B7}">
      <formula1>IF($D$11="Tracked",TFrame,IF($D$11="S/Shade",SSFrame,IF($E11="Hampton",Hamptonf,Frame)))</formula1>
    </dataValidation>
    <dataValidation type="list" allowBlank="1" showInputMessage="1" showErrorMessage="1" sqref="I14:I16" xr:uid="{0A62F282-BF36-4D0F-BE9B-B9EF42F3E517}">
      <formula1>IF($D$14="Tracked",TFrame,IF($D$14="S/Shade",SSFrame,IF($E14="Hampton",Hamptonf,Frame)))</formula1>
    </dataValidation>
    <dataValidation type="list" allowBlank="1" showInputMessage="1" showErrorMessage="1" sqref="E11:E13" xr:uid="{DF34EF55-78BB-463F-B14A-9D0E421185A7}">
      <formula1>IF(OR($D$11="Shape",$D$11="French Door Cutout"),Shapes,Matorder)</formula1>
    </dataValidation>
    <dataValidation type="list" allowBlank="1" showInputMessage="1" showErrorMessage="1" sqref="E20:E22" xr:uid="{BF50177D-2496-4415-89EF-A1E6793A2E98}">
      <formula1>IF(OR($D$20="Shape",$D$20="French Door Cutout"),Shapes,Matorder)</formula1>
    </dataValidation>
    <dataValidation type="list" allowBlank="1" showInputMessage="1" showErrorMessage="1" sqref="E23:E25" xr:uid="{5A313714-6537-40B0-9DC0-8306023E3FAB}">
      <formula1>IF(OR($D$23="Shape",$D$23="French Door Cutout"),Shapes,Matorder)</formula1>
    </dataValidation>
    <dataValidation type="list" allowBlank="1" showInputMessage="1" showErrorMessage="1" sqref="R20:S20 R14:S14 S8:AB8" xr:uid="{59DAC36D-DB71-4731-B58E-D27C6622164F}">
      <formula1>IF($E$8="Aruba",ArubaConfig,Config1)</formula1>
    </dataValidation>
    <dataValidation type="list" allowBlank="1" showInputMessage="1" showErrorMessage="1" sqref="R11:AC11" xr:uid="{C1F35B0D-B1B6-4716-BCCB-14D4590051FD}">
      <formula1>IF($E$11="Aruba",ArubaConfig,Config1)</formula1>
    </dataValidation>
    <dataValidation type="list" allowBlank="1" showInputMessage="1" showErrorMessage="1" sqref="E14:E16" xr:uid="{75E07EAF-B2D7-4B8D-B5EE-6221A36C4BBC}">
      <formula1>IF(OR($D$14="Shape",$D$14="French Door Cutout"),Shapes,Matorder)</formula1>
    </dataValidation>
    <dataValidation type="list" allowBlank="1" showInputMessage="1" showErrorMessage="1" sqref="E17:E19" xr:uid="{8B8F1B1D-8484-4AF7-9D41-51B39D885B84}">
      <formula1>IF(OR($D$17="Shape",$D$17="French Door Cutout"),Shapes,Matorder)</formula1>
    </dataValidation>
    <dataValidation type="list" allowBlank="1" showInputMessage="1" showErrorMessage="1" sqref="D53:D55" xr:uid="{456BAA79-FCCE-44C2-A83E-73E534C19B64}">
      <formula1>"Please select, Yes, No"</formula1>
    </dataValidation>
    <dataValidation type="list" allowBlank="1" showInputMessage="1" showErrorMessage="1" sqref="J65:K65 J67:K67 J69:K69 J73:K73" xr:uid="{B1AB95A4-9C3D-445E-A1DA-613DBC0B069C}">
      <formula1>"Select, Yes, No"</formula1>
    </dataValidation>
    <dataValidation type="list" allowBlank="1" showInputMessage="1" sqref="F51:G51 F48:G48 F15:G15 F18:G18 F21:G21 F24:G24 F27:G27 F30 F33:G33 F36:G36 F39:G39 F42:G42 F45:G45 F12:G12 F9:G9" xr:uid="{C9164A0F-3476-4331-81E1-EE52F1BEA922}">
      <formula1>IF(AND($D8="S/Shade",$E8="Maui"),MauiShade,Shapestyle)</formula1>
    </dataValidation>
    <dataValidation type="list" allowBlank="1" showInputMessage="1" sqref="F8:G8" xr:uid="{AC898197-AE50-4081-8638-907B407EC935}">
      <formula1>IF(E8="Aruba Express",ArubaExpress,IF(AND(D8="S/Shade",E8="Barbados"),AntSS,IF(E8="Antigua",Barbados,INDIRECT(E8))))</formula1>
    </dataValidation>
    <dataValidation type="list" allowBlank="1" showInputMessage="1" sqref="D8:D10" xr:uid="{467A2BB4-85D4-466D-98ED-8BA27E71AAB2}">
      <formula1>Shuttype</formula1>
    </dataValidation>
    <dataValidation type="list" allowBlank="1" showInputMessage="1" sqref="H8:H10" xr:uid="{4DBBBB97-BF46-4AE3-B329-E8655204ABB0}">
      <formula1>IF(E8="Aruba Express",ArubaExpressL,IF(E8="ANTIGUA",BarbadosL,INDIRECT(E8 &amp; "L")))</formula1>
    </dataValidation>
    <dataValidation type="list" allowBlank="1" showInputMessage="1" sqref="C10" xr:uid="{B79FE78F-BA61-41F4-8D27-AEA5E7025A12}">
      <formula1>"Left, Centre, Right"</formula1>
    </dataValidation>
    <dataValidation type="list" allowBlank="1" showInputMessage="1" sqref="G10" xr:uid="{6983E994-3A5E-448D-8E8A-F4622E9D811B}">
      <formula1>IF(E8="Aruba Express",ArubaEH,IF(E8="Antigua",BarbadosH,INDIRECT(E8 &amp; "H")))</formula1>
    </dataValidation>
    <dataValidation type="list" allowBlank="1" showInputMessage="1" sqref="I8:I10" xr:uid="{034CEDE4-C0C0-45E2-BC64-770C981F65D6}">
      <formula1>IF($D$8="Tracked",TFrame,IF($D$8="S/Shade",SSFrame,Frame))</formula1>
    </dataValidation>
    <dataValidation type="list" allowBlank="1" showInputMessage="1" sqref="E8:E10" xr:uid="{566C98DE-1D24-432B-B6B3-CE0C44C8E2B7}">
      <formula1>IF(OR($D$8="Shape",$D$8="French Door Cutout"),Shapes,Matorder)</formula1>
    </dataValidation>
    <dataValidation type="list" allowBlank="1" showInputMessage="1" showErrorMessage="1" sqref="R8" xr:uid="{F2CAB4DD-F927-4F3D-B721-831F8F7087D6}">
      <formula1>Config1</formula1>
    </dataValidation>
  </dataValidations>
  <printOptions gridLines="1"/>
  <pageMargins left="0.7" right="0.7" top="0.75" bottom="0.75" header="0.3" footer="0.3"/>
  <pageSetup paperSize="9" scale="36" fitToWidth="0" fitToHeight="0" orientation="landscape" horizontalDpi="300" verticalDpi="300" r:id="rId1"/>
  <headerFooter scaleWithDoc="0" alignWithMargins="0"/>
  <drawing r:id="rId2"/>
  <extLst>
    <ext xmlns:x14="http://schemas.microsoft.com/office/spreadsheetml/2009/9/main" uri="{78C0D931-6437-407d-A8EE-F0AAD7539E65}">
      <x14:conditionalFormattings>
        <x14:conditionalFormatting xmlns:xm="http://schemas.microsoft.com/office/excel/2006/main">
          <x14:cfRule type="expression" priority="162" id="{6172615B-2C39-4F87-947C-AC90570F50BD}">
            <xm:f>Helper!$AQ$23=TRUE</xm:f>
            <x14:dxf>
              <fill>
                <patternFill>
                  <bgColor rgb="FFFF0000"/>
                </patternFill>
              </fill>
            </x14:dxf>
          </x14:cfRule>
          <xm:sqref>E14:E16</xm:sqref>
        </x14:conditionalFormatting>
        <x14:conditionalFormatting xmlns:xm="http://schemas.microsoft.com/office/excel/2006/main">
          <x14:cfRule type="expression" priority="322" id="{00000000-000E-0000-0000-000017000000}">
            <xm:f>Helper!$AQ$24=TRUE</xm:f>
            <x14:dxf>
              <fill>
                <patternFill>
                  <bgColor rgb="FFFF0000"/>
                </patternFill>
              </fill>
            </x14:dxf>
          </x14:cfRule>
          <xm:sqref>E17</xm:sqref>
        </x14:conditionalFormatting>
        <x14:conditionalFormatting xmlns:xm="http://schemas.microsoft.com/office/excel/2006/main">
          <x14:cfRule type="expression" priority="293" id="{83D627E8-1A46-4D54-8BCA-E14A593963B5}">
            <xm:f>Helper!$AQ$25=TRUE</xm:f>
            <x14:dxf>
              <fill>
                <patternFill>
                  <bgColor rgb="FFFF0000"/>
                </patternFill>
              </fill>
            </x14:dxf>
          </x14:cfRule>
          <xm:sqref>E20</xm:sqref>
        </x14:conditionalFormatting>
        <x14:conditionalFormatting xmlns:xm="http://schemas.microsoft.com/office/excel/2006/main">
          <x14:cfRule type="expression" priority="292" id="{F555AC9A-2621-4FDE-8D2C-3B0FC65E0C69}">
            <xm:f>Helper!$AQ$26=TRUE</xm:f>
            <x14:dxf>
              <fill>
                <patternFill>
                  <bgColor rgb="FFFF0000"/>
                </patternFill>
              </fill>
            </x14:dxf>
          </x14:cfRule>
          <xm:sqref>E23</xm:sqref>
        </x14:conditionalFormatting>
        <x14:conditionalFormatting xmlns:xm="http://schemas.microsoft.com/office/excel/2006/main">
          <x14:cfRule type="expression" priority="291" id="{0E125AC7-2F2B-49E4-AE6C-BFD586E7F69D}">
            <xm:f>Helper!$AQ$27=TRUE</xm:f>
            <x14:dxf>
              <fill>
                <patternFill>
                  <bgColor rgb="FFFF0000"/>
                </patternFill>
              </fill>
            </x14:dxf>
          </x14:cfRule>
          <xm:sqref>E26</xm:sqref>
        </x14:conditionalFormatting>
        <x14:conditionalFormatting xmlns:xm="http://schemas.microsoft.com/office/excel/2006/main">
          <x14:cfRule type="expression" priority="290" id="{82F7C40F-410D-4A7C-91BA-622054390FA0}">
            <xm:f>Helper!$AQ$28=TRUE</xm:f>
            <x14:dxf>
              <fill>
                <patternFill>
                  <bgColor rgb="FFFF0000"/>
                </patternFill>
              </fill>
            </x14:dxf>
          </x14:cfRule>
          <xm:sqref>E29</xm:sqref>
        </x14:conditionalFormatting>
        <x14:conditionalFormatting xmlns:xm="http://schemas.microsoft.com/office/excel/2006/main">
          <x14:cfRule type="expression" priority="289" id="{06ECF25A-B47E-4BFE-A442-C7215D2B273A}">
            <xm:f>Helper!$AQ$29=TRUE</xm:f>
            <x14:dxf>
              <fill>
                <patternFill>
                  <bgColor rgb="FFFF0000"/>
                </patternFill>
              </fill>
            </x14:dxf>
          </x14:cfRule>
          <xm:sqref>E32</xm:sqref>
        </x14:conditionalFormatting>
        <x14:conditionalFormatting xmlns:xm="http://schemas.microsoft.com/office/excel/2006/main">
          <x14:cfRule type="expression" priority="826" id="{00000000-000E-0000-0000-00000F020000}">
            <xm:f>Helper!$AQ$30=TRUE</xm:f>
            <x14:dxf>
              <fill>
                <patternFill>
                  <bgColor rgb="FFFF0000"/>
                </patternFill>
              </fill>
            </x14:dxf>
          </x14:cfRule>
          <xm:sqref>E35</xm:sqref>
        </x14:conditionalFormatting>
        <x14:conditionalFormatting xmlns:xm="http://schemas.microsoft.com/office/excel/2006/main">
          <x14:cfRule type="expression" priority="810" id="{00000000-000E-0000-0000-0000FF010000}">
            <xm:f>Helper!$AQ$31=TRUE</xm:f>
            <x14:dxf>
              <fill>
                <patternFill>
                  <bgColor rgb="FFFF0000"/>
                </patternFill>
              </fill>
            </x14:dxf>
          </x14:cfRule>
          <xm:sqref>E38</xm:sqref>
        </x14:conditionalFormatting>
        <x14:conditionalFormatting xmlns:xm="http://schemas.microsoft.com/office/excel/2006/main">
          <x14:cfRule type="expression" priority="824" id="{00000000-000E-0000-0000-00000D020000}">
            <xm:f>Helper!$AQ$32=TRUE</xm:f>
            <x14:dxf>
              <fill>
                <patternFill>
                  <bgColor rgb="FFFF0000"/>
                </patternFill>
              </fill>
            </x14:dxf>
          </x14:cfRule>
          <xm:sqref>E41</xm:sqref>
        </x14:conditionalFormatting>
        <x14:conditionalFormatting xmlns:xm="http://schemas.microsoft.com/office/excel/2006/main">
          <x14:cfRule type="expression" priority="823" id="{00000000-000E-0000-0000-00000C020000}">
            <xm:f>Helper!$AQ$33=TRUE</xm:f>
            <x14:dxf>
              <fill>
                <patternFill>
                  <bgColor rgb="FFFF0000"/>
                </patternFill>
              </fill>
            </x14:dxf>
          </x14:cfRule>
          <xm:sqref>E44</xm:sqref>
        </x14:conditionalFormatting>
        <x14:conditionalFormatting xmlns:xm="http://schemas.microsoft.com/office/excel/2006/main">
          <x14:cfRule type="expression" priority="822" id="{00000000-000E-0000-0000-00000B020000}">
            <xm:f>Helper!$AQ$34=TRUE</xm:f>
            <x14:dxf>
              <fill>
                <patternFill>
                  <bgColor rgb="FFFF0000"/>
                </patternFill>
              </fill>
            </x14:dxf>
          </x14:cfRule>
          <xm:sqref>E47</xm:sqref>
        </x14:conditionalFormatting>
        <x14:conditionalFormatting xmlns:xm="http://schemas.microsoft.com/office/excel/2006/main">
          <x14:cfRule type="expression" priority="821" id="{00000000-000E-0000-0000-00000A020000}">
            <xm:f>Helper!$AQ$35=TRUE</xm:f>
            <x14:dxf>
              <fill>
                <patternFill>
                  <bgColor rgb="FFFF0000"/>
                </patternFill>
              </fill>
            </x14:dxf>
          </x14:cfRule>
          <xm:sqref>E50</xm:sqref>
        </x14:conditionalFormatting>
        <x14:conditionalFormatting xmlns:xm="http://schemas.microsoft.com/office/excel/2006/main">
          <x14:cfRule type="expression" priority="312" id="{FE9E3229-481E-4BBB-9555-5831619A149C}">
            <xm:f>IF($E$14="","",Helper!$AP$23=TRUE)</xm:f>
            <x14:dxf>
              <fill>
                <patternFill>
                  <bgColor rgb="FFFF0000"/>
                </patternFill>
              </fill>
            </x14:dxf>
          </x14:cfRule>
          <xm:sqref>F14</xm:sqref>
        </x14:conditionalFormatting>
        <x14:conditionalFormatting xmlns:xm="http://schemas.microsoft.com/office/excel/2006/main">
          <x14:cfRule type="expression" priority="311" id="{3441FE84-7833-4B35-87E6-9C51ECB24AF0}">
            <xm:f>IF($E$17="","",Helper!$AP$24=TRUE)</xm:f>
            <x14:dxf>
              <fill>
                <patternFill>
                  <bgColor rgb="FFFF0000"/>
                </patternFill>
              </fill>
            </x14:dxf>
          </x14:cfRule>
          <xm:sqref>F17</xm:sqref>
        </x14:conditionalFormatting>
        <x14:conditionalFormatting xmlns:xm="http://schemas.microsoft.com/office/excel/2006/main">
          <x14:cfRule type="expression" priority="310" id="{151EE7FA-93BF-41D0-9F46-980B79382272}">
            <xm:f>IF($E$20="","",Helper!$AP$25=TRUE)</xm:f>
            <x14:dxf>
              <fill>
                <patternFill>
                  <bgColor rgb="FFFF0000"/>
                </patternFill>
              </fill>
            </x14:dxf>
          </x14:cfRule>
          <xm:sqref>F20</xm:sqref>
        </x14:conditionalFormatting>
        <x14:conditionalFormatting xmlns:xm="http://schemas.microsoft.com/office/excel/2006/main">
          <x14:cfRule type="expression" priority="309" id="{57D59865-5856-49E7-B45B-8342AE57582B}">
            <xm:f>IF($E$23="","",Helper!$AP$26=TRUE)</xm:f>
            <x14:dxf>
              <fill>
                <patternFill>
                  <bgColor rgb="FFFF0000"/>
                </patternFill>
              </fill>
            </x14:dxf>
          </x14:cfRule>
          <xm:sqref>F23</xm:sqref>
        </x14:conditionalFormatting>
        <x14:conditionalFormatting xmlns:xm="http://schemas.microsoft.com/office/excel/2006/main">
          <x14:cfRule type="expression" priority="308" id="{7CB7BDDF-F54A-4609-A2D6-78F8FAE914F5}">
            <xm:f>IF($E$26="","",Helper!$AP$27=TRUE)</xm:f>
            <x14:dxf>
              <fill>
                <patternFill>
                  <bgColor rgb="FFFF0000"/>
                </patternFill>
              </fill>
            </x14:dxf>
          </x14:cfRule>
          <xm:sqref>F26</xm:sqref>
        </x14:conditionalFormatting>
        <x14:conditionalFormatting xmlns:xm="http://schemas.microsoft.com/office/excel/2006/main">
          <x14:cfRule type="expression" priority="307" id="{D52D4EE3-E411-4005-BA5D-9CCC98D2DA64}">
            <xm:f>IF($E$29="","",Helper!$AP$28=TRUE)</xm:f>
            <x14:dxf>
              <fill>
                <patternFill>
                  <bgColor rgb="FFFF0000"/>
                </patternFill>
              </fill>
            </x14:dxf>
          </x14:cfRule>
          <xm:sqref>F29</xm:sqref>
        </x14:conditionalFormatting>
        <x14:conditionalFormatting xmlns:xm="http://schemas.microsoft.com/office/excel/2006/main">
          <x14:cfRule type="expression" priority="306" id="{1A7E4BC6-3970-49C1-BA1D-9A1B28A5E2F5}">
            <xm:f>IF($E$32="","",Helper!$AP$29=TRUE)</xm:f>
            <x14:dxf>
              <fill>
                <patternFill>
                  <bgColor rgb="FFFF0000"/>
                </patternFill>
              </fill>
            </x14:dxf>
          </x14:cfRule>
          <xm:sqref>F32</xm:sqref>
        </x14:conditionalFormatting>
        <x14:conditionalFormatting xmlns:xm="http://schemas.microsoft.com/office/excel/2006/main">
          <x14:cfRule type="expression" priority="305" id="{74CAC8D2-E37C-40A3-9713-8A691E17DAAB}">
            <xm:f>IF($E$35="","",Helper!$AP$30=TRUE)</xm:f>
            <x14:dxf>
              <fill>
                <patternFill>
                  <bgColor rgb="FFFF0000"/>
                </patternFill>
              </fill>
            </x14:dxf>
          </x14:cfRule>
          <xm:sqref>F35</xm:sqref>
        </x14:conditionalFormatting>
        <x14:conditionalFormatting xmlns:xm="http://schemas.microsoft.com/office/excel/2006/main">
          <x14:cfRule type="expression" priority="304" id="{4B7E7D8E-08D5-4941-9EF0-F8C14E17A06E}">
            <xm:f>IF($E$38="","",Helper!$AP$31=TRUE)</xm:f>
            <x14:dxf>
              <fill>
                <patternFill>
                  <bgColor rgb="FFFF0000"/>
                </patternFill>
              </fill>
            </x14:dxf>
          </x14:cfRule>
          <xm:sqref>F38</xm:sqref>
        </x14:conditionalFormatting>
        <x14:conditionalFormatting xmlns:xm="http://schemas.microsoft.com/office/excel/2006/main">
          <x14:cfRule type="expression" priority="303" id="{C28DB06E-5041-4935-821C-26AB675CBC05}">
            <xm:f>IF($E$41="","",Helper!$AP$32=TRUE)</xm:f>
            <x14:dxf>
              <fill>
                <patternFill>
                  <bgColor rgb="FFFF0000"/>
                </patternFill>
              </fill>
            </x14:dxf>
          </x14:cfRule>
          <xm:sqref>F41</xm:sqref>
        </x14:conditionalFormatting>
        <x14:conditionalFormatting xmlns:xm="http://schemas.microsoft.com/office/excel/2006/main">
          <x14:cfRule type="expression" priority="302" id="{B8D16781-0AD6-49F6-BDAE-91026C7C8BEA}">
            <xm:f>IF($E$44="","",Helper!$AP$33=TRUE)</xm:f>
            <x14:dxf>
              <fill>
                <patternFill>
                  <bgColor rgb="FFFF0000"/>
                </patternFill>
              </fill>
            </x14:dxf>
          </x14:cfRule>
          <xm:sqref>F44</xm:sqref>
        </x14:conditionalFormatting>
        <x14:conditionalFormatting xmlns:xm="http://schemas.microsoft.com/office/excel/2006/main">
          <x14:cfRule type="expression" priority="301" id="{4D291398-F063-4989-AE0F-023C61586FA1}">
            <xm:f>IF($E$47="","",Helper!$AP$34=TRUE)</xm:f>
            <x14:dxf>
              <fill>
                <patternFill>
                  <bgColor rgb="FFFF0000"/>
                </patternFill>
              </fill>
            </x14:dxf>
          </x14:cfRule>
          <xm:sqref>F47</xm:sqref>
        </x14:conditionalFormatting>
        <x14:conditionalFormatting xmlns:xm="http://schemas.microsoft.com/office/excel/2006/main">
          <x14:cfRule type="expression" priority="300" id="{5B430EEF-F254-4EAF-B52D-BCF926E25FC3}">
            <xm:f>IF($E$50="","",Helper!$AP$35=TRUE)</xm:f>
            <x14:dxf>
              <fill>
                <patternFill>
                  <bgColor rgb="FFFF0000"/>
                </patternFill>
              </fill>
            </x14:dxf>
          </x14:cfRule>
          <xm:sqref>F50</xm:sqref>
        </x14:conditionalFormatting>
        <x14:conditionalFormatting xmlns:xm="http://schemas.microsoft.com/office/excel/2006/main">
          <x14:cfRule type="expression" priority="53" id="{DE07ADF5-28B0-401C-BF36-F4CE8B9F6AA9}">
            <xm:f>Helper!$AP71=TRUE</xm:f>
            <x14:dxf>
              <fill>
                <patternFill>
                  <bgColor rgb="FFFF0000"/>
                </patternFill>
              </fill>
            </x14:dxf>
          </x14:cfRule>
          <xm:sqref>F14:G14</xm:sqref>
        </x14:conditionalFormatting>
        <x14:conditionalFormatting xmlns:xm="http://schemas.microsoft.com/office/excel/2006/main">
          <x14:cfRule type="expression" priority="52" id="{2502C40C-CE97-4EBA-A87D-E42C09304D13}">
            <xm:f>Helper!$AP72=TRUE</xm:f>
            <x14:dxf>
              <fill>
                <patternFill>
                  <bgColor rgb="FFFF0000"/>
                </patternFill>
              </fill>
            </x14:dxf>
          </x14:cfRule>
          <xm:sqref>F17:G17</xm:sqref>
        </x14:conditionalFormatting>
        <x14:conditionalFormatting xmlns:xm="http://schemas.microsoft.com/office/excel/2006/main">
          <x14:cfRule type="expression" priority="51" id="{0A59F6ED-3748-4A1F-8435-A70809827664}">
            <xm:f>Helper!$AP73=TRUE</xm:f>
            <x14:dxf>
              <fill>
                <patternFill>
                  <bgColor rgb="FFFF0000"/>
                </patternFill>
              </fill>
            </x14:dxf>
          </x14:cfRule>
          <xm:sqref>F20:G20</xm:sqref>
        </x14:conditionalFormatting>
        <x14:conditionalFormatting xmlns:xm="http://schemas.microsoft.com/office/excel/2006/main">
          <x14:cfRule type="expression" priority="50" id="{51C8C435-5DA3-4C86-ACEE-2EA7603E5F03}">
            <xm:f>Helper!$AP74=TRUE</xm:f>
            <x14:dxf>
              <fill>
                <patternFill>
                  <bgColor rgb="FFFF0000"/>
                </patternFill>
              </fill>
            </x14:dxf>
          </x14:cfRule>
          <xm:sqref>F23:G23</xm:sqref>
        </x14:conditionalFormatting>
        <x14:conditionalFormatting xmlns:xm="http://schemas.microsoft.com/office/excel/2006/main">
          <x14:cfRule type="expression" priority="49" id="{4B6A91F8-82BF-41CD-B071-3A0818AC3B40}">
            <xm:f>Helper!$AP75=TRUE</xm:f>
            <x14:dxf>
              <fill>
                <patternFill>
                  <bgColor rgb="FFFF0000"/>
                </patternFill>
              </fill>
            </x14:dxf>
          </x14:cfRule>
          <xm:sqref>F26:G26</xm:sqref>
        </x14:conditionalFormatting>
        <x14:conditionalFormatting xmlns:xm="http://schemas.microsoft.com/office/excel/2006/main">
          <x14:cfRule type="expression" priority="48" id="{097BF78D-998A-4B66-93A3-2AB839616F64}">
            <xm:f>Helper!$AP76=TRUE</xm:f>
            <x14:dxf>
              <fill>
                <patternFill>
                  <bgColor rgb="FFFF0000"/>
                </patternFill>
              </fill>
            </x14:dxf>
          </x14:cfRule>
          <xm:sqref>F29:G29</xm:sqref>
        </x14:conditionalFormatting>
        <x14:conditionalFormatting xmlns:xm="http://schemas.microsoft.com/office/excel/2006/main">
          <x14:cfRule type="expression" priority="47" id="{C36EA39C-B9C2-4B90-99DC-4E3232AE859A}">
            <xm:f>Helper!$AP77=TRUE</xm:f>
            <x14:dxf>
              <fill>
                <patternFill>
                  <bgColor rgb="FFFF0000"/>
                </patternFill>
              </fill>
            </x14:dxf>
          </x14:cfRule>
          <xm:sqref>F32:G32</xm:sqref>
        </x14:conditionalFormatting>
        <x14:conditionalFormatting xmlns:xm="http://schemas.microsoft.com/office/excel/2006/main">
          <x14:cfRule type="expression" priority="46" id="{8B3AF974-356C-4780-B34E-D35398261C3F}">
            <xm:f>Helper!$AP78=TRUE</xm:f>
            <x14:dxf>
              <fill>
                <patternFill>
                  <bgColor rgb="FFFF0000"/>
                </patternFill>
              </fill>
            </x14:dxf>
          </x14:cfRule>
          <xm:sqref>F35:G35</xm:sqref>
        </x14:conditionalFormatting>
        <x14:conditionalFormatting xmlns:xm="http://schemas.microsoft.com/office/excel/2006/main">
          <x14:cfRule type="expression" priority="45" id="{5AD66A58-A4CF-4A75-AF83-12840352D755}">
            <xm:f>Helper!$AP79=TRUE</xm:f>
            <x14:dxf>
              <fill>
                <patternFill>
                  <bgColor rgb="FFFF0000"/>
                </patternFill>
              </fill>
            </x14:dxf>
          </x14:cfRule>
          <xm:sqref>F38:G38</xm:sqref>
        </x14:conditionalFormatting>
        <x14:conditionalFormatting xmlns:xm="http://schemas.microsoft.com/office/excel/2006/main">
          <x14:cfRule type="expression" priority="44" id="{7D10614E-5B40-4C09-9DB8-A85F3BA090EA}">
            <xm:f>Helper!$AP80=TRUE</xm:f>
            <x14:dxf>
              <fill>
                <patternFill>
                  <bgColor rgb="FFFF0000"/>
                </patternFill>
              </fill>
            </x14:dxf>
          </x14:cfRule>
          <xm:sqref>F41:G41</xm:sqref>
        </x14:conditionalFormatting>
        <x14:conditionalFormatting xmlns:xm="http://schemas.microsoft.com/office/excel/2006/main">
          <x14:cfRule type="expression" priority="43" id="{D0F3A547-A271-4074-AB14-0D5E2DAFD9D3}">
            <xm:f>Helper!$AP81=TRUE</xm:f>
            <x14:dxf>
              <fill>
                <patternFill>
                  <bgColor rgb="FFFF0000"/>
                </patternFill>
              </fill>
            </x14:dxf>
          </x14:cfRule>
          <xm:sqref>F44:G44</xm:sqref>
        </x14:conditionalFormatting>
        <x14:conditionalFormatting xmlns:xm="http://schemas.microsoft.com/office/excel/2006/main">
          <x14:cfRule type="expression" priority="42" id="{1DBD65E9-77CB-42DD-A854-3014CAB1D517}">
            <xm:f>Helper!$AP82=TRUE</xm:f>
            <x14:dxf>
              <fill>
                <patternFill>
                  <bgColor rgb="FFFF0000"/>
                </patternFill>
              </fill>
            </x14:dxf>
          </x14:cfRule>
          <xm:sqref>F47:G47</xm:sqref>
        </x14:conditionalFormatting>
        <x14:conditionalFormatting xmlns:xm="http://schemas.microsoft.com/office/excel/2006/main">
          <x14:cfRule type="expression" priority="41" id="{69232F93-CC99-4436-AECE-C82F23493DCB}">
            <xm:f>Helper!$AP83=TRUE</xm:f>
            <x14:dxf>
              <fill>
                <patternFill>
                  <bgColor rgb="FFFF0000"/>
                </patternFill>
              </fill>
            </x14:dxf>
          </x14:cfRule>
          <xm:sqref>F50:G50</xm:sqref>
        </x14:conditionalFormatting>
        <x14:conditionalFormatting xmlns:xm="http://schemas.microsoft.com/office/excel/2006/main">
          <x14:cfRule type="expression" priority="147" id="{188CEF7B-BC80-45E5-9670-E3B6E2F68AEE}">
            <xm:f>Helper!$AD$23=TRUE</xm:f>
            <x14:dxf>
              <fill>
                <patternFill>
                  <bgColor rgb="FFFF0000"/>
                </patternFill>
              </fill>
            </x14:dxf>
          </x14:cfRule>
          <xm:sqref>H14:H16</xm:sqref>
        </x14:conditionalFormatting>
        <x14:conditionalFormatting xmlns:xm="http://schemas.microsoft.com/office/excel/2006/main">
          <x14:cfRule type="expression" priority="146" id="{440CEC07-1A28-4208-A611-6BF677F48AB6}">
            <xm:f>Helper!$AD$24=TRUE</xm:f>
            <x14:dxf>
              <fill>
                <patternFill>
                  <bgColor rgb="FFFF0000"/>
                </patternFill>
              </fill>
            </x14:dxf>
          </x14:cfRule>
          <xm:sqref>H17:H19</xm:sqref>
        </x14:conditionalFormatting>
        <x14:conditionalFormatting xmlns:xm="http://schemas.microsoft.com/office/excel/2006/main">
          <x14:cfRule type="expression" priority="145" id="{F7EDB2CF-E097-48D8-9148-A1A74A382D44}">
            <xm:f>Helper!$AD$25=TRUE</xm:f>
            <x14:dxf>
              <fill>
                <patternFill>
                  <bgColor rgb="FFFF0000"/>
                </patternFill>
              </fill>
            </x14:dxf>
          </x14:cfRule>
          <xm:sqref>H20:H22</xm:sqref>
        </x14:conditionalFormatting>
        <x14:conditionalFormatting xmlns:xm="http://schemas.microsoft.com/office/excel/2006/main">
          <x14:cfRule type="expression" priority="144" id="{F824F957-E772-4ECA-AC4B-36D5727D7FFF}">
            <xm:f>Helper!$AD$26=TRUE</xm:f>
            <x14:dxf>
              <fill>
                <patternFill>
                  <bgColor rgb="FFFF0000"/>
                </patternFill>
              </fill>
            </x14:dxf>
          </x14:cfRule>
          <xm:sqref>H23:H25</xm:sqref>
        </x14:conditionalFormatting>
        <x14:conditionalFormatting xmlns:xm="http://schemas.microsoft.com/office/excel/2006/main">
          <x14:cfRule type="expression" priority="143" id="{5F9F7975-9F43-4925-9290-FFE4957702B3}">
            <xm:f>Helper!$AD$27=TRUE</xm:f>
            <x14:dxf>
              <fill>
                <patternFill>
                  <bgColor rgb="FFFF0000"/>
                </patternFill>
              </fill>
            </x14:dxf>
          </x14:cfRule>
          <xm:sqref>H26:H28</xm:sqref>
        </x14:conditionalFormatting>
        <x14:conditionalFormatting xmlns:xm="http://schemas.microsoft.com/office/excel/2006/main">
          <x14:cfRule type="expression" priority="142" id="{A3B92877-CEB4-4EB6-9A73-06E21D3D0565}">
            <xm:f>Helper!$AD$28=TRUE</xm:f>
            <x14:dxf>
              <fill>
                <patternFill>
                  <bgColor rgb="FFFF0000"/>
                </patternFill>
              </fill>
            </x14:dxf>
          </x14:cfRule>
          <xm:sqref>H29:H31</xm:sqref>
        </x14:conditionalFormatting>
        <x14:conditionalFormatting xmlns:xm="http://schemas.microsoft.com/office/excel/2006/main">
          <x14:cfRule type="expression" priority="141" id="{D30C3C0A-D6FA-4701-9557-5BCC7D94DEEC}">
            <xm:f>Helper!$AD$29=TRUE</xm:f>
            <x14:dxf>
              <fill>
                <patternFill>
                  <bgColor rgb="FFFF0000"/>
                </patternFill>
              </fill>
            </x14:dxf>
          </x14:cfRule>
          <xm:sqref>H32:H34</xm:sqref>
        </x14:conditionalFormatting>
        <x14:conditionalFormatting xmlns:xm="http://schemas.microsoft.com/office/excel/2006/main">
          <x14:cfRule type="expression" priority="140" id="{1058A46B-8718-42DC-9437-1AF89814B4E1}">
            <xm:f>Helper!$AD$30=TRUE</xm:f>
            <x14:dxf>
              <fill>
                <patternFill>
                  <bgColor rgb="FFFF0000"/>
                </patternFill>
              </fill>
            </x14:dxf>
          </x14:cfRule>
          <xm:sqref>H35:H37</xm:sqref>
        </x14:conditionalFormatting>
        <x14:conditionalFormatting xmlns:xm="http://schemas.microsoft.com/office/excel/2006/main">
          <x14:cfRule type="expression" priority="139" id="{F65F5D43-3B78-4BD6-AE84-658396960235}">
            <xm:f>Helper!$AD$31=TRUE</xm:f>
            <x14:dxf>
              <fill>
                <patternFill>
                  <bgColor rgb="FFFF0000"/>
                </patternFill>
              </fill>
            </x14:dxf>
          </x14:cfRule>
          <xm:sqref>H38:H40</xm:sqref>
        </x14:conditionalFormatting>
        <x14:conditionalFormatting xmlns:xm="http://schemas.microsoft.com/office/excel/2006/main">
          <x14:cfRule type="expression" priority="138" id="{BD5B2A1C-E288-4417-A228-EF794BE5BEFD}">
            <xm:f>Helper!$AD$32=TRUE</xm:f>
            <x14:dxf>
              <fill>
                <patternFill>
                  <bgColor rgb="FFFF0000"/>
                </patternFill>
              </fill>
            </x14:dxf>
          </x14:cfRule>
          <xm:sqref>H41:H43</xm:sqref>
        </x14:conditionalFormatting>
        <x14:conditionalFormatting xmlns:xm="http://schemas.microsoft.com/office/excel/2006/main">
          <x14:cfRule type="expression" priority="137" id="{7D9AA122-0D82-44E5-9DFF-722AC65DF2F4}">
            <xm:f>Helper!$AD$33=TRUE</xm:f>
            <x14:dxf>
              <fill>
                <patternFill>
                  <bgColor rgb="FFFF0000"/>
                </patternFill>
              </fill>
            </x14:dxf>
          </x14:cfRule>
          <xm:sqref>H44:H46</xm:sqref>
        </x14:conditionalFormatting>
        <x14:conditionalFormatting xmlns:xm="http://schemas.microsoft.com/office/excel/2006/main">
          <x14:cfRule type="expression" priority="136" id="{07E9DE98-8788-4668-B6A7-1F2BECCAD815}">
            <xm:f>Helper!$AD$34</xm:f>
            <x14:dxf>
              <fill>
                <patternFill>
                  <bgColor rgb="FFFF0000"/>
                </patternFill>
              </fill>
            </x14:dxf>
          </x14:cfRule>
          <xm:sqref>H47:H49</xm:sqref>
        </x14:conditionalFormatting>
        <x14:conditionalFormatting xmlns:xm="http://schemas.microsoft.com/office/excel/2006/main">
          <x14:cfRule type="expression" priority="135" id="{D0092442-0D43-4477-9B4A-60E6BFD16A1C}">
            <xm:f>Helper!$AD$35=TRUE</xm:f>
            <x14:dxf>
              <fill>
                <patternFill>
                  <bgColor rgb="FFFF0000"/>
                </patternFill>
              </fill>
            </x14:dxf>
          </x14:cfRule>
          <xm:sqref>H50:H52</xm:sqref>
        </x14:conditionalFormatting>
        <x14:conditionalFormatting xmlns:xm="http://schemas.microsoft.com/office/excel/2006/main">
          <x14:cfRule type="expression" priority="132" id="{7EFD3469-180C-4309-AAE1-8F61AE85CF0C}">
            <xm:f>Helper!$AL$23=TRUE</xm:f>
            <x14:dxf>
              <fill>
                <patternFill>
                  <bgColor rgb="FFFF0000"/>
                </patternFill>
              </fill>
            </x14:dxf>
          </x14:cfRule>
          <x14:cfRule type="expression" priority="192" id="{A6E08342-92D2-4D20-8EBD-56A609B4B8F7}">
            <xm:f>Helper!$U$23=TRUE</xm:f>
            <x14:dxf>
              <fill>
                <patternFill>
                  <bgColor rgb="FFFF0000"/>
                </patternFill>
              </fill>
            </x14:dxf>
          </x14:cfRule>
          <x14:cfRule type="expression" priority="176" id="{23979900-3A0E-4AF8-A9FF-28D7C23A1EC9}">
            <xm:f>Helper!$R$23=TRUE</xm:f>
            <x14:dxf>
              <fill>
                <patternFill>
                  <bgColor rgb="FFFF0000"/>
                </patternFill>
              </fill>
            </x14:dxf>
          </x14:cfRule>
          <xm:sqref>M14:M16</xm:sqref>
        </x14:conditionalFormatting>
        <x14:conditionalFormatting xmlns:xm="http://schemas.microsoft.com/office/excel/2006/main">
          <x14:cfRule type="expression" priority="191" id="{23217249-7929-4FD3-B115-4EED36290E89}">
            <xm:f>Helper!$U$24=TRUE</xm:f>
            <x14:dxf>
              <fill>
                <patternFill>
                  <bgColor rgb="FFFF0000"/>
                </patternFill>
              </fill>
            </x14:dxf>
          </x14:cfRule>
          <x14:cfRule type="expression" priority="131" id="{0FB0DC43-58E4-41EB-A5F6-4C632CE2C05D}">
            <xm:f>Helper!$AL$24=TRUE</xm:f>
            <x14:dxf>
              <fill>
                <patternFill>
                  <bgColor rgb="FFFF0000"/>
                </patternFill>
              </fill>
            </x14:dxf>
          </x14:cfRule>
          <x14:cfRule type="expression" priority="175" id="{62B19611-668F-4B1E-A827-E5E0052C5C60}">
            <xm:f>Helper!$R$24=TRUE</xm:f>
            <x14:dxf>
              <fill>
                <patternFill>
                  <bgColor rgb="FFFF0000"/>
                </patternFill>
              </fill>
            </x14:dxf>
          </x14:cfRule>
          <xm:sqref>M17:M19</xm:sqref>
        </x14:conditionalFormatting>
        <x14:conditionalFormatting xmlns:xm="http://schemas.microsoft.com/office/excel/2006/main">
          <x14:cfRule type="expression" priority="190" id="{DB87A955-20E6-4E30-B1CA-A308EE106FC0}">
            <xm:f>Helper!$U$25=TRUE</xm:f>
            <x14:dxf>
              <fill>
                <patternFill>
                  <bgColor rgb="FFFF0000"/>
                </patternFill>
              </fill>
            </x14:dxf>
          </x14:cfRule>
          <x14:cfRule type="expression" priority="174" id="{DF7DA4E7-F003-4470-AC4F-2BFEA0787906}">
            <xm:f>Helper!$R$25=TRUE</xm:f>
            <x14:dxf>
              <fill>
                <patternFill>
                  <bgColor rgb="FFFF0000"/>
                </patternFill>
              </fill>
            </x14:dxf>
          </x14:cfRule>
          <x14:cfRule type="expression" priority="130" id="{FAC80B38-4F3B-4171-8DF4-F0311717EF09}">
            <xm:f>Helper!$AL$25=TRUE</xm:f>
            <x14:dxf>
              <fill>
                <patternFill>
                  <bgColor rgb="FFFF0000"/>
                </patternFill>
              </fill>
            </x14:dxf>
          </x14:cfRule>
          <xm:sqref>M20:M22</xm:sqref>
        </x14:conditionalFormatting>
        <x14:conditionalFormatting xmlns:xm="http://schemas.microsoft.com/office/excel/2006/main">
          <x14:cfRule type="expression" priority="189" id="{DEED541F-8F24-4D88-AF99-A35AA695B092}">
            <xm:f>Helper!$U$26=TRUE</xm:f>
            <x14:dxf>
              <fill>
                <patternFill>
                  <bgColor rgb="FFFF0000"/>
                </patternFill>
              </fill>
            </x14:dxf>
          </x14:cfRule>
          <x14:cfRule type="expression" priority="173" id="{44A3EE32-2C9F-4699-9BEE-AEF8EB71B8C8}">
            <xm:f>Helper!$R$26=TRUE</xm:f>
            <x14:dxf>
              <fill>
                <patternFill>
                  <bgColor rgb="FFFF0000"/>
                </patternFill>
              </fill>
            </x14:dxf>
          </x14:cfRule>
          <x14:cfRule type="expression" priority="129" id="{FED87890-400F-4986-922F-AE256FB8E87C}">
            <xm:f>Helper!$AL$26=TRUE</xm:f>
            <x14:dxf>
              <fill>
                <patternFill>
                  <bgColor rgb="FFFF0000"/>
                </patternFill>
              </fill>
            </x14:dxf>
          </x14:cfRule>
          <xm:sqref>M23:M25</xm:sqref>
        </x14:conditionalFormatting>
        <x14:conditionalFormatting xmlns:xm="http://schemas.microsoft.com/office/excel/2006/main">
          <x14:cfRule type="expression" priority="172" id="{1F1154B0-DACD-4E5E-9CB7-3D2C6341A1C8}">
            <xm:f>Helper!$R$27=TRUE</xm:f>
            <x14:dxf>
              <fill>
                <patternFill>
                  <bgColor rgb="FFFF0000"/>
                </patternFill>
              </fill>
            </x14:dxf>
          </x14:cfRule>
          <x14:cfRule type="expression" priority="188" id="{FD0BE7F5-D6F5-43B6-80E1-17032F6EAE13}">
            <xm:f>Helper!$U$27=TRUE</xm:f>
            <x14:dxf>
              <fill>
                <patternFill>
                  <bgColor rgb="FFFF0000"/>
                </patternFill>
              </fill>
            </x14:dxf>
          </x14:cfRule>
          <x14:cfRule type="expression" priority="128" id="{08A2F883-150F-4A4F-BD97-AB7674FF9AC2}">
            <xm:f>Helper!$AL$27=TRUE</xm:f>
            <x14:dxf>
              <fill>
                <patternFill>
                  <bgColor rgb="FFFF0000"/>
                </patternFill>
              </fill>
            </x14:dxf>
          </x14:cfRule>
          <xm:sqref>M26:M28</xm:sqref>
        </x14:conditionalFormatting>
        <x14:conditionalFormatting xmlns:xm="http://schemas.microsoft.com/office/excel/2006/main">
          <x14:cfRule type="expression" priority="187" id="{BE11DEBE-1A21-4205-BEFF-899A65CD9A72}">
            <xm:f>Helper!$U$28=TRUE</xm:f>
            <x14:dxf>
              <fill>
                <patternFill>
                  <bgColor rgb="FFFF0000"/>
                </patternFill>
              </fill>
            </x14:dxf>
          </x14:cfRule>
          <x14:cfRule type="expression" priority="171" id="{BB577297-1D17-4C54-B79B-38F11F8F8638}">
            <xm:f>Helper!$R$28=TRUE</xm:f>
            <x14:dxf>
              <fill>
                <patternFill>
                  <bgColor rgb="FFFF0000"/>
                </patternFill>
              </fill>
            </x14:dxf>
          </x14:cfRule>
          <x14:cfRule type="expression" priority="127" id="{3C5EB288-4C3B-403C-BB9A-DF6CB21BA97F}">
            <xm:f>Helper!$AL$28=TRUE</xm:f>
            <x14:dxf>
              <fill>
                <patternFill>
                  <bgColor rgb="FFFF0000"/>
                </patternFill>
              </fill>
            </x14:dxf>
          </x14:cfRule>
          <xm:sqref>M29:M31</xm:sqref>
        </x14:conditionalFormatting>
        <x14:conditionalFormatting xmlns:xm="http://schemas.microsoft.com/office/excel/2006/main">
          <x14:cfRule type="expression" priority="126" id="{B4726B4E-0284-447E-8054-8B5D10407F6C}">
            <xm:f>Helper!$AL$29=TRUE</xm:f>
            <x14:dxf>
              <fill>
                <patternFill>
                  <bgColor rgb="FFFF0000"/>
                </patternFill>
              </fill>
            </x14:dxf>
          </x14:cfRule>
          <x14:cfRule type="expression" priority="170" id="{B937BA8C-CF36-4C67-B881-3CC67A47C381}">
            <xm:f>Helper!$R$29=TRUE</xm:f>
            <x14:dxf>
              <fill>
                <patternFill>
                  <bgColor rgb="FFFF0000"/>
                </patternFill>
              </fill>
            </x14:dxf>
          </x14:cfRule>
          <x14:cfRule type="expression" priority="186" id="{695089E3-C1C6-46B6-A799-E2D512D5669F}">
            <xm:f>Helper!$U$29=TRUE</xm:f>
            <x14:dxf>
              <fill>
                <patternFill>
                  <bgColor rgb="FFFF0000"/>
                </patternFill>
              </fill>
            </x14:dxf>
          </x14:cfRule>
          <xm:sqref>M32:M34</xm:sqref>
        </x14:conditionalFormatting>
        <x14:conditionalFormatting xmlns:xm="http://schemas.microsoft.com/office/excel/2006/main">
          <x14:cfRule type="expression" priority="185" id="{A67A4883-5132-491F-834D-27CC14D65075}">
            <xm:f>Helper!$U$30=TRUE</xm:f>
            <x14:dxf>
              <fill>
                <patternFill>
                  <bgColor rgb="FFFF0000"/>
                </patternFill>
              </fill>
            </x14:dxf>
          </x14:cfRule>
          <x14:cfRule type="expression" priority="169" id="{E465CAC5-AF11-41C6-867D-F1695327A794}">
            <xm:f>Helper!$R$30=TRUE</xm:f>
            <x14:dxf>
              <fill>
                <patternFill>
                  <bgColor rgb="FFFF0000"/>
                </patternFill>
              </fill>
            </x14:dxf>
          </x14:cfRule>
          <x14:cfRule type="expression" priority="125" id="{5E164788-A107-4D8B-9DCF-741C7498E6E7}">
            <xm:f>Helper!$AL$30=TRUE</xm:f>
            <x14:dxf>
              <fill>
                <patternFill>
                  <bgColor rgb="FFFF0000"/>
                </patternFill>
              </fill>
            </x14:dxf>
          </x14:cfRule>
          <xm:sqref>M35:M37</xm:sqref>
        </x14:conditionalFormatting>
        <x14:conditionalFormatting xmlns:xm="http://schemas.microsoft.com/office/excel/2006/main">
          <x14:cfRule type="expression" priority="184" id="{C18C950F-713A-49B1-A495-1D4202668C17}">
            <xm:f>Helper!$U$31=TRUE</xm:f>
            <x14:dxf>
              <fill>
                <patternFill>
                  <bgColor rgb="FFFF0000"/>
                </patternFill>
              </fill>
            </x14:dxf>
          </x14:cfRule>
          <x14:cfRule type="expression" priority="124" id="{798B04E4-58A5-4744-BD8C-50AE8D9CBC4A}">
            <xm:f>Helper!$AL$31=TRUE</xm:f>
            <x14:dxf>
              <fill>
                <patternFill>
                  <bgColor rgb="FFFF0000"/>
                </patternFill>
              </fill>
            </x14:dxf>
          </x14:cfRule>
          <x14:cfRule type="expression" priority="168" id="{FDE0F1B7-CE3F-4E2E-9B0D-253E354BB15A}">
            <xm:f>Helper!$R$31=TRUE</xm:f>
            <x14:dxf>
              <fill>
                <patternFill>
                  <bgColor rgb="FFFF0000"/>
                </patternFill>
              </fill>
            </x14:dxf>
          </x14:cfRule>
          <xm:sqref>M38:M40</xm:sqref>
        </x14:conditionalFormatting>
        <x14:conditionalFormatting xmlns:xm="http://schemas.microsoft.com/office/excel/2006/main">
          <x14:cfRule type="expression" priority="183" id="{74695B35-5DBE-4F6B-89D8-E73DC925A087}">
            <xm:f>Helper!$U$32=TRUE</xm:f>
            <x14:dxf>
              <fill>
                <patternFill>
                  <bgColor rgb="FFFF0000"/>
                </patternFill>
              </fill>
            </x14:dxf>
          </x14:cfRule>
          <x14:cfRule type="expression" priority="123" id="{D093C9DB-3AD7-404B-AA9B-E53A911161A7}">
            <xm:f>Helper!$AL$32=TRUE</xm:f>
            <x14:dxf>
              <fill>
                <patternFill>
                  <bgColor rgb="FFFF0000"/>
                </patternFill>
              </fill>
            </x14:dxf>
          </x14:cfRule>
          <x14:cfRule type="expression" priority="167" id="{3208B5D1-AEB0-48DC-B4E6-F1EBB3B74B21}">
            <xm:f>Helper!$R$32=TRUE</xm:f>
            <x14:dxf>
              <fill>
                <patternFill>
                  <bgColor rgb="FFFF0000"/>
                </patternFill>
              </fill>
            </x14:dxf>
          </x14:cfRule>
          <xm:sqref>M41:M43</xm:sqref>
        </x14:conditionalFormatting>
        <x14:conditionalFormatting xmlns:xm="http://schemas.microsoft.com/office/excel/2006/main">
          <x14:cfRule type="expression" priority="182" id="{5E119ABB-BE5C-48E8-87AF-29D363177D86}">
            <xm:f>Helper!$U$33=TRUE</xm:f>
            <x14:dxf>
              <fill>
                <patternFill>
                  <bgColor rgb="FFFF0000"/>
                </patternFill>
              </fill>
            </x14:dxf>
          </x14:cfRule>
          <x14:cfRule type="expression" priority="166" id="{DD5F9112-6D7A-4430-A4C2-58B83D2A1E06}">
            <xm:f>Helper!$R$33=TRUE</xm:f>
            <x14:dxf>
              <fill>
                <patternFill>
                  <bgColor rgb="FFFF0000"/>
                </patternFill>
              </fill>
            </x14:dxf>
          </x14:cfRule>
          <x14:cfRule type="expression" priority="122" id="{AEA75CC3-20D0-4FBB-A47F-1E79A559C380}">
            <xm:f>Helper!$AL$33=TRUE</xm:f>
            <x14:dxf>
              <fill>
                <patternFill>
                  <bgColor rgb="FFFF0000"/>
                </patternFill>
              </fill>
            </x14:dxf>
          </x14:cfRule>
          <xm:sqref>M44:M46</xm:sqref>
        </x14:conditionalFormatting>
        <x14:conditionalFormatting xmlns:xm="http://schemas.microsoft.com/office/excel/2006/main">
          <x14:cfRule type="expression" priority="181" id="{DE246883-A576-43F0-AE5D-9B27072B6CD0}">
            <xm:f>Helper!$U$34=TRUE</xm:f>
            <x14:dxf>
              <fill>
                <patternFill>
                  <bgColor rgb="FFFF0000"/>
                </patternFill>
              </fill>
            </x14:dxf>
          </x14:cfRule>
          <x14:cfRule type="expression" priority="121" id="{8529CAFB-3608-4869-B531-EE3F800395C2}">
            <xm:f>Helper!$AL$34=TRUE</xm:f>
            <x14:dxf>
              <fill>
                <patternFill>
                  <bgColor rgb="FFFF0000"/>
                </patternFill>
              </fill>
            </x14:dxf>
          </x14:cfRule>
          <x14:cfRule type="expression" priority="165" id="{96CFC70B-404A-4014-9C6E-2A35F285712F}">
            <xm:f>Helper!$R$34=TRUE</xm:f>
            <x14:dxf>
              <fill>
                <patternFill>
                  <bgColor rgb="FFFF0000"/>
                </patternFill>
              </fill>
            </x14:dxf>
          </x14:cfRule>
          <xm:sqref>M47:M49</xm:sqref>
        </x14:conditionalFormatting>
        <x14:conditionalFormatting xmlns:xm="http://schemas.microsoft.com/office/excel/2006/main">
          <x14:cfRule type="expression" priority="180" id="{2F9AD8EF-77D9-4F3F-84B5-95B1A00CF63C}">
            <xm:f>Helper!$U$35=TRUE</xm:f>
            <x14:dxf>
              <fill>
                <patternFill>
                  <bgColor rgb="FFFF0000"/>
                </patternFill>
              </fill>
            </x14:dxf>
          </x14:cfRule>
          <x14:cfRule type="expression" priority="120" id="{A468B0F4-C77C-423A-9BB9-F794A09B7A8E}">
            <xm:f>Helper!$AL$35=TRUE</xm:f>
            <x14:dxf>
              <fill>
                <patternFill>
                  <bgColor rgb="FFFF0000"/>
                </patternFill>
              </fill>
            </x14:dxf>
          </x14:cfRule>
          <x14:cfRule type="expression" priority="164" id="{2F8EBA03-1CC5-419A-AF75-2F7D9B99A659}">
            <xm:f>Helper!$R$35=TRUE</xm:f>
            <x14:dxf>
              <fill>
                <patternFill>
                  <bgColor rgb="FFFF0000"/>
                </patternFill>
              </fill>
            </x14:dxf>
          </x14:cfRule>
          <xm:sqref>M50:M52</xm:sqref>
        </x14:conditionalFormatting>
        <x14:conditionalFormatting xmlns:xm="http://schemas.microsoft.com/office/excel/2006/main">
          <x14:cfRule type="expression" priority="225" id="{B4B8263B-6B0D-4921-9D59-F20D4EF3CDFA}">
            <xm:f>Helper!$X$23=TRUE</xm:f>
            <x14:dxf>
              <fill>
                <patternFill>
                  <bgColor rgb="FFFF0000"/>
                </patternFill>
              </fill>
            </x14:dxf>
          </x14:cfRule>
          <x14:cfRule type="expression" priority="208" id="{E066705E-9C09-40FA-B2BD-572BB7AA9F8B}">
            <xm:f>Helper!$Y$23=TRUE</xm:f>
            <x14:dxf>
              <fill>
                <patternFill>
                  <bgColor rgb="FFFF0000"/>
                </patternFill>
              </fill>
            </x14:dxf>
          </x14:cfRule>
          <xm:sqref>N14:N16</xm:sqref>
        </x14:conditionalFormatting>
        <x14:conditionalFormatting xmlns:xm="http://schemas.microsoft.com/office/excel/2006/main">
          <x14:cfRule type="expression" priority="207" id="{430DD34B-1908-44B8-AAF0-D221AC762551}">
            <xm:f>Helper!$Y$24=TRUE</xm:f>
            <x14:dxf>
              <fill>
                <patternFill>
                  <bgColor rgb="FFFF0000"/>
                </patternFill>
              </fill>
            </x14:dxf>
          </x14:cfRule>
          <x14:cfRule type="expression" priority="224" id="{DA56A695-1210-4783-84B7-B132FD4CC678}">
            <xm:f>Helper!$X$24</xm:f>
            <x14:dxf>
              <fill>
                <patternFill>
                  <bgColor rgb="FFFF0000"/>
                </patternFill>
              </fill>
            </x14:dxf>
          </x14:cfRule>
          <xm:sqref>N17:N19</xm:sqref>
        </x14:conditionalFormatting>
        <x14:conditionalFormatting xmlns:xm="http://schemas.microsoft.com/office/excel/2006/main">
          <x14:cfRule type="expression" priority="223" id="{E9ADB81E-7B13-4E02-8797-40EB9C8F70D2}">
            <xm:f>Helper!$X$25=TRUE</xm:f>
            <x14:dxf>
              <fill>
                <patternFill>
                  <bgColor rgb="FFFF0000"/>
                </patternFill>
              </fill>
            </x14:dxf>
          </x14:cfRule>
          <x14:cfRule type="expression" priority="206" id="{8D9CE138-BC5E-4D10-B755-18AB86DE09CA}">
            <xm:f>Helper!$Y$25=TRUE</xm:f>
            <x14:dxf>
              <fill>
                <patternFill>
                  <bgColor rgb="FFFF0000"/>
                </patternFill>
              </fill>
            </x14:dxf>
          </x14:cfRule>
          <xm:sqref>N20:N22</xm:sqref>
        </x14:conditionalFormatting>
        <x14:conditionalFormatting xmlns:xm="http://schemas.microsoft.com/office/excel/2006/main">
          <x14:cfRule type="expression" priority="205" id="{3E7F9F84-7D38-4620-AE9B-771E6AF5C8C9}">
            <xm:f>Helper!$Y$26=TRUE</xm:f>
            <x14:dxf>
              <fill>
                <patternFill>
                  <bgColor rgb="FFFF0000"/>
                </patternFill>
              </fill>
            </x14:dxf>
          </x14:cfRule>
          <x14:cfRule type="expression" priority="222" id="{14A4EF78-B63B-40AC-959D-34395A39D1A8}">
            <xm:f>Helper!$X$26=TRUE</xm:f>
            <x14:dxf>
              <fill>
                <patternFill>
                  <bgColor rgb="FFFF0000"/>
                </patternFill>
              </fill>
            </x14:dxf>
          </x14:cfRule>
          <xm:sqref>N23:N25</xm:sqref>
        </x14:conditionalFormatting>
        <x14:conditionalFormatting xmlns:xm="http://schemas.microsoft.com/office/excel/2006/main">
          <x14:cfRule type="expression" priority="204" id="{18167165-3E5A-4BF2-A168-1F95600F1501}">
            <xm:f>Helper!$Y$27=TRUE</xm:f>
            <x14:dxf>
              <fill>
                <patternFill>
                  <bgColor rgb="FFFF0000"/>
                </patternFill>
              </fill>
            </x14:dxf>
          </x14:cfRule>
          <x14:cfRule type="expression" priority="221" id="{CE3CB0B6-FBEC-46F5-878A-3AB5E6657262}">
            <xm:f>Helper!$X$27=TRUE</xm:f>
            <x14:dxf>
              <fill>
                <patternFill>
                  <bgColor rgb="FFFF0000"/>
                </patternFill>
              </fill>
            </x14:dxf>
          </x14:cfRule>
          <xm:sqref>N26:N28</xm:sqref>
        </x14:conditionalFormatting>
        <x14:conditionalFormatting xmlns:xm="http://schemas.microsoft.com/office/excel/2006/main">
          <x14:cfRule type="expression" priority="220" id="{F65257F1-E87F-443D-897D-E35A3C09191D}">
            <xm:f>Helper!$X$28=TRUE</xm:f>
            <x14:dxf>
              <fill>
                <patternFill>
                  <bgColor rgb="FFFF0000"/>
                </patternFill>
              </fill>
            </x14:dxf>
          </x14:cfRule>
          <x14:cfRule type="expression" priority="203" id="{60FB30E2-ECFC-4089-B7A8-0FC82AFE5B8A}">
            <xm:f>Helper!$Y$28=TRUE</xm:f>
            <x14:dxf>
              <fill>
                <patternFill>
                  <bgColor rgb="FFFF0000"/>
                </patternFill>
              </fill>
            </x14:dxf>
          </x14:cfRule>
          <xm:sqref>N29:N31</xm:sqref>
        </x14:conditionalFormatting>
        <x14:conditionalFormatting xmlns:xm="http://schemas.microsoft.com/office/excel/2006/main">
          <x14:cfRule type="expression" priority="202" id="{1434B5DF-D52C-4413-9183-358D11B1180C}">
            <xm:f>Helper!$Y$29=TRUE</xm:f>
            <x14:dxf>
              <fill>
                <patternFill>
                  <bgColor rgb="FFFF0000"/>
                </patternFill>
              </fill>
            </x14:dxf>
          </x14:cfRule>
          <x14:cfRule type="expression" priority="219" id="{AEDFADBB-C607-42D6-B7C9-8DD8F0867877}">
            <xm:f>Helper!$X$29=TRUE</xm:f>
            <x14:dxf>
              <fill>
                <patternFill>
                  <bgColor rgb="FFFF0000"/>
                </patternFill>
              </fill>
            </x14:dxf>
          </x14:cfRule>
          <xm:sqref>N32:N34</xm:sqref>
        </x14:conditionalFormatting>
        <x14:conditionalFormatting xmlns:xm="http://schemas.microsoft.com/office/excel/2006/main">
          <x14:cfRule type="expression" priority="201" id="{C0FD72CE-5C0E-4FA4-9E28-FBD77FAA4855}">
            <xm:f>Helper!$Y$30=TRUE</xm:f>
            <x14:dxf>
              <fill>
                <patternFill>
                  <bgColor rgb="FFFF0000"/>
                </patternFill>
              </fill>
            </x14:dxf>
          </x14:cfRule>
          <x14:cfRule type="expression" priority="218" id="{695E8330-29E1-41D1-AE27-998BA9E026D9}">
            <xm:f>Helper!$X$30=TRUE</xm:f>
            <x14:dxf>
              <fill>
                <patternFill>
                  <bgColor rgb="FFFF0000"/>
                </patternFill>
              </fill>
            </x14:dxf>
          </x14:cfRule>
          <xm:sqref>N35:N37</xm:sqref>
        </x14:conditionalFormatting>
        <x14:conditionalFormatting xmlns:xm="http://schemas.microsoft.com/office/excel/2006/main">
          <x14:cfRule type="expression" priority="200" id="{2C7F91E5-69F4-4B66-B01F-A775E5B061D7}">
            <xm:f>Helper!$Y$31=TRUE</xm:f>
            <x14:dxf>
              <fill>
                <patternFill>
                  <bgColor rgb="FFFF0000"/>
                </patternFill>
              </fill>
            </x14:dxf>
          </x14:cfRule>
          <x14:cfRule type="expression" priority="217" id="{BD87F8EF-8649-4A1A-A2E1-A175FB210DC7}">
            <xm:f>Helper!$X$31=TRUE</xm:f>
            <x14:dxf>
              <fill>
                <patternFill>
                  <bgColor rgb="FFFF0000"/>
                </patternFill>
              </fill>
            </x14:dxf>
          </x14:cfRule>
          <xm:sqref>N38:N40</xm:sqref>
        </x14:conditionalFormatting>
        <x14:conditionalFormatting xmlns:xm="http://schemas.microsoft.com/office/excel/2006/main">
          <x14:cfRule type="expression" priority="199" id="{6E6C0CD6-E582-4EA6-A353-FD37AA239F5F}">
            <xm:f>Helper!$Y$32=TRUE</xm:f>
            <x14:dxf>
              <fill>
                <patternFill>
                  <bgColor rgb="FFFF0000"/>
                </patternFill>
              </fill>
            </x14:dxf>
          </x14:cfRule>
          <x14:cfRule type="expression" priority="216" id="{865B87B5-F2AD-4388-8650-46974DD277C3}">
            <xm:f>Helper!$X$32=TRUE</xm:f>
            <x14:dxf>
              <fill>
                <patternFill>
                  <bgColor rgb="FFFF0000"/>
                </patternFill>
              </fill>
            </x14:dxf>
          </x14:cfRule>
          <xm:sqref>N41:N43</xm:sqref>
        </x14:conditionalFormatting>
        <x14:conditionalFormatting xmlns:xm="http://schemas.microsoft.com/office/excel/2006/main">
          <x14:cfRule type="expression" priority="198" id="{7A108EB7-1BB2-4DAE-8030-F57339D82E3A}">
            <xm:f>Helper!$Y$33=TRUE</xm:f>
            <x14:dxf>
              <fill>
                <patternFill>
                  <bgColor rgb="FFFF0000"/>
                </patternFill>
              </fill>
            </x14:dxf>
          </x14:cfRule>
          <x14:cfRule type="expression" priority="215" id="{7D679DCD-F7A9-4321-86C3-D4362A4CBEAC}">
            <xm:f>Helper!$X$33=TRUE</xm:f>
            <x14:dxf>
              <fill>
                <patternFill>
                  <bgColor rgb="FFFF0000"/>
                </patternFill>
              </fill>
            </x14:dxf>
          </x14:cfRule>
          <xm:sqref>N44:N46</xm:sqref>
        </x14:conditionalFormatting>
        <x14:conditionalFormatting xmlns:xm="http://schemas.microsoft.com/office/excel/2006/main">
          <x14:cfRule type="expression" priority="197" id="{942A4E65-5E74-46F3-89D8-FBCC48876908}">
            <xm:f>Helper!$Y$34=TRUE</xm:f>
            <x14:dxf>
              <fill>
                <patternFill>
                  <bgColor rgb="FFFF0000"/>
                </patternFill>
              </fill>
            </x14:dxf>
          </x14:cfRule>
          <x14:cfRule type="expression" priority="214" id="{DD81572C-242F-4489-A9FB-E5AC6027FFDC}">
            <xm:f>Helper!$X$34=TRUE</xm:f>
            <x14:dxf>
              <fill>
                <patternFill>
                  <bgColor rgb="FFFF0000"/>
                </patternFill>
              </fill>
            </x14:dxf>
          </x14:cfRule>
          <xm:sqref>N47:N49</xm:sqref>
        </x14:conditionalFormatting>
        <x14:conditionalFormatting xmlns:xm="http://schemas.microsoft.com/office/excel/2006/main">
          <x14:cfRule type="expression" priority="213" id="{AEA1CD35-E11D-4097-AC7C-4DA5D59D3814}">
            <xm:f>Helper!$X$35=TRUE</xm:f>
            <x14:dxf>
              <fill>
                <patternFill>
                  <bgColor rgb="FFFF0000"/>
                </patternFill>
              </fill>
            </x14:dxf>
          </x14:cfRule>
          <x14:cfRule type="expression" priority="196" id="{C7ABAE62-D232-4018-995C-666D61488409}">
            <xm:f>Helper!$Y$35=TRUE</xm:f>
            <x14:dxf>
              <fill>
                <patternFill>
                  <bgColor rgb="FFFF0000"/>
                </patternFill>
              </fill>
            </x14:dxf>
          </x14:cfRule>
          <xm:sqref>N50:N52</xm:sqref>
        </x14:conditionalFormatting>
        <x14:conditionalFormatting xmlns:xm="http://schemas.microsoft.com/office/excel/2006/main">
          <x14:cfRule type="expression" priority="160" id="{E0C26C4E-6B7C-4A18-A6B6-A90D6465F8BC}">
            <xm:f>Helper!$AC$23=TRUE</xm:f>
            <x14:dxf>
              <fill>
                <patternFill>
                  <bgColor rgb="FFFF0000"/>
                </patternFill>
              </fill>
            </x14:dxf>
          </x14:cfRule>
          <xm:sqref>O14:O16</xm:sqref>
        </x14:conditionalFormatting>
        <x14:conditionalFormatting xmlns:xm="http://schemas.microsoft.com/office/excel/2006/main">
          <x14:cfRule type="expression" priority="159" id="{06C2DC4D-64B5-4E64-A8DC-BE47D6C37EE6}">
            <xm:f>Helper!$AC$24=TRUE</xm:f>
            <x14:dxf>
              <fill>
                <patternFill>
                  <bgColor rgb="FFFF0000"/>
                </patternFill>
              </fill>
            </x14:dxf>
          </x14:cfRule>
          <xm:sqref>O17:O19</xm:sqref>
        </x14:conditionalFormatting>
        <x14:conditionalFormatting xmlns:xm="http://schemas.microsoft.com/office/excel/2006/main">
          <x14:cfRule type="expression" priority="158" id="{A409EE53-091B-4742-B606-F6198A57F417}">
            <xm:f>Helper!$AC$25=TRUE</xm:f>
            <x14:dxf>
              <fill>
                <patternFill>
                  <bgColor rgb="FFFF0000"/>
                </patternFill>
              </fill>
            </x14:dxf>
          </x14:cfRule>
          <xm:sqref>O20:O22</xm:sqref>
        </x14:conditionalFormatting>
        <x14:conditionalFormatting xmlns:xm="http://schemas.microsoft.com/office/excel/2006/main">
          <x14:cfRule type="expression" priority="157" id="{FBD10D9F-1E7D-4AC9-B4E4-64FD7AC446F8}">
            <xm:f>Helper!$AC$26=TRUE</xm:f>
            <x14:dxf>
              <fill>
                <patternFill>
                  <bgColor rgb="FFFF0000"/>
                </patternFill>
              </fill>
            </x14:dxf>
          </x14:cfRule>
          <xm:sqref>O23:O25</xm:sqref>
        </x14:conditionalFormatting>
        <x14:conditionalFormatting xmlns:xm="http://schemas.microsoft.com/office/excel/2006/main">
          <x14:cfRule type="expression" priority="156" id="{64EC2A1F-DBE9-4634-B7DB-F821CE31295F}">
            <xm:f>Helper!$AC$27=TRUE</xm:f>
            <x14:dxf>
              <fill>
                <patternFill>
                  <bgColor rgb="FFFF0000"/>
                </patternFill>
              </fill>
            </x14:dxf>
          </x14:cfRule>
          <xm:sqref>O26:O28</xm:sqref>
        </x14:conditionalFormatting>
        <x14:conditionalFormatting xmlns:xm="http://schemas.microsoft.com/office/excel/2006/main">
          <x14:cfRule type="expression" priority="155" id="{2A0944A0-F2CA-46A6-9357-58FF74BE313A}">
            <xm:f>Helper!$AC$28=TRUE</xm:f>
            <x14:dxf>
              <fill>
                <patternFill>
                  <bgColor rgb="FFFF0000"/>
                </patternFill>
              </fill>
            </x14:dxf>
          </x14:cfRule>
          <xm:sqref>O29:O31</xm:sqref>
        </x14:conditionalFormatting>
        <x14:conditionalFormatting xmlns:xm="http://schemas.microsoft.com/office/excel/2006/main">
          <x14:cfRule type="expression" priority="154" id="{CA83B6C6-1BEC-40A6-9952-439E83A222D8}">
            <xm:f>Helper!$AC$29=TRUE</xm:f>
            <x14:dxf>
              <fill>
                <patternFill>
                  <bgColor rgb="FFFF0000"/>
                </patternFill>
              </fill>
            </x14:dxf>
          </x14:cfRule>
          <xm:sqref>O32:O34</xm:sqref>
        </x14:conditionalFormatting>
        <x14:conditionalFormatting xmlns:xm="http://schemas.microsoft.com/office/excel/2006/main">
          <x14:cfRule type="expression" priority="153" id="{C4C9FFE8-99C6-4C03-8AF6-13E01DBEF185}">
            <xm:f>Helper!$AC$30=TRUE</xm:f>
            <x14:dxf>
              <fill>
                <patternFill>
                  <bgColor rgb="FFFF0000"/>
                </patternFill>
              </fill>
            </x14:dxf>
          </x14:cfRule>
          <xm:sqref>O35:O37</xm:sqref>
        </x14:conditionalFormatting>
        <x14:conditionalFormatting xmlns:xm="http://schemas.microsoft.com/office/excel/2006/main">
          <x14:cfRule type="expression" priority="152" id="{A3C809CD-E038-4AA1-97AE-02A06EE1C2F1}">
            <xm:f>Helper!$AC$31=TRUE</xm:f>
            <x14:dxf>
              <fill>
                <patternFill>
                  <bgColor rgb="FFFF0000"/>
                </patternFill>
              </fill>
            </x14:dxf>
          </x14:cfRule>
          <xm:sqref>O38:O40</xm:sqref>
        </x14:conditionalFormatting>
        <x14:conditionalFormatting xmlns:xm="http://schemas.microsoft.com/office/excel/2006/main">
          <x14:cfRule type="expression" priority="151" id="{336C26AC-18DC-4F4C-AA45-11A41293182A}">
            <xm:f>Helper!$AC$32=TRUE</xm:f>
            <x14:dxf>
              <fill>
                <patternFill>
                  <bgColor rgb="FFFF0000"/>
                </patternFill>
              </fill>
            </x14:dxf>
          </x14:cfRule>
          <xm:sqref>O41:O43</xm:sqref>
        </x14:conditionalFormatting>
        <x14:conditionalFormatting xmlns:xm="http://schemas.microsoft.com/office/excel/2006/main">
          <x14:cfRule type="expression" priority="150" id="{BEC2673B-9F76-4E68-BC44-D59F18C1A16E}">
            <xm:f>Helper!$AC$33=TRUE</xm:f>
            <x14:dxf>
              <fill>
                <patternFill>
                  <bgColor rgb="FFFF0000"/>
                </patternFill>
              </fill>
            </x14:dxf>
          </x14:cfRule>
          <xm:sqref>O44:O46</xm:sqref>
        </x14:conditionalFormatting>
        <x14:conditionalFormatting xmlns:xm="http://schemas.microsoft.com/office/excel/2006/main">
          <x14:cfRule type="expression" priority="149" id="{2DEB060E-D6C5-4FB9-981F-CB4D2B707429}">
            <xm:f>Helper!$AC$34=TRUE</xm:f>
            <x14:dxf>
              <fill>
                <patternFill>
                  <bgColor rgb="FFFF0000"/>
                </patternFill>
              </fill>
            </x14:dxf>
          </x14:cfRule>
          <xm:sqref>O47:O49</xm:sqref>
        </x14:conditionalFormatting>
        <x14:conditionalFormatting xmlns:xm="http://schemas.microsoft.com/office/excel/2006/main">
          <x14:cfRule type="expression" priority="148" id="{DE0BD4AF-60FE-489B-BBAB-1A0385AD9BEA}">
            <xm:f>Helper!$AC$35=TRUE</xm:f>
            <x14:dxf>
              <fill>
                <patternFill>
                  <bgColor rgb="FFFF0000"/>
                </patternFill>
              </fill>
            </x14:dxf>
          </x14:cfRule>
          <xm:sqref>O50:O52</xm:sqref>
        </x14:conditionalFormatting>
        <x14:conditionalFormatting xmlns:xm="http://schemas.microsoft.com/office/excel/2006/main">
          <x14:cfRule type="expression" priority="241" id="{D17A2666-BC59-4329-837E-7552B1B6B123}">
            <xm:f>Helper!$W$23=TRUE</xm:f>
            <x14:dxf>
              <fill>
                <patternFill>
                  <bgColor rgb="FFFF0000"/>
                </patternFill>
              </fill>
            </x14:dxf>
          </x14:cfRule>
          <xm:sqref>R14:AB14</xm:sqref>
        </x14:conditionalFormatting>
        <x14:conditionalFormatting xmlns:xm="http://schemas.microsoft.com/office/excel/2006/main">
          <x14:cfRule type="expression" priority="240" id="{F74BB510-8742-4A2D-A82D-00881D15CF17}">
            <xm:f>Helper!$W$24=TRUE</xm:f>
            <x14:dxf>
              <fill>
                <patternFill>
                  <bgColor rgb="FFFF0000"/>
                </patternFill>
              </fill>
            </x14:dxf>
          </x14:cfRule>
          <xm:sqref>R17:AB17</xm:sqref>
        </x14:conditionalFormatting>
        <x14:conditionalFormatting xmlns:xm="http://schemas.microsoft.com/office/excel/2006/main">
          <x14:cfRule type="expression" priority="239" id="{02E456B5-42E4-4780-B552-46D134980456}">
            <xm:f>Helper!$W$25=TRUE</xm:f>
            <x14:dxf>
              <fill>
                <patternFill>
                  <bgColor rgb="FFFF0000"/>
                </patternFill>
              </fill>
            </x14:dxf>
          </x14:cfRule>
          <xm:sqref>R20:AB20</xm:sqref>
        </x14:conditionalFormatting>
        <x14:conditionalFormatting xmlns:xm="http://schemas.microsoft.com/office/excel/2006/main">
          <x14:cfRule type="expression" priority="238" id="{2367A839-29D9-465D-87E7-08B24CE07F21}">
            <xm:f>Helper!$W$26=TRUE</xm:f>
            <x14:dxf>
              <fill>
                <patternFill>
                  <bgColor rgb="FFFF0000"/>
                </patternFill>
              </fill>
            </x14:dxf>
          </x14:cfRule>
          <xm:sqref>R23:AB23</xm:sqref>
        </x14:conditionalFormatting>
        <x14:conditionalFormatting xmlns:xm="http://schemas.microsoft.com/office/excel/2006/main">
          <x14:cfRule type="expression" priority="237" id="{3032D01D-5114-497F-9A76-0F2E46305472}">
            <xm:f>Helper!$W$27=TRUE</xm:f>
            <x14:dxf>
              <fill>
                <patternFill>
                  <bgColor rgb="FFFF0000"/>
                </patternFill>
              </fill>
            </x14:dxf>
          </x14:cfRule>
          <xm:sqref>R26:AB26</xm:sqref>
        </x14:conditionalFormatting>
        <x14:conditionalFormatting xmlns:xm="http://schemas.microsoft.com/office/excel/2006/main">
          <x14:cfRule type="expression" priority="236" id="{34EEE8FA-50F8-441C-92AF-580C91725E85}">
            <xm:f>Helper!$W$28=TRUE</xm:f>
            <x14:dxf>
              <fill>
                <patternFill>
                  <bgColor rgb="FFFF0000"/>
                </patternFill>
              </fill>
            </x14:dxf>
          </x14:cfRule>
          <xm:sqref>R29:AB29</xm:sqref>
        </x14:conditionalFormatting>
        <x14:conditionalFormatting xmlns:xm="http://schemas.microsoft.com/office/excel/2006/main">
          <x14:cfRule type="expression" priority="235" id="{42CCDF0C-149F-41F8-8AE8-1D946FFDBF9B}">
            <xm:f>Helper!$W$29=TRUE</xm:f>
            <x14:dxf>
              <fill>
                <patternFill>
                  <bgColor rgb="FFFF0000"/>
                </patternFill>
              </fill>
            </x14:dxf>
          </x14:cfRule>
          <xm:sqref>R32:AB32</xm:sqref>
        </x14:conditionalFormatting>
        <x14:conditionalFormatting xmlns:xm="http://schemas.microsoft.com/office/excel/2006/main">
          <x14:cfRule type="expression" priority="234" id="{17B2157E-4B6F-47A9-9BD6-3DBC6675527E}">
            <xm:f>Helper!$W$30=TRUE</xm:f>
            <x14:dxf>
              <fill>
                <patternFill>
                  <bgColor rgb="FFFF0000"/>
                </patternFill>
              </fill>
            </x14:dxf>
          </x14:cfRule>
          <xm:sqref>R35:AB35</xm:sqref>
        </x14:conditionalFormatting>
        <x14:conditionalFormatting xmlns:xm="http://schemas.microsoft.com/office/excel/2006/main">
          <x14:cfRule type="expression" priority="233" id="{2876BC5D-45C2-4EC0-9190-A508C0053274}">
            <xm:f>Helper!$W$31=TRUE</xm:f>
            <x14:dxf>
              <fill>
                <patternFill>
                  <bgColor rgb="FFFF0000"/>
                </patternFill>
              </fill>
            </x14:dxf>
          </x14:cfRule>
          <xm:sqref>R38:AB38</xm:sqref>
        </x14:conditionalFormatting>
        <x14:conditionalFormatting xmlns:xm="http://schemas.microsoft.com/office/excel/2006/main">
          <x14:cfRule type="expression" priority="232" id="{F26192C5-4A8A-4744-A870-D1A1E1DD61FA}">
            <xm:f>Helper!$W$32=TRUE</xm:f>
            <x14:dxf>
              <fill>
                <patternFill>
                  <bgColor rgb="FFFF0000"/>
                </patternFill>
              </fill>
            </x14:dxf>
          </x14:cfRule>
          <xm:sqref>R41:AB41</xm:sqref>
        </x14:conditionalFormatting>
        <x14:conditionalFormatting xmlns:xm="http://schemas.microsoft.com/office/excel/2006/main">
          <x14:cfRule type="expression" priority="231" id="{4BC062F7-844C-45D3-BD93-C3108520F150}">
            <xm:f>Helper!$W$33</xm:f>
            <x14:dxf>
              <fill>
                <patternFill>
                  <bgColor rgb="FFFF0000"/>
                </patternFill>
              </fill>
            </x14:dxf>
          </x14:cfRule>
          <xm:sqref>R44:AB44</xm:sqref>
        </x14:conditionalFormatting>
        <x14:conditionalFormatting xmlns:xm="http://schemas.microsoft.com/office/excel/2006/main">
          <x14:cfRule type="expression" priority="230" id="{CB98D2DA-6A00-40BB-B1FB-0DD40D9F20FB}">
            <xm:f>Helper!$W$34=TRUE</xm:f>
            <x14:dxf>
              <fill>
                <patternFill>
                  <bgColor rgb="FFFF0000"/>
                </patternFill>
              </fill>
            </x14:dxf>
          </x14:cfRule>
          <xm:sqref>R47:AB47</xm:sqref>
        </x14:conditionalFormatting>
        <x14:conditionalFormatting xmlns:xm="http://schemas.microsoft.com/office/excel/2006/main">
          <x14:cfRule type="expression" priority="229" id="{69245C3C-1660-434A-AA83-E20E8040D291}">
            <xm:f>Helper!$W$35=TRUE</xm:f>
            <x14:dxf>
              <fill>
                <patternFill>
                  <bgColor rgb="FFFF0000"/>
                </patternFill>
              </fill>
            </x14:dxf>
          </x14:cfRule>
          <xm:sqref>R50:AB50</xm:sqref>
        </x14:conditionalFormatting>
        <x14:conditionalFormatting xmlns:xm="http://schemas.microsoft.com/office/excel/2006/main">
          <x14:cfRule type="expression" priority="242" id="{121E39BA-DB65-48D9-BC65-4369B14F73EC}">
            <xm:f>Helper!$W$22=TRUE</xm:f>
            <x14:dxf>
              <fill>
                <patternFill>
                  <bgColor rgb="FFFF0000"/>
                </patternFill>
              </fill>
            </x14:dxf>
          </x14:cfRule>
          <xm:sqref>Y11:AB11</xm:sqref>
        </x14:conditionalFormatting>
        <x14:conditionalFormatting xmlns:xm="http://schemas.microsoft.com/office/excel/2006/main">
          <x14:cfRule type="expression" priority="498" id="{79B68619-63E8-4D5E-9D38-CEA5228A16AD}">
            <xm:f>AND(FIND("LRR",Matrix2!AE22),AB9="ROL")</xm:f>
            <x14:dxf>
              <fill>
                <patternFill>
                  <bgColor rgb="FFFF0000"/>
                </patternFill>
              </fill>
            </x14:dxf>
          </x14:cfRule>
          <xm:sqref>AB9</xm:sqref>
        </x14:conditionalFormatting>
      </x14:conditionalFormattings>
    </ext>
    <ext xmlns:x14="http://schemas.microsoft.com/office/spreadsheetml/2009/9/main" uri="{CCE6A557-97BC-4b89-ADB6-D9C93CAAB3DF}">
      <x14:dataValidations xmlns:xm="http://schemas.microsoft.com/office/excel/2006/main" count="15">
        <x14:dataValidation type="list" allowBlank="1" showInputMessage="1" showErrorMessage="1" xr:uid="{536B0A0D-EB55-4134-AEB6-C38C624F760A}">
          <x14:formula1>
            <xm:f>IF(AND(Helper!B17=TRUE,Helper!C17=FALSE),HamptonTilt,IF(E50="Aruba",ArubaTilt,IF(E50="Tahiti",TahitiTilt,IF(E50="Maui",MauiTilt,IF(E50="Aruba Express",ArubaExpressTilt,IF(E50="Capri",CapriTilt,TiltRod))))))</xm:f>
          </x14:formula1>
          <xm:sqref>J50:J52</xm:sqref>
        </x14:dataValidation>
        <x14:dataValidation type="list" allowBlank="1" showInputMessage="1" showErrorMessage="1" xr:uid="{FDD08BBA-8E5F-42DF-B2B1-4160BC2B2557}">
          <x14:formula1>
            <xm:f>IF(AND(Helper!B5=TRUE,Helper!C5=FALSE),HamptonTilt,IF(E14="Aruba",ArubaTilt,IF(E14="Tahiti",TahitiTilt,IF(E14="Maui",MauiTilt,IF(E14="Aruba Express",ArubaExpressTilt,IF(E14="Capri",CapriTilt,TiltRod))))))</xm:f>
          </x14:formula1>
          <xm:sqref>J14:J16</xm:sqref>
        </x14:dataValidation>
        <x14:dataValidation type="list" allowBlank="1" showInputMessage="1" showErrorMessage="1" xr:uid="{ECF8FCE5-8B6B-4265-97C0-96B513BF9BDE}">
          <x14:formula1>
            <xm:f>IF(AND(Helper!B6=TRUE,Helper!C6=FALSE),HamptonTilt,IF(E17="Aruba",ArubaTilt,IF(E17="Tahiti",TahitiTilt,IF(E17="Maui",MauiTilt,IF(E17="Aruba Express",ArubaExpressTilt,IF(E17="Capri",CapriTilt,TiltRod))))))</xm:f>
          </x14:formula1>
          <xm:sqref>J17:J19</xm:sqref>
        </x14:dataValidation>
        <x14:dataValidation type="list" allowBlank="1" showInputMessage="1" showErrorMessage="1" xr:uid="{6150DF69-BB9C-43B6-91AB-A8A58D61E115}">
          <x14:formula1>
            <xm:f>IF(AND(Helper!B7=TRUE,Helper!C7=FALSE),HamptonTilt,IF(E20="Aruba",ArubaTilt,IF(E20="Tahiti",TahitiTilt,IF(E20="Maui",MauiTilt,IF(E20="Aruba Express",ArubaExpressTilt,IF(E20="Capri",CapriTilt,TiltRod))))))</xm:f>
          </x14:formula1>
          <xm:sqref>J20:J22</xm:sqref>
        </x14:dataValidation>
        <x14:dataValidation type="list" allowBlank="1" showInputMessage="1" showErrorMessage="1" xr:uid="{732C1B46-5A89-49C9-B351-3490F18C767F}">
          <x14:formula1>
            <xm:f>IF(AND(Helper!B8=TRUE,Helper!C8=FALSE),HamptonTilt,IF(E23="Aruba",ArubaTilt,IF(E23="Tahiti",TahitiTilt,IF(E23="Maui",MauiTilt,IF(E23="Aruba Express",ArubaExpressTilt,IF(E23="Capri",CapriTilt,TiltRod))))))</xm:f>
          </x14:formula1>
          <xm:sqref>J23:J25</xm:sqref>
        </x14:dataValidation>
        <x14:dataValidation type="list" allowBlank="1" showInputMessage="1" showErrorMessage="1" xr:uid="{023E41AB-C4C6-4F56-AACF-40C88AAD0E0D}">
          <x14:formula1>
            <xm:f>IF(AND(Helper!B9=TRUE,Helper!C9=FALSE),HamptonTilt,IF(E26="Aruba",ArubaTilt,IF(E26="Tahiti",TahitiTilt,IF(E26="Maui",MauiTilt,IF(E26="Aruba Express",ArubaExpressTilt,IF(E26="Capri",CapriTilt,TiltRod))))))</xm:f>
          </x14:formula1>
          <xm:sqref>J26:J28</xm:sqref>
        </x14:dataValidation>
        <x14:dataValidation type="list" allowBlank="1" showInputMessage="1" showErrorMessage="1" xr:uid="{B24F4DA8-A928-4117-B5C0-E9643819EA25}">
          <x14:formula1>
            <xm:f>IF(AND(Helper!B10=TRUE,Helper!C10=FALSE),HamptonTilt,IF(E29="Aruba",ArubaTilt,IF(E29="Tahiti",TahitiTilt,IF(E29="Maui",MauiTilt,IF(E29="Aruba Express",ArubaExpressTilt,IF(E29="Capri",CapriTilt,TiltRod))))))</xm:f>
          </x14:formula1>
          <xm:sqref>J29:J31</xm:sqref>
        </x14:dataValidation>
        <x14:dataValidation type="list" allowBlank="1" showInputMessage="1" showErrorMessage="1" xr:uid="{651A58CD-B536-4D5B-B3D8-E4A9749E9DA7}">
          <x14:formula1>
            <xm:f>IF(AND(Helper!B11=TRUE,Helper!C11=FALSE),HamptonTilt,IF(E32="Aruba",ArubaTilt,IF(E32="Tahiti",TahitiTilt,IF(E32="Maui",MauiTilt,IF(E32="Aruba Express",ArubaExpressTilt,IF(E32="Capri",CapriTilt,TiltRod))))))</xm:f>
          </x14:formula1>
          <xm:sqref>J32:J34</xm:sqref>
        </x14:dataValidation>
        <x14:dataValidation type="list" allowBlank="1" showInputMessage="1" showErrorMessage="1" xr:uid="{BAA34537-1896-4316-A324-1D43FE495F9C}">
          <x14:formula1>
            <xm:f>IF(AND(Helper!B12=TRUE,Helper!C12=FALSE),HamptonTilt,IF(E35="Aruba",ArubaTilt,IF(E35="Tahiti",TahitiTilt,IF(E35="Maui",MauiTilt,IF(E35="Aruba Express",ArubaExpressTilt,IF(E35="Capri",CapriTilt,TiltRod))))))</xm:f>
          </x14:formula1>
          <xm:sqref>J35:J37</xm:sqref>
        </x14:dataValidation>
        <x14:dataValidation type="list" allowBlank="1" showInputMessage="1" showErrorMessage="1" xr:uid="{28B7FC3B-522F-4EC8-B9B0-E5673725B58E}">
          <x14:formula1>
            <xm:f>IF(AND(Helper!B13=TRUE,Helper!C13=FALSE),HamptonTilt,IF(E38="Aruba",ArubaTilt,IF(E38="Tahiti",TahitiTilt,IF(E38="Maui",MauiTilt,IF(E38="Aruba Express",ArubaExpressTilt,IF(E38="Capri",CapriTilt,TiltRod))))))</xm:f>
          </x14:formula1>
          <xm:sqref>J38:J40</xm:sqref>
        </x14:dataValidation>
        <x14:dataValidation type="list" allowBlank="1" showInputMessage="1" showErrorMessage="1" xr:uid="{5624D8F6-7CD2-43D7-B3A4-DE30C02937C6}">
          <x14:formula1>
            <xm:f>IF(AND(Helper!B14=TRUE,Helper!C14=FALSE),HamptonTilt,IF(E41="Aruba",ArubaTilt,IF(E41="Tahiti",TahitiTilt,IF(E41="Maui",MauiTilt,IF(E41="Aruba Express",ArubaExpressTilt,IF(E41="Capri",CapriTilt,TiltRod))))))</xm:f>
          </x14:formula1>
          <xm:sqref>J41:J43</xm:sqref>
        </x14:dataValidation>
        <x14:dataValidation type="list" allowBlank="1" showInputMessage="1" showErrorMessage="1" xr:uid="{F9811D2F-B8BE-4ED6-B5AA-28B8BC5364A6}">
          <x14:formula1>
            <xm:f>IF(AND(Helper!B15=TRUE,Helper!C15=FALSE),HamptonTilt,IF(E44="Aruba",ArubaTilt,IF(E44="Tahiti",TahitiTilt,IF(E44="Maui",MauiTilt,IF(E44="Aruba Express",ArubaExpressTilt,IF(E44="Capri",CapriTilt,TiltRod))))))</xm:f>
          </x14:formula1>
          <xm:sqref>J44:J46</xm:sqref>
        </x14:dataValidation>
        <x14:dataValidation type="list" allowBlank="1" showInputMessage="1" showErrorMessage="1" xr:uid="{B99C6EBD-A5C9-4EAE-BD88-E3E2C5AD44C0}">
          <x14:formula1>
            <xm:f>IF(AND(Helper!B16=TRUE,Helper!C16=FALSE),HamptonTilt,IF(E47="Aruba",ArubaTilt,IF(E47="Tahiti",TahitiTilt,IF(E47="Maui",MauiTilt,IF(E47="Aruba Express",ArubaExpressTilt,IF(E47="Capri",CapriTilt,TiltRod))))))</xm:f>
          </x14:formula1>
          <xm:sqref>J47:J49</xm:sqref>
        </x14:dataValidation>
        <x14:dataValidation type="list" allowBlank="1" showInputMessage="1" showErrorMessage="1" xr:uid="{21896759-4665-4AAA-A703-13E10962AA75}">
          <x14:formula1>
            <xm:f>IF(AND(Helper!B4=TRUE,Helper!C4=FALSE),HamptonTilt,IF(E8="Aruba",ArubaTilt,IF(E8="Tahiti",TahitiTilt,IF(E8="Maui",MauiTilt,IF(E8="Aruba Express",ArubaExpressTilt,IF(E8="Capri",CapriTilt,TiltRod))))))</xm:f>
          </x14:formula1>
          <xm:sqref>J8:J10</xm:sqref>
        </x14:dataValidation>
        <x14:dataValidation type="list" allowBlank="1" showInputMessage="1" showErrorMessage="1" xr:uid="{9F01FB65-0003-470B-8869-4F85AC9783B8}">
          <x14:formula1>
            <xm:f>IF(AND(Helper!B5=TRUE,Helper!C5=FALSE),HamptonTilt,IF(E11="Aruba",ArubaTilt,IF(E11="Tahiti",TahitiTilt,IF(E11="Maui",MauiTilt,IF(E11="Aruba Express",ArubaExpressTilt,IF(E11="Capri",CapriTilt,TiltRod))))))</xm:f>
          </x14:formula1>
          <xm:sqref>J11:J13</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22A54B-FBA6-4789-90DB-AE243566B8C0}">
  <sheetPr codeName="Sheet19"/>
  <dimension ref="A2:K50"/>
  <sheetViews>
    <sheetView showGridLines="0" zoomScaleNormal="100" workbookViewId="0">
      <selection activeCell="Q28" sqref="Q28"/>
    </sheetView>
  </sheetViews>
  <sheetFormatPr defaultRowHeight="14.45"/>
  <cols>
    <col min="2" max="2" width="17.42578125" bestFit="1" customWidth="1"/>
    <col min="6" max="6" width="4.42578125" customWidth="1"/>
    <col min="7" max="7" width="9.7109375" customWidth="1"/>
    <col min="9" max="9" width="7" customWidth="1"/>
    <col min="10" max="10" width="14.42578125" customWidth="1"/>
    <col min="12" max="12" width="10.28515625" bestFit="1" customWidth="1"/>
  </cols>
  <sheetData>
    <row r="2" spans="1:11" ht="18.600000000000001">
      <c r="B2" s="313"/>
    </row>
    <row r="4" spans="1:11" ht="18.600000000000001">
      <c r="A4" s="1473"/>
      <c r="B4" s="1473"/>
      <c r="K4" t="str">
        <f>RIGHT(K3,10)</f>
        <v/>
      </c>
    </row>
    <row r="5" spans="1:11">
      <c r="C5" s="134"/>
      <c r="D5" s="134"/>
      <c r="E5" s="134"/>
      <c r="F5" s="134"/>
    </row>
    <row r="6" spans="1:11" ht="18.600000000000001">
      <c r="B6" s="480" t="s">
        <v>311</v>
      </c>
      <c r="C6" s="476"/>
      <c r="D6" s="315"/>
      <c r="E6" s="315"/>
      <c r="F6" s="315"/>
      <c r="G6" s="315"/>
      <c r="H6" s="315"/>
      <c r="I6" s="315"/>
      <c r="J6" s="316"/>
    </row>
    <row r="7" spans="1:11" ht="18.600000000000001">
      <c r="B7" s="478" t="s">
        <v>75</v>
      </c>
      <c r="C7" s="1472"/>
      <c r="D7" s="1472"/>
      <c r="E7" s="1472"/>
      <c r="F7" s="1472"/>
      <c r="J7" s="317"/>
    </row>
    <row r="8" spans="1:11">
      <c r="B8" s="477"/>
      <c r="J8" s="317"/>
    </row>
    <row r="9" spans="1:11" ht="18.600000000000001">
      <c r="B9" s="478" t="s">
        <v>312</v>
      </c>
      <c r="C9" s="1472"/>
      <c r="D9" s="1472"/>
      <c r="E9" s="1472"/>
      <c r="F9" s="1472"/>
      <c r="J9" s="317"/>
    </row>
    <row r="10" spans="1:11">
      <c r="B10" s="477"/>
      <c r="J10" s="317"/>
    </row>
    <row r="11" spans="1:11" ht="18.600000000000001">
      <c r="B11" s="478" t="s">
        <v>313</v>
      </c>
      <c r="C11" s="1485"/>
      <c r="D11" s="1485"/>
      <c r="E11" s="1485"/>
      <c r="F11" s="1485"/>
      <c r="G11" s="363"/>
      <c r="H11" s="363"/>
      <c r="I11" s="363"/>
      <c r="J11" s="317"/>
    </row>
    <row r="12" spans="1:11">
      <c r="B12" s="477"/>
      <c r="C12" s="363"/>
      <c r="D12" s="363"/>
      <c r="E12" s="363"/>
      <c r="F12" s="363"/>
      <c r="G12" s="363"/>
      <c r="H12" s="363"/>
      <c r="I12" s="363"/>
      <c r="J12" s="317"/>
    </row>
    <row r="13" spans="1:11" ht="18.600000000000001">
      <c r="B13" s="478" t="s">
        <v>314</v>
      </c>
      <c r="C13" s="1485"/>
      <c r="D13" s="1485"/>
      <c r="E13" s="1485"/>
      <c r="F13" s="1485"/>
      <c r="G13" s="363"/>
      <c r="H13" s="363"/>
      <c r="I13" s="363"/>
      <c r="J13" s="317"/>
    </row>
    <row r="14" spans="1:11">
      <c r="B14" s="477"/>
      <c r="C14" s="363"/>
      <c r="D14" s="363"/>
      <c r="E14" s="363"/>
      <c r="F14" s="363"/>
      <c r="G14" s="363"/>
      <c r="H14" s="363"/>
      <c r="I14" s="363"/>
      <c r="J14" s="317"/>
    </row>
    <row r="15" spans="1:11" ht="18.600000000000001">
      <c r="B15" s="478" t="s">
        <v>315</v>
      </c>
      <c r="C15" s="1485"/>
      <c r="D15" s="1485"/>
      <c r="E15" s="1485"/>
      <c r="F15" s="1485"/>
      <c r="G15" s="363"/>
      <c r="H15" s="363"/>
      <c r="I15" s="363"/>
      <c r="J15" s="317"/>
    </row>
    <row r="16" spans="1:11">
      <c r="B16" s="318"/>
      <c r="C16" s="138"/>
      <c r="D16" s="138"/>
      <c r="E16" s="138"/>
      <c r="F16" s="138"/>
      <c r="G16" s="138"/>
      <c r="H16" s="138"/>
      <c r="I16" s="138"/>
      <c r="J16" s="319"/>
    </row>
    <row r="18" spans="2:10" ht="15.6">
      <c r="B18" s="479" t="s">
        <v>316</v>
      </c>
      <c r="C18" s="315"/>
      <c r="D18" s="315"/>
      <c r="E18" s="315"/>
      <c r="F18" s="315"/>
      <c r="G18" s="315"/>
      <c r="H18" s="315"/>
      <c r="I18" s="315"/>
      <c r="J18" s="316"/>
    </row>
    <row r="19" spans="2:10">
      <c r="B19" s="1476" t="s">
        <v>317</v>
      </c>
      <c r="C19" s="1477"/>
      <c r="D19" s="1476" t="s">
        <v>317</v>
      </c>
      <c r="E19" s="1482"/>
      <c r="F19" s="1482"/>
      <c r="G19" s="1477"/>
      <c r="H19" s="1476" t="s">
        <v>317</v>
      </c>
      <c r="I19" s="1482"/>
      <c r="J19" s="1477"/>
    </row>
    <row r="20" spans="2:10">
      <c r="B20" s="1478"/>
      <c r="C20" s="1479"/>
      <c r="D20" s="1478"/>
      <c r="E20" s="1483"/>
      <c r="F20" s="1483"/>
      <c r="G20" s="1479"/>
      <c r="H20" s="1478"/>
      <c r="I20" s="1483"/>
      <c r="J20" s="1479"/>
    </row>
    <row r="21" spans="2:10">
      <c r="B21" s="1478"/>
      <c r="C21" s="1479"/>
      <c r="D21" s="1478"/>
      <c r="E21" s="1483"/>
      <c r="F21" s="1483"/>
      <c r="G21" s="1479"/>
      <c r="H21" s="1478"/>
      <c r="I21" s="1483"/>
      <c r="J21" s="1479"/>
    </row>
    <row r="22" spans="2:10">
      <c r="B22" s="1478"/>
      <c r="C22" s="1479"/>
      <c r="D22" s="1478"/>
      <c r="E22" s="1483"/>
      <c r="F22" s="1483"/>
      <c r="G22" s="1479"/>
      <c r="H22" s="1478"/>
      <c r="I22" s="1483"/>
      <c r="J22" s="1479"/>
    </row>
    <row r="23" spans="2:10">
      <c r="B23" s="1478"/>
      <c r="C23" s="1479"/>
      <c r="D23" s="1478"/>
      <c r="E23" s="1483"/>
      <c r="F23" s="1483"/>
      <c r="G23" s="1479"/>
      <c r="H23" s="1478"/>
      <c r="I23" s="1483"/>
      <c r="J23" s="1479"/>
    </row>
    <row r="24" spans="2:10">
      <c r="B24" s="1478"/>
      <c r="C24" s="1479"/>
      <c r="D24" s="1478"/>
      <c r="E24" s="1483"/>
      <c r="F24" s="1483"/>
      <c r="G24" s="1479"/>
      <c r="H24" s="1478"/>
      <c r="I24" s="1483"/>
      <c r="J24" s="1479"/>
    </row>
    <row r="25" spans="2:10">
      <c r="B25" s="1478"/>
      <c r="C25" s="1479"/>
      <c r="D25" s="1478"/>
      <c r="E25" s="1483"/>
      <c r="F25" s="1483"/>
      <c r="G25" s="1479"/>
      <c r="H25" s="1478"/>
      <c r="I25" s="1483"/>
      <c r="J25" s="1479"/>
    </row>
    <row r="26" spans="2:10">
      <c r="B26" s="1478"/>
      <c r="C26" s="1479"/>
      <c r="D26" s="1478"/>
      <c r="E26" s="1483"/>
      <c r="F26" s="1483"/>
      <c r="G26" s="1479"/>
      <c r="H26" s="1478"/>
      <c r="I26" s="1483"/>
      <c r="J26" s="1479"/>
    </row>
    <row r="27" spans="2:10">
      <c r="B27" s="1478"/>
      <c r="C27" s="1479"/>
      <c r="D27" s="1478"/>
      <c r="E27" s="1483"/>
      <c r="F27" s="1483"/>
      <c r="G27" s="1479"/>
      <c r="H27" s="1478"/>
      <c r="I27" s="1483"/>
      <c r="J27" s="1479"/>
    </row>
    <row r="28" spans="2:10">
      <c r="B28" s="1478"/>
      <c r="C28" s="1479"/>
      <c r="D28" s="1478"/>
      <c r="E28" s="1483"/>
      <c r="F28" s="1483"/>
      <c r="G28" s="1479"/>
      <c r="H28" s="1478"/>
      <c r="I28" s="1483"/>
      <c r="J28" s="1479"/>
    </row>
    <row r="29" spans="2:10">
      <c r="B29" s="1478"/>
      <c r="C29" s="1479"/>
      <c r="D29" s="1478"/>
      <c r="E29" s="1483"/>
      <c r="F29" s="1483"/>
      <c r="G29" s="1479"/>
      <c r="H29" s="1478"/>
      <c r="I29" s="1483"/>
      <c r="J29" s="1479"/>
    </row>
    <row r="30" spans="2:10">
      <c r="B30" s="1480"/>
      <c r="C30" s="1481"/>
      <c r="D30" s="1480"/>
      <c r="E30" s="1484"/>
      <c r="F30" s="1484"/>
      <c r="G30" s="1481"/>
      <c r="H30" s="1480"/>
      <c r="I30" s="1484"/>
      <c r="J30" s="1481"/>
    </row>
    <row r="32" spans="2:10" ht="15.6">
      <c r="B32" s="479" t="s">
        <v>318</v>
      </c>
      <c r="C32" s="315"/>
      <c r="D32" s="315"/>
      <c r="E32" s="315"/>
      <c r="F32" s="315"/>
      <c r="G32" s="315"/>
      <c r="H32" s="315"/>
      <c r="I32" s="315"/>
      <c r="J32" s="316"/>
    </row>
    <row r="33" spans="2:10">
      <c r="B33" s="1173"/>
      <c r="C33" s="1009"/>
      <c r="D33" s="1009"/>
      <c r="E33" s="1009"/>
      <c r="F33" s="1009"/>
      <c r="G33" s="1009"/>
      <c r="H33" s="1009"/>
      <c r="I33" s="1009"/>
      <c r="J33" s="1174"/>
    </row>
    <row r="34" spans="2:10">
      <c r="B34" s="1173"/>
      <c r="C34" s="1009"/>
      <c r="D34" s="1009"/>
      <c r="E34" s="1009"/>
      <c r="F34" s="1009"/>
      <c r="G34" s="1009"/>
      <c r="H34" s="1009"/>
      <c r="I34" s="1009"/>
      <c r="J34" s="1174"/>
    </row>
    <row r="35" spans="2:10">
      <c r="B35" s="1173"/>
      <c r="C35" s="1009"/>
      <c r="D35" s="1009"/>
      <c r="E35" s="1009"/>
      <c r="F35" s="1009"/>
      <c r="G35" s="1009"/>
      <c r="H35" s="1009"/>
      <c r="I35" s="1009"/>
      <c r="J35" s="1174"/>
    </row>
    <row r="36" spans="2:10">
      <c r="B36" s="1173"/>
      <c r="C36" s="1009"/>
      <c r="D36" s="1009"/>
      <c r="E36" s="1009"/>
      <c r="F36" s="1009"/>
      <c r="G36" s="1009"/>
      <c r="H36" s="1009"/>
      <c r="I36" s="1009"/>
      <c r="J36" s="1174"/>
    </row>
    <row r="37" spans="2:10">
      <c r="B37" s="1173"/>
      <c r="C37" s="1009"/>
      <c r="D37" s="1009"/>
      <c r="E37" s="1009"/>
      <c r="F37" s="1009"/>
      <c r="G37" s="1009"/>
      <c r="H37" s="1009"/>
      <c r="I37" s="1009"/>
      <c r="J37" s="1174"/>
    </row>
    <row r="38" spans="2:10">
      <c r="B38" s="1173"/>
      <c r="C38" s="1009"/>
      <c r="D38" s="1009"/>
      <c r="E38" s="1009"/>
      <c r="F38" s="1009"/>
      <c r="G38" s="1009"/>
      <c r="H38" s="1009"/>
      <c r="I38" s="1009"/>
      <c r="J38" s="1174"/>
    </row>
    <row r="39" spans="2:10">
      <c r="B39" s="1173"/>
      <c r="C39" s="1009"/>
      <c r="D39" s="1009"/>
      <c r="E39" s="1009"/>
      <c r="F39" s="1009"/>
      <c r="G39" s="1009"/>
      <c r="H39" s="1009"/>
      <c r="I39" s="1009"/>
      <c r="J39" s="1174"/>
    </row>
    <row r="40" spans="2:10">
      <c r="B40" s="1173"/>
      <c r="C40" s="1009"/>
      <c r="D40" s="1009"/>
      <c r="E40" s="1009"/>
      <c r="F40" s="1009"/>
      <c r="G40" s="1009"/>
      <c r="H40" s="1009"/>
      <c r="I40" s="1009"/>
      <c r="J40" s="1174"/>
    </row>
    <row r="41" spans="2:10">
      <c r="B41" s="1173"/>
      <c r="C41" s="1009"/>
      <c r="D41" s="1009"/>
      <c r="E41" s="1009"/>
      <c r="F41" s="1009"/>
      <c r="G41" s="1009"/>
      <c r="H41" s="1009"/>
      <c r="I41" s="1009"/>
      <c r="J41" s="1174"/>
    </row>
    <row r="42" spans="2:10">
      <c r="B42" s="1173"/>
      <c r="C42" s="1009"/>
      <c r="D42" s="1009"/>
      <c r="E42" s="1009"/>
      <c r="F42" s="1009"/>
      <c r="G42" s="1009"/>
      <c r="H42" s="1009"/>
      <c r="I42" s="1009"/>
      <c r="J42" s="1174"/>
    </row>
    <row r="43" spans="2:10">
      <c r="B43" s="1173"/>
      <c r="C43" s="1009"/>
      <c r="D43" s="1009"/>
      <c r="E43" s="1009"/>
      <c r="F43" s="1009"/>
      <c r="G43" s="1009"/>
      <c r="H43" s="1009"/>
      <c r="I43" s="1009"/>
      <c r="J43" s="1174"/>
    </row>
    <row r="44" spans="2:10">
      <c r="B44" s="1474"/>
      <c r="C44" s="1472"/>
      <c r="D44" s="1472"/>
      <c r="E44" s="1472"/>
      <c r="F44" s="1472"/>
      <c r="G44" s="1472"/>
      <c r="H44" s="1472"/>
      <c r="I44" s="1472"/>
      <c r="J44" s="1475"/>
    </row>
    <row r="46" spans="2:10">
      <c r="B46" s="314"/>
      <c r="C46" s="315"/>
      <c r="D46" s="315"/>
      <c r="E46" s="315"/>
      <c r="F46" s="315"/>
      <c r="G46" s="315"/>
      <c r="H46" s="315"/>
      <c r="I46" s="315"/>
      <c r="J46" s="316"/>
    </row>
    <row r="47" spans="2:10" ht="18.600000000000001">
      <c r="B47" s="478" t="s">
        <v>319</v>
      </c>
      <c r="C47" s="1472"/>
      <c r="D47" s="1472"/>
      <c r="E47" s="1472"/>
      <c r="F47" s="1472"/>
      <c r="G47" s="1472"/>
      <c r="H47" s="1472"/>
      <c r="J47" s="317"/>
    </row>
    <row r="48" spans="2:10">
      <c r="B48" s="477"/>
      <c r="J48" s="317"/>
    </row>
    <row r="49" spans="2:10" ht="18.600000000000001">
      <c r="B49" s="478" t="s">
        <v>320</v>
      </c>
      <c r="C49" s="1472"/>
      <c r="D49" s="1472"/>
      <c r="E49" s="1472"/>
      <c r="F49" s="1472"/>
      <c r="G49" s="1472"/>
      <c r="H49" s="1472"/>
      <c r="J49" s="317"/>
    </row>
    <row r="50" spans="2:10">
      <c r="B50" s="318"/>
      <c r="C50" s="138"/>
      <c r="D50" s="138"/>
      <c r="E50" s="138"/>
      <c r="F50" s="138"/>
      <c r="G50" s="138"/>
      <c r="H50" s="138"/>
      <c r="I50" s="138"/>
      <c r="J50" s="319"/>
    </row>
  </sheetData>
  <mergeCells count="12">
    <mergeCell ref="C49:H49"/>
    <mergeCell ref="A4:B4"/>
    <mergeCell ref="B33:J44"/>
    <mergeCell ref="B19:C30"/>
    <mergeCell ref="D19:G30"/>
    <mergeCell ref="H19:J30"/>
    <mergeCell ref="C7:F7"/>
    <mergeCell ref="C9:F9"/>
    <mergeCell ref="C11:F11"/>
    <mergeCell ref="C13:F13"/>
    <mergeCell ref="C15:F15"/>
    <mergeCell ref="C47:H47"/>
  </mergeCells>
  <dataValidations disablePrompts="1" count="1">
    <dataValidation type="list" allowBlank="1" showInputMessage="1" showErrorMessage="1" sqref="H6:I6" xr:uid="{C14DC06D-04BE-4A19-8177-B6938E5D40AC}">
      <formula1>"Code 1, Code 2, Code 3"</formula1>
    </dataValidation>
  </dataValidations>
  <pageMargins left="0.7" right="0.7" top="0.75" bottom="0.75" header="0.3" footer="0.3"/>
  <pageSetup paperSize="9" scale="84" orientation="portrait" horizontalDpi="300" verticalDpi="30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E624EE-7BE4-4A31-BDA8-4FAEA7C71C5A}">
  <sheetPr codeName="Sheet11"/>
  <dimension ref="E4:Y45"/>
  <sheetViews>
    <sheetView topLeftCell="B1" workbookViewId="0">
      <selection activeCell="P10" sqref="P10"/>
    </sheetView>
  </sheetViews>
  <sheetFormatPr defaultRowHeight="14.45"/>
  <cols>
    <col min="4" max="4" width="3.28515625" customWidth="1"/>
    <col min="5" max="5" width="11.42578125" customWidth="1"/>
    <col min="8" max="8" width="9.7109375" bestFit="1" customWidth="1"/>
    <col min="9" max="9" width="9.42578125" bestFit="1" customWidth="1"/>
    <col min="10" max="10" width="9.42578125" hidden="1" customWidth="1"/>
    <col min="11" max="11" width="10" bestFit="1" customWidth="1"/>
    <col min="17" max="17" width="6.42578125" customWidth="1"/>
  </cols>
  <sheetData>
    <row r="4" spans="5:25">
      <c r="E4" s="1490" t="s">
        <v>299</v>
      </c>
      <c r="F4" s="1490" t="s">
        <v>321</v>
      </c>
      <c r="G4" s="1490"/>
      <c r="H4" s="1490"/>
      <c r="I4" s="986" t="s">
        <v>322</v>
      </c>
      <c r="J4" s="986"/>
      <c r="K4" s="986"/>
      <c r="M4" t="s">
        <v>323</v>
      </c>
      <c r="R4" s="487" t="s">
        <v>324</v>
      </c>
      <c r="S4" s="487" t="s">
        <v>325</v>
      </c>
      <c r="T4" s="487" t="s">
        <v>326</v>
      </c>
      <c r="U4" s="487"/>
      <c r="V4" s="487" t="s">
        <v>327</v>
      </c>
      <c r="W4" s="487" t="s">
        <v>9</v>
      </c>
      <c r="X4" s="489" t="s">
        <v>10</v>
      </c>
      <c r="Y4" s="487" t="s">
        <v>328</v>
      </c>
    </row>
    <row r="5" spans="5:25">
      <c r="E5" s="1490"/>
      <c r="F5" s="1490"/>
      <c r="G5" s="1490"/>
      <c r="H5" s="1490"/>
      <c r="I5" s="296" t="s">
        <v>329</v>
      </c>
      <c r="J5" s="296" t="s">
        <v>329</v>
      </c>
      <c r="K5" s="296" t="s">
        <v>330</v>
      </c>
      <c r="M5" s="1489" t="str">
        <f>IF('Signoff Sheet'!R19 = "Yes","Ladders Required!","")</f>
        <v/>
      </c>
      <c r="N5" s="1489"/>
      <c r="O5" s="1489"/>
      <c r="P5" s="1489"/>
      <c r="R5">
        <f>IF(AND(S5=0,T5=0,V5&lt;&gt;"",Y5&lt;&gt;"Tracked"),1,0)</f>
        <v>0</v>
      </c>
      <c r="S5">
        <f>IF(ISERROR(FIND("T",V5)),0,FIND("T",V5))</f>
        <v>0</v>
      </c>
      <c r="T5">
        <f>IF(ISERROR(FIND("C",V5)),IF(ISERROR(FIND("B",V5)),0,1),1)</f>
        <v>0</v>
      </c>
      <c r="U5" t="s">
        <v>331</v>
      </c>
      <c r="V5" t="str">
        <f>_xlfn.CONCAT('Survey Front'!S12:AC12)</f>
        <v>FFFFFFFF</v>
      </c>
      <c r="W5" s="4" t="str">
        <f>IF(ISERROR(VALUE('Survey Front'!M12)),"",VALUE('Survey Front'!M12))</f>
        <v/>
      </c>
      <c r="X5" s="115" t="str">
        <f>IF(ISERROR(VALUE('Survey Front'!N12)),"",VALUE('Survey Front'!N12))</f>
        <v/>
      </c>
      <c r="Y5" t="str">
        <f>'Survey Front'!D12</f>
        <v>Tracked</v>
      </c>
    </row>
    <row r="6" spans="5:25">
      <c r="E6" s="46">
        <f>COUNTIFS(R5:R19,"&gt;=1",S5:S19,"=0",T5:T19,"=0",Y5:Y19,"&lt;&gt;Tracked",W5:W19,"&lt;=2000",X5:X19,"&lt;=1799")</f>
        <v>0</v>
      </c>
      <c r="F6" s="1406" t="s">
        <v>332</v>
      </c>
      <c r="G6" s="1406"/>
      <c r="H6" s="27" t="s">
        <v>333</v>
      </c>
      <c r="I6" s="293">
        <f>(30*E6)/1440</f>
        <v>0</v>
      </c>
      <c r="J6" s="293">
        <f>(30*E6)/1440</f>
        <v>0</v>
      </c>
      <c r="K6" s="293">
        <f>(45*E6)/1440</f>
        <v>0</v>
      </c>
      <c r="R6">
        <f t="shared" ref="R6:R19" si="0">IF(AND(S6=0,T6=0,V6&lt;&gt;"",Y6&lt;&gt;"Tracked"),1,0)</f>
        <v>1</v>
      </c>
      <c r="S6">
        <f t="shared" ref="S6:S19" si="1">IF(ISERROR(FIND("T",V6)),0,FIND("T",V6))</f>
        <v>0</v>
      </c>
      <c r="T6">
        <f t="shared" ref="T6:T19" si="2">IF(ISERROR(FIND("C",V6)),IF(ISERROR(FIND("B",V6)),0,1),1)</f>
        <v>0</v>
      </c>
      <c r="U6" t="s">
        <v>334</v>
      </c>
      <c r="V6" t="str">
        <f>_xlfn.CONCAT('Survey Front'!S15:AC15)</f>
        <v>L</v>
      </c>
      <c r="W6" s="4" t="str">
        <f>IF(ISERROR(VALUE('Survey Front'!M15)),"",VALUE('Survey Front'!M15))</f>
        <v/>
      </c>
      <c r="X6" s="115" t="str">
        <f>IF(ISERROR(VALUE('Survey Front'!N15)),"",VALUE('Survey Front'!N15))</f>
        <v/>
      </c>
      <c r="Y6" t="str">
        <f>'Survey Front'!D15</f>
        <v>Full Height</v>
      </c>
    </row>
    <row r="7" spans="5:25">
      <c r="E7" s="46">
        <f>COUNTIFS(R5:R19,"&gt;=1",S5:S19,"=0",T5:T19,"=0",Y5:Y19,"&lt;&gt;Tracked",W5:W19,"&gt;=2001",W5:W19,"&lt;=2500",X5:X19,"&lt;=1799")</f>
        <v>0</v>
      </c>
      <c r="F7" s="1406"/>
      <c r="G7" s="1406"/>
      <c r="H7" s="27" t="s">
        <v>335</v>
      </c>
      <c r="I7" s="293">
        <f>(40*E7)/1440</f>
        <v>0</v>
      </c>
      <c r="J7" s="293">
        <f>(30*E7)/1440</f>
        <v>0</v>
      </c>
      <c r="K7" s="293">
        <f>(45*E7)/1440</f>
        <v>0</v>
      </c>
      <c r="R7">
        <f t="shared" si="0"/>
        <v>0</v>
      </c>
      <c r="S7">
        <f t="shared" si="1"/>
        <v>3</v>
      </c>
      <c r="T7">
        <f t="shared" si="2"/>
        <v>0</v>
      </c>
      <c r="U7" t="s">
        <v>336</v>
      </c>
      <c r="V7" t="str">
        <f>_xlfn.CONCAT('Survey Front'!S18:AC18)</f>
        <v>L(T)L(T)R(T)R</v>
      </c>
      <c r="W7" s="4" t="str">
        <f>IF(ISERROR(VALUE('Survey Front'!M18)),"",VALUE('Survey Front'!M18))</f>
        <v/>
      </c>
      <c r="X7" s="115" t="str">
        <f>IF(ISERROR(VALUE('Survey Front'!N18)),"",VALUE('Survey Front'!N18))</f>
        <v/>
      </c>
      <c r="Y7" t="str">
        <f>'Survey Front'!D18</f>
        <v>Full Height</v>
      </c>
    </row>
    <row r="8" spans="5:25">
      <c r="E8" s="46">
        <f>COUNTIFS(R5:R19,"&gt;=1",S5:S19,"=0",T5:T19,"=0",Y5:Y19,"&lt;&gt;Tracked",W5:W19,"&gt;=2501",W5:W19,"&lt;=3500",X5:X19,"&lt;=1799")</f>
        <v>0</v>
      </c>
      <c r="F8" s="1406"/>
      <c r="G8" s="1406"/>
      <c r="H8" s="27" t="s">
        <v>337</v>
      </c>
      <c r="I8" s="293">
        <f>(60*E8)/1440</f>
        <v>0</v>
      </c>
      <c r="J8" s="293"/>
      <c r="K8" s="293"/>
      <c r="R8">
        <f t="shared" si="0"/>
        <v>0</v>
      </c>
      <c r="S8">
        <f t="shared" si="1"/>
        <v>3</v>
      </c>
      <c r="T8">
        <f t="shared" si="2"/>
        <v>0</v>
      </c>
      <c r="U8" t="s">
        <v>338</v>
      </c>
      <c r="V8" t="str">
        <f>_xlfn.CONCAT('Survey Front'!S21:AC21)</f>
        <v>L(T)R(T)R</v>
      </c>
      <c r="W8" s="4" t="str">
        <f>IF(ISERROR(VALUE('Survey Front'!M21)),"",VALUE('Survey Front'!M21))</f>
        <v/>
      </c>
      <c r="X8" s="115" t="str">
        <f>IF(ISERROR(VALUE('Survey Front'!N21)),"",VALUE('Survey Front'!N21))</f>
        <v/>
      </c>
      <c r="Y8" t="str">
        <f>'Survey Front'!D21</f>
        <v>Full Height</v>
      </c>
    </row>
    <row r="9" spans="5:25">
      <c r="E9" s="4"/>
      <c r="F9" s="7"/>
      <c r="G9" s="7"/>
      <c r="I9" s="7"/>
      <c r="J9" s="7"/>
      <c r="K9" s="7"/>
      <c r="M9" s="393"/>
      <c r="R9">
        <f t="shared" si="0"/>
        <v>0</v>
      </c>
      <c r="S9">
        <f t="shared" si="1"/>
        <v>0</v>
      </c>
      <c r="T9">
        <f t="shared" si="2"/>
        <v>0</v>
      </c>
      <c r="U9" t="s">
        <v>339</v>
      </c>
      <c r="V9" t="str">
        <f>_xlfn.CONCAT('Survey Front'!S24:AC24)</f>
        <v/>
      </c>
      <c r="W9" s="4" t="str">
        <f>IF(ISERROR(VALUE('Survey Front'!M24)),"",VALUE('Survey Front'!M24))</f>
        <v/>
      </c>
      <c r="X9" s="115" t="str">
        <f>IF(ISERROR(VALUE('Survey Front'!N24)),"",VALUE('Survey Front'!N24))</f>
        <v/>
      </c>
      <c r="Y9" t="str">
        <f>'Survey Front'!D24</f>
        <v/>
      </c>
    </row>
    <row r="10" spans="5:25" ht="14.45" customHeight="1">
      <c r="E10" s="46">
        <f>COUNTIFS(S5:S19,"&gt;0",W5:W19,"&lt;=2000",X5:X19,"&lt;=1800")</f>
        <v>0</v>
      </c>
      <c r="F10" s="1488" t="s">
        <v>340</v>
      </c>
      <c r="G10" s="1488"/>
      <c r="H10" s="50" t="s">
        <v>333</v>
      </c>
      <c r="I10" s="293">
        <f>(30*E10)/1440</f>
        <v>0</v>
      </c>
      <c r="J10" s="1486">
        <f>(50*E10)/1440</f>
        <v>0</v>
      </c>
      <c r="K10" s="293">
        <f>(45*E10)/1440</f>
        <v>0</v>
      </c>
      <c r="R10">
        <f t="shared" si="0"/>
        <v>0</v>
      </c>
      <c r="S10">
        <f t="shared" si="1"/>
        <v>0</v>
      </c>
      <c r="T10">
        <f t="shared" si="2"/>
        <v>0</v>
      </c>
      <c r="U10" t="s">
        <v>341</v>
      </c>
      <c r="V10" t="str">
        <f>_xlfn.CONCAT('Survey Front'!S27:AC27)</f>
        <v/>
      </c>
      <c r="W10" s="4" t="str">
        <f>IF(ISERROR(VALUE('Survey Front'!M27)),"",VALUE('Survey Front'!M27))</f>
        <v/>
      </c>
      <c r="X10" s="115" t="str">
        <f>IF(ISERROR(VALUE('Survey Front'!N27)),"",VALUE('Survey Front'!N27))</f>
        <v/>
      </c>
      <c r="Y10" t="str">
        <f>'Survey Front'!D27</f>
        <v/>
      </c>
    </row>
    <row r="11" spans="5:25">
      <c r="E11" s="46">
        <f>COUNTIFS(S5:S19,"&gt;0",W5:W19,"&gt;=2001",W5:W19,"&lt;=2500",X5:X19,"&lt;=1800")</f>
        <v>0</v>
      </c>
      <c r="F11" s="1488"/>
      <c r="G11" s="1488"/>
      <c r="H11" s="50" t="s">
        <v>335</v>
      </c>
      <c r="I11" s="293">
        <f>(40*E11)/1440</f>
        <v>0</v>
      </c>
      <c r="J11" s="1487"/>
      <c r="K11" s="293"/>
      <c r="R11">
        <f t="shared" si="0"/>
        <v>0</v>
      </c>
      <c r="S11">
        <f t="shared" si="1"/>
        <v>0</v>
      </c>
      <c r="T11">
        <f t="shared" si="2"/>
        <v>0</v>
      </c>
      <c r="U11" t="s">
        <v>342</v>
      </c>
      <c r="V11" t="str">
        <f>_xlfn.CONCAT('Survey Front'!S30:AC30)</f>
        <v/>
      </c>
      <c r="W11" s="4" t="str">
        <f>IF(ISERROR(VALUE('Survey Front'!M30)),"",VALUE('Survey Front'!M30))</f>
        <v/>
      </c>
      <c r="X11" s="115" t="str">
        <f>IF(ISERROR(VALUE('Survey Front'!N30)),"",VALUE('Survey Front'!N30))</f>
        <v/>
      </c>
      <c r="Y11" t="str">
        <f>'Survey Front'!D30</f>
        <v/>
      </c>
    </row>
    <row r="12" spans="5:25">
      <c r="E12" s="46">
        <f>COUNTIFS(S5:S19,"&gt;0",W5:W19,"&gt;=2501",W5:W19,"&lt;=3500",X5:X19,"&lt;=1800")</f>
        <v>0</v>
      </c>
      <c r="F12" s="1488"/>
      <c r="G12" s="1488"/>
      <c r="H12" s="46" t="s">
        <v>337</v>
      </c>
      <c r="I12" s="293">
        <f>(60*E12)/1440</f>
        <v>0</v>
      </c>
      <c r="J12" s="301"/>
      <c r="K12" s="293"/>
      <c r="R12">
        <f t="shared" si="0"/>
        <v>0</v>
      </c>
      <c r="S12">
        <f t="shared" si="1"/>
        <v>0</v>
      </c>
      <c r="T12">
        <f t="shared" si="2"/>
        <v>0</v>
      </c>
      <c r="U12" t="s">
        <v>343</v>
      </c>
      <c r="V12" t="str">
        <f>_xlfn.CONCAT('Survey Front'!S33:AC33)</f>
        <v/>
      </c>
      <c r="W12" s="4" t="str">
        <f>IF(ISERROR(VALUE('Survey Front'!M33)),"",VALUE('Survey Front'!M33))</f>
        <v/>
      </c>
      <c r="X12" s="115" t="str">
        <f>IF(ISERROR(VALUE('Survey Front'!N33)),"",VALUE('Survey Front'!N33))</f>
        <v/>
      </c>
      <c r="Y12" t="str">
        <f>'Survey Front'!D33</f>
        <v/>
      </c>
    </row>
    <row r="13" spans="5:25">
      <c r="E13" s="4"/>
      <c r="F13" s="28"/>
      <c r="G13" s="28"/>
      <c r="I13" s="7"/>
      <c r="J13" s="7"/>
      <c r="K13" s="7"/>
      <c r="R13">
        <f t="shared" si="0"/>
        <v>0</v>
      </c>
      <c r="S13">
        <f t="shared" si="1"/>
        <v>0</v>
      </c>
      <c r="T13">
        <f t="shared" si="2"/>
        <v>0</v>
      </c>
      <c r="U13" t="s">
        <v>344</v>
      </c>
      <c r="V13" t="str">
        <f>_xlfn.CONCAT('Survey Front'!S36:AC36)</f>
        <v/>
      </c>
      <c r="W13" s="4" t="str">
        <f>IF(ISERROR(VALUE('Survey Front'!M36)),"",VALUE('Survey Front'!M36))</f>
        <v/>
      </c>
      <c r="X13" s="115" t="str">
        <f>IF(ISERROR(VALUE('Survey Front'!N36)),"",VALUE('Survey Front'!N36))</f>
        <v/>
      </c>
      <c r="Y13" t="str">
        <f>'Survey Front'!D36</f>
        <v/>
      </c>
    </row>
    <row r="14" spans="5:25">
      <c r="E14" s="46">
        <f>COUNTIFS(T5:T19,"&gt;=1",W5:W19,"&lt;=2000",X5:X19,"&lt;=1800")</f>
        <v>0</v>
      </c>
      <c r="F14" s="1406" t="s">
        <v>345</v>
      </c>
      <c r="G14" s="1406"/>
      <c r="H14" s="50" t="s">
        <v>333</v>
      </c>
      <c r="I14" s="293">
        <f>(60*E14)/1440</f>
        <v>0</v>
      </c>
      <c r="J14" s="294">
        <f>(100*E14)/1440</f>
        <v>0</v>
      </c>
      <c r="K14" s="293"/>
      <c r="R14">
        <f t="shared" si="0"/>
        <v>0</v>
      </c>
      <c r="S14">
        <f t="shared" si="1"/>
        <v>0</v>
      </c>
      <c r="T14">
        <f t="shared" si="2"/>
        <v>0</v>
      </c>
      <c r="U14" t="s">
        <v>346</v>
      </c>
      <c r="V14" t="str">
        <f>_xlfn.CONCAT('Survey Front'!S39:AC39)</f>
        <v/>
      </c>
      <c r="W14" s="4" t="str">
        <f>IF(ISERROR(VALUE('Survey Front'!M39)),"",VALUE('Survey Front'!M39))</f>
        <v/>
      </c>
      <c r="X14" s="115" t="str">
        <f>IF(ISERROR(VALUE('Survey Front'!N39)),"",VALUE('Survey Front'!N39))</f>
        <v/>
      </c>
      <c r="Y14" t="str">
        <f>'Survey Front'!D39</f>
        <v/>
      </c>
    </row>
    <row r="15" spans="5:25">
      <c r="E15" s="46">
        <f>COUNTIFS(T5:T19,"&gt;=1",W5:W19,"&gt;=2001",W5:W19,"&lt;=3000",X5:X19,"&lt;=1800")</f>
        <v>0</v>
      </c>
      <c r="F15" s="1406"/>
      <c r="G15" s="1406"/>
      <c r="H15" s="50" t="s">
        <v>347</v>
      </c>
      <c r="I15" s="293">
        <f>(100*E15)/1440</f>
        <v>0</v>
      </c>
      <c r="J15" s="295">
        <f>(120*E15)/1440</f>
        <v>0</v>
      </c>
      <c r="K15" s="293"/>
      <c r="R15">
        <f t="shared" si="0"/>
        <v>0</v>
      </c>
      <c r="S15">
        <f t="shared" si="1"/>
        <v>0</v>
      </c>
      <c r="T15">
        <f t="shared" si="2"/>
        <v>0</v>
      </c>
      <c r="U15" t="s">
        <v>348</v>
      </c>
      <c r="V15" t="str">
        <f>_xlfn.CONCAT('Survey Front'!S42:AC42)</f>
        <v/>
      </c>
      <c r="W15" s="4" t="str">
        <f>IF(ISERROR(VALUE('Survey Front'!M42)),"",VALUE('Survey Front'!M42))</f>
        <v/>
      </c>
      <c r="X15" s="115" t="str">
        <f>IF(ISERROR(VALUE('Survey Front'!N42)),"",VALUE('Survey Front'!N42))</f>
        <v/>
      </c>
      <c r="Y15" t="str">
        <f>'Survey Front'!D42</f>
        <v/>
      </c>
    </row>
    <row r="16" spans="5:25">
      <c r="E16" s="46">
        <f>COUNTIFS(T5:T19,"&gt;=1",W5:W19,"&gt;=3001",W5:W19,"&lt;=4500",X5:X19,"&lt;=1800")</f>
        <v>0</v>
      </c>
      <c r="F16" s="1406"/>
      <c r="G16" s="1406"/>
      <c r="H16" s="50" t="s">
        <v>349</v>
      </c>
      <c r="I16" s="293">
        <f>(120*E16)/1440</f>
        <v>0</v>
      </c>
      <c r="J16" s="301"/>
      <c r="K16" s="295"/>
      <c r="R16">
        <f t="shared" si="0"/>
        <v>0</v>
      </c>
      <c r="S16">
        <f t="shared" si="1"/>
        <v>0</v>
      </c>
      <c r="T16">
        <f t="shared" si="2"/>
        <v>0</v>
      </c>
      <c r="U16" t="s">
        <v>350</v>
      </c>
      <c r="V16" t="str">
        <f>_xlfn.CONCAT('Survey Front'!S45:AC45)</f>
        <v/>
      </c>
      <c r="W16" s="4" t="str">
        <f>IF(ISERROR(VALUE('Survey Front'!M45)),"",VALUE('Survey Front'!M45))</f>
        <v/>
      </c>
      <c r="X16" s="115" t="str">
        <f>IF(ISERROR(VALUE('Survey Front'!N45)),"",VALUE('Survey Front'!N45))</f>
        <v/>
      </c>
      <c r="Y16" t="str">
        <f>'Survey Front'!D45</f>
        <v/>
      </c>
    </row>
    <row r="17" spans="5:25">
      <c r="E17" s="4"/>
      <c r="F17" s="292"/>
      <c r="G17" s="292"/>
      <c r="I17" s="7"/>
      <c r="J17" s="7"/>
      <c r="K17" s="7"/>
      <c r="R17">
        <f t="shared" si="0"/>
        <v>0</v>
      </c>
      <c r="S17">
        <f t="shared" si="1"/>
        <v>0</v>
      </c>
      <c r="T17">
        <f t="shared" si="2"/>
        <v>0</v>
      </c>
      <c r="U17" t="s">
        <v>351</v>
      </c>
      <c r="V17" t="str">
        <f>_xlfn.CONCAT('Survey Front'!S48:AC48)</f>
        <v/>
      </c>
      <c r="W17" s="4" t="str">
        <f>IF(ISERROR(VALUE('Survey Front'!M48)),"",VALUE('Survey Front'!M48))</f>
        <v/>
      </c>
      <c r="X17" s="115" t="str">
        <f>IF(ISERROR(VALUE('Survey Front'!N48)),"",VALUE('Survey Front'!N48))</f>
        <v/>
      </c>
      <c r="Y17" t="str">
        <f>'Survey Front'!D48</f>
        <v/>
      </c>
    </row>
    <row r="18" spans="5:25">
      <c r="E18" s="50"/>
      <c r="F18" s="1406"/>
      <c r="G18" s="1406"/>
      <c r="H18" s="27" t="s">
        <v>352</v>
      </c>
      <c r="I18" s="46"/>
      <c r="J18" s="46"/>
      <c r="K18" s="46"/>
      <c r="R18">
        <f t="shared" si="0"/>
        <v>0</v>
      </c>
      <c r="S18">
        <f t="shared" si="1"/>
        <v>0</v>
      </c>
      <c r="T18">
        <f t="shared" si="2"/>
        <v>0</v>
      </c>
      <c r="U18" t="s">
        <v>353</v>
      </c>
      <c r="V18" t="str">
        <f>_xlfn.CONCAT('Survey Front'!S51:AC51)</f>
        <v/>
      </c>
      <c r="W18" s="4" t="str">
        <f>IF(ISERROR(VALUE('Survey Front'!M51)),"",VALUE('Survey Front'!M51))</f>
        <v/>
      </c>
      <c r="X18" s="115" t="str">
        <f>IF(ISERROR(VALUE('Survey Front'!N51)),"",VALUE('Survey Front'!N51))</f>
        <v/>
      </c>
      <c r="Y18" t="str">
        <f>'Survey Front'!D51</f>
        <v/>
      </c>
    </row>
    <row r="19" spans="5:25">
      <c r="E19" s="50"/>
      <c r="F19" s="1406"/>
      <c r="G19" s="1406"/>
      <c r="H19" s="27" t="s">
        <v>349</v>
      </c>
      <c r="I19" s="46"/>
      <c r="J19" s="46"/>
      <c r="K19" s="46"/>
      <c r="R19">
        <f t="shared" si="0"/>
        <v>0</v>
      </c>
      <c r="S19">
        <f t="shared" si="1"/>
        <v>0</v>
      </c>
      <c r="T19">
        <f t="shared" si="2"/>
        <v>0</v>
      </c>
      <c r="U19" t="s">
        <v>354</v>
      </c>
      <c r="V19" t="str">
        <f>_xlfn.CONCAT('Survey Front'!S54:AC54)</f>
        <v/>
      </c>
      <c r="W19" s="4" t="str">
        <f>IF(ISERROR(VALUE('Survey Front'!M54)),"",VALUE('Survey Front'!M54))</f>
        <v/>
      </c>
      <c r="X19" s="115" t="str">
        <f>IF(ISERROR(VALUE('Survey Front'!N54)),"",VALUE('Survey Front'!N54))</f>
        <v/>
      </c>
      <c r="Y19" t="str">
        <f>'Survey Front'!D54</f>
        <v/>
      </c>
    </row>
    <row r="20" spans="5:25">
      <c r="E20" s="4"/>
      <c r="F20" s="7"/>
      <c r="G20" s="7"/>
      <c r="I20" s="7"/>
      <c r="J20" s="7"/>
      <c r="K20" s="7"/>
      <c r="R20" s="54">
        <f>COUNTIFS(R5:R19,"&gt;=1")</f>
        <v>1</v>
      </c>
      <c r="S20" s="54">
        <f>COUNTIF(S5:S19,"&gt;=1")</f>
        <v>2</v>
      </c>
      <c r="T20" s="54">
        <f>COUNTIF(T5:T19,"&gt;=1")</f>
        <v>0</v>
      </c>
      <c r="W20" s="4" t="s">
        <v>83</v>
      </c>
      <c r="X20" s="4"/>
    </row>
    <row r="21" spans="5:25">
      <c r="E21" s="46">
        <f>COUNTIFS(X5:X19,"&gt;1800",W5:W19,"&lt;=1599",Y5:Y19,"&lt;&gt;Tracked")</f>
        <v>0</v>
      </c>
      <c r="F21" s="1406" t="s">
        <v>355</v>
      </c>
      <c r="G21" s="1406"/>
      <c r="H21" s="27" t="s">
        <v>356</v>
      </c>
      <c r="I21" s="293">
        <f>(50*E21)/1440</f>
        <v>0</v>
      </c>
      <c r="J21" s="293">
        <f>(50*E21)/1440</f>
        <v>0</v>
      </c>
      <c r="K21" s="293"/>
    </row>
    <row r="22" spans="5:25">
      <c r="E22" s="46">
        <f>COUNTIFS(X5:X19,"&gt;1800",W5:W19,"&gt;=1600",W5:W19,"&lt;=2400",Y5:Y19,"&lt;&gt;Tracked")</f>
        <v>0</v>
      </c>
      <c r="F22" s="1406"/>
      <c r="G22" s="1406"/>
      <c r="H22" s="27" t="s">
        <v>357</v>
      </c>
      <c r="I22" s="293">
        <f>(70*E22)/1440</f>
        <v>0</v>
      </c>
      <c r="J22" s="293">
        <f>(75*E22)/1440</f>
        <v>0</v>
      </c>
      <c r="K22" s="293"/>
    </row>
    <row r="23" spans="5:25">
      <c r="E23" s="4"/>
      <c r="F23" s="7"/>
      <c r="G23" s="7"/>
      <c r="I23" s="7"/>
      <c r="J23" s="7"/>
      <c r="K23" s="7"/>
    </row>
    <row r="24" spans="5:25">
      <c r="E24" s="46">
        <f>COUNTIFS(Y5:Y19,"Tracked",W5:W19,"&lt;=1499",X5:X19,"&lt;=1999")</f>
        <v>0</v>
      </c>
      <c r="F24" s="1406" t="s">
        <v>358</v>
      </c>
      <c r="G24" s="1406"/>
      <c r="H24" s="27" t="s">
        <v>359</v>
      </c>
      <c r="I24" s="293">
        <f>(120*E24)/1440</f>
        <v>0</v>
      </c>
      <c r="J24" s="293">
        <f>(120*E24)/1440</f>
        <v>0</v>
      </c>
      <c r="K24" s="293">
        <f>(150*E24)/1440</f>
        <v>0</v>
      </c>
    </row>
    <row r="25" spans="5:25" ht="15" thickBot="1">
      <c r="E25" s="46">
        <f>COUNTIFS(Y5:Y19,"Tracked",W5:W19,"&gt;=1500",X5:X19,"&lt;=1999")</f>
        <v>0</v>
      </c>
      <c r="F25" s="1406"/>
      <c r="G25" s="1406"/>
      <c r="H25" s="29" t="s">
        <v>360</v>
      </c>
      <c r="I25" s="297">
        <f>(180*E25)/1440</f>
        <v>0</v>
      </c>
      <c r="J25" s="297">
        <f>(180*E25)/1440</f>
        <v>0</v>
      </c>
      <c r="K25" s="297"/>
    </row>
    <row r="26" spans="5:25" ht="15" thickBot="1">
      <c r="H26" s="298" t="s">
        <v>79</v>
      </c>
      <c r="I26" s="299">
        <f>SUM(I6:I25)</f>
        <v>0</v>
      </c>
      <c r="J26" s="299">
        <f>SUM(J6:J25)</f>
        <v>0</v>
      </c>
      <c r="K26" s="300">
        <f>SUM(K6:K24)</f>
        <v>0</v>
      </c>
    </row>
    <row r="28" spans="5:25">
      <c r="F28" s="968" t="s">
        <v>291</v>
      </c>
      <c r="G28" s="969"/>
      <c r="H28" s="27">
        <f>SUM('Survey Front'!AI13:AI56)</f>
        <v>0</v>
      </c>
      <c r="I28" s="496">
        <f>(10*H28)/1440</f>
        <v>0</v>
      </c>
    </row>
    <row r="29" spans="5:25">
      <c r="F29" s="968" t="s">
        <v>290</v>
      </c>
      <c r="G29" s="969"/>
      <c r="H29" s="27">
        <f>COUNTIF('Survey Front'!AH12:AH56,"=Yes")</f>
        <v>0</v>
      </c>
      <c r="I29" s="496">
        <f>(30*H29)/1440</f>
        <v>0</v>
      </c>
    </row>
    <row r="30" spans="5:25">
      <c r="F30" s="968" t="s">
        <v>301</v>
      </c>
      <c r="G30" s="969"/>
      <c r="H30" s="27"/>
      <c r="I30" s="496"/>
    </row>
    <row r="31" spans="5:25">
      <c r="F31" s="968" t="s">
        <v>361</v>
      </c>
      <c r="G31" s="969"/>
      <c r="H31" s="27"/>
      <c r="I31" s="496"/>
    </row>
    <row r="32" spans="5:25">
      <c r="F32" s="968" t="s">
        <v>362</v>
      </c>
      <c r="G32" s="969"/>
      <c r="H32" s="27"/>
      <c r="I32" s="496"/>
    </row>
    <row r="39" spans="5:23">
      <c r="E39" t="s">
        <v>363</v>
      </c>
    </row>
    <row r="40" spans="5:23">
      <c r="E40" s="1491" t="str">
        <f>IF('Survey Front'!E57="","",'Survey Front'!E57)</f>
        <v/>
      </c>
      <c r="F40" s="1491"/>
      <c r="G40" s="1491"/>
      <c r="H40" s="1491"/>
      <c r="I40" s="1491"/>
      <c r="J40" s="1491"/>
      <c r="K40" s="1491"/>
      <c r="L40" s="1491"/>
      <c r="M40" s="1491"/>
      <c r="N40" s="1491"/>
      <c r="O40" s="1491"/>
      <c r="P40" s="1491"/>
      <c r="Q40" s="1491"/>
      <c r="R40" s="1491"/>
      <c r="S40" s="1491"/>
      <c r="T40" s="1491"/>
      <c r="U40" s="1491"/>
      <c r="V40" s="1491"/>
      <c r="W40" s="1491"/>
    </row>
    <row r="41" spans="5:23">
      <c r="E41" s="1491"/>
      <c r="F41" s="1491"/>
      <c r="G41" s="1491"/>
      <c r="H41" s="1491"/>
      <c r="I41" s="1491"/>
      <c r="J41" s="1491"/>
      <c r="K41" s="1491"/>
      <c r="L41" s="1491"/>
      <c r="M41" s="1491"/>
      <c r="N41" s="1491"/>
      <c r="O41" s="1491"/>
      <c r="P41" s="1491"/>
      <c r="Q41" s="1491"/>
      <c r="R41" s="1491"/>
      <c r="S41" s="1491"/>
      <c r="T41" s="1491"/>
      <c r="U41" s="1491"/>
      <c r="V41" s="1491"/>
      <c r="W41" s="1491"/>
    </row>
    <row r="42" spans="5:23">
      <c r="E42" s="1491"/>
      <c r="F42" s="1491"/>
      <c r="G42" s="1491"/>
      <c r="H42" s="1491"/>
      <c r="I42" s="1491"/>
      <c r="J42" s="1491"/>
      <c r="K42" s="1491"/>
      <c r="L42" s="1491"/>
      <c r="M42" s="1491"/>
      <c r="N42" s="1491"/>
      <c r="O42" s="1491"/>
      <c r="P42" s="1491"/>
      <c r="Q42" s="1491"/>
      <c r="R42" s="1491"/>
      <c r="S42" s="1491"/>
      <c r="T42" s="1491"/>
      <c r="U42" s="1491"/>
      <c r="V42" s="1491"/>
      <c r="W42" s="1491"/>
    </row>
    <row r="43" spans="5:23">
      <c r="E43" s="1491"/>
      <c r="F43" s="1491"/>
      <c r="G43" s="1491"/>
      <c r="H43" s="1491"/>
      <c r="I43" s="1491"/>
      <c r="J43" s="1491"/>
      <c r="K43" s="1491"/>
      <c r="L43" s="1491"/>
      <c r="M43" s="1491"/>
      <c r="N43" s="1491"/>
      <c r="O43" s="1491"/>
      <c r="P43" s="1491"/>
      <c r="Q43" s="1491"/>
      <c r="R43" s="1491"/>
      <c r="S43" s="1491"/>
      <c r="T43" s="1491"/>
      <c r="U43" s="1491"/>
      <c r="V43" s="1491"/>
      <c r="W43" s="1491"/>
    </row>
    <row r="44" spans="5:23">
      <c r="E44" s="1491"/>
      <c r="F44" s="1491"/>
      <c r="G44" s="1491"/>
      <c r="H44" s="1491"/>
      <c r="I44" s="1491"/>
      <c r="J44" s="1491"/>
      <c r="K44" s="1491"/>
      <c r="L44" s="1491"/>
      <c r="M44" s="1491"/>
      <c r="N44" s="1491"/>
      <c r="O44" s="1491"/>
      <c r="P44" s="1491"/>
      <c r="Q44" s="1491"/>
      <c r="R44" s="1491"/>
      <c r="S44" s="1491"/>
      <c r="T44" s="1491"/>
      <c r="U44" s="1491"/>
      <c r="V44" s="1491"/>
      <c r="W44" s="1491"/>
    </row>
    <row r="45" spans="5:23">
      <c r="E45" s="1491"/>
      <c r="F45" s="1491"/>
      <c r="G45" s="1491"/>
      <c r="H45" s="1491"/>
      <c r="I45" s="1491"/>
      <c r="J45" s="1491"/>
      <c r="K45" s="1491"/>
      <c r="L45" s="1491"/>
      <c r="M45" s="1491"/>
      <c r="N45" s="1491"/>
      <c r="O45" s="1491"/>
      <c r="P45" s="1491"/>
      <c r="Q45" s="1491"/>
      <c r="R45" s="1491"/>
      <c r="S45" s="1491"/>
      <c r="T45" s="1491"/>
      <c r="U45" s="1491"/>
      <c r="V45" s="1491"/>
      <c r="W45" s="1491"/>
    </row>
  </sheetData>
  <mergeCells count="17">
    <mergeCell ref="F29:G29"/>
    <mergeCell ref="F30:G30"/>
    <mergeCell ref="F31:G31"/>
    <mergeCell ref="F32:G32"/>
    <mergeCell ref="E40:W45"/>
    <mergeCell ref="M5:P5"/>
    <mergeCell ref="E4:E5"/>
    <mergeCell ref="F4:H5"/>
    <mergeCell ref="I4:K4"/>
    <mergeCell ref="F6:G8"/>
    <mergeCell ref="F28:G28"/>
    <mergeCell ref="F24:G25"/>
    <mergeCell ref="J10:J11"/>
    <mergeCell ref="F18:G19"/>
    <mergeCell ref="F21:G22"/>
    <mergeCell ref="F10:G12"/>
    <mergeCell ref="F14:G16"/>
  </mergeCells>
  <phoneticPr fontId="17" type="noConversion"/>
  <pageMargins left="0.7" right="0.7" top="0.75" bottom="0.75" header="0.3" footer="0.3"/>
  <pageSetup paperSize="9" orientation="portrait" horizontalDpi="300" verticalDpi="30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6FB1E8-CF6C-43C6-83DC-C9FB8A252274}">
  <sheetPr codeName="Sheet22"/>
  <dimension ref="A1:AO41"/>
  <sheetViews>
    <sheetView showGridLines="0" zoomScaleNormal="100" workbookViewId="0">
      <selection activeCell="D20" sqref="D20"/>
    </sheetView>
  </sheetViews>
  <sheetFormatPr defaultColWidth="8.85546875" defaultRowHeight="14.45"/>
  <cols>
    <col min="1" max="1" width="3" customWidth="1"/>
    <col min="3" max="3" width="7.28515625" customWidth="1"/>
    <col min="4" max="4" width="6.28515625" customWidth="1"/>
    <col min="5" max="5" width="2.28515625" customWidth="1"/>
    <col min="6" max="6" width="13.7109375" customWidth="1"/>
    <col min="7" max="7" width="3" customWidth="1"/>
    <col min="8" max="8" width="5.7109375" customWidth="1"/>
    <col min="9" max="9" width="2.28515625" customWidth="1"/>
    <col min="10" max="11" width="5.5703125" customWidth="1"/>
    <col min="12" max="12" width="6" customWidth="1"/>
    <col min="13" max="13" width="3.28515625" customWidth="1"/>
    <col min="14" max="14" width="3.7109375" customWidth="1"/>
    <col min="15" max="15" width="2.28515625" customWidth="1"/>
    <col min="16" max="16" width="9.28515625" customWidth="1"/>
    <col min="17" max="17" width="4.28515625" customWidth="1"/>
    <col min="18" max="18" width="6.7109375" customWidth="1"/>
    <col min="19" max="19" width="2.7109375" customWidth="1"/>
    <col min="20" max="20" width="1.7109375" customWidth="1"/>
    <col min="21" max="21" width="0.7109375" customWidth="1"/>
    <col min="22" max="22" width="1.85546875" customWidth="1"/>
    <col min="23" max="23" width="7.42578125" customWidth="1"/>
    <col min="24" max="24" width="1.42578125" customWidth="1"/>
    <col min="25" max="25" width="4.85546875" customWidth="1"/>
    <col min="26" max="26" width="0.7109375" customWidth="1"/>
    <col min="27" max="27" width="9.28515625" customWidth="1"/>
    <col min="28" max="28" width="2.7109375" customWidth="1"/>
  </cols>
  <sheetData>
    <row r="1" spans="1:41">
      <c r="A1" s="14"/>
      <c r="B1" s="70" t="s">
        <v>364</v>
      </c>
      <c r="C1" s="14"/>
      <c r="D1" s="14"/>
      <c r="E1" s="14"/>
      <c r="F1" s="14"/>
      <c r="G1" s="14"/>
      <c r="H1" s="14"/>
      <c r="I1" s="14"/>
      <c r="J1" s="14"/>
      <c r="K1" s="14"/>
      <c r="L1" s="14"/>
      <c r="M1" s="14"/>
      <c r="N1" s="14"/>
      <c r="O1" s="14"/>
      <c r="P1" s="14"/>
      <c r="Q1" s="14"/>
      <c r="R1" s="14"/>
      <c r="S1" s="14"/>
      <c r="T1" s="14"/>
      <c r="U1" s="14"/>
      <c r="V1" s="14"/>
      <c r="W1" s="14"/>
      <c r="X1" s="14"/>
      <c r="Y1" s="14"/>
      <c r="Z1" s="14"/>
      <c r="AA1" s="14"/>
      <c r="AB1" s="14"/>
    </row>
    <row r="2" spans="1:41">
      <c r="A2" s="74"/>
      <c r="B2" s="74"/>
      <c r="C2" s="74"/>
      <c r="D2" s="74"/>
      <c r="E2" s="74"/>
      <c r="F2" s="74"/>
      <c r="G2" s="74"/>
      <c r="H2" s="74"/>
      <c r="I2" s="74"/>
      <c r="J2" s="74"/>
      <c r="K2" s="74"/>
      <c r="L2" s="74"/>
      <c r="M2" s="74"/>
      <c r="N2" s="74"/>
      <c r="O2" s="74"/>
      <c r="P2" s="74"/>
      <c r="Q2" s="74"/>
      <c r="R2" s="74"/>
      <c r="S2" s="74"/>
      <c r="T2" s="74"/>
      <c r="U2" s="74"/>
      <c r="V2" s="74"/>
      <c r="W2" s="74"/>
      <c r="X2" s="74"/>
      <c r="Y2" s="74"/>
      <c r="Z2" s="74"/>
      <c r="AA2" s="74"/>
      <c r="AB2" s="74"/>
    </row>
    <row r="3" spans="1:41">
      <c r="A3" s="74"/>
      <c r="B3" t="s">
        <v>214</v>
      </c>
      <c r="D3" s="1515" t="str">
        <f>IF(Pricing!B59="","Enter Name",Pricing!B59)</f>
        <v>Enter Name</v>
      </c>
      <c r="E3" s="1515"/>
      <c r="F3" s="1515"/>
      <c r="G3" s="1515"/>
      <c r="H3" s="1515"/>
      <c r="I3" s="75"/>
      <c r="J3" s="76" t="s">
        <v>365</v>
      </c>
      <c r="K3" s="76"/>
      <c r="L3" s="1515">
        <f>Pricing!E59</f>
        <v>0</v>
      </c>
      <c r="M3" s="1515"/>
      <c r="N3" s="1515"/>
      <c r="O3" s="75"/>
      <c r="P3" s="76" t="s">
        <v>251</v>
      </c>
      <c r="Q3" s="1515">
        <f>IF(ISERROR('Survey Front'!W8),"",'Survey Front'!W8)</f>
        <v>0</v>
      </c>
      <c r="R3" s="1515"/>
      <c r="S3" s="1515"/>
      <c r="T3" s="1515"/>
      <c r="U3" s="1515"/>
      <c r="V3" s="1515"/>
      <c r="W3" s="1515"/>
      <c r="X3" s="1515"/>
      <c r="Y3" s="1515"/>
      <c r="Z3" s="1515"/>
      <c r="AA3" s="1515"/>
      <c r="AB3" s="77"/>
    </row>
    <row r="4" spans="1:41">
      <c r="A4" s="74"/>
      <c r="B4" s="74"/>
      <c r="C4" s="74"/>
      <c r="D4" s="74"/>
      <c r="E4" s="74"/>
      <c r="F4" s="74"/>
      <c r="G4" s="74"/>
      <c r="H4" s="74"/>
      <c r="I4" s="74"/>
      <c r="J4" s="74"/>
      <c r="K4" s="74"/>
      <c r="L4" s="74"/>
      <c r="M4" s="74"/>
      <c r="N4" s="74"/>
      <c r="O4" s="74"/>
      <c r="P4" s="74"/>
      <c r="Q4" s="74"/>
      <c r="R4" s="74"/>
      <c r="S4" s="74"/>
      <c r="T4" s="74"/>
      <c r="U4" s="74"/>
      <c r="V4" s="74"/>
      <c r="W4" s="74"/>
      <c r="X4" s="74"/>
      <c r="Y4" s="74"/>
      <c r="Z4" s="74"/>
      <c r="AA4" s="74"/>
      <c r="AB4" s="74"/>
    </row>
    <row r="5" spans="1:41">
      <c r="A5" s="74"/>
      <c r="B5" s="1516" t="s">
        <v>366</v>
      </c>
      <c r="C5" s="1516"/>
      <c r="D5" s="1516"/>
      <c r="E5" s="60"/>
      <c r="F5" s="1517" t="s">
        <v>367</v>
      </c>
      <c r="G5" s="1517"/>
      <c r="H5" s="1517"/>
      <c r="I5" s="60"/>
      <c r="J5" s="1517" t="s">
        <v>368</v>
      </c>
      <c r="K5" s="1517"/>
      <c r="L5" s="1517"/>
      <c r="M5" s="1517"/>
      <c r="N5" s="1517"/>
      <c r="O5" s="74"/>
      <c r="P5" s="1517" t="s">
        <v>369</v>
      </c>
      <c r="Q5" s="1517"/>
      <c r="R5" s="1517"/>
      <c r="S5" s="1517"/>
      <c r="T5" s="74"/>
      <c r="U5" s="74"/>
      <c r="V5" s="1517" t="s">
        <v>370</v>
      </c>
      <c r="W5" s="1517"/>
      <c r="X5" s="1517"/>
      <c r="Y5" s="1517"/>
      <c r="Z5" s="1517"/>
      <c r="AA5" s="1517"/>
      <c r="AB5" s="60"/>
    </row>
    <row r="6" spans="1:41" ht="21">
      <c r="A6" s="74"/>
      <c r="B6" s="1514" t="str">
        <f>'Survey Front'!D12</f>
        <v>Tracked</v>
      </c>
      <c r="C6" s="1514"/>
      <c r="D6" s="1514"/>
      <c r="E6" s="74"/>
      <c r="F6" s="1514" t="str">
        <f>'Survey Front'!E12</f>
        <v>Barbados</v>
      </c>
      <c r="G6" s="1514"/>
      <c r="H6" s="1514"/>
      <c r="I6" s="79"/>
      <c r="J6" s="1514" t="str">
        <f>'Survey Front'!H12</f>
        <v>76mm</v>
      </c>
      <c r="K6" s="1514"/>
      <c r="L6" s="1514"/>
      <c r="M6" s="1514"/>
      <c r="N6" s="1514"/>
      <c r="O6" s="74"/>
      <c r="P6" s="1514" t="str">
        <f>'Survey Front'!L12</f>
        <v>Silent</v>
      </c>
      <c r="Q6" s="1514"/>
      <c r="R6" s="1514"/>
      <c r="S6" s="1514"/>
      <c r="T6" s="74"/>
      <c r="U6" s="74"/>
      <c r="V6" s="1514" t="str">
        <f>'Survey Front'!F12</f>
        <v>Pure White</v>
      </c>
      <c r="W6" s="1514"/>
      <c r="X6" s="1514"/>
      <c r="Y6" s="1514"/>
      <c r="Z6" s="1514"/>
      <c r="AA6" s="1514"/>
      <c r="AB6" s="74"/>
      <c r="AE6" s="14"/>
      <c r="AF6" s="14"/>
      <c r="AG6" s="14"/>
      <c r="AH6" s="14"/>
      <c r="AI6" s="14"/>
      <c r="AJ6" s="14"/>
      <c r="AK6" s="14"/>
      <c r="AL6" s="14"/>
      <c r="AM6" s="14"/>
      <c r="AN6" s="14"/>
      <c r="AO6" s="14"/>
    </row>
    <row r="7" spans="1:41" ht="15" thickBot="1">
      <c r="A7" s="74"/>
      <c r="B7" s="1009"/>
      <c r="C7" s="1009"/>
      <c r="D7" s="1009"/>
      <c r="E7" s="74"/>
      <c r="F7" s="1009"/>
      <c r="G7" s="1009"/>
      <c r="H7" s="1009"/>
      <c r="I7" s="74"/>
      <c r="J7" s="1009"/>
      <c r="K7" s="1009"/>
      <c r="L7" s="1009"/>
      <c r="M7" s="1009"/>
      <c r="N7" s="1009"/>
      <c r="O7" s="74"/>
      <c r="P7" s="1009"/>
      <c r="Q7" s="1009"/>
      <c r="R7" s="1009"/>
      <c r="S7" s="1009"/>
      <c r="T7" s="74"/>
      <c r="U7" s="74"/>
      <c r="V7" s="1009"/>
      <c r="W7" s="1009"/>
      <c r="X7" s="1009"/>
      <c r="Y7" s="1009"/>
      <c r="Z7" s="1009"/>
      <c r="AA7" s="1009"/>
      <c r="AB7" s="74"/>
      <c r="AE7" s="14"/>
      <c r="AF7" s="14"/>
      <c r="AG7" s="14"/>
      <c r="AH7" s="14"/>
      <c r="AI7" s="14"/>
      <c r="AJ7" s="14"/>
      <c r="AK7" s="14"/>
      <c r="AL7" s="14"/>
      <c r="AM7" s="14"/>
      <c r="AN7" s="14"/>
      <c r="AO7" s="14"/>
    </row>
    <row r="8" spans="1:41">
      <c r="A8" s="74"/>
      <c r="B8" s="1511" t="s">
        <v>32</v>
      </c>
      <c r="C8" s="1511"/>
      <c r="D8" s="1511"/>
      <c r="E8" s="74"/>
      <c r="F8" s="1511" t="s">
        <v>32</v>
      </c>
      <c r="G8" s="1511"/>
      <c r="H8" s="1511"/>
      <c r="I8" s="74"/>
      <c r="J8" s="1511" t="s">
        <v>32</v>
      </c>
      <c r="K8" s="1511"/>
      <c r="L8" s="1511"/>
      <c r="M8" s="1511"/>
      <c r="N8" s="1511"/>
      <c r="O8" s="74"/>
      <c r="P8" s="1511" t="s">
        <v>32</v>
      </c>
      <c r="Q8" s="1511"/>
      <c r="R8" s="1511"/>
      <c r="S8" s="1511"/>
      <c r="T8" s="74"/>
      <c r="U8" s="74"/>
      <c r="V8" s="1511" t="s">
        <v>32</v>
      </c>
      <c r="W8" s="1511"/>
      <c r="X8" s="1511"/>
      <c r="Y8" s="1511"/>
      <c r="Z8" s="1511"/>
      <c r="AA8" s="1511"/>
      <c r="AB8" s="74"/>
      <c r="AE8" s="14"/>
      <c r="AF8" s="14"/>
      <c r="AG8" s="14"/>
      <c r="AH8" s="14"/>
      <c r="AI8" s="14"/>
      <c r="AJ8" s="14"/>
      <c r="AK8" s="14"/>
      <c r="AL8" s="14"/>
      <c r="AM8" s="14"/>
      <c r="AN8" s="14"/>
      <c r="AO8" s="14"/>
    </row>
    <row r="9" spans="1:41">
      <c r="A9" s="74"/>
      <c r="B9" s="1512"/>
      <c r="C9" s="1512"/>
      <c r="D9" s="1512"/>
      <c r="E9" s="74"/>
      <c r="F9" s="1512"/>
      <c r="G9" s="1512"/>
      <c r="H9" s="1512"/>
      <c r="I9" s="74"/>
      <c r="J9" s="1512"/>
      <c r="K9" s="1512"/>
      <c r="L9" s="1512"/>
      <c r="M9" s="1512"/>
      <c r="N9" s="1512"/>
      <c r="O9" s="74"/>
      <c r="P9" s="1512"/>
      <c r="Q9" s="1512"/>
      <c r="R9" s="1512"/>
      <c r="S9" s="1512"/>
      <c r="T9" s="74"/>
      <c r="U9" s="74"/>
      <c r="V9" s="1513"/>
      <c r="W9" s="1512"/>
      <c r="X9" s="1512"/>
      <c r="Y9" s="1512"/>
      <c r="Z9" s="1512"/>
      <c r="AA9" s="1512"/>
      <c r="AB9" s="74"/>
      <c r="AE9" s="14"/>
      <c r="AF9" s="14"/>
      <c r="AG9" s="14"/>
      <c r="AH9" s="1136"/>
      <c r="AI9" s="1136"/>
      <c r="AJ9" s="1136"/>
      <c r="AK9" s="1136"/>
      <c r="AL9" s="1136"/>
      <c r="AM9" s="1136"/>
      <c r="AN9" s="1136"/>
      <c r="AO9" s="1136"/>
    </row>
    <row r="10" spans="1:41">
      <c r="A10" s="74"/>
      <c r="B10" s="1512"/>
      <c r="C10" s="1512"/>
      <c r="D10" s="1512"/>
      <c r="E10" s="74"/>
      <c r="F10" s="1512"/>
      <c r="G10" s="1512"/>
      <c r="H10" s="1512"/>
      <c r="I10" s="74"/>
      <c r="J10" s="1512"/>
      <c r="K10" s="1512"/>
      <c r="L10" s="1512"/>
      <c r="M10" s="1512"/>
      <c r="N10" s="1512"/>
      <c r="O10" s="74"/>
      <c r="P10" s="1512"/>
      <c r="Q10" s="1512"/>
      <c r="R10" s="1512"/>
      <c r="S10" s="1512"/>
      <c r="T10" s="74"/>
      <c r="U10" s="74"/>
      <c r="V10" s="1512"/>
      <c r="W10" s="1512"/>
      <c r="X10" s="1512"/>
      <c r="Y10" s="1512"/>
      <c r="Z10" s="1512"/>
      <c r="AA10" s="1512"/>
      <c r="AB10" s="74"/>
    </row>
    <row r="11" spans="1:41">
      <c r="A11" s="74"/>
      <c r="B11" s="1512"/>
      <c r="C11" s="1512"/>
      <c r="D11" s="1512"/>
      <c r="E11" s="74"/>
      <c r="F11" s="1512"/>
      <c r="G11" s="1512"/>
      <c r="H11" s="1512"/>
      <c r="I11" s="74"/>
      <c r="J11" s="1512"/>
      <c r="K11" s="1512"/>
      <c r="L11" s="1512"/>
      <c r="M11" s="1512"/>
      <c r="N11" s="1512"/>
      <c r="O11" s="74"/>
      <c r="P11" s="1512"/>
      <c r="Q11" s="1512"/>
      <c r="R11" s="1512"/>
      <c r="S11" s="1512"/>
      <c r="T11" s="74"/>
      <c r="U11" s="74"/>
      <c r="V11" s="1512"/>
      <c r="W11" s="1512"/>
      <c r="X11" s="1512"/>
      <c r="Y11" s="1512"/>
      <c r="Z11" s="1512"/>
      <c r="AA11" s="1512"/>
      <c r="AB11" s="74"/>
    </row>
    <row r="12" spans="1:41">
      <c r="A12" s="74"/>
      <c r="B12" s="1512"/>
      <c r="C12" s="1512"/>
      <c r="D12" s="1512"/>
      <c r="E12" s="74"/>
      <c r="F12" s="1512"/>
      <c r="G12" s="1512"/>
      <c r="H12" s="1512"/>
      <c r="I12" s="74"/>
      <c r="J12" s="1512"/>
      <c r="K12" s="1512"/>
      <c r="L12" s="1512"/>
      <c r="M12" s="1512"/>
      <c r="N12" s="1512"/>
      <c r="O12" s="74"/>
      <c r="P12" s="1512"/>
      <c r="Q12" s="1512"/>
      <c r="R12" s="1512"/>
      <c r="S12" s="1512"/>
      <c r="T12" s="74"/>
      <c r="U12" s="74"/>
      <c r="V12" s="1512"/>
      <c r="W12" s="1512"/>
      <c r="X12" s="1512"/>
      <c r="Y12" s="1512"/>
      <c r="Z12" s="1512"/>
      <c r="AA12" s="1512"/>
      <c r="AB12" s="74"/>
    </row>
    <row r="13" spans="1:41">
      <c r="A13" s="74"/>
      <c r="B13" s="1512"/>
      <c r="C13" s="1512"/>
      <c r="D13" s="1512"/>
      <c r="E13" s="74"/>
      <c r="F13" s="1512"/>
      <c r="G13" s="1512"/>
      <c r="H13" s="1512"/>
      <c r="I13" s="74"/>
      <c r="J13" s="1512"/>
      <c r="K13" s="1512"/>
      <c r="L13" s="1512"/>
      <c r="M13" s="1512"/>
      <c r="N13" s="1512"/>
      <c r="O13" s="74"/>
      <c r="P13" s="1512"/>
      <c r="Q13" s="1512"/>
      <c r="R13" s="1512"/>
      <c r="S13" s="1512"/>
      <c r="T13" s="74"/>
      <c r="U13" s="74"/>
      <c r="V13" s="1512"/>
      <c r="W13" s="1512"/>
      <c r="X13" s="1512"/>
      <c r="Y13" s="1512"/>
      <c r="Z13" s="1512"/>
      <c r="AA13" s="1512"/>
      <c r="AB13" s="74"/>
    </row>
    <row r="14" spans="1:41" ht="3.6" customHeight="1">
      <c r="A14" s="74"/>
      <c r="B14" s="74"/>
      <c r="C14" s="74"/>
      <c r="D14" s="74"/>
      <c r="E14" s="74"/>
      <c r="F14" s="74"/>
      <c r="G14" s="74"/>
      <c r="H14" s="74"/>
      <c r="I14" s="74"/>
      <c r="J14" s="74"/>
      <c r="K14" s="74"/>
      <c r="L14" s="74"/>
      <c r="M14" s="74"/>
      <c r="N14" s="74"/>
      <c r="O14" s="74"/>
      <c r="P14" s="74"/>
      <c r="Q14" s="74"/>
      <c r="R14" s="74"/>
      <c r="S14" s="74"/>
      <c r="T14" s="74"/>
      <c r="U14" s="74"/>
      <c r="V14" s="74"/>
      <c r="W14" s="74"/>
      <c r="X14" s="74"/>
      <c r="Y14" s="74"/>
      <c r="Z14" s="74"/>
      <c r="AA14" s="74"/>
      <c r="AB14" s="74"/>
    </row>
    <row r="15" spans="1:41" ht="6" customHeight="1">
      <c r="A15" s="74"/>
      <c r="B15" s="14"/>
      <c r="C15" s="14"/>
      <c r="D15" s="14"/>
      <c r="E15" s="14"/>
      <c r="F15" s="14"/>
      <c r="G15" s="14"/>
      <c r="H15" s="14"/>
      <c r="I15" s="14"/>
      <c r="J15" s="14"/>
      <c r="K15" s="14"/>
      <c r="L15" s="14"/>
      <c r="M15" s="14"/>
      <c r="N15" s="14"/>
      <c r="O15" s="14"/>
      <c r="P15" s="14"/>
      <c r="Q15" s="14"/>
      <c r="R15" s="14"/>
      <c r="S15" s="14"/>
      <c r="T15" s="14"/>
      <c r="U15" s="14"/>
      <c r="V15" s="14"/>
      <c r="W15" s="14"/>
      <c r="X15" s="14"/>
      <c r="Y15" s="14"/>
      <c r="Z15" s="14"/>
      <c r="AA15" s="14"/>
      <c r="AB15" s="74"/>
    </row>
    <row r="16" spans="1:41" ht="6" customHeight="1">
      <c r="A16" s="74"/>
      <c r="B16" s="74"/>
      <c r="C16" s="74"/>
      <c r="D16" s="74"/>
      <c r="E16" s="74"/>
      <c r="F16" s="74"/>
      <c r="G16" s="74"/>
      <c r="H16" s="74"/>
      <c r="I16" s="74"/>
      <c r="J16" s="74"/>
      <c r="K16" s="74"/>
      <c r="L16" s="74"/>
      <c r="M16" s="74"/>
      <c r="N16" s="74"/>
      <c r="O16" s="14"/>
      <c r="P16" s="74"/>
      <c r="Q16" s="74"/>
      <c r="R16" s="74"/>
      <c r="S16" s="74"/>
      <c r="T16" s="74"/>
      <c r="U16" s="74"/>
      <c r="V16" s="74"/>
      <c r="W16" s="74"/>
      <c r="X16" s="74"/>
      <c r="Y16" s="74"/>
      <c r="Z16" s="74"/>
      <c r="AA16" s="74"/>
      <c r="AB16" s="74"/>
    </row>
    <row r="17" spans="1:28" ht="21" customHeight="1">
      <c r="A17" s="74"/>
      <c r="B17" s="38" t="s">
        <v>371</v>
      </c>
      <c r="C17" s="14"/>
      <c r="D17" s="1387" t="s">
        <v>372</v>
      </c>
      <c r="E17" s="1387"/>
      <c r="F17" s="1387"/>
      <c r="G17" s="1387"/>
      <c r="H17" s="1387"/>
      <c r="I17" s="1387"/>
      <c r="J17" s="1387"/>
      <c r="K17" s="1387"/>
      <c r="L17" s="1387"/>
      <c r="M17" s="1387"/>
      <c r="N17" s="74"/>
      <c r="O17" s="14"/>
      <c r="P17" s="73"/>
      <c r="Q17" s="74"/>
      <c r="R17" s="74"/>
      <c r="S17" s="74"/>
      <c r="T17" s="74"/>
      <c r="U17" s="74"/>
      <c r="V17" s="74"/>
      <c r="W17" s="74"/>
      <c r="X17" s="74"/>
      <c r="Y17" s="74"/>
      <c r="Z17" s="74"/>
      <c r="AA17" s="74"/>
      <c r="AB17" s="74"/>
    </row>
    <row r="18" spans="1:28" ht="15" thickBot="1">
      <c r="A18" s="74"/>
      <c r="B18" s="14"/>
      <c r="C18" s="14"/>
      <c r="D18" s="1387"/>
      <c r="E18" s="1387"/>
      <c r="F18" s="1387"/>
      <c r="G18" s="1387"/>
      <c r="H18" s="1387"/>
      <c r="I18" s="1387"/>
      <c r="J18" s="1387"/>
      <c r="K18" s="1387"/>
      <c r="L18" s="1387"/>
      <c r="M18" s="1387"/>
      <c r="N18" s="74"/>
      <c r="O18" s="14"/>
      <c r="P18" s="74" t="s">
        <v>373</v>
      </c>
      <c r="Q18" s="74"/>
      <c r="R18" s="1510"/>
      <c r="S18" s="1510"/>
      <c r="T18" s="1510"/>
      <c r="U18" s="74"/>
      <c r="V18" s="74"/>
      <c r="W18" s="74" t="s">
        <v>374</v>
      </c>
      <c r="X18" s="74"/>
      <c r="Y18" s="74"/>
      <c r="Z18" s="74"/>
      <c r="AA18" s="488"/>
      <c r="AB18" s="74"/>
    </row>
    <row r="19" spans="1:28">
      <c r="A19" s="74"/>
      <c r="B19" s="14"/>
      <c r="C19" s="14"/>
      <c r="D19" s="1387"/>
      <c r="E19" s="1387"/>
      <c r="F19" s="1387"/>
      <c r="G19" s="1387"/>
      <c r="H19" s="1387"/>
      <c r="I19" s="1387"/>
      <c r="J19" s="1387"/>
      <c r="K19" s="1387"/>
      <c r="L19" s="1387"/>
      <c r="M19" s="1387"/>
      <c r="N19" s="74"/>
      <c r="O19" s="14"/>
      <c r="P19" s="74" t="s">
        <v>375</v>
      </c>
      <c r="Q19" s="74"/>
      <c r="R19" s="1136" t="s">
        <v>77</v>
      </c>
      <c r="S19" s="1136"/>
      <c r="T19" s="1136"/>
      <c r="U19" s="74"/>
      <c r="V19" s="74"/>
      <c r="W19" s="74" t="s">
        <v>376</v>
      </c>
      <c r="X19" s="74"/>
      <c r="Y19" s="74"/>
      <c r="Z19" s="74"/>
      <c r="AA19" s="16" t="s">
        <v>33</v>
      </c>
      <c r="AB19" s="74"/>
    </row>
    <row r="20" spans="1:28" ht="1.9" customHeight="1">
      <c r="A20" s="74"/>
      <c r="B20" s="74"/>
      <c r="C20" s="74"/>
      <c r="D20" s="74"/>
      <c r="E20" s="74"/>
      <c r="F20" s="74"/>
      <c r="G20" s="74"/>
      <c r="H20" s="74"/>
      <c r="I20" s="74"/>
      <c r="J20" s="74"/>
      <c r="K20" s="74"/>
      <c r="L20" s="74"/>
      <c r="M20" s="74"/>
      <c r="N20" s="74"/>
      <c r="O20" s="14"/>
      <c r="P20" s="74"/>
      <c r="Q20" s="74"/>
      <c r="R20" s="74"/>
      <c r="S20" s="74"/>
      <c r="T20" s="74"/>
      <c r="U20" s="74"/>
      <c r="V20" s="74"/>
      <c r="W20" s="74"/>
      <c r="X20" s="74"/>
      <c r="Y20" s="74"/>
      <c r="Z20" s="74"/>
      <c r="AA20" s="60"/>
      <c r="AB20" s="74"/>
    </row>
    <row r="21" spans="1:28">
      <c r="A21" s="74"/>
      <c r="B21" s="74"/>
      <c r="C21" s="74"/>
      <c r="D21" s="74"/>
      <c r="E21" s="74"/>
      <c r="F21" s="74"/>
      <c r="G21" s="74"/>
      <c r="H21" s="74"/>
      <c r="I21" s="74"/>
      <c r="J21" s="74"/>
      <c r="K21" s="74"/>
      <c r="L21" s="74"/>
      <c r="M21" s="74"/>
      <c r="N21" s="74"/>
      <c r="O21" s="14"/>
      <c r="P21" s="74" t="s">
        <v>377</v>
      </c>
      <c r="Q21" s="74"/>
      <c r="R21" s="1136" t="s">
        <v>33</v>
      </c>
      <c r="S21" s="1136"/>
      <c r="T21" s="1136"/>
      <c r="U21" s="74"/>
      <c r="V21" s="74"/>
      <c r="W21" s="74" t="s">
        <v>378</v>
      </c>
      <c r="X21" s="74"/>
      <c r="Y21" s="74"/>
      <c r="Z21" s="74"/>
      <c r="AA21" s="16" t="s">
        <v>33</v>
      </c>
      <c r="AB21" s="74"/>
    </row>
    <row r="22" spans="1:28" ht="1.9" customHeight="1">
      <c r="A22" s="74"/>
      <c r="B22" s="74"/>
      <c r="C22" s="74"/>
      <c r="D22" s="74"/>
      <c r="E22" s="74"/>
      <c r="F22" s="74"/>
      <c r="G22" s="74"/>
      <c r="H22" s="74"/>
      <c r="I22" s="74"/>
      <c r="J22" s="74"/>
      <c r="K22" s="74"/>
      <c r="L22" s="74"/>
      <c r="M22" s="74"/>
      <c r="N22" s="74"/>
      <c r="O22" s="14"/>
      <c r="P22" s="74"/>
      <c r="Q22" s="74"/>
      <c r="R22" s="74"/>
      <c r="S22" s="74"/>
      <c r="T22" s="74"/>
      <c r="U22" s="74"/>
      <c r="V22" s="74"/>
      <c r="W22" s="74"/>
      <c r="X22" s="74"/>
      <c r="Y22" s="74"/>
      <c r="Z22" s="74"/>
      <c r="AA22" s="60"/>
      <c r="AB22" s="74"/>
    </row>
    <row r="23" spans="1:28">
      <c r="A23" s="74"/>
      <c r="B23" s="81" t="s">
        <v>379</v>
      </c>
      <c r="C23" s="74"/>
      <c r="D23" s="74"/>
      <c r="E23" s="74"/>
      <c r="F23" s="74"/>
      <c r="G23" s="74"/>
      <c r="H23" s="16">
        <v>12</v>
      </c>
      <c r="I23" s="82" t="s">
        <v>380</v>
      </c>
      <c r="J23" s="16">
        <v>14</v>
      </c>
      <c r="K23" s="73" t="s">
        <v>381</v>
      </c>
      <c r="L23" s="74"/>
      <c r="M23" s="74"/>
      <c r="N23" s="74"/>
      <c r="O23" s="14"/>
      <c r="P23" s="74" t="s">
        <v>382</v>
      </c>
      <c r="Q23" s="74"/>
      <c r="R23" s="1136" t="s">
        <v>33</v>
      </c>
      <c r="S23" s="1136"/>
      <c r="T23" s="1136"/>
      <c r="U23" s="74"/>
      <c r="V23" s="74"/>
      <c r="W23" s="74" t="s">
        <v>383</v>
      </c>
      <c r="X23" s="74"/>
      <c r="Y23" s="74"/>
      <c r="Z23" s="74"/>
      <c r="AA23" s="16" t="s">
        <v>33</v>
      </c>
      <c r="AB23" s="74"/>
    </row>
    <row r="24" spans="1:28" ht="1.9" customHeight="1">
      <c r="A24" s="74"/>
      <c r="B24" s="1509" t="s">
        <v>384</v>
      </c>
      <c r="C24" s="1509"/>
      <c r="D24" s="1509"/>
      <c r="E24" s="1509"/>
      <c r="F24" s="1509"/>
      <c r="G24" s="1509"/>
      <c r="H24" s="1509"/>
      <c r="I24" s="1509"/>
      <c r="J24" s="1509"/>
      <c r="K24" s="1509"/>
      <c r="L24" s="1509"/>
      <c r="M24" s="1509"/>
      <c r="N24" s="1509"/>
      <c r="O24" s="14"/>
      <c r="P24" s="74"/>
      <c r="Q24" s="74"/>
      <c r="R24" s="74"/>
      <c r="S24" s="74"/>
      <c r="T24" s="74"/>
      <c r="U24" s="74"/>
      <c r="V24" s="74"/>
      <c r="W24" s="74"/>
      <c r="X24" s="74"/>
      <c r="Y24" s="74"/>
      <c r="Z24" s="74"/>
      <c r="AA24" s="60"/>
      <c r="AB24" s="74"/>
    </row>
    <row r="25" spans="1:28">
      <c r="A25" s="74"/>
      <c r="B25" s="1509"/>
      <c r="C25" s="1509"/>
      <c r="D25" s="1509"/>
      <c r="E25" s="1509"/>
      <c r="F25" s="1509"/>
      <c r="G25" s="1509"/>
      <c r="H25" s="1509"/>
      <c r="I25" s="1509"/>
      <c r="J25" s="1509"/>
      <c r="K25" s="1509"/>
      <c r="L25" s="1509"/>
      <c r="M25" s="1509"/>
      <c r="N25" s="1509"/>
      <c r="O25" s="14"/>
      <c r="P25" s="74" t="s">
        <v>385</v>
      </c>
      <c r="Q25" s="74"/>
      <c r="R25" s="1136" t="s">
        <v>33</v>
      </c>
      <c r="S25" s="1136"/>
      <c r="T25" s="1136"/>
      <c r="U25" s="74"/>
      <c r="V25" s="74"/>
      <c r="W25" s="74" t="s">
        <v>386</v>
      </c>
      <c r="X25" s="74"/>
      <c r="Y25" s="74"/>
      <c r="Z25" s="74"/>
      <c r="AA25" s="16" t="s">
        <v>33</v>
      </c>
      <c r="AB25" s="74"/>
    </row>
    <row r="26" spans="1:28">
      <c r="A26" s="74"/>
      <c r="B26" s="74"/>
      <c r="C26" s="74"/>
      <c r="D26" s="74"/>
      <c r="E26" s="74"/>
      <c r="F26" s="74"/>
      <c r="G26" s="74"/>
      <c r="H26" s="74"/>
      <c r="I26" s="74"/>
      <c r="J26" s="74"/>
      <c r="K26" s="74"/>
      <c r="L26" s="74"/>
      <c r="M26" s="74"/>
      <c r="N26" s="74"/>
      <c r="O26" s="14"/>
      <c r="P26" s="74"/>
      <c r="Q26" s="74"/>
      <c r="R26" s="74"/>
      <c r="S26" s="74"/>
      <c r="T26" s="74"/>
      <c r="U26" s="74"/>
      <c r="V26" s="74"/>
      <c r="W26" s="74"/>
      <c r="X26" s="74"/>
      <c r="Y26" s="74"/>
      <c r="Z26" s="74"/>
      <c r="AA26" s="74"/>
      <c r="AB26" s="74"/>
    </row>
    <row r="27" spans="1:28" ht="6" customHeight="1">
      <c r="A27" s="74"/>
      <c r="B27" s="74"/>
      <c r="C27" s="74"/>
      <c r="D27" s="74"/>
      <c r="E27" s="74"/>
      <c r="F27" s="74"/>
      <c r="G27" s="74"/>
      <c r="H27" s="74"/>
      <c r="I27" s="74"/>
      <c r="J27" s="74"/>
      <c r="K27" s="74"/>
      <c r="L27" s="74"/>
      <c r="M27" s="74"/>
      <c r="N27" s="74"/>
      <c r="O27" s="14"/>
      <c r="P27" s="14"/>
      <c r="Q27" s="14"/>
      <c r="R27" s="14"/>
      <c r="S27" s="14"/>
      <c r="T27" s="14"/>
      <c r="U27" s="14"/>
      <c r="V27" s="14"/>
      <c r="W27" s="14"/>
      <c r="X27" s="14"/>
      <c r="Y27" s="14"/>
      <c r="Z27" s="14"/>
      <c r="AA27" s="14"/>
      <c r="AB27" s="74"/>
    </row>
    <row r="28" spans="1:28" ht="1.9" customHeight="1">
      <c r="A28" s="74"/>
      <c r="B28" s="74"/>
      <c r="C28" s="74"/>
      <c r="D28" s="74"/>
      <c r="E28" s="74"/>
      <c r="F28" s="74"/>
      <c r="G28" s="74"/>
      <c r="H28" s="74"/>
      <c r="I28" s="74"/>
      <c r="J28" s="74"/>
      <c r="K28" s="74"/>
      <c r="L28" s="74"/>
      <c r="M28" s="74"/>
      <c r="N28" s="74"/>
      <c r="O28" s="14"/>
      <c r="P28" s="14"/>
      <c r="Q28" s="14"/>
      <c r="R28" s="14"/>
      <c r="S28" s="14"/>
      <c r="T28" s="14"/>
      <c r="U28" s="14"/>
      <c r="V28" s="14"/>
      <c r="W28" s="14"/>
      <c r="X28" s="14"/>
      <c r="Y28" s="14"/>
      <c r="Z28" s="14"/>
      <c r="AA28" s="14"/>
      <c r="AB28" s="74"/>
    </row>
    <row r="29" spans="1:28" ht="1.9" customHeight="1">
      <c r="A29" s="74"/>
      <c r="B29" s="14"/>
      <c r="C29" s="14"/>
      <c r="D29" s="14"/>
      <c r="E29" s="14"/>
      <c r="F29" s="14"/>
      <c r="G29" s="14"/>
      <c r="H29" s="14"/>
      <c r="I29" s="14"/>
      <c r="J29" s="14"/>
      <c r="K29" s="14"/>
      <c r="L29" s="14"/>
      <c r="M29" s="14"/>
      <c r="N29" s="14"/>
      <c r="O29" s="14"/>
      <c r="P29" s="14"/>
      <c r="Q29" s="14"/>
      <c r="R29" s="14"/>
      <c r="S29" s="14"/>
      <c r="T29" s="14"/>
      <c r="U29" s="14"/>
      <c r="V29" s="14"/>
      <c r="W29" s="14"/>
      <c r="X29" s="14"/>
      <c r="Y29" s="14"/>
      <c r="Z29" s="14"/>
      <c r="AA29" s="14"/>
      <c r="AB29" s="74"/>
    </row>
    <row r="30" spans="1:28" ht="1.9" customHeight="1">
      <c r="A30" s="74"/>
      <c r="B30" s="74"/>
      <c r="C30" s="74"/>
      <c r="D30" s="74"/>
      <c r="E30" s="74"/>
      <c r="F30" s="74"/>
      <c r="G30" s="74"/>
      <c r="H30" s="74"/>
      <c r="I30" s="74"/>
      <c r="J30" s="74"/>
      <c r="K30" s="74"/>
      <c r="L30" s="74"/>
      <c r="M30" s="74"/>
      <c r="N30" s="74"/>
      <c r="O30" s="74"/>
      <c r="P30" s="74"/>
      <c r="Q30" s="74"/>
      <c r="R30" s="74"/>
      <c r="S30" s="74"/>
      <c r="T30" s="74"/>
      <c r="U30" s="74"/>
      <c r="V30" s="74"/>
      <c r="W30" s="74"/>
      <c r="X30" s="74"/>
      <c r="Y30" s="74"/>
      <c r="Z30" s="74"/>
      <c r="AA30" s="74"/>
      <c r="AB30" s="74"/>
    </row>
    <row r="31" spans="1:28">
      <c r="A31" s="74"/>
      <c r="B31" s="1492" t="s">
        <v>387</v>
      </c>
      <c r="C31" s="1492"/>
      <c r="D31" s="1492"/>
      <c r="E31" s="1492"/>
      <c r="F31" s="1492"/>
      <c r="G31" s="1492"/>
      <c r="H31" s="1492"/>
      <c r="I31" s="1492"/>
      <c r="J31" s="1492"/>
      <c r="K31" s="1492"/>
      <c r="L31" s="1492"/>
      <c r="M31" s="1492"/>
      <c r="N31" s="1492"/>
      <c r="O31" s="1492"/>
      <c r="P31" s="1492"/>
      <c r="Q31" s="1492"/>
      <c r="R31" s="1492"/>
      <c r="S31" s="74"/>
      <c r="T31" s="74"/>
      <c r="U31" s="74"/>
      <c r="V31" s="74"/>
      <c r="W31" s="74"/>
      <c r="X31" s="74"/>
      <c r="Y31" s="74"/>
      <c r="Z31" s="74"/>
      <c r="AA31" s="74"/>
      <c r="AB31" s="74"/>
    </row>
    <row r="32" spans="1:28">
      <c r="A32" s="74"/>
      <c r="B32" s="1492"/>
      <c r="C32" s="1492"/>
      <c r="D32" s="1492"/>
      <c r="E32" s="1492"/>
      <c r="F32" s="1492"/>
      <c r="G32" s="1492"/>
      <c r="H32" s="1492"/>
      <c r="I32" s="1492"/>
      <c r="J32" s="1492"/>
      <c r="K32" s="1492"/>
      <c r="L32" s="1492"/>
      <c r="M32" s="1492"/>
      <c r="N32" s="1492"/>
      <c r="O32" s="1492"/>
      <c r="P32" s="1492"/>
      <c r="Q32" s="1492"/>
      <c r="R32" s="1492"/>
      <c r="S32" s="74"/>
      <c r="T32" s="74"/>
      <c r="U32" s="74"/>
      <c r="V32" s="74"/>
      <c r="W32" s="74"/>
      <c r="X32" s="74"/>
      <c r="Y32" s="74"/>
      <c r="Z32" s="74"/>
      <c r="AA32" s="74"/>
      <c r="AB32" s="74"/>
    </row>
    <row r="33" spans="1:28">
      <c r="A33" s="74"/>
      <c r="B33" s="74"/>
      <c r="C33" s="74"/>
      <c r="D33" s="74"/>
      <c r="E33" s="74"/>
      <c r="F33" s="74"/>
      <c r="G33" s="74"/>
      <c r="H33" s="74"/>
      <c r="I33" s="74"/>
      <c r="J33" s="74"/>
      <c r="K33" s="74"/>
      <c r="L33" s="74"/>
      <c r="M33" s="74"/>
      <c r="N33" s="74"/>
      <c r="O33" s="74"/>
      <c r="P33" s="74"/>
      <c r="Q33" s="74"/>
      <c r="R33" s="74"/>
      <c r="S33" s="74"/>
      <c r="T33" s="74"/>
      <c r="U33" s="74"/>
      <c r="V33" s="74"/>
      <c r="W33" s="74"/>
      <c r="X33" s="74"/>
      <c r="Y33" s="74"/>
      <c r="Z33" s="74"/>
      <c r="AA33" s="74"/>
      <c r="AB33" s="74"/>
    </row>
    <row r="34" spans="1:28" ht="1.9" customHeight="1">
      <c r="A34" s="74"/>
      <c r="B34" s="14"/>
      <c r="C34" s="14"/>
      <c r="D34" s="14"/>
      <c r="E34" s="14"/>
      <c r="F34" s="14"/>
      <c r="G34" s="14"/>
      <c r="H34" s="14"/>
      <c r="I34" s="14"/>
      <c r="J34" s="14"/>
      <c r="K34" s="14"/>
      <c r="L34" s="14"/>
      <c r="M34" s="14"/>
      <c r="N34" s="14"/>
      <c r="O34" s="14"/>
      <c r="P34" s="14"/>
      <c r="Q34" s="14"/>
      <c r="R34" s="14"/>
      <c r="S34" s="14"/>
      <c r="T34" s="14"/>
      <c r="U34" s="14"/>
      <c r="V34" s="14"/>
      <c r="W34" s="14"/>
      <c r="X34" s="14"/>
      <c r="Y34" s="14"/>
      <c r="Z34" s="14"/>
      <c r="AA34" s="14"/>
      <c r="AB34" s="74"/>
    </row>
    <row r="35" spans="1:28" ht="3" customHeight="1" thickBot="1">
      <c r="A35" s="74"/>
      <c r="B35" s="74"/>
      <c r="C35" s="74"/>
      <c r="D35" s="74"/>
      <c r="E35" s="74"/>
      <c r="F35" s="74"/>
      <c r="G35" s="74"/>
      <c r="H35" s="74"/>
      <c r="I35" s="74"/>
      <c r="J35" s="74"/>
      <c r="K35" s="74"/>
      <c r="L35" s="74"/>
      <c r="M35" s="74"/>
      <c r="N35" s="74"/>
      <c r="O35" s="74"/>
      <c r="P35" s="74"/>
      <c r="Q35" s="74"/>
      <c r="R35" s="74"/>
      <c r="S35" s="74"/>
      <c r="T35" s="74"/>
      <c r="U35" s="74"/>
      <c r="V35" s="74"/>
      <c r="W35" s="74"/>
      <c r="X35" s="74"/>
      <c r="Y35" s="74"/>
      <c r="Z35" s="74"/>
      <c r="AA35" s="74"/>
      <c r="AB35" s="74"/>
    </row>
    <row r="36" spans="1:28" ht="14.45" customHeight="1">
      <c r="A36" s="74"/>
      <c r="B36" s="332"/>
      <c r="C36" s="1505" t="s">
        <v>388</v>
      </c>
      <c r="D36" s="1505"/>
      <c r="E36" s="1505"/>
      <c r="F36" s="1505"/>
      <c r="G36" s="1505"/>
      <c r="H36" s="1505"/>
      <c r="I36" s="1505"/>
      <c r="J36" s="1505"/>
      <c r="K36" s="1505"/>
      <c r="L36" s="1505"/>
      <c r="M36" s="1505"/>
      <c r="N36" s="1505"/>
      <c r="O36" s="1505"/>
      <c r="P36" s="1505"/>
      <c r="Q36" s="1505"/>
      <c r="R36" s="1506"/>
      <c r="S36" s="85"/>
      <c r="T36" s="14" t="s">
        <v>389</v>
      </c>
      <c r="U36" s="14"/>
      <c r="V36" s="14"/>
      <c r="W36" s="14"/>
      <c r="X36" s="14"/>
      <c r="Y36" s="14"/>
      <c r="Z36" s="14"/>
      <c r="AA36" s="14"/>
      <c r="AB36" s="74"/>
    </row>
    <row r="37" spans="1:28" ht="37.15" customHeight="1" thickBot="1">
      <c r="A37" s="74"/>
      <c r="B37" s="174"/>
      <c r="C37" s="1507"/>
      <c r="D37" s="1507"/>
      <c r="E37" s="1507"/>
      <c r="F37" s="1507"/>
      <c r="G37" s="1507"/>
      <c r="H37" s="1507"/>
      <c r="I37" s="1507"/>
      <c r="J37" s="1507"/>
      <c r="K37" s="1507"/>
      <c r="L37" s="1507"/>
      <c r="M37" s="1507"/>
      <c r="N37" s="1507"/>
      <c r="O37" s="1507"/>
      <c r="P37" s="1507"/>
      <c r="Q37" s="1507"/>
      <c r="R37" s="1508"/>
      <c r="S37" s="85"/>
      <c r="T37" s="1136"/>
      <c r="U37" s="1136"/>
      <c r="V37" s="1136"/>
      <c r="W37" s="1136"/>
      <c r="X37" s="1136"/>
      <c r="Y37" s="1136"/>
      <c r="Z37" s="1136"/>
      <c r="AA37" s="1136"/>
      <c r="AB37" s="74"/>
    </row>
    <row r="38" spans="1:28" ht="5.45" customHeight="1" thickBot="1">
      <c r="A38" s="74"/>
      <c r="B38" s="85"/>
      <c r="C38" s="85"/>
      <c r="D38" s="85"/>
      <c r="E38" s="85"/>
      <c r="F38" s="85"/>
      <c r="G38" s="85"/>
      <c r="H38" s="85"/>
      <c r="I38" s="85"/>
      <c r="J38" s="85"/>
      <c r="K38" s="85"/>
      <c r="L38" s="85"/>
      <c r="M38" s="85"/>
      <c r="N38" s="85"/>
      <c r="O38" s="85"/>
      <c r="P38" s="85"/>
      <c r="Q38" s="85"/>
      <c r="R38" s="85"/>
      <c r="S38" s="85"/>
      <c r="T38" s="1136"/>
      <c r="U38" s="1136"/>
      <c r="V38" s="1136"/>
      <c r="W38" s="1136"/>
      <c r="X38" s="1136"/>
      <c r="Y38" s="1136"/>
      <c r="Z38" s="1136"/>
      <c r="AA38" s="1136"/>
      <c r="AB38" s="74"/>
    </row>
    <row r="39" spans="1:28" ht="15" customHeight="1" thickBot="1">
      <c r="A39" s="74"/>
      <c r="B39" s="1494" t="s">
        <v>390</v>
      </c>
      <c r="C39" s="1495"/>
      <c r="D39" s="1495"/>
      <c r="E39" s="1495"/>
      <c r="F39" s="1495"/>
      <c r="G39" s="1495"/>
      <c r="H39" s="1495"/>
      <c r="I39" s="1495"/>
      <c r="J39" s="1495"/>
      <c r="K39" s="1495"/>
      <c r="L39" s="1495"/>
      <c r="M39" s="1495"/>
      <c r="N39" s="1495"/>
      <c r="O39" s="1495"/>
      <c r="P39" s="1495"/>
      <c r="Q39" s="1495"/>
      <c r="R39" s="1496"/>
      <c r="S39" s="86"/>
      <c r="T39" s="1493"/>
      <c r="U39" s="1493"/>
      <c r="V39" s="1493"/>
      <c r="W39" s="1493"/>
      <c r="X39" s="1493"/>
      <c r="Y39" s="1493"/>
      <c r="Z39" s="1493"/>
      <c r="AA39" s="1493"/>
      <c r="AB39" s="74"/>
    </row>
    <row r="40" spans="1:28" ht="24" customHeight="1">
      <c r="A40" s="74"/>
      <c r="B40" s="1497"/>
      <c r="C40" s="1498"/>
      <c r="D40" s="1498"/>
      <c r="E40" s="1498"/>
      <c r="F40" s="1498"/>
      <c r="G40" s="1498"/>
      <c r="H40" s="1498"/>
      <c r="I40" s="1498"/>
      <c r="J40" s="1498"/>
      <c r="K40" s="1498"/>
      <c r="L40" s="1498"/>
      <c r="M40" s="1498"/>
      <c r="N40" s="1498"/>
      <c r="O40" s="1498"/>
      <c r="P40" s="1498"/>
      <c r="Q40" s="1498"/>
      <c r="R40" s="1499"/>
      <c r="S40" s="86"/>
      <c r="T40" s="1503" t="s">
        <v>75</v>
      </c>
      <c r="U40" s="1503"/>
      <c r="V40" s="1503"/>
      <c r="W40" s="1504"/>
      <c r="X40" s="1504"/>
      <c r="Y40" s="1504"/>
      <c r="Z40" s="1504"/>
      <c r="AA40" s="1504"/>
      <c r="AB40" s="74"/>
    </row>
    <row r="41" spans="1:28" ht="41.45" customHeight="1" thickBot="1">
      <c r="A41" s="74"/>
      <c r="B41" s="1500"/>
      <c r="C41" s="1501"/>
      <c r="D41" s="1501"/>
      <c r="E41" s="1501"/>
      <c r="F41" s="1501"/>
      <c r="G41" s="1501"/>
      <c r="H41" s="1501"/>
      <c r="I41" s="1501"/>
      <c r="J41" s="1501"/>
      <c r="K41" s="1501"/>
      <c r="L41" s="1501"/>
      <c r="M41" s="1501"/>
      <c r="N41" s="1501"/>
      <c r="O41" s="1501"/>
      <c r="P41" s="1501"/>
      <c r="Q41" s="1501"/>
      <c r="R41" s="1502"/>
      <c r="S41" s="86"/>
      <c r="T41" s="74"/>
      <c r="U41" s="74"/>
      <c r="V41" s="74"/>
      <c r="W41" s="74"/>
      <c r="X41" s="74"/>
      <c r="Y41" s="74"/>
      <c r="Z41" s="74"/>
      <c r="AA41" s="74"/>
      <c r="AB41" s="74"/>
    </row>
  </sheetData>
  <mergeCells count="42">
    <mergeCell ref="D3:H3"/>
    <mergeCell ref="L3:N3"/>
    <mergeCell ref="Q3:AA3"/>
    <mergeCell ref="B5:D5"/>
    <mergeCell ref="F5:H5"/>
    <mergeCell ref="J5:N5"/>
    <mergeCell ref="P5:S5"/>
    <mergeCell ref="V5:AA5"/>
    <mergeCell ref="B7:D7"/>
    <mergeCell ref="F7:H7"/>
    <mergeCell ref="J7:N7"/>
    <mergeCell ref="P7:S7"/>
    <mergeCell ref="V7:AA7"/>
    <mergeCell ref="B6:D6"/>
    <mergeCell ref="F6:H6"/>
    <mergeCell ref="J6:N6"/>
    <mergeCell ref="P6:S6"/>
    <mergeCell ref="V6:AA6"/>
    <mergeCell ref="AH9:AO9"/>
    <mergeCell ref="B8:D8"/>
    <mergeCell ref="F8:H8"/>
    <mergeCell ref="J8:N8"/>
    <mergeCell ref="P8:S8"/>
    <mergeCell ref="V8:AA8"/>
    <mergeCell ref="B9:D13"/>
    <mergeCell ref="F9:H13"/>
    <mergeCell ref="J9:N13"/>
    <mergeCell ref="P9:S13"/>
    <mergeCell ref="V9:AA13"/>
    <mergeCell ref="B24:N25"/>
    <mergeCell ref="D17:M19"/>
    <mergeCell ref="R19:T19"/>
    <mergeCell ref="R21:T21"/>
    <mergeCell ref="R23:T23"/>
    <mergeCell ref="R25:T25"/>
    <mergeCell ref="R18:T18"/>
    <mergeCell ref="B31:R32"/>
    <mergeCell ref="T37:AA39"/>
    <mergeCell ref="B39:R41"/>
    <mergeCell ref="T40:V40"/>
    <mergeCell ref="W40:AA40"/>
    <mergeCell ref="C36:R37"/>
  </mergeCells>
  <conditionalFormatting sqref="R19:T19">
    <cfRule type="containsText" dxfId="287" priority="1" operator="containsText" text="Yes">
      <formula>NOT(ISERROR(SEARCH("Yes",R19)))</formula>
    </cfRule>
    <cfRule type="containsText" dxfId="286" priority="2" operator="containsText" text="Select">
      <formula>NOT(ISERROR(SEARCH("Select",R19)))</formula>
    </cfRule>
  </conditionalFormatting>
  <dataValidations count="10">
    <dataValidation type="list" allowBlank="1" showInputMessage="1" showErrorMessage="1" sqref="R19:T19" xr:uid="{1B3E373B-C30B-4BEB-BF0E-7EE7B55CB8DF}">
      <formula1>"Select,No, Yes"</formula1>
    </dataValidation>
    <dataValidation type="list" allowBlank="1" showInputMessage="1" showErrorMessage="1" sqref="AA25 R21:T21 R23:T23 R25:T25 AA19 AA21 AA23" xr:uid="{18BDC283-3305-4B75-B9A8-540E88650238}">
      <formula1>"No, Yes"</formula1>
    </dataValidation>
    <dataValidation type="list" allowBlank="1" showInputMessage="1" showErrorMessage="1" sqref="H23" xr:uid="{65CBE9AA-3EF3-4151-AA76-8F7A618C1AD5}">
      <formula1>"01,02,03,04,05,06,07,08,09,10,11,12,13,14,15,16,17,18,19,20"</formula1>
    </dataValidation>
    <dataValidation type="list" allowBlank="1" showInputMessage="1" sqref="B6:D6" xr:uid="{638491DB-348F-4395-8CF1-C98ACBF2226F}">
      <formula1>Type</formula1>
    </dataValidation>
    <dataValidation type="list" allowBlank="1" showInputMessage="1" sqref="F6:H6" xr:uid="{911C764D-BC95-4B1B-89D8-D6A08F22901D}">
      <formula1>MMaterial</formula1>
    </dataValidation>
    <dataValidation type="list" allowBlank="1" showInputMessage="1" sqref="J6:N6" xr:uid="{9926F94E-0F44-4F27-B356-CF28F0C17424}">
      <formula1>INDIRECT(F6 &amp; "L")</formula1>
    </dataValidation>
    <dataValidation type="list" allowBlank="1" showInputMessage="1" sqref="P6:S6" xr:uid="{C3D0EF8F-DCB2-4D34-94E1-E52C27D8FBEF}">
      <formula1>TiltRod</formula1>
    </dataValidation>
    <dataValidation type="list" allowBlank="1" showInputMessage="1" sqref="V6:AA6" xr:uid="{263EFA65-993D-4E64-A534-14AB4D02DA75}">
      <formula1>INDIRECT(F6)</formula1>
    </dataValidation>
    <dataValidation type="list" allowBlank="1" showInputMessage="1" sqref="Q3:AA3" xr:uid="{968FCBFB-CA30-4C95-9751-9070B2BEBB56}">
      <formula1>Surveyors</formula1>
    </dataValidation>
    <dataValidation type="list" allowBlank="1" showInputMessage="1" showErrorMessage="1" sqref="J23" xr:uid="{12DB52C3-8564-4F04-B2AC-719902A883C8}">
      <formula1>"20,19,18,17,16,15,14,13,12,11,10,09,08,07,06,05,05,03,02,01"</formula1>
    </dataValidation>
  </dataValidations>
  <pageMargins left="0.7" right="0.35" top="0.75" bottom="0.75" header="0.3" footer="0.3"/>
  <pageSetup paperSize="9" scale="95" orientation="landscape" horizontalDpi="300" verticalDpi="300" r:id="rId1"/>
  <headerFooter>
    <oddHeader>&amp;R&amp;G</oddHeader>
    <oddFooter>&amp;L&amp;12                 www.perfectshutters.co.uk/gallery/
&amp;C&amp;G&amp;R&amp;G</oddFooter>
  </headerFooter>
  <drawing r:id="rId2"/>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DCECF2-8232-4DFB-9224-0E8E5442299E}">
  <sheetPr codeName="Sheet20"/>
  <dimension ref="B2:AI51"/>
  <sheetViews>
    <sheetView showGridLines="0" zoomScaleNormal="100" workbookViewId="0">
      <selection activeCell="H6" sqref="H6:T7"/>
    </sheetView>
  </sheetViews>
  <sheetFormatPr defaultColWidth="2.5703125" defaultRowHeight="14.45"/>
  <cols>
    <col min="28" max="28" width="2.5703125" customWidth="1"/>
  </cols>
  <sheetData>
    <row r="2" spans="2:35">
      <c r="B2" s="14"/>
      <c r="C2" s="14"/>
      <c r="D2" s="14"/>
      <c r="E2" s="14"/>
      <c r="F2" s="14"/>
      <c r="G2" s="14"/>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row>
    <row r="3" spans="2:35">
      <c r="B3" s="14"/>
      <c r="C3" s="14"/>
      <c r="D3" s="14"/>
      <c r="E3" s="14"/>
      <c r="F3" s="14"/>
      <c r="G3" s="14"/>
      <c r="H3" s="14"/>
      <c r="I3" s="14"/>
      <c r="J3" s="14"/>
      <c r="K3" s="14"/>
      <c r="L3" s="14"/>
      <c r="M3" s="14"/>
      <c r="N3" s="14"/>
      <c r="O3" s="14"/>
      <c r="P3" s="14"/>
      <c r="Q3" s="14"/>
      <c r="R3" s="14"/>
      <c r="S3" s="14"/>
      <c r="T3" s="14"/>
      <c r="U3" s="14"/>
      <c r="V3" s="14"/>
      <c r="W3" s="14"/>
      <c r="X3" s="14"/>
      <c r="Y3" s="14"/>
      <c r="Z3" s="14"/>
      <c r="AA3" s="14"/>
      <c r="AB3" s="14"/>
      <c r="AC3" s="14"/>
      <c r="AD3" s="14"/>
      <c r="AE3" s="14"/>
      <c r="AF3" s="14"/>
      <c r="AG3" s="14"/>
      <c r="AH3" s="14"/>
      <c r="AI3" s="14"/>
    </row>
    <row r="4" spans="2:35">
      <c r="B4" s="14"/>
      <c r="C4" s="14"/>
      <c r="D4" s="14"/>
      <c r="E4" s="14"/>
      <c r="F4" s="14"/>
      <c r="G4" s="14"/>
      <c r="H4" s="14"/>
      <c r="I4" s="14"/>
      <c r="J4" s="14"/>
      <c r="K4" s="14"/>
      <c r="L4" s="14"/>
      <c r="M4" s="14"/>
      <c r="N4" s="14"/>
      <c r="O4" s="14"/>
      <c r="P4" s="14"/>
      <c r="Q4" s="14"/>
      <c r="R4" s="14"/>
      <c r="S4" s="14"/>
      <c r="T4" s="14"/>
      <c r="U4" s="14"/>
      <c r="V4" s="14"/>
      <c r="W4" s="14"/>
      <c r="X4" s="14"/>
      <c r="Y4" s="14"/>
      <c r="Z4" s="14"/>
      <c r="AA4" s="14"/>
      <c r="AB4" s="14"/>
      <c r="AC4" s="14"/>
      <c r="AD4" s="14"/>
      <c r="AE4" s="14"/>
      <c r="AF4" s="14"/>
      <c r="AG4" s="14"/>
      <c r="AH4" s="14"/>
      <c r="AI4" s="14"/>
    </row>
    <row r="5" spans="2:35">
      <c r="B5" s="14"/>
      <c r="C5" s="14"/>
      <c r="D5" s="14"/>
      <c r="E5" s="14"/>
      <c r="F5" s="14"/>
      <c r="G5" s="14"/>
      <c r="H5" s="14"/>
      <c r="I5" s="14"/>
      <c r="J5" s="14"/>
      <c r="K5" s="14"/>
      <c r="L5" s="14"/>
      <c r="M5" s="14"/>
      <c r="N5" s="14"/>
      <c r="O5" s="14"/>
      <c r="P5" s="14"/>
      <c r="Q5" s="14"/>
      <c r="R5" s="14"/>
      <c r="S5" s="14"/>
      <c r="T5" s="14"/>
      <c r="U5" s="14"/>
      <c r="V5" s="14"/>
      <c r="W5" s="14"/>
      <c r="X5" s="14"/>
      <c r="Y5" s="14"/>
      <c r="Z5" s="14"/>
      <c r="AA5" s="14"/>
      <c r="AB5" s="14"/>
      <c r="AC5" s="14"/>
      <c r="AD5" s="14"/>
      <c r="AE5" s="14"/>
      <c r="AF5" s="14"/>
      <c r="AG5" s="14"/>
      <c r="AH5" s="14"/>
      <c r="AI5" s="14"/>
    </row>
    <row r="6" spans="2:35">
      <c r="B6" s="1518" t="s">
        <v>248</v>
      </c>
      <c r="C6" s="1518"/>
      <c r="D6" s="1518"/>
      <c r="E6" s="1518"/>
      <c r="F6" s="1518"/>
      <c r="G6" s="1518"/>
      <c r="H6" s="1518">
        <f>Pricing!E59</f>
        <v>0</v>
      </c>
      <c r="I6" s="1518"/>
      <c r="J6" s="1518"/>
      <c r="K6" s="1518"/>
      <c r="L6" s="1518"/>
      <c r="M6" s="1518"/>
      <c r="N6" s="1518"/>
      <c r="O6" s="1518"/>
      <c r="P6" s="1518"/>
      <c r="Q6" s="1518"/>
      <c r="R6" s="1518"/>
      <c r="S6" s="1518"/>
      <c r="T6" s="1532"/>
      <c r="U6" s="1518" t="s">
        <v>75</v>
      </c>
      <c r="V6" s="1518"/>
      <c r="W6" s="1518"/>
      <c r="X6" s="1518"/>
      <c r="Y6" s="1533">
        <f>Pricing!E66</f>
        <v>0</v>
      </c>
      <c r="Z6" s="1529"/>
      <c r="AA6" s="1529"/>
      <c r="AB6" s="1529"/>
      <c r="AC6" s="1529"/>
      <c r="AD6" s="1529"/>
      <c r="AE6" s="1529"/>
      <c r="AF6" s="1529"/>
      <c r="AG6" s="1529"/>
      <c r="AH6" s="1529"/>
      <c r="AI6" s="14"/>
    </row>
    <row r="7" spans="2:35">
      <c r="B7" s="1518"/>
      <c r="C7" s="1518"/>
      <c r="D7" s="1518"/>
      <c r="E7" s="1518"/>
      <c r="F7" s="1518"/>
      <c r="G7" s="1518"/>
      <c r="H7" s="1518"/>
      <c r="I7" s="1518"/>
      <c r="J7" s="1518"/>
      <c r="K7" s="1518"/>
      <c r="L7" s="1518"/>
      <c r="M7" s="1518"/>
      <c r="N7" s="1518"/>
      <c r="O7" s="1518"/>
      <c r="P7" s="1518"/>
      <c r="Q7" s="1518"/>
      <c r="R7" s="1518"/>
      <c r="S7" s="1518"/>
      <c r="T7" s="1532"/>
      <c r="U7" s="1518"/>
      <c r="V7" s="1518"/>
      <c r="W7" s="1518"/>
      <c r="X7" s="1518"/>
      <c r="Y7" s="1529"/>
      <c r="Z7" s="1529"/>
      <c r="AA7" s="1529"/>
      <c r="AB7" s="1529"/>
      <c r="AC7" s="1529"/>
      <c r="AD7" s="1529"/>
      <c r="AE7" s="1529"/>
      <c r="AF7" s="1529"/>
      <c r="AG7" s="1529"/>
      <c r="AH7" s="1529"/>
      <c r="AI7" s="14"/>
    </row>
    <row r="8" spans="2:35">
      <c r="B8" s="1518" t="s">
        <v>214</v>
      </c>
      <c r="C8" s="1518"/>
      <c r="D8" s="1518"/>
      <c r="E8" s="1518"/>
      <c r="F8" s="1518"/>
      <c r="G8" s="1518"/>
      <c r="H8" s="1518">
        <f>Pricing!B59</f>
        <v>0</v>
      </c>
      <c r="I8" s="1518"/>
      <c r="J8" s="1518"/>
      <c r="K8" s="1518"/>
      <c r="L8" s="1518"/>
      <c r="M8" s="1518"/>
      <c r="N8" s="1518"/>
      <c r="O8" s="1518"/>
      <c r="P8" s="1518"/>
      <c r="Q8" s="1518"/>
      <c r="R8" s="1518"/>
      <c r="S8" s="1518"/>
      <c r="T8" s="1518"/>
      <c r="U8" s="1518" t="s">
        <v>391</v>
      </c>
      <c r="V8" s="1518"/>
      <c r="W8" s="1518"/>
      <c r="X8" s="1518"/>
      <c r="Y8" s="1529"/>
      <c r="Z8" s="1529"/>
      <c r="AA8" s="1529"/>
      <c r="AB8" s="1529"/>
      <c r="AC8" s="1529"/>
      <c r="AD8" s="1529"/>
      <c r="AE8" s="1529"/>
      <c r="AF8" s="1529"/>
      <c r="AG8" s="1529"/>
      <c r="AH8" s="1529"/>
      <c r="AI8" s="14"/>
    </row>
    <row r="9" spans="2:35">
      <c r="B9" s="1518"/>
      <c r="C9" s="1518"/>
      <c r="D9" s="1518"/>
      <c r="E9" s="1518"/>
      <c r="F9" s="1518"/>
      <c r="G9" s="1518"/>
      <c r="H9" s="1518"/>
      <c r="I9" s="1518"/>
      <c r="J9" s="1518"/>
      <c r="K9" s="1518"/>
      <c r="L9" s="1518"/>
      <c r="M9" s="1518"/>
      <c r="N9" s="1518"/>
      <c r="O9" s="1518"/>
      <c r="P9" s="1518"/>
      <c r="Q9" s="1518"/>
      <c r="R9" s="1518"/>
      <c r="S9" s="1518"/>
      <c r="T9" s="1518"/>
      <c r="U9" s="1518"/>
      <c r="V9" s="1518"/>
      <c r="W9" s="1518"/>
      <c r="X9" s="1518"/>
      <c r="Y9" s="1529"/>
      <c r="Z9" s="1529"/>
      <c r="AA9" s="1529"/>
      <c r="AB9" s="1529"/>
      <c r="AC9" s="1529"/>
      <c r="AD9" s="1529"/>
      <c r="AE9" s="1529"/>
      <c r="AF9" s="1529"/>
      <c r="AG9" s="1529"/>
      <c r="AH9" s="1529"/>
      <c r="AI9" s="14"/>
    </row>
    <row r="10" spans="2:35">
      <c r="B10" s="14"/>
      <c r="C10" s="14"/>
      <c r="D10" s="14"/>
      <c r="E10" s="14"/>
      <c r="F10" s="14"/>
      <c r="G10" s="14"/>
      <c r="H10" s="14"/>
      <c r="I10" s="14"/>
      <c r="J10" s="14"/>
      <c r="K10" s="14"/>
      <c r="L10" s="14"/>
      <c r="M10" s="14"/>
      <c r="N10" s="14"/>
      <c r="O10" s="14"/>
      <c r="P10" s="14"/>
      <c r="Q10" s="14"/>
      <c r="R10" s="14"/>
      <c r="S10" s="14"/>
      <c r="T10" s="14"/>
      <c r="U10" s="14"/>
      <c r="V10" s="14"/>
      <c r="W10" s="14"/>
      <c r="X10" s="14"/>
      <c r="Y10" s="14"/>
      <c r="Z10" s="14"/>
      <c r="AA10" s="14"/>
      <c r="AB10" s="14"/>
      <c r="AC10" s="14"/>
      <c r="AD10" s="14"/>
      <c r="AE10" s="14"/>
      <c r="AF10" s="14"/>
      <c r="AG10" s="14"/>
      <c r="AH10" s="14"/>
      <c r="AI10" s="14"/>
    </row>
    <row r="11" spans="2:35">
      <c r="B11" s="1523" t="s">
        <v>392</v>
      </c>
      <c r="C11" s="1523"/>
      <c r="D11" s="1523"/>
      <c r="E11" s="1523"/>
      <c r="F11" s="1523"/>
      <c r="G11" s="1523"/>
      <c r="H11" s="14"/>
      <c r="I11" s="14"/>
      <c r="J11" s="14"/>
      <c r="K11" s="14"/>
      <c r="L11" s="14"/>
      <c r="M11" s="14"/>
      <c r="N11" s="14"/>
      <c r="O11" s="14"/>
      <c r="P11" s="14"/>
      <c r="Q11" s="14"/>
      <c r="R11" s="14"/>
      <c r="S11" s="14"/>
      <c r="T11" s="14"/>
      <c r="U11" s="14"/>
      <c r="V11" s="14"/>
      <c r="W11" s="14"/>
      <c r="X11" s="14"/>
      <c r="Y11" s="14"/>
      <c r="Z11" s="14"/>
      <c r="AA11" s="14"/>
      <c r="AB11" s="14"/>
      <c r="AC11" s="14"/>
      <c r="AD11" s="14"/>
      <c r="AE11" s="14"/>
      <c r="AF11" s="14"/>
      <c r="AG11" s="14"/>
      <c r="AH11" s="14"/>
      <c r="AI11" s="14"/>
    </row>
    <row r="12" spans="2:35">
      <c r="B12" s="1466" t="s">
        <v>393</v>
      </c>
      <c r="C12" s="1466"/>
      <c r="D12" s="1466"/>
      <c r="E12" s="1466"/>
      <c r="F12" s="1466"/>
      <c r="G12" s="1466"/>
      <c r="H12" s="1466"/>
      <c r="I12" s="14"/>
      <c r="J12" s="14"/>
      <c r="K12" s="14"/>
      <c r="L12" s="14"/>
      <c r="M12" s="14"/>
      <c r="N12" s="14"/>
      <c r="O12" s="14"/>
      <c r="P12" s="14"/>
      <c r="Q12" s="14"/>
      <c r="R12" s="14"/>
      <c r="S12" s="14"/>
      <c r="T12" s="14"/>
      <c r="U12" s="14"/>
      <c r="V12" s="14"/>
      <c r="W12" s="14"/>
      <c r="X12" s="14"/>
      <c r="Y12" s="14"/>
      <c r="Z12" s="14"/>
      <c r="AA12" s="14"/>
      <c r="AB12" s="14"/>
      <c r="AC12" s="14"/>
      <c r="AD12" s="14"/>
      <c r="AE12" s="14"/>
      <c r="AF12" s="14"/>
      <c r="AG12" s="14"/>
      <c r="AH12" s="14"/>
      <c r="AI12" s="14"/>
    </row>
    <row r="13" spans="2:35">
      <c r="B13" s="14"/>
      <c r="C13" s="14"/>
      <c r="D13" s="14"/>
      <c r="E13" s="14"/>
      <c r="F13" s="14"/>
      <c r="G13" s="14"/>
      <c r="H13" s="14"/>
      <c r="I13" s="14"/>
      <c r="J13" s="14"/>
      <c r="K13" s="14"/>
      <c r="L13" s="14"/>
      <c r="M13" s="14"/>
      <c r="N13" s="14"/>
      <c r="O13" s="14"/>
      <c r="P13" s="14"/>
      <c r="Q13" s="14"/>
      <c r="R13" s="14"/>
      <c r="S13" s="14"/>
      <c r="T13" s="14"/>
      <c r="U13" s="14"/>
      <c r="V13" s="14"/>
      <c r="W13" s="14"/>
      <c r="X13" s="14"/>
      <c r="Y13" s="14"/>
      <c r="Z13" s="14"/>
      <c r="AA13" s="14"/>
      <c r="AB13" s="14"/>
      <c r="AC13" s="14"/>
      <c r="AD13" s="14"/>
      <c r="AE13" s="14"/>
      <c r="AF13" s="14"/>
      <c r="AG13" s="14"/>
      <c r="AH13" s="14"/>
      <c r="AI13" s="14"/>
    </row>
    <row r="14" spans="2:35" ht="15.6">
      <c r="B14" s="1518" t="s">
        <v>394</v>
      </c>
      <c r="C14" s="1518"/>
      <c r="D14" s="1518"/>
      <c r="E14" s="1518"/>
      <c r="F14" s="1518"/>
      <c r="G14" s="1518"/>
      <c r="H14" s="1518"/>
      <c r="I14" s="1518"/>
      <c r="J14" s="1518"/>
      <c r="K14" s="1518"/>
      <c r="L14" s="325"/>
      <c r="M14" s="15"/>
      <c r="N14" s="1530" t="s">
        <v>395</v>
      </c>
      <c r="O14" s="1530"/>
      <c r="P14" s="1530"/>
      <c r="Q14" s="1530"/>
      <c r="R14" s="1530"/>
      <c r="S14" s="1530"/>
      <c r="T14" s="1530"/>
      <c r="U14" s="1530"/>
      <c r="V14" s="1530"/>
      <c r="W14" s="1530"/>
      <c r="X14" s="1530"/>
      <c r="Y14" s="1530"/>
      <c r="Z14" s="1530"/>
      <c r="AA14" s="1530"/>
      <c r="AB14" s="1530"/>
      <c r="AC14" s="1530"/>
      <c r="AD14" s="1530"/>
      <c r="AE14" s="1530"/>
      <c r="AF14" s="1530"/>
      <c r="AG14" s="1530"/>
      <c r="AH14" s="1531"/>
      <c r="AI14" s="14"/>
    </row>
    <row r="15" spans="2:35" ht="15.6">
      <c r="B15" s="14"/>
      <c r="C15" s="14"/>
      <c r="D15" s="14"/>
      <c r="E15" s="14"/>
      <c r="F15" s="14"/>
      <c r="G15" s="14"/>
      <c r="H15" s="14"/>
      <c r="I15" s="14"/>
      <c r="J15" s="14"/>
      <c r="K15" s="14"/>
      <c r="L15" s="14"/>
      <c r="M15" s="14"/>
      <c r="N15" s="1522" t="s">
        <v>396</v>
      </c>
      <c r="O15" s="1522"/>
      <c r="P15" s="1522"/>
      <c r="Q15" s="1522"/>
      <c r="R15" s="1522"/>
      <c r="S15" s="1522"/>
      <c r="T15" s="1522"/>
      <c r="U15" s="1522"/>
      <c r="V15" s="1522"/>
      <c r="W15" s="1522"/>
      <c r="X15" s="1522"/>
      <c r="Y15" s="1522"/>
      <c r="Z15" s="1522"/>
      <c r="AA15" s="1522"/>
      <c r="AB15" s="1522"/>
      <c r="AC15" s="1522"/>
      <c r="AD15" s="1522"/>
      <c r="AE15" s="1522"/>
      <c r="AF15" s="1522"/>
      <c r="AG15" s="1522"/>
      <c r="AH15" s="326"/>
      <c r="AI15" s="14"/>
    </row>
    <row r="16" spans="2:35">
      <c r="B16" s="14"/>
      <c r="C16" s="14"/>
      <c r="D16" s="14"/>
      <c r="E16" s="14"/>
      <c r="F16" s="14"/>
      <c r="G16" s="14"/>
      <c r="H16" s="14"/>
      <c r="I16" s="14"/>
      <c r="J16" s="14"/>
      <c r="K16" s="14"/>
      <c r="L16" s="14"/>
      <c r="M16" s="14"/>
      <c r="N16" s="14"/>
      <c r="O16" s="14"/>
      <c r="P16" s="14"/>
      <c r="Q16" s="14"/>
      <c r="R16" s="14"/>
      <c r="S16" s="14"/>
      <c r="T16" s="14"/>
      <c r="U16" s="14"/>
      <c r="V16" s="14"/>
      <c r="W16" s="14"/>
      <c r="X16" s="14"/>
      <c r="Y16" s="14"/>
      <c r="Z16" s="14"/>
      <c r="AA16" s="14"/>
      <c r="AB16" s="14"/>
      <c r="AC16" s="14"/>
      <c r="AD16" s="14"/>
      <c r="AE16" s="14"/>
      <c r="AF16" s="14"/>
      <c r="AG16" s="14"/>
      <c r="AH16" s="14"/>
      <c r="AI16" s="14"/>
    </row>
    <row r="17" spans="2:35">
      <c r="B17" s="14"/>
      <c r="C17" s="14"/>
      <c r="D17" s="14"/>
      <c r="E17" s="14"/>
      <c r="F17" s="14"/>
      <c r="G17" s="14"/>
      <c r="H17" s="14"/>
      <c r="I17" s="14"/>
      <c r="J17" s="14"/>
      <c r="K17" s="14"/>
      <c r="L17" s="14"/>
      <c r="M17" s="14"/>
      <c r="N17" s="14"/>
      <c r="O17" s="14"/>
      <c r="P17" s="14"/>
      <c r="Q17" s="14"/>
      <c r="R17" s="14"/>
      <c r="S17" s="14"/>
      <c r="T17" s="14"/>
      <c r="U17" s="14"/>
      <c r="V17" s="14"/>
      <c r="W17" s="14"/>
      <c r="X17" s="14"/>
      <c r="Y17" s="14"/>
      <c r="Z17" s="14"/>
      <c r="AA17" s="14"/>
      <c r="AB17" s="14"/>
      <c r="AC17" s="14"/>
      <c r="AD17" s="14"/>
      <c r="AE17" s="14"/>
      <c r="AF17" s="14"/>
      <c r="AG17" s="14"/>
      <c r="AH17" s="14"/>
      <c r="AI17" s="14"/>
    </row>
    <row r="18" spans="2:35">
      <c r="B18" s="14"/>
      <c r="C18" s="14"/>
      <c r="D18" s="14"/>
      <c r="E18" s="14"/>
      <c r="F18" s="14"/>
      <c r="G18" s="14"/>
      <c r="H18" s="14"/>
      <c r="I18" s="14"/>
      <c r="J18" s="14"/>
      <c r="K18" s="14"/>
      <c r="L18" s="14"/>
      <c r="M18" s="14"/>
      <c r="N18" s="14"/>
      <c r="O18" s="14"/>
      <c r="P18" s="14"/>
      <c r="Q18" s="14"/>
      <c r="R18" s="14"/>
      <c r="S18" s="14"/>
      <c r="T18" s="14"/>
      <c r="U18" s="14"/>
      <c r="V18" s="14"/>
      <c r="W18" s="14"/>
      <c r="X18" s="14"/>
      <c r="Y18" s="14"/>
      <c r="Z18" s="14"/>
      <c r="AA18" s="14"/>
      <c r="AB18" s="14"/>
      <c r="AC18" s="14"/>
      <c r="AD18" s="14"/>
      <c r="AE18" s="14"/>
      <c r="AF18" s="14"/>
      <c r="AG18" s="14"/>
      <c r="AH18" s="14"/>
      <c r="AI18" s="14"/>
    </row>
    <row r="19" spans="2:35">
      <c r="B19" s="14"/>
      <c r="C19" s="14"/>
      <c r="D19" s="14"/>
      <c r="E19" s="14"/>
      <c r="F19" s="14"/>
      <c r="G19" s="14"/>
      <c r="H19" s="14"/>
      <c r="I19" s="14"/>
      <c r="J19" s="14"/>
      <c r="K19" s="14"/>
      <c r="L19" s="14"/>
      <c r="M19" s="14"/>
      <c r="N19" s="14"/>
      <c r="O19" s="14"/>
      <c r="P19" s="14"/>
      <c r="Q19" s="14"/>
      <c r="R19" s="14"/>
      <c r="S19" s="14"/>
      <c r="T19" s="14"/>
      <c r="U19" s="14"/>
      <c r="V19" s="14"/>
      <c r="W19" s="14"/>
      <c r="X19" s="14"/>
      <c r="Y19" s="14"/>
      <c r="Z19" s="14"/>
      <c r="AA19" s="14"/>
      <c r="AB19" s="14"/>
      <c r="AC19" s="14"/>
      <c r="AD19" s="14"/>
      <c r="AE19" s="14"/>
      <c r="AF19" s="14"/>
      <c r="AG19" s="14"/>
      <c r="AH19" s="14"/>
      <c r="AI19" s="14"/>
    </row>
    <row r="20" spans="2:35">
      <c r="B20" s="14"/>
      <c r="C20" s="14"/>
      <c r="D20" s="14"/>
      <c r="E20" s="14"/>
      <c r="F20" s="14"/>
      <c r="G20" s="14"/>
      <c r="H20" s="14"/>
      <c r="I20" s="14"/>
      <c r="J20" s="14"/>
      <c r="K20" s="14"/>
      <c r="L20" s="14"/>
      <c r="M20" s="14"/>
      <c r="N20" s="14"/>
      <c r="O20" s="14"/>
      <c r="P20" s="14"/>
      <c r="Q20" s="14"/>
      <c r="R20" s="14"/>
      <c r="S20" s="14"/>
      <c r="T20" s="14"/>
      <c r="U20" s="14"/>
      <c r="V20" s="14"/>
      <c r="W20" s="14"/>
      <c r="X20" s="14"/>
      <c r="Y20" s="14"/>
      <c r="Z20" s="14"/>
      <c r="AA20" s="14"/>
      <c r="AB20" s="14"/>
      <c r="AC20" s="14"/>
      <c r="AD20" s="14"/>
      <c r="AE20" s="14"/>
      <c r="AF20" s="14"/>
      <c r="AG20" s="14"/>
      <c r="AH20" s="14"/>
      <c r="AI20" s="14"/>
    </row>
    <row r="21" spans="2:35">
      <c r="B21" s="14"/>
      <c r="C21" s="14"/>
      <c r="D21" s="14"/>
      <c r="E21" s="14"/>
      <c r="F21" s="14"/>
      <c r="G21" s="14"/>
      <c r="H21" s="14"/>
      <c r="I21" s="14"/>
      <c r="J21" s="14"/>
      <c r="K21" s="14"/>
      <c r="L21" s="14"/>
      <c r="M21" s="14"/>
      <c r="N21" s="14"/>
      <c r="O21" s="14"/>
      <c r="P21" s="14"/>
      <c r="Q21" s="14"/>
      <c r="R21" s="14"/>
      <c r="S21" s="14"/>
      <c r="T21" s="14"/>
      <c r="U21" s="14"/>
      <c r="V21" s="14"/>
      <c r="W21" s="14"/>
      <c r="X21" s="14"/>
      <c r="Y21" s="14"/>
      <c r="Z21" s="14"/>
      <c r="AA21" s="14"/>
      <c r="AB21" s="14"/>
      <c r="AC21" s="14"/>
      <c r="AD21" s="14"/>
      <c r="AE21" s="14"/>
      <c r="AF21" s="14"/>
      <c r="AG21" s="14"/>
      <c r="AH21" s="14"/>
      <c r="AI21" s="14"/>
    </row>
    <row r="22" spans="2:35">
      <c r="B22" s="14"/>
      <c r="C22" s="14"/>
      <c r="D22" s="14"/>
      <c r="E22" s="14"/>
      <c r="F22" s="14"/>
      <c r="G22" s="14"/>
      <c r="H22" s="14"/>
      <c r="I22" s="14"/>
      <c r="J22" s="14"/>
      <c r="K22" s="14"/>
      <c r="L22" s="14"/>
      <c r="M22" s="14"/>
      <c r="N22" s="14"/>
      <c r="O22" s="14"/>
      <c r="P22" s="14"/>
      <c r="Q22" s="14"/>
      <c r="R22" s="14"/>
      <c r="S22" s="14"/>
      <c r="T22" s="14"/>
      <c r="U22" s="14"/>
      <c r="V22" s="14"/>
      <c r="W22" s="14"/>
      <c r="X22" s="14"/>
      <c r="Y22" s="14"/>
      <c r="Z22" s="14"/>
      <c r="AA22" s="14"/>
      <c r="AB22" s="14"/>
      <c r="AC22" s="14"/>
      <c r="AD22" s="14"/>
      <c r="AE22" s="14"/>
      <c r="AF22" s="14"/>
      <c r="AG22" s="14"/>
      <c r="AH22" s="14"/>
      <c r="AI22" s="14"/>
    </row>
    <row r="23" spans="2:35">
      <c r="B23" s="14"/>
      <c r="C23" s="14"/>
      <c r="D23" s="14"/>
      <c r="E23" s="14"/>
      <c r="F23" s="14"/>
      <c r="G23" s="14"/>
      <c r="H23" s="14"/>
      <c r="I23" s="14"/>
      <c r="J23" s="14"/>
      <c r="K23" s="14"/>
      <c r="L23" s="14"/>
      <c r="M23" s="14"/>
      <c r="N23" s="14"/>
      <c r="O23" s="14"/>
      <c r="P23" s="14"/>
      <c r="Q23" s="14"/>
      <c r="R23" s="14"/>
      <c r="S23" s="14"/>
      <c r="T23" s="14"/>
      <c r="U23" s="14"/>
      <c r="V23" s="14"/>
      <c r="W23" s="14"/>
      <c r="X23" s="14"/>
      <c r="Y23" s="14"/>
      <c r="Z23" s="14"/>
      <c r="AA23" s="14"/>
      <c r="AB23" s="14"/>
      <c r="AC23" s="14"/>
      <c r="AD23" s="14"/>
      <c r="AE23" s="14"/>
      <c r="AF23" s="14"/>
      <c r="AG23" s="14"/>
      <c r="AH23" s="14"/>
      <c r="AI23" s="14"/>
    </row>
    <row r="24" spans="2:35">
      <c r="B24" s="14"/>
      <c r="C24" s="14"/>
      <c r="D24" s="14"/>
      <c r="E24" s="14"/>
      <c r="F24" s="14"/>
      <c r="G24" s="14"/>
      <c r="H24" s="14"/>
      <c r="I24" s="14"/>
      <c r="J24" s="14"/>
      <c r="K24" s="14"/>
      <c r="L24" s="14"/>
      <c r="M24" s="14"/>
      <c r="N24" s="14"/>
      <c r="O24" s="14"/>
      <c r="P24" s="14"/>
      <c r="Q24" s="14"/>
      <c r="R24" s="14"/>
      <c r="S24" s="14"/>
      <c r="T24" s="14"/>
      <c r="U24" s="14"/>
      <c r="V24" s="14"/>
      <c r="W24" s="14"/>
      <c r="X24" s="14"/>
      <c r="Y24" s="14"/>
      <c r="Z24" s="14"/>
      <c r="AA24" s="14"/>
      <c r="AB24" s="14"/>
      <c r="AC24" s="14"/>
      <c r="AD24" s="14"/>
      <c r="AE24" s="14"/>
      <c r="AF24" s="14"/>
      <c r="AG24" s="14"/>
      <c r="AH24" s="14"/>
      <c r="AI24" s="14"/>
    </row>
    <row r="25" spans="2:35">
      <c r="B25" s="14"/>
      <c r="C25" s="14"/>
      <c r="D25" s="14"/>
      <c r="E25" s="14"/>
      <c r="F25" s="14"/>
      <c r="G25" s="14"/>
      <c r="H25" s="14"/>
      <c r="I25" s="14"/>
      <c r="J25" s="14"/>
      <c r="K25" s="14"/>
      <c r="L25" s="14"/>
      <c r="M25" s="14"/>
      <c r="N25" s="14"/>
      <c r="O25" s="14"/>
      <c r="P25" s="14"/>
      <c r="Q25" s="14"/>
      <c r="R25" s="14"/>
      <c r="S25" s="14"/>
      <c r="T25" s="14"/>
      <c r="U25" s="14"/>
      <c r="V25" s="14"/>
      <c r="W25" s="14"/>
      <c r="X25" s="14"/>
      <c r="Y25" s="14"/>
      <c r="Z25" s="14"/>
      <c r="AA25" s="14"/>
      <c r="AB25" s="14"/>
      <c r="AC25" s="14"/>
      <c r="AD25" s="14"/>
      <c r="AE25" s="14"/>
      <c r="AF25" s="14"/>
      <c r="AG25" s="14"/>
      <c r="AH25" s="14"/>
      <c r="AI25" s="14"/>
    </row>
    <row r="26" spans="2:35" ht="15.6">
      <c r="B26" s="1525" t="s">
        <v>397</v>
      </c>
      <c r="C26" s="1526"/>
      <c r="D26" s="1526"/>
      <c r="E26" s="1526"/>
      <c r="F26" s="1526"/>
      <c r="G26" s="1526"/>
      <c r="H26" s="1526"/>
      <c r="I26" s="1527"/>
      <c r="J26" s="325"/>
      <c r="K26" s="1528" t="s">
        <v>398</v>
      </c>
      <c r="L26" s="1528"/>
      <c r="M26" s="1528"/>
      <c r="N26" s="1528"/>
      <c r="O26" s="1528"/>
      <c r="P26" s="1528"/>
      <c r="Q26" s="1528"/>
      <c r="R26" s="325"/>
      <c r="S26" s="1529" t="s">
        <v>399</v>
      </c>
      <c r="T26" s="1529"/>
      <c r="U26" s="1529"/>
      <c r="V26" s="1529"/>
      <c r="W26" s="1529"/>
      <c r="X26" s="1529"/>
      <c r="Y26" s="1529"/>
      <c r="Z26" s="325"/>
      <c r="AA26" s="1529" t="s">
        <v>400</v>
      </c>
      <c r="AB26" s="1529"/>
      <c r="AC26" s="1529"/>
      <c r="AD26" s="1529"/>
      <c r="AE26" s="1529"/>
      <c r="AF26" s="1529"/>
      <c r="AG26" s="1529"/>
      <c r="AH26" s="325"/>
      <c r="AI26" s="14"/>
    </row>
    <row r="27" spans="2:35">
      <c r="B27" s="14"/>
      <c r="C27" s="14"/>
      <c r="D27" s="14"/>
      <c r="E27" s="14"/>
      <c r="F27" s="14"/>
      <c r="G27" s="14"/>
      <c r="H27" s="14"/>
      <c r="I27" s="14"/>
      <c r="J27" s="14"/>
      <c r="K27" s="14"/>
      <c r="L27" s="14"/>
      <c r="M27" s="14"/>
      <c r="N27" s="14"/>
      <c r="O27" s="14"/>
      <c r="P27" s="14"/>
      <c r="Q27" s="14"/>
      <c r="R27" s="14"/>
      <c r="S27" s="14"/>
      <c r="T27" s="14"/>
      <c r="U27" s="14"/>
      <c r="V27" s="14"/>
      <c r="W27" s="14"/>
      <c r="X27" s="14"/>
      <c r="Y27" s="14"/>
      <c r="Z27" s="14"/>
      <c r="AA27" s="14"/>
      <c r="AB27" s="14"/>
      <c r="AC27" s="14"/>
      <c r="AD27" s="14"/>
      <c r="AE27" s="14"/>
      <c r="AF27" s="14"/>
      <c r="AG27" s="14"/>
      <c r="AH27" s="14"/>
      <c r="AI27" s="14"/>
    </row>
    <row r="28" spans="2:35">
      <c r="B28" s="1523" t="s">
        <v>401</v>
      </c>
      <c r="C28" s="1523"/>
      <c r="D28" s="1523"/>
      <c r="E28" s="1523"/>
      <c r="F28" s="14"/>
      <c r="G28" s="14"/>
      <c r="H28" s="14"/>
      <c r="I28" s="14"/>
      <c r="J28" s="14"/>
      <c r="K28" s="14"/>
      <c r="L28" s="14"/>
      <c r="M28" s="14"/>
      <c r="N28" s="14"/>
      <c r="O28" s="14"/>
      <c r="P28" s="14"/>
      <c r="Q28" s="14"/>
      <c r="R28" s="14"/>
      <c r="S28" s="14"/>
      <c r="T28" s="14"/>
      <c r="U28" s="14"/>
      <c r="V28" s="14"/>
      <c r="W28" s="14"/>
      <c r="X28" s="14"/>
      <c r="Y28" s="14"/>
      <c r="Z28" s="14"/>
      <c r="AA28" s="14"/>
      <c r="AB28" s="14"/>
      <c r="AC28" s="14"/>
      <c r="AD28" s="14"/>
      <c r="AE28" s="14"/>
      <c r="AF28" s="14"/>
      <c r="AG28" s="14"/>
      <c r="AH28" s="14"/>
      <c r="AI28" s="14"/>
    </row>
    <row r="29" spans="2:35">
      <c r="B29" s="14"/>
      <c r="C29" s="14"/>
      <c r="D29" s="14"/>
      <c r="E29" s="14"/>
      <c r="F29" s="14"/>
      <c r="G29" s="14"/>
      <c r="H29" s="14"/>
      <c r="I29" s="14"/>
      <c r="J29" s="14"/>
      <c r="K29" s="14"/>
      <c r="L29" s="14"/>
      <c r="M29" s="14"/>
      <c r="N29" s="14"/>
      <c r="O29" s="14"/>
      <c r="P29" s="14"/>
      <c r="Q29" s="14"/>
      <c r="R29" s="14"/>
      <c r="S29" s="14"/>
      <c r="T29" s="14"/>
      <c r="U29" s="14"/>
      <c r="V29" s="14"/>
      <c r="W29" s="14"/>
      <c r="X29" s="14"/>
      <c r="Y29" s="14"/>
      <c r="Z29" s="14"/>
      <c r="AA29" s="14"/>
      <c r="AB29" s="14"/>
      <c r="AC29" s="14"/>
      <c r="AD29" s="14"/>
      <c r="AE29" s="14"/>
      <c r="AF29" s="14"/>
      <c r="AG29" s="14"/>
      <c r="AH29" s="14"/>
      <c r="AI29" s="14"/>
    </row>
    <row r="30" spans="2:35" ht="15.6" customHeight="1">
      <c r="B30" s="1519" t="s">
        <v>402</v>
      </c>
      <c r="C30" s="1519"/>
      <c r="D30" s="1519"/>
      <c r="E30" s="1519"/>
      <c r="F30" s="1519"/>
      <c r="G30" s="1519"/>
      <c r="H30" s="1524"/>
      <c r="I30" s="1524"/>
      <c r="J30" s="1524"/>
      <c r="K30" s="1519" t="s">
        <v>403</v>
      </c>
      <c r="L30" s="1519"/>
      <c r="M30" s="1519"/>
      <c r="N30" s="1519"/>
      <c r="O30" s="1519"/>
      <c r="P30" s="1519"/>
      <c r="Q30" s="1519"/>
      <c r="R30" s="1521">
        <v>0</v>
      </c>
      <c r="S30" s="1521"/>
      <c r="T30" s="1521"/>
      <c r="U30" s="1521"/>
      <c r="V30" s="14"/>
      <c r="W30" s="1519" t="s">
        <v>404</v>
      </c>
      <c r="X30" s="1519"/>
      <c r="Y30" s="1519"/>
      <c r="Z30" s="1519"/>
      <c r="AA30" s="1519"/>
      <c r="AB30" s="1519"/>
      <c r="AC30" s="1518" t="s">
        <v>47</v>
      </c>
      <c r="AD30" s="1518"/>
      <c r="AE30" s="1518"/>
      <c r="AF30" s="1518"/>
      <c r="AG30" s="1518"/>
      <c r="AH30" s="1518"/>
      <c r="AI30" s="14"/>
    </row>
    <row r="31" spans="2:35">
      <c r="B31" s="1519"/>
      <c r="C31" s="1519"/>
      <c r="D31" s="1519"/>
      <c r="E31" s="1519"/>
      <c r="F31" s="1519"/>
      <c r="G31" s="1519"/>
      <c r="H31" s="1524"/>
      <c r="I31" s="1524"/>
      <c r="J31" s="1524"/>
      <c r="K31" s="1519"/>
      <c r="L31" s="1519"/>
      <c r="M31" s="1519"/>
      <c r="N31" s="1519"/>
      <c r="O31" s="1519"/>
      <c r="P31" s="1519"/>
      <c r="Q31" s="1519"/>
      <c r="R31" s="1521"/>
      <c r="S31" s="1521"/>
      <c r="T31" s="1521"/>
      <c r="U31" s="1521"/>
      <c r="V31" s="14"/>
      <c r="W31" s="1519"/>
      <c r="X31" s="1519"/>
      <c r="Y31" s="1519"/>
      <c r="Z31" s="1519"/>
      <c r="AA31" s="1519"/>
      <c r="AB31" s="1519"/>
      <c r="AC31" s="1518"/>
      <c r="AD31" s="1518"/>
      <c r="AE31" s="1518"/>
      <c r="AF31" s="1518"/>
      <c r="AG31" s="1518"/>
      <c r="AH31" s="1518"/>
      <c r="AI31" s="14"/>
    </row>
    <row r="32" spans="2:35">
      <c r="B32" s="1519" t="s">
        <v>405</v>
      </c>
      <c r="C32" s="1519"/>
      <c r="D32" s="1519"/>
      <c r="E32" s="1519"/>
      <c r="F32" s="1519"/>
      <c r="G32" s="1519"/>
      <c r="H32" s="1521">
        <v>0</v>
      </c>
      <c r="I32" s="1521"/>
      <c r="J32" s="1521"/>
      <c r="K32" s="1519" t="s">
        <v>406</v>
      </c>
      <c r="L32" s="1519"/>
      <c r="M32" s="1519"/>
      <c r="N32" s="1519"/>
      <c r="O32" s="1519"/>
      <c r="P32" s="1519"/>
      <c r="Q32" s="1519"/>
      <c r="R32" s="1521">
        <f>H32-R30</f>
        <v>0</v>
      </c>
      <c r="S32" s="1521"/>
      <c r="T32" s="1521"/>
      <c r="U32" s="1521"/>
      <c r="V32" s="14"/>
      <c r="W32" s="1519" t="s">
        <v>407</v>
      </c>
      <c r="X32" s="1519"/>
      <c r="Y32" s="1519"/>
      <c r="Z32" s="1519"/>
      <c r="AA32" s="1519"/>
      <c r="AB32" s="1519"/>
      <c r="AC32" s="1518"/>
      <c r="AD32" s="1518"/>
      <c r="AE32" s="1518"/>
      <c r="AF32" s="1518"/>
      <c r="AG32" s="1518"/>
      <c r="AH32" s="1518"/>
      <c r="AI32" s="14"/>
    </row>
    <row r="33" spans="2:35">
      <c r="B33" s="1519"/>
      <c r="C33" s="1519"/>
      <c r="D33" s="1519"/>
      <c r="E33" s="1519"/>
      <c r="F33" s="1519"/>
      <c r="G33" s="1519"/>
      <c r="H33" s="1521"/>
      <c r="I33" s="1521"/>
      <c r="J33" s="1521"/>
      <c r="K33" s="1519"/>
      <c r="L33" s="1519"/>
      <c r="M33" s="1519"/>
      <c r="N33" s="1519"/>
      <c r="O33" s="1519"/>
      <c r="P33" s="1519"/>
      <c r="Q33" s="1519"/>
      <c r="R33" s="1521"/>
      <c r="S33" s="1521"/>
      <c r="T33" s="1521"/>
      <c r="U33" s="1521"/>
      <c r="V33" s="14"/>
      <c r="W33" s="1519"/>
      <c r="X33" s="1519"/>
      <c r="Y33" s="1519"/>
      <c r="Z33" s="1519"/>
      <c r="AA33" s="1519"/>
      <c r="AB33" s="1519"/>
      <c r="AC33" s="1518"/>
      <c r="AD33" s="1518"/>
      <c r="AE33" s="1518"/>
      <c r="AF33" s="1518"/>
      <c r="AG33" s="1518"/>
      <c r="AH33" s="1518"/>
      <c r="AI33" s="14"/>
    </row>
    <row r="34" spans="2:35">
      <c r="B34" s="14" t="s">
        <v>408</v>
      </c>
      <c r="C34" s="14"/>
      <c r="D34" s="14"/>
      <c r="E34" s="14"/>
      <c r="F34" s="14"/>
      <c r="G34" s="14"/>
      <c r="H34" s="14"/>
      <c r="I34" s="14"/>
      <c r="J34" s="14"/>
      <c r="K34" s="14"/>
      <c r="L34" s="14"/>
      <c r="M34" s="14"/>
      <c r="N34" s="14"/>
      <c r="O34" s="14"/>
      <c r="P34" s="14"/>
      <c r="Q34" s="14"/>
      <c r="R34" s="14"/>
      <c r="S34" s="14"/>
      <c r="T34" s="14"/>
      <c r="U34" s="14"/>
      <c r="V34" s="14"/>
      <c r="W34" s="14"/>
      <c r="X34" s="14"/>
      <c r="Y34" s="14"/>
      <c r="Z34" s="14"/>
      <c r="AA34" s="14"/>
      <c r="AB34" s="14"/>
      <c r="AC34" s="14"/>
      <c r="AD34" s="14"/>
      <c r="AE34" s="14"/>
      <c r="AF34" s="14"/>
      <c r="AG34" s="14"/>
      <c r="AH34" s="14"/>
      <c r="AI34" s="14"/>
    </row>
    <row r="35" spans="2:35">
      <c r="B35" s="967"/>
      <c r="C35" s="967"/>
      <c r="D35" s="967"/>
      <c r="E35" s="967"/>
      <c r="F35" s="967"/>
      <c r="G35" s="967"/>
      <c r="H35" s="967"/>
      <c r="I35" s="967"/>
      <c r="J35" s="967"/>
      <c r="K35" s="967"/>
      <c r="L35" s="967"/>
      <c r="M35" s="967"/>
      <c r="N35" s="967"/>
      <c r="O35" s="967"/>
      <c r="P35" s="967"/>
      <c r="Q35" s="967"/>
      <c r="R35" s="967"/>
      <c r="S35" s="967"/>
      <c r="T35" s="967"/>
      <c r="U35" s="967"/>
      <c r="V35" s="967"/>
      <c r="W35" s="967"/>
      <c r="X35" s="967"/>
      <c r="Y35" s="967"/>
      <c r="Z35" s="967"/>
      <c r="AA35" s="967"/>
      <c r="AB35" s="967"/>
      <c r="AC35" s="967"/>
      <c r="AD35" s="967"/>
      <c r="AE35" s="967"/>
      <c r="AF35" s="967"/>
      <c r="AG35" s="967"/>
      <c r="AH35" s="967"/>
      <c r="AI35" s="967"/>
    </row>
    <row r="36" spans="2:35">
      <c r="B36" s="967"/>
      <c r="C36" s="967"/>
      <c r="D36" s="967"/>
      <c r="E36" s="967"/>
      <c r="F36" s="967"/>
      <c r="G36" s="967"/>
      <c r="H36" s="967"/>
      <c r="I36" s="967"/>
      <c r="J36" s="967"/>
      <c r="K36" s="967"/>
      <c r="L36" s="967"/>
      <c r="M36" s="967"/>
      <c r="N36" s="967"/>
      <c r="O36" s="967"/>
      <c r="P36" s="967"/>
      <c r="Q36" s="967"/>
      <c r="R36" s="967"/>
      <c r="S36" s="967"/>
      <c r="T36" s="967"/>
      <c r="U36" s="967"/>
      <c r="V36" s="967"/>
      <c r="W36" s="967"/>
      <c r="X36" s="967"/>
      <c r="Y36" s="967"/>
      <c r="Z36" s="967"/>
      <c r="AA36" s="967"/>
      <c r="AB36" s="967"/>
      <c r="AC36" s="967"/>
      <c r="AD36" s="967"/>
      <c r="AE36" s="967"/>
      <c r="AF36" s="967"/>
      <c r="AG36" s="967"/>
      <c r="AH36" s="967"/>
      <c r="AI36" s="967"/>
    </row>
    <row r="37" spans="2:35">
      <c r="B37" s="967"/>
      <c r="C37" s="967"/>
      <c r="D37" s="967"/>
      <c r="E37" s="967"/>
      <c r="F37" s="967"/>
      <c r="G37" s="967"/>
      <c r="H37" s="967"/>
      <c r="I37" s="967"/>
      <c r="J37" s="967"/>
      <c r="K37" s="967"/>
      <c r="L37" s="967"/>
      <c r="M37" s="967"/>
      <c r="N37" s="967"/>
      <c r="O37" s="967"/>
      <c r="P37" s="967"/>
      <c r="Q37" s="967"/>
      <c r="R37" s="967"/>
      <c r="S37" s="967"/>
      <c r="T37" s="967"/>
      <c r="U37" s="967"/>
      <c r="V37" s="967"/>
      <c r="W37" s="967"/>
      <c r="X37" s="967"/>
      <c r="Y37" s="967"/>
      <c r="Z37" s="967"/>
      <c r="AA37" s="967"/>
      <c r="AB37" s="967"/>
      <c r="AC37" s="967"/>
      <c r="AD37" s="967"/>
      <c r="AE37" s="967"/>
      <c r="AF37" s="967"/>
      <c r="AG37" s="967"/>
      <c r="AH37" s="967"/>
      <c r="AI37" s="967"/>
    </row>
    <row r="38" spans="2:35">
      <c r="B38" s="967"/>
      <c r="C38" s="967"/>
      <c r="D38" s="967"/>
      <c r="E38" s="967"/>
      <c r="F38" s="967"/>
      <c r="G38" s="967"/>
      <c r="H38" s="967"/>
      <c r="I38" s="967"/>
      <c r="J38" s="967"/>
      <c r="K38" s="967"/>
      <c r="L38" s="967"/>
      <c r="M38" s="967"/>
      <c r="N38" s="967"/>
      <c r="O38" s="967"/>
      <c r="P38" s="967"/>
      <c r="Q38" s="967"/>
      <c r="R38" s="967"/>
      <c r="S38" s="967"/>
      <c r="T38" s="967"/>
      <c r="U38" s="967"/>
      <c r="V38" s="967"/>
      <c r="W38" s="967"/>
      <c r="X38" s="967"/>
      <c r="Y38" s="967"/>
      <c r="Z38" s="967"/>
      <c r="AA38" s="967"/>
      <c r="AB38" s="967"/>
      <c r="AC38" s="967"/>
      <c r="AD38" s="967"/>
      <c r="AE38" s="967"/>
      <c r="AF38" s="967"/>
      <c r="AG38" s="967"/>
      <c r="AH38" s="967"/>
      <c r="AI38" s="967"/>
    </row>
    <row r="39" spans="2:35">
      <c r="B39" s="967"/>
      <c r="C39" s="967"/>
      <c r="D39" s="967"/>
      <c r="E39" s="967"/>
      <c r="F39" s="967"/>
      <c r="G39" s="967"/>
      <c r="H39" s="967"/>
      <c r="I39" s="967"/>
      <c r="J39" s="967"/>
      <c r="K39" s="967"/>
      <c r="L39" s="967"/>
      <c r="M39" s="967"/>
      <c r="N39" s="967"/>
      <c r="O39" s="967"/>
      <c r="P39" s="967"/>
      <c r="Q39" s="967"/>
      <c r="R39" s="967"/>
      <c r="S39" s="967"/>
      <c r="T39" s="967"/>
      <c r="U39" s="967"/>
      <c r="V39" s="967"/>
      <c r="W39" s="967"/>
      <c r="X39" s="967"/>
      <c r="Y39" s="967"/>
      <c r="Z39" s="967"/>
      <c r="AA39" s="967"/>
      <c r="AB39" s="967"/>
      <c r="AC39" s="967"/>
      <c r="AD39" s="967"/>
      <c r="AE39" s="967"/>
      <c r="AF39" s="967"/>
      <c r="AG39" s="967"/>
      <c r="AH39" s="967"/>
      <c r="AI39" s="967"/>
    </row>
    <row r="40" spans="2:35">
      <c r="B40" s="967"/>
      <c r="C40" s="967"/>
      <c r="D40" s="967"/>
      <c r="E40" s="967"/>
      <c r="F40" s="967"/>
      <c r="G40" s="967"/>
      <c r="H40" s="967"/>
      <c r="I40" s="967"/>
      <c r="J40" s="967"/>
      <c r="K40" s="967"/>
      <c r="L40" s="967"/>
      <c r="M40" s="967"/>
      <c r="N40" s="967"/>
      <c r="O40" s="967"/>
      <c r="P40" s="967"/>
      <c r="Q40" s="967"/>
      <c r="R40" s="967"/>
      <c r="S40" s="967"/>
      <c r="T40" s="967"/>
      <c r="U40" s="967"/>
      <c r="V40" s="967"/>
      <c r="W40" s="967"/>
      <c r="X40" s="967"/>
      <c r="Y40" s="967"/>
      <c r="Z40" s="967"/>
      <c r="AA40" s="967"/>
      <c r="AB40" s="967"/>
      <c r="AC40" s="967"/>
      <c r="AD40" s="967"/>
      <c r="AE40" s="967"/>
      <c r="AF40" s="967"/>
      <c r="AG40" s="967"/>
      <c r="AH40" s="967"/>
      <c r="AI40" s="967"/>
    </row>
    <row r="41" spans="2:35">
      <c r="B41" s="967"/>
      <c r="C41" s="967"/>
      <c r="D41" s="967"/>
      <c r="E41" s="967"/>
      <c r="F41" s="967"/>
      <c r="G41" s="967"/>
      <c r="H41" s="967"/>
      <c r="I41" s="967"/>
      <c r="J41" s="967"/>
      <c r="K41" s="967"/>
      <c r="L41" s="967"/>
      <c r="M41" s="967"/>
      <c r="N41" s="967"/>
      <c r="O41" s="967"/>
      <c r="P41" s="967"/>
      <c r="Q41" s="967"/>
      <c r="R41" s="967"/>
      <c r="S41" s="967"/>
      <c r="T41" s="967"/>
      <c r="U41" s="967"/>
      <c r="V41" s="967"/>
      <c r="W41" s="967"/>
      <c r="X41" s="967"/>
      <c r="Y41" s="967"/>
      <c r="Z41" s="967"/>
      <c r="AA41" s="967"/>
      <c r="AB41" s="967"/>
      <c r="AC41" s="967"/>
      <c r="AD41" s="967"/>
      <c r="AE41" s="967"/>
      <c r="AF41" s="967"/>
      <c r="AG41" s="967"/>
      <c r="AH41" s="967"/>
      <c r="AI41" s="967"/>
    </row>
    <row r="42" spans="2:35">
      <c r="B42" s="967"/>
      <c r="C42" s="967"/>
      <c r="D42" s="967"/>
      <c r="E42" s="967"/>
      <c r="F42" s="967"/>
      <c r="G42" s="967"/>
      <c r="H42" s="967"/>
      <c r="I42" s="967"/>
      <c r="J42" s="967"/>
      <c r="K42" s="967"/>
      <c r="L42" s="967"/>
      <c r="M42" s="967"/>
      <c r="N42" s="967"/>
      <c r="O42" s="967"/>
      <c r="P42" s="967"/>
      <c r="Q42" s="967"/>
      <c r="R42" s="967"/>
      <c r="S42" s="967"/>
      <c r="T42" s="967"/>
      <c r="U42" s="967"/>
      <c r="V42" s="967"/>
      <c r="W42" s="967"/>
      <c r="X42" s="967"/>
      <c r="Y42" s="967"/>
      <c r="Z42" s="967"/>
      <c r="AA42" s="967"/>
      <c r="AB42" s="967"/>
      <c r="AC42" s="967"/>
      <c r="AD42" s="967"/>
      <c r="AE42" s="967"/>
      <c r="AF42" s="967"/>
      <c r="AG42" s="967"/>
      <c r="AH42" s="967"/>
      <c r="AI42" s="967"/>
    </row>
    <row r="43" spans="2:35">
      <c r="B43" s="967"/>
      <c r="C43" s="967"/>
      <c r="D43" s="967"/>
      <c r="E43" s="967"/>
      <c r="F43" s="967"/>
      <c r="G43" s="967"/>
      <c r="H43" s="967"/>
      <c r="I43" s="967"/>
      <c r="J43" s="967"/>
      <c r="K43" s="967"/>
      <c r="L43" s="967"/>
      <c r="M43" s="967"/>
      <c r="N43" s="967"/>
      <c r="O43" s="967"/>
      <c r="P43" s="967"/>
      <c r="Q43" s="967"/>
      <c r="R43" s="967"/>
      <c r="S43" s="967"/>
      <c r="T43" s="967"/>
      <c r="U43" s="967"/>
      <c r="V43" s="967"/>
      <c r="W43" s="967"/>
      <c r="X43" s="967"/>
      <c r="Y43" s="967"/>
      <c r="Z43" s="967"/>
      <c r="AA43" s="967"/>
      <c r="AB43" s="967"/>
      <c r="AC43" s="967"/>
      <c r="AD43" s="967"/>
      <c r="AE43" s="967"/>
      <c r="AF43" s="967"/>
      <c r="AG43" s="967"/>
      <c r="AH43" s="967"/>
      <c r="AI43" s="967"/>
    </row>
    <row r="44" spans="2:35">
      <c r="B44" s="967"/>
      <c r="C44" s="967"/>
      <c r="D44" s="967"/>
      <c r="E44" s="967"/>
      <c r="F44" s="967"/>
      <c r="G44" s="967"/>
      <c r="H44" s="967"/>
      <c r="I44" s="967"/>
      <c r="J44" s="967"/>
      <c r="K44" s="967"/>
      <c r="L44" s="967"/>
      <c r="M44" s="967"/>
      <c r="N44" s="967"/>
      <c r="O44" s="967"/>
      <c r="P44" s="967"/>
      <c r="Q44" s="967"/>
      <c r="R44" s="967"/>
      <c r="S44" s="967"/>
      <c r="T44" s="967"/>
      <c r="U44" s="967"/>
      <c r="V44" s="967"/>
      <c r="W44" s="967"/>
      <c r="X44" s="967"/>
      <c r="Y44" s="967"/>
      <c r="Z44" s="967"/>
      <c r="AA44" s="967"/>
      <c r="AB44" s="967"/>
      <c r="AC44" s="967"/>
      <c r="AD44" s="967"/>
      <c r="AE44" s="967"/>
      <c r="AF44" s="967"/>
      <c r="AG44" s="967"/>
      <c r="AH44" s="967"/>
      <c r="AI44" s="967"/>
    </row>
    <row r="45" spans="2:35">
      <c r="B45" s="14"/>
      <c r="C45" s="14"/>
      <c r="D45" s="14"/>
      <c r="E45" s="14"/>
      <c r="F45" s="14"/>
      <c r="G45" s="14"/>
      <c r="H45" s="14"/>
      <c r="I45" s="14"/>
      <c r="J45" s="14"/>
      <c r="K45" s="14"/>
      <c r="L45" s="14"/>
      <c r="M45" s="14"/>
      <c r="N45" s="14"/>
      <c r="O45" s="14"/>
      <c r="P45" s="14"/>
      <c r="Q45" s="14"/>
      <c r="R45" s="14"/>
      <c r="S45" s="14"/>
      <c r="T45" s="14"/>
      <c r="U45" s="14"/>
      <c r="V45" s="14"/>
      <c r="W45" s="14"/>
      <c r="X45" s="14"/>
      <c r="Y45" s="14"/>
      <c r="Z45" s="14"/>
      <c r="AA45" s="14"/>
      <c r="AB45" s="14"/>
      <c r="AC45" s="14"/>
      <c r="AD45" s="14"/>
      <c r="AE45" s="14"/>
      <c r="AF45" s="14"/>
      <c r="AG45" s="14"/>
      <c r="AH45" s="14"/>
      <c r="AI45" s="14"/>
    </row>
    <row r="46" spans="2:35" ht="14.45" customHeight="1">
      <c r="B46" s="1520" t="s">
        <v>409</v>
      </c>
      <c r="C46" s="1520"/>
      <c r="D46" s="1520"/>
      <c r="E46" s="1520"/>
      <c r="F46" s="1520"/>
      <c r="G46" s="1520"/>
      <c r="H46" s="1520"/>
      <c r="I46" s="1520"/>
      <c r="J46" s="1520"/>
      <c r="K46" s="1520"/>
      <c r="L46" s="1520"/>
      <c r="M46" s="1520"/>
      <c r="N46" s="1520"/>
      <c r="O46" s="1520"/>
      <c r="P46" s="1520"/>
      <c r="Q46" s="1520"/>
      <c r="R46" s="1520"/>
      <c r="S46" s="1520"/>
      <c r="T46" s="1520"/>
      <c r="U46" s="1520"/>
      <c r="V46" s="1520"/>
      <c r="W46" s="1520"/>
      <c r="X46" s="1520"/>
      <c r="Y46" s="1520"/>
      <c r="Z46" s="1520"/>
      <c r="AA46" s="1520"/>
      <c r="AB46" s="1520"/>
      <c r="AC46" s="1520"/>
      <c r="AD46" s="1520"/>
      <c r="AE46" s="1520"/>
      <c r="AF46" s="1520"/>
      <c r="AG46" s="1520"/>
      <c r="AH46" s="1520"/>
      <c r="AI46" s="1520"/>
    </row>
    <row r="47" spans="2:35">
      <c r="B47" s="1520"/>
      <c r="C47" s="1520"/>
      <c r="D47" s="1520"/>
      <c r="E47" s="1520"/>
      <c r="F47" s="1520"/>
      <c r="G47" s="1520"/>
      <c r="H47" s="1520"/>
      <c r="I47" s="1520"/>
      <c r="J47" s="1520"/>
      <c r="K47" s="1520"/>
      <c r="L47" s="1520"/>
      <c r="M47" s="1520"/>
      <c r="N47" s="1520"/>
      <c r="O47" s="1520"/>
      <c r="P47" s="1520"/>
      <c r="Q47" s="1520"/>
      <c r="R47" s="1520"/>
      <c r="S47" s="1520"/>
      <c r="T47" s="1520"/>
      <c r="U47" s="1520"/>
      <c r="V47" s="1520"/>
      <c r="W47" s="1520"/>
      <c r="X47" s="1520"/>
      <c r="Y47" s="1520"/>
      <c r="Z47" s="1520"/>
      <c r="AA47" s="1520"/>
      <c r="AB47" s="1520"/>
      <c r="AC47" s="1520"/>
      <c r="AD47" s="1520"/>
      <c r="AE47" s="1520"/>
      <c r="AF47" s="1520"/>
      <c r="AG47" s="1520"/>
      <c r="AH47" s="1520"/>
      <c r="AI47" s="1520"/>
    </row>
    <row r="48" spans="2:35">
      <c r="B48" s="1520"/>
      <c r="C48" s="1520"/>
      <c r="D48" s="1520"/>
      <c r="E48" s="1520"/>
      <c r="F48" s="1520"/>
      <c r="G48" s="1520"/>
      <c r="H48" s="1520"/>
      <c r="I48" s="1520"/>
      <c r="J48" s="1520"/>
      <c r="K48" s="1520"/>
      <c r="L48" s="1520"/>
      <c r="M48" s="1520"/>
      <c r="N48" s="1520"/>
      <c r="O48" s="1520"/>
      <c r="P48" s="1520"/>
      <c r="Q48" s="1520"/>
      <c r="R48" s="1520"/>
      <c r="S48" s="1520"/>
      <c r="T48" s="1520"/>
      <c r="U48" s="1520"/>
      <c r="V48" s="1520"/>
      <c r="W48" s="1520"/>
      <c r="X48" s="1520"/>
      <c r="Y48" s="1520"/>
      <c r="Z48" s="1520"/>
      <c r="AA48" s="1520"/>
      <c r="AB48" s="1520"/>
      <c r="AC48" s="1520"/>
      <c r="AD48" s="1520"/>
      <c r="AE48" s="1520"/>
      <c r="AF48" s="1520"/>
      <c r="AG48" s="1520"/>
      <c r="AH48" s="1520"/>
      <c r="AI48" s="1520"/>
    </row>
    <row r="49" spans="2:35">
      <c r="B49" s="39"/>
      <c r="C49" s="14"/>
      <c r="D49" s="14"/>
      <c r="E49" s="14"/>
      <c r="F49" s="14"/>
      <c r="G49" s="14"/>
      <c r="H49" s="14"/>
      <c r="I49" s="14"/>
      <c r="J49" s="14"/>
      <c r="K49" s="14"/>
      <c r="L49" s="14"/>
      <c r="M49" s="14"/>
      <c r="N49" s="14"/>
      <c r="O49" s="14"/>
      <c r="P49" s="14"/>
      <c r="Q49" s="14"/>
      <c r="R49" s="14"/>
      <c r="S49" s="14"/>
      <c r="T49" s="14"/>
      <c r="U49" s="14"/>
      <c r="V49" s="14"/>
      <c r="W49" s="14"/>
      <c r="X49" s="14"/>
      <c r="Y49" s="14"/>
      <c r="Z49" s="14"/>
      <c r="AA49" s="14"/>
      <c r="AB49" s="14"/>
      <c r="AC49" s="14"/>
      <c r="AD49" s="14"/>
      <c r="AE49" s="14"/>
      <c r="AF49" s="14"/>
      <c r="AG49" s="14"/>
      <c r="AH49" s="14"/>
      <c r="AI49" s="14"/>
    </row>
    <row r="50" spans="2:35">
      <c r="B50" s="1136" t="s">
        <v>111</v>
      </c>
      <c r="C50" s="1136"/>
      <c r="D50" s="1136"/>
      <c r="E50" s="1136"/>
      <c r="F50" s="1400"/>
      <c r="G50" s="1400"/>
      <c r="H50" s="1400"/>
      <c r="I50" s="1400"/>
      <c r="J50" s="1400"/>
      <c r="K50" s="1400"/>
      <c r="L50" s="1400"/>
      <c r="M50" s="1400"/>
      <c r="N50" s="1400"/>
      <c r="O50" s="1400"/>
      <c r="P50" s="1400"/>
      <c r="Q50" s="14"/>
      <c r="R50" s="14"/>
      <c r="S50" s="14"/>
      <c r="T50" s="16" t="s">
        <v>75</v>
      </c>
      <c r="U50" s="14"/>
      <c r="V50" s="1400"/>
      <c r="W50" s="1400"/>
      <c r="X50" s="1400"/>
      <c r="Y50" s="1400"/>
      <c r="Z50" s="1400"/>
      <c r="AA50" s="1400"/>
      <c r="AB50" s="1400"/>
      <c r="AC50" s="14"/>
      <c r="AD50" s="14"/>
      <c r="AE50" s="14"/>
      <c r="AF50" s="14"/>
      <c r="AG50" s="14"/>
      <c r="AH50" s="14"/>
      <c r="AI50" s="14"/>
    </row>
    <row r="51" spans="2:35">
      <c r="B51" s="14"/>
      <c r="C51" s="14"/>
      <c r="D51" s="14"/>
      <c r="E51" s="14"/>
      <c r="F51" s="14"/>
      <c r="G51" s="14"/>
      <c r="H51" s="14"/>
      <c r="I51" s="14"/>
      <c r="J51" s="14"/>
      <c r="K51" s="14"/>
      <c r="L51" s="14"/>
      <c r="M51" s="14"/>
      <c r="N51" s="14"/>
      <c r="O51" s="14"/>
      <c r="P51" s="14"/>
      <c r="Q51" s="14"/>
      <c r="R51" s="14"/>
      <c r="S51" s="14"/>
      <c r="T51" s="14"/>
      <c r="U51" s="14"/>
      <c r="V51" s="14"/>
      <c r="W51" s="14"/>
      <c r="X51" s="14"/>
      <c r="Y51" s="14"/>
      <c r="Z51" s="14"/>
      <c r="AA51" s="14"/>
      <c r="AB51" s="14"/>
      <c r="AC51" s="14"/>
      <c r="AD51" s="14"/>
      <c r="AE51" s="14"/>
      <c r="AF51" s="14"/>
      <c r="AG51" s="14"/>
      <c r="AH51" s="14"/>
      <c r="AI51" s="14"/>
    </row>
  </sheetData>
  <mergeCells count="35">
    <mergeCell ref="B11:G11"/>
    <mergeCell ref="B12:H12"/>
    <mergeCell ref="B14:K14"/>
    <mergeCell ref="N14:AH14"/>
    <mergeCell ref="B6:G7"/>
    <mergeCell ref="H6:T7"/>
    <mergeCell ref="U6:X7"/>
    <mergeCell ref="Y6:AH7"/>
    <mergeCell ref="B8:G9"/>
    <mergeCell ref="H8:T9"/>
    <mergeCell ref="U8:X9"/>
    <mergeCell ref="Y8:AH9"/>
    <mergeCell ref="N15:AG15"/>
    <mergeCell ref="B28:E28"/>
    <mergeCell ref="B30:G31"/>
    <mergeCell ref="H30:J31"/>
    <mergeCell ref="K30:Q31"/>
    <mergeCell ref="R30:U31"/>
    <mergeCell ref="AC30:AH31"/>
    <mergeCell ref="B26:I26"/>
    <mergeCell ref="K26:Q26"/>
    <mergeCell ref="S26:Y26"/>
    <mergeCell ref="AA26:AG26"/>
    <mergeCell ref="AC32:AH33"/>
    <mergeCell ref="W30:AB31"/>
    <mergeCell ref="B35:AI44"/>
    <mergeCell ref="B46:AI48"/>
    <mergeCell ref="B50:E50"/>
    <mergeCell ref="F50:P50"/>
    <mergeCell ref="V50:AB50"/>
    <mergeCell ref="B32:G33"/>
    <mergeCell ref="H32:J33"/>
    <mergeCell ref="K32:Q33"/>
    <mergeCell ref="R32:U33"/>
    <mergeCell ref="W32:AB33"/>
  </mergeCells>
  <dataValidations count="2">
    <dataValidation type="list" allowBlank="1" showInputMessage="1" showErrorMessage="1" sqref="AC30" xr:uid="{50EFC49C-6416-48E0-AB00-3C27F1E847BE}">
      <formula1>"Please Select,Card,BACS,Cash,IFC"</formula1>
    </dataValidation>
    <dataValidation type="list" allowBlank="1" showInputMessage="1" showErrorMessage="1" sqref="L14 AH15 J26 Z26 AH26 R26 H30" xr:uid="{06ACEC2C-AA19-4E21-B5CE-B228ACC71FB0}">
      <formula1>"✓,X"</formula1>
    </dataValidation>
  </dataValidations>
  <pageMargins left="0.7" right="0.7" top="0.75" bottom="0.75" header="0.3" footer="0.3"/>
  <pageSetup paperSize="9" orientation="portrait" horizontalDpi="300" verticalDpi="300"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4B345A-F1A3-4777-8F3C-7AFFF51EE3DC}">
  <sheetPr codeName="Sheet6">
    <tabColor rgb="FFFF0000"/>
  </sheetPr>
  <dimension ref="A1:BF284"/>
  <sheetViews>
    <sheetView topLeftCell="C1" zoomScaleNormal="100" workbookViewId="0">
      <selection activeCell="K21" sqref="K21"/>
    </sheetView>
  </sheetViews>
  <sheetFormatPr defaultRowHeight="14.45"/>
  <cols>
    <col min="1" max="1" width="6" bestFit="1" customWidth="1"/>
    <col min="2" max="2" width="25.140625" bestFit="1" customWidth="1"/>
    <col min="3" max="3" width="7.5703125" bestFit="1" customWidth="1"/>
    <col min="4" max="4" width="4.5703125" bestFit="1" customWidth="1"/>
    <col min="5" max="5" width="30.7109375" bestFit="1" customWidth="1"/>
    <col min="6" max="6" width="7.5703125" bestFit="1" customWidth="1"/>
    <col min="7" max="7" width="13.28515625" bestFit="1" customWidth="1"/>
    <col min="8" max="8" width="10.28515625" customWidth="1"/>
    <col min="11" max="11" width="9" bestFit="1" customWidth="1"/>
    <col min="12" max="12" width="9.140625" customWidth="1"/>
    <col min="13" max="13" width="10" bestFit="1" customWidth="1"/>
    <col min="14" max="14" width="12.7109375" bestFit="1" customWidth="1"/>
    <col min="15" max="15" width="9.42578125" bestFit="1" customWidth="1"/>
    <col min="16" max="16" width="13.5703125" bestFit="1" customWidth="1"/>
    <col min="17" max="17" width="14.42578125" bestFit="1" customWidth="1"/>
    <col min="18" max="18" width="9.140625" bestFit="1" customWidth="1"/>
    <col min="19" max="19" width="9.7109375" bestFit="1" customWidth="1"/>
    <col min="20" max="20" width="11.5703125" bestFit="1" customWidth="1"/>
    <col min="23" max="23" width="10.7109375" bestFit="1" customWidth="1"/>
    <col min="25" max="25" width="11" bestFit="1" customWidth="1"/>
    <col min="27" max="27" width="11" bestFit="1" customWidth="1"/>
    <col min="28" max="28" width="10" bestFit="1" customWidth="1"/>
    <col min="29" max="29" width="10.7109375" bestFit="1" customWidth="1"/>
    <col min="46" max="46" width="10.85546875" bestFit="1" customWidth="1"/>
  </cols>
  <sheetData>
    <row r="1" spans="1:58">
      <c r="A1" t="s">
        <v>410</v>
      </c>
      <c r="K1" s="1534" t="s">
        <v>411</v>
      </c>
      <c r="L1" s="1535"/>
      <c r="M1" s="1535"/>
      <c r="N1" s="1535"/>
      <c r="O1" s="1535"/>
      <c r="P1" s="1535"/>
      <c r="Q1" s="1535"/>
      <c r="R1" s="1535"/>
      <c r="S1" s="1535"/>
      <c r="T1" s="1535"/>
      <c r="U1" s="1535"/>
      <c r="V1" s="1535"/>
      <c r="W1" s="1535"/>
      <c r="X1" s="1535"/>
      <c r="Y1" s="1535"/>
      <c r="Z1" s="1535"/>
      <c r="AC1" s="54" t="s">
        <v>412</v>
      </c>
      <c r="AD1" s="54" t="s">
        <v>331</v>
      </c>
      <c r="AE1" s="54" t="s">
        <v>334</v>
      </c>
      <c r="AF1" s="54" t="s">
        <v>336</v>
      </c>
      <c r="AG1" s="54" t="s">
        <v>338</v>
      </c>
      <c r="AH1" s="54" t="s">
        <v>339</v>
      </c>
      <c r="AI1" s="54" t="s">
        <v>341</v>
      </c>
      <c r="AJ1" s="54" t="s">
        <v>342</v>
      </c>
      <c r="AK1" s="54" t="s">
        <v>343</v>
      </c>
      <c r="AL1" s="54" t="s">
        <v>344</v>
      </c>
      <c r="AM1" s="54" t="s">
        <v>346</v>
      </c>
      <c r="AN1" s="54" t="s">
        <v>348</v>
      </c>
      <c r="AO1" s="54" t="s">
        <v>350</v>
      </c>
      <c r="AP1" s="54" t="s">
        <v>351</v>
      </c>
      <c r="AQ1" s="54" t="s">
        <v>353</v>
      </c>
      <c r="AR1" s="54" t="s">
        <v>354</v>
      </c>
      <c r="AT1" s="1537" t="s">
        <v>413</v>
      </c>
      <c r="AU1" s="1537"/>
      <c r="AV1" s="1537"/>
      <c r="AW1" s="1537"/>
      <c r="AX1" s="1537"/>
      <c r="AY1" s="1537"/>
      <c r="AZ1" s="1537"/>
      <c r="BA1" s="1537"/>
      <c r="BB1" s="1537"/>
      <c r="BC1" s="1537"/>
      <c r="BD1" s="1537"/>
      <c r="BE1" s="1537"/>
      <c r="BF1" s="1537"/>
    </row>
    <row r="2" spans="1:58">
      <c r="B2" s="333" t="s">
        <v>63</v>
      </c>
      <c r="C2" s="334">
        <v>350</v>
      </c>
      <c r="D2">
        <v>245</v>
      </c>
      <c r="E2" t="s">
        <v>358</v>
      </c>
      <c r="F2" s="55">
        <v>130</v>
      </c>
      <c r="G2" t="s">
        <v>414</v>
      </c>
      <c r="K2" s="27"/>
      <c r="L2" s="56" t="s">
        <v>331</v>
      </c>
      <c r="M2" s="56" t="s">
        <v>334</v>
      </c>
      <c r="N2" s="56" t="s">
        <v>336</v>
      </c>
      <c r="O2" s="56" t="s">
        <v>338</v>
      </c>
      <c r="P2" s="56" t="s">
        <v>339</v>
      </c>
      <c r="Q2" s="56" t="s">
        <v>341</v>
      </c>
      <c r="R2" s="56" t="s">
        <v>342</v>
      </c>
      <c r="S2" s="56" t="s">
        <v>343</v>
      </c>
      <c r="T2" s="56" t="s">
        <v>344</v>
      </c>
      <c r="U2" s="56" t="s">
        <v>346</v>
      </c>
      <c r="V2" s="56" t="s">
        <v>348</v>
      </c>
      <c r="W2" s="56" t="s">
        <v>350</v>
      </c>
      <c r="X2" s="56" t="s">
        <v>351</v>
      </c>
      <c r="Y2" s="56" t="s">
        <v>353</v>
      </c>
      <c r="Z2" s="56" t="s">
        <v>354</v>
      </c>
      <c r="AA2" s="56" t="s">
        <v>79</v>
      </c>
      <c r="AC2" s="57" t="s">
        <v>37</v>
      </c>
      <c r="AD2" s="4">
        <f>COUNTIFS(Pricing!$R$8:$AB$8,AC2)</f>
        <v>0</v>
      </c>
      <c r="AE2" s="4">
        <f>COUNTIFS(Pricing!$R$11:$AB$11,AC2)</f>
        <v>1</v>
      </c>
      <c r="AF2" s="4">
        <f>COUNTIFS(Pricing!$R$14:$AB$14,AC2)</f>
        <v>2</v>
      </c>
      <c r="AG2" s="4">
        <f>COUNTIFS(Pricing!$R$17:$AB$17,AC2)</f>
        <v>1</v>
      </c>
      <c r="AH2" s="4">
        <f>COUNTIFS(Pricing!$R$20:$AB$20,AC2)</f>
        <v>0</v>
      </c>
      <c r="AI2" s="4">
        <f>COUNTIFS(Pricing!$R$23:$AB$23,AC2)</f>
        <v>0</v>
      </c>
      <c r="AJ2" s="4">
        <f>COUNTIFS(Pricing!$R$26:$AB$26,AC2)</f>
        <v>0</v>
      </c>
      <c r="AK2" s="4">
        <f>COUNTIFS(Pricing!$R$29:$AB$29,AC2)</f>
        <v>0</v>
      </c>
      <c r="AL2" s="4">
        <f>COUNTIFS(Pricing!$R$32:$AB$32,AC2)</f>
        <v>0</v>
      </c>
      <c r="AM2" s="4">
        <f>COUNTIFS(Pricing!$R$35:$AB$35,AC2)</f>
        <v>0</v>
      </c>
      <c r="AN2" s="4">
        <f>COUNTIFS(Pricing!$R$38:$AB$38,AC2)</f>
        <v>0</v>
      </c>
      <c r="AO2" s="4">
        <f>COUNTIFS(Pricing!$R$41:$AB$41,AC2)</f>
        <v>0</v>
      </c>
      <c r="AP2" s="4">
        <f>COUNTIFS(Pricing!$R$44:$AB$44,AC2)</f>
        <v>0</v>
      </c>
      <c r="AQ2" s="4">
        <f>COUNTIFS(Pricing!$R$47:$AB$47,AC2)</f>
        <v>0</v>
      </c>
      <c r="AR2" s="4">
        <f>COUNTIFS(Pricing!$R$50:$AB$50,AC2)</f>
        <v>0</v>
      </c>
      <c r="AU2" t="s">
        <v>415</v>
      </c>
      <c r="AV2" t="s">
        <v>416</v>
      </c>
      <c r="AW2" t="s">
        <v>417</v>
      </c>
      <c r="AX2" t="s">
        <v>418</v>
      </c>
      <c r="AY2" t="s">
        <v>419</v>
      </c>
      <c r="AZ2" t="s">
        <v>420</v>
      </c>
      <c r="BA2" t="s">
        <v>421</v>
      </c>
      <c r="BB2" t="s">
        <v>422</v>
      </c>
      <c r="BC2" t="s">
        <v>423</v>
      </c>
      <c r="BD2" t="s">
        <v>424</v>
      </c>
    </row>
    <row r="3" spans="1:58">
      <c r="B3" s="333" t="s">
        <v>122</v>
      </c>
      <c r="C3" s="334">
        <v>70</v>
      </c>
      <c r="E3" t="s">
        <v>425</v>
      </c>
      <c r="F3" s="537">
        <v>159</v>
      </c>
      <c r="G3" t="s">
        <v>426</v>
      </c>
      <c r="H3" s="538">
        <v>0.33</v>
      </c>
      <c r="K3" s="58" t="s">
        <v>63</v>
      </c>
      <c r="L3" s="59">
        <f>((VLOOKUP(K3,$G$26:$H$36,2,0)*$N$33))+AA33+W33+L261+IF(AND(N33&gt;0,N33&lt;2),F9,0)</f>
        <v>2615.5664500000003</v>
      </c>
      <c r="M3" s="59">
        <f>((VLOOKUP(K3,$G$26:$H$36,2,0)*$N$34))+$AA$34+$W$34+M261+IF(AND(N34&gt;0,N34&lt;2),F9,0)</f>
        <v>338.29275000000001</v>
      </c>
      <c r="N3" s="59">
        <f>((VLOOKUP(K3,$G$26:$H$36,2,0)*$N$35))+$AA$35+$W$35+N261+IF(AND(N35&gt;0,N35&lt;2),F9,0)</f>
        <v>1349.6658</v>
      </c>
      <c r="O3" s="59">
        <f>((VLOOKUP(K3,$G$26:$H$36,2,0)*$N$36))+$AA$36+$W$36+O261+IF(AND(N36&gt;0,N36&lt;2),F9,0)</f>
        <v>813.23235</v>
      </c>
      <c r="P3" s="59">
        <f>((VLOOKUP(K3,$G$26:$H$36,2,0)*$N$37))+$AA$37+$W$37+P261+IF(AND(N37&gt;0,N37&lt;2),F9,0)</f>
        <v>0</v>
      </c>
      <c r="Q3" s="59">
        <f>((VLOOKUP(K3,$G$26:$H$36,2,0)*$N$38))+$AA$38+$W$38+Q261+IF(AND(N38&gt;0,N38&lt;2),F9,0)</f>
        <v>0</v>
      </c>
      <c r="R3" s="59">
        <f>((VLOOKUP(K3,$G$26:$H$36,2,0)*$N$39))+$AA$39+$W$39+R261+IF(AND(N39&gt;0,N39&lt;2),F9,0)</f>
        <v>0</v>
      </c>
      <c r="S3" s="59">
        <f>((VLOOKUP(K3,$G$26:$H$36,2,0)*$N$40))+$AA$40+$W$40+S261+IF(AND(N40&gt;0,N40&lt;2),F9,0)</f>
        <v>0</v>
      </c>
      <c r="T3" s="59">
        <f>((VLOOKUP(K3,$G$26:$H$36,2,0)*$N$41))+AA41+$W$41+T261+IF(AND(N41&gt;0,N41&lt;2),F9,0)</f>
        <v>0</v>
      </c>
      <c r="U3" s="59">
        <f>((VLOOKUP(K3,$G$26:$H$36,2,0)*$N$42))+$AA$42+$W$42+U261+IF(AND(N42&gt;0,N42&lt;2),F9,0)</f>
        <v>0</v>
      </c>
      <c r="V3" s="59">
        <f>(VLOOKUP(K3,$G$26:$H$36,2,0)*$N$43)+$AA$43+$W$43+V261+IF(AND(N43&gt;0,N43&lt;2),F9,0)</f>
        <v>0</v>
      </c>
      <c r="W3" s="59">
        <f>(VLOOKUP(K3,$G$26:$H$36,2,0)*$N$44)+$AA$44+$W$44+W261+IF(AND(N44&gt;0,N44&lt;2),F9,0)</f>
        <v>0</v>
      </c>
      <c r="X3" s="59">
        <f>(VLOOKUP(K3,$G$26:$H$36,2,0)*$N$45)+$AA$45+$W$45+X261+IF(AND(N45&gt;0,N45&lt;2),F9,0)</f>
        <v>0</v>
      </c>
      <c r="Y3" s="59">
        <f>(VLOOKUP(K3,$G$26:$H$36,2,0)*$N$46)+$AA$46+$W$46+Y261+IF(AND(N46&gt;0,N46&lt;2),F9,0)</f>
        <v>0</v>
      </c>
      <c r="Z3" s="59">
        <f>(VLOOKUP(K3,$G$26:$H$36,2,0)*$N$47) +$AA$47+$W$47+Z261+IF(AND(N47&gt;0,N47&lt;2),F9,0)</f>
        <v>0</v>
      </c>
      <c r="AA3" s="55">
        <f t="shared" ref="AA3:AA13" si="0">SUM(L3:Z3)</f>
        <v>5116.7573500000008</v>
      </c>
      <c r="AC3" s="4" t="s">
        <v>40</v>
      </c>
      <c r="AD3" s="4">
        <f>COUNTIFS(Pricing!$R$8:$AB$8,AC3)</f>
        <v>0</v>
      </c>
      <c r="AE3" s="4">
        <f>COUNTIFS(Pricing!$R$11:$AB$11,AC3)</f>
        <v>0</v>
      </c>
      <c r="AF3" s="4">
        <f>COUNTIFS(Pricing!$R$14:$AB$14,AC3)</f>
        <v>2</v>
      </c>
      <c r="AG3" s="4">
        <f>COUNTIFS(Pricing!$R$17:$AB$17,AC3)</f>
        <v>2</v>
      </c>
      <c r="AH3" s="4">
        <f>COUNTIFS(Pricing!$R$20:$AB$20,AC3)</f>
        <v>0</v>
      </c>
      <c r="AI3" s="4">
        <f>COUNTIFS(Pricing!$R$23:$AB$23,AC3)</f>
        <v>0</v>
      </c>
      <c r="AJ3" s="4">
        <f>COUNTIFS(Pricing!$R$26:$AB$26,AC3)</f>
        <v>0</v>
      </c>
      <c r="AK3" s="4">
        <f>COUNTIFS(Pricing!$R$29:$AB$29,AC3)</f>
        <v>0</v>
      </c>
      <c r="AL3" s="4">
        <f>COUNTIFS(Pricing!$R$32:$AB$32,AC3)</f>
        <v>0</v>
      </c>
      <c r="AM3" s="4">
        <f>COUNTIFS(Pricing!$R$35:$AB$35,AC3)</f>
        <v>0</v>
      </c>
      <c r="AN3" s="4">
        <f>COUNTIFS(Pricing!$R$38:$AB$38,AC3)</f>
        <v>0</v>
      </c>
      <c r="AO3" s="4">
        <f>COUNTIFS(Pricing!$R$41:$AB$41,AC3)</f>
        <v>0</v>
      </c>
      <c r="AP3" s="4">
        <f>COUNTIFS(Pricing!$R$44:$AB$44,AC3)</f>
        <v>0</v>
      </c>
      <c r="AQ3" s="4">
        <f>COUNTIFS(Pricing!$R$47:$AB$47,AC3)</f>
        <v>0</v>
      </c>
      <c r="AR3" s="4">
        <f>COUNTIFS(Pricing!$R$50:$AB$50,AC3)</f>
        <v>0</v>
      </c>
      <c r="AT3" t="s">
        <v>331</v>
      </c>
      <c r="AU3">
        <f>LEN(Pricing!R8)</f>
        <v>2</v>
      </c>
      <c r="AV3">
        <f>LEN(Pricing!S8)</f>
        <v>2</v>
      </c>
      <c r="AW3">
        <f>LEN(Pricing!T8)</f>
        <v>2</v>
      </c>
      <c r="AX3">
        <f>LEN(Pricing!U8)</f>
        <v>2</v>
      </c>
      <c r="AY3">
        <f>LEN(Pricing!V8)</f>
        <v>0</v>
      </c>
      <c r="AZ3">
        <f>LEN(Pricing!W8)</f>
        <v>0</v>
      </c>
      <c r="BA3">
        <f>LEN(Pricing!X8)</f>
        <v>0</v>
      </c>
      <c r="BB3">
        <f>LEN(Pricing!Y8)</f>
        <v>0</v>
      </c>
      <c r="BC3">
        <f>LEN(Pricing!Z8)</f>
        <v>0</v>
      </c>
      <c r="BD3">
        <f>LEN(Pricing!AA8)</f>
        <v>0</v>
      </c>
    </row>
    <row r="4" spans="1:58">
      <c r="B4" s="333" t="s">
        <v>123</v>
      </c>
      <c r="C4" s="334">
        <v>100</v>
      </c>
      <c r="E4" t="s">
        <v>427</v>
      </c>
      <c r="F4" s="55">
        <v>300</v>
      </c>
      <c r="G4" t="s">
        <v>428</v>
      </c>
      <c r="K4" s="58" t="s">
        <v>18</v>
      </c>
      <c r="L4" s="59">
        <f>((VLOOKUP(K4,$G$26:$H$36,2,0)*$N$33))+AA33+W33+$L$3</f>
        <v>3176.0449750000002</v>
      </c>
      <c r="M4" s="59">
        <f>((VLOOKUP(K4,$G$26:$H$36,2,0)*$N$34))+$AA$34+$W$34+M3</f>
        <v>394.712625</v>
      </c>
      <c r="N4" s="59">
        <f>((VLOOKUP(K4,$G$26:$H$36,2,0)*$N$35))+$AA$35+$W$35+N3</f>
        <v>1638.8798999999999</v>
      </c>
      <c r="O4" s="59">
        <f>((VLOOKUP(K4,$G$26:$H$36,2,0)*$N$36))+$AA$36+$W$36+O3</f>
        <v>987.49642500000004</v>
      </c>
      <c r="P4" s="59">
        <f>((VLOOKUP(K4,$G$26:$H$36,2,0)*$N$37))+$AA$37+$W$37+$P$3</f>
        <v>0</v>
      </c>
      <c r="Q4" s="59">
        <f>((VLOOKUP(K4,$G$26:$H$36,2,0)*$N$38))+$AA$38+$W$38+$Q$3</f>
        <v>0</v>
      </c>
      <c r="R4" s="59">
        <f>((VLOOKUP(K4,$G$26:$H$36,2,0)*$N$39))+$AA$39+$W$39+$R$3</f>
        <v>0</v>
      </c>
      <c r="S4" s="59">
        <f t="shared" ref="S4" si="1">((VLOOKUP(K4,$G$26:$H$36,2,0)*$N$40))+$AA$40+$W$40+$S$3</f>
        <v>0</v>
      </c>
      <c r="T4" s="59">
        <f t="shared" ref="T4" si="2">((VLOOKUP(K4,$G$26:$H$36,2,0)*$N$41))+AA42+$W$41+$T$3</f>
        <v>0</v>
      </c>
      <c r="U4" s="59">
        <f t="shared" ref="U4" si="3">((VLOOKUP(K4,$G$26:$H$36,2,0)*$N$42))+$AA$42+$W$42+$U$3</f>
        <v>0</v>
      </c>
      <c r="V4" s="59">
        <f t="shared" ref="V4" si="4">(VLOOKUP(K4,$G$26:$H$36,2,0)*$N$43)+$AA$43+$W$43+$V$3</f>
        <v>0</v>
      </c>
      <c r="W4" s="59">
        <f t="shared" ref="W4" si="5">(VLOOKUP(K4,$G$26:$H$36,2,0)*$N$44)+$AA$44+$W$44+$W$3</f>
        <v>0</v>
      </c>
      <c r="X4" s="59">
        <f t="shared" ref="X4" si="6">(VLOOKUP(K4,$G$26:$H$36,2,0)*$N$45)+$AA$45+$W$45+$X$3</f>
        <v>0</v>
      </c>
      <c r="Y4" s="59">
        <f t="shared" ref="Y4" si="7">(VLOOKUP(K4,$G$26:$H$36,2,0)*$N$46)+$AA$46+$X$46+$Y$3</f>
        <v>0</v>
      </c>
      <c r="Z4" s="59">
        <f t="shared" ref="Z4" si="8">(VLOOKUP(K4,$G$26:$H$36,2,0)*$N$47) +$AA$47+$W$47+$Z$3</f>
        <v>0</v>
      </c>
      <c r="AA4" s="55">
        <f t="shared" si="0"/>
        <v>6197.133925000001</v>
      </c>
      <c r="AC4" s="4" t="s">
        <v>429</v>
      </c>
      <c r="AD4" s="4">
        <f>COUNTIFS(Pricing!$R$8:$AB$8,AC4)*2</f>
        <v>0</v>
      </c>
      <c r="AE4" s="4">
        <f>COUNTIFS(Pricing!$R$11:$AB$11,AC4)*2</f>
        <v>0</v>
      </c>
      <c r="AF4" s="4">
        <f>COUNTIFS(Pricing!$R$14:$AB$14,AC4)*2</f>
        <v>0</v>
      </c>
      <c r="AG4" s="4">
        <f>COUNTIFS(Pricing!$R$17:$AB$17,AC4)*2</f>
        <v>0</v>
      </c>
      <c r="AH4" s="4">
        <f>COUNTIFS(Pricing!$R$20:$AB$20,AC4)*2</f>
        <v>0</v>
      </c>
      <c r="AI4" s="4">
        <f>COUNTIFS(Pricing!$R$23:$AB$23,AC4)*2</f>
        <v>0</v>
      </c>
      <c r="AJ4" s="4">
        <f>COUNTIFS(Pricing!$R$26:$AB$26,AC4)*2</f>
        <v>0</v>
      </c>
      <c r="AK4" s="4">
        <f>COUNTIFS(Pricing!$R$29:$AB$29,AC4)*2</f>
        <v>0</v>
      </c>
      <c r="AL4" s="4">
        <f>COUNTIFS(Pricing!$R$32:$AB$32,AC4)*2</f>
        <v>0</v>
      </c>
      <c r="AM4" s="4">
        <f>COUNTIFS(Pricing!$R$35:$AB$35,AC4)*2</f>
        <v>0</v>
      </c>
      <c r="AN4" s="4">
        <f>COUNTIFS(Pricing!$R$38:$AB$38,AC4)*2</f>
        <v>0</v>
      </c>
      <c r="AO4" s="4">
        <f>COUNTIFS(Pricing!$R$41:$AB$41,AC4)*2</f>
        <v>0</v>
      </c>
      <c r="AP4" s="4">
        <f>COUNTIFS(Pricing!$R$44:$AB$44,AC4)*2</f>
        <v>0</v>
      </c>
      <c r="AQ4" s="4">
        <f>COUNTIFS(Pricing!$R$47:$AB$47,AC4)*2</f>
        <v>0</v>
      </c>
      <c r="AR4" s="4">
        <f>COUNTIFS(Pricing!$R$50:$AB$50,AC4)*2</f>
        <v>0</v>
      </c>
      <c r="AT4" t="s">
        <v>430</v>
      </c>
      <c r="AU4">
        <f>Pricing!R9</f>
        <v>0</v>
      </c>
      <c r="AV4">
        <f>Pricing!S9</f>
        <v>0</v>
      </c>
      <c r="AW4">
        <f>Pricing!T9</f>
        <v>0</v>
      </c>
      <c r="AX4">
        <f>Pricing!U9</f>
        <v>0</v>
      </c>
      <c r="AY4">
        <f>Pricing!V9</f>
        <v>0</v>
      </c>
      <c r="AZ4">
        <f>Pricing!W9</f>
        <v>0</v>
      </c>
      <c r="BA4">
        <f>Pricing!X9</f>
        <v>0</v>
      </c>
      <c r="BB4">
        <f>Pricing!Y9</f>
        <v>0</v>
      </c>
      <c r="BC4">
        <f>Pricing!Z9</f>
        <v>0</v>
      </c>
      <c r="BD4">
        <f>Pricing!AA9</f>
        <v>0</v>
      </c>
    </row>
    <row r="5" spans="1:58">
      <c r="B5" s="333" t="s">
        <v>125</v>
      </c>
      <c r="C5" s="334">
        <v>190</v>
      </c>
      <c r="E5" t="s">
        <v>431</v>
      </c>
      <c r="F5" s="55">
        <v>29</v>
      </c>
      <c r="G5" t="s">
        <v>428</v>
      </c>
      <c r="K5" s="58" t="str">
        <f t="shared" ref="K5:K12" si="9">G28</f>
        <v>Aruba Express</v>
      </c>
      <c r="L5" s="59">
        <f>((VLOOKUP(K5,$G$26:$H$36,2,0)*$N$33))+AA33+W33+$L$3</f>
        <v>3213.41021</v>
      </c>
      <c r="M5" s="59">
        <f>((VLOOKUP(K5,$G$26:$H$36,2,0)*$N$34))+$AA$34+$W$34+M3</f>
        <v>398.47395</v>
      </c>
      <c r="N5" s="59">
        <f>((VLOOKUP(K5,$G$26:$H$36,2,0)*$N$35))+$AA$35+$W$35+N3</f>
        <v>1658.16084</v>
      </c>
      <c r="O5" s="59">
        <f>((VLOOKUP(K5,$G$26:$H$36,2,0)*$N$36))+$AA$36+$W$36+O3</f>
        <v>999.11402999999996</v>
      </c>
      <c r="P5" s="59">
        <f t="shared" ref="P5:P12" si="10">((VLOOKUP(K5,$G$26:$H$36,2,0)*$N$37))+$AA$37+$W$37+$P$3</f>
        <v>0</v>
      </c>
      <c r="Q5" s="59">
        <f t="shared" ref="Q5:Q13" si="11">((VLOOKUP(K5,$G$26:$H$36,2,0)*$N$38))+$AA$38+$W$38+$Q$3</f>
        <v>0</v>
      </c>
      <c r="R5" s="59">
        <f>((VLOOKUP(K5,$G$26:$H$36,2,0)*$N$39))+$AA$39+$W$39+$R$3</f>
        <v>0</v>
      </c>
      <c r="S5" s="59">
        <f t="shared" ref="S5:S13" si="12">((VLOOKUP(K5,$G$26:$H$36,2,0)*$N$40))+$AA$40+$W$40+$S$3</f>
        <v>0</v>
      </c>
      <c r="T5" s="59">
        <f t="shared" ref="T5:T13" si="13">((VLOOKUP(K5,$G$26:$H$36,2,0)*$N$41))+AA43+$W$41+$T$3</f>
        <v>0</v>
      </c>
      <c r="U5" s="59">
        <f>((VLOOKUP(K5,$G$26:$H$36,2,0)*$N$42))+$AA$42+$W$42+$U$3</f>
        <v>0</v>
      </c>
      <c r="V5" s="59">
        <f t="shared" ref="V5:V13" si="14">(VLOOKUP(K5,$G$26:$H$36,2,0)*$N$43)+$AA$43+$W$43+$V$3</f>
        <v>0</v>
      </c>
      <c r="W5" s="59">
        <f t="shared" ref="W5:W13" si="15">(VLOOKUP(K5,$G$26:$H$36,2,0)*$N$44)+$AA$44+$W$44+$W$3</f>
        <v>0</v>
      </c>
      <c r="X5" s="59">
        <f t="shared" ref="X5:X13" si="16">(VLOOKUP(K5,$G$26:$H$36,2,0)*$N$45)+$AA$45+$W$45+$X$3</f>
        <v>0</v>
      </c>
      <c r="Y5" s="59">
        <f t="shared" ref="Y5:Y13" si="17">(VLOOKUP(K5,$G$26:$H$36,2,0)*$N$46)+$AA$46+$X$46+$Y$3</f>
        <v>0</v>
      </c>
      <c r="Z5" s="59">
        <f t="shared" ref="Z5:Z13" si="18">(VLOOKUP(K5,$G$26:$H$36,2,0)*$N$47) +$AA$47+$W$47+$Z$3</f>
        <v>0</v>
      </c>
      <c r="AA5" s="55">
        <f t="shared" si="0"/>
        <v>6269.1590299999998</v>
      </c>
      <c r="AC5" s="4" t="s">
        <v>432</v>
      </c>
      <c r="AD5" s="4">
        <f>COUNTIFS(Pricing!$R$8:$AB$8,AC5)*2</f>
        <v>0</v>
      </c>
      <c r="AE5" s="4">
        <f>COUNTIFS(Pricing!$R$11:$AB$11,AC5)*2</f>
        <v>0</v>
      </c>
      <c r="AF5" s="4">
        <f>COUNTIFS(Pricing!$R$14:$AB$14,AC5)*2</f>
        <v>0</v>
      </c>
      <c r="AG5" s="4">
        <f>COUNTIFS(Pricing!$R$17:$AB$17,AC5)*2</f>
        <v>0</v>
      </c>
      <c r="AH5" s="4">
        <f>COUNTIFS(Pricing!$R$20:$AB$20,AC5)*2</f>
        <v>0</v>
      </c>
      <c r="AI5" s="4">
        <f>COUNTIFS(Pricing!$R$23:$AB$23,AC5)*2</f>
        <v>0</v>
      </c>
      <c r="AJ5" s="4">
        <f>COUNTIFS(Pricing!$R$26:$AB$26,AC5)*2</f>
        <v>0</v>
      </c>
      <c r="AK5" s="4">
        <f>COUNTIFS(Pricing!$R$29:$AB$29,AC5)*2</f>
        <v>0</v>
      </c>
      <c r="AL5" s="4">
        <f>COUNTIFS(Pricing!$R$32:$AB$32,AC5)*2</f>
        <v>0</v>
      </c>
      <c r="AM5" s="4">
        <f>COUNTIFS(Pricing!$R$35:$AB$35,AC5)*2</f>
        <v>0</v>
      </c>
      <c r="AN5" s="4">
        <f>COUNTIFS(Pricing!$R$38:$AB$38,AC5)*2</f>
        <v>0</v>
      </c>
      <c r="AO5" s="4">
        <f>COUNTIFS(Pricing!$R$41:$AB$41,AC5)*2</f>
        <v>0</v>
      </c>
      <c r="AP5" s="4">
        <f>COUNTIFS(Pricing!$R$44:$AB$44,AC5)*2</f>
        <v>0</v>
      </c>
      <c r="AQ5" s="4">
        <f>COUNTIFS(Pricing!$R$47:$AB$47,AC5)*2</f>
        <v>0</v>
      </c>
      <c r="AR5" s="4">
        <f>COUNTIFS(Pricing!$R$50:$AB$50,AC5)*2</f>
        <v>0</v>
      </c>
      <c r="AT5" t="s">
        <v>433</v>
      </c>
      <c r="AU5" t="e">
        <f>IF(AND(Helper!C21=TRUE,Matrix2!AU12&gt;750),"Fail","Work")</f>
        <v>#VALUE!</v>
      </c>
    </row>
    <row r="6" spans="1:58">
      <c r="B6" s="333" t="s">
        <v>124</v>
      </c>
      <c r="C6" s="334">
        <v>165</v>
      </c>
      <c r="E6" t="s">
        <v>434</v>
      </c>
      <c r="F6" s="55">
        <v>29</v>
      </c>
      <c r="G6" t="s">
        <v>428</v>
      </c>
      <c r="K6" s="58" t="str">
        <f t="shared" si="9"/>
        <v>Antigua</v>
      </c>
      <c r="L6" s="59">
        <f>((VLOOKUP(K6,$G$26:$H$36,2,0)*$N$33))+AA33+W33+$L$3</f>
        <v>3176.0449750000002</v>
      </c>
      <c r="M6" s="59">
        <f t="shared" ref="M6:M13" si="19">((VLOOKUP(K6,$G$26:$H$36,2,0)*$N$34))+$AA$34+$W$34+$M$3</f>
        <v>394.712625</v>
      </c>
      <c r="N6" s="59">
        <f t="shared" ref="N6:N13" si="20">((VLOOKUP(K6,$G$26:$H$36,2,0)*$N$35))+$AA$35+$W$35+$N$3</f>
        <v>1638.8798999999999</v>
      </c>
      <c r="O6" s="59">
        <f t="shared" ref="O6:O13" si="21">((VLOOKUP(K6,$G$26:$H$36,2,0)*$N$36))+$AA$36+$W$36+$O$3</f>
        <v>987.49642500000004</v>
      </c>
      <c r="P6" s="59">
        <f t="shared" si="10"/>
        <v>0</v>
      </c>
      <c r="Q6" s="59">
        <f>((VLOOKUP(K6,$G$26:$H$36,2,0)*$N$38))+$AA$38+$W$38+$Q$3</f>
        <v>0</v>
      </c>
      <c r="R6" s="59">
        <f t="shared" ref="R6:R13" si="22">((VLOOKUP(K6,$G$26:$H$36,2,0)*$N$39))+$AA$39+$W$39+$R$3</f>
        <v>0</v>
      </c>
      <c r="S6" s="59">
        <f t="shared" si="12"/>
        <v>0</v>
      </c>
      <c r="T6" s="59">
        <f t="shared" si="13"/>
        <v>0</v>
      </c>
      <c r="U6" s="59">
        <f>((VLOOKUP(K6,$G$26:$H$36,2,0)*$N$42))+$AA$42+$W$42+$U$3</f>
        <v>0</v>
      </c>
      <c r="V6" s="59">
        <f t="shared" si="14"/>
        <v>0</v>
      </c>
      <c r="W6" s="59">
        <f t="shared" si="15"/>
        <v>0</v>
      </c>
      <c r="X6" s="59">
        <f t="shared" si="16"/>
        <v>0</v>
      </c>
      <c r="Y6" s="59">
        <f t="shared" si="17"/>
        <v>0</v>
      </c>
      <c r="Z6" s="59">
        <f t="shared" si="18"/>
        <v>0</v>
      </c>
      <c r="AA6" s="55">
        <f t="shared" si="0"/>
        <v>6197.133925000001</v>
      </c>
      <c r="AC6" s="4" t="s">
        <v>25</v>
      </c>
      <c r="AD6" s="4">
        <f>COUNTIFS(Pricing!$R$8:$AB$8,AC6)*2</f>
        <v>8</v>
      </c>
      <c r="AE6" s="4">
        <f>COUNTIFS(Pricing!$R$11:$AB$11,AC6)*2</f>
        <v>0</v>
      </c>
      <c r="AF6" s="4">
        <f>COUNTIFS(Pricing!$R$14:$AB$14,AC6)*2</f>
        <v>0</v>
      </c>
      <c r="AG6" s="4">
        <f>COUNTIFS(Pricing!$R$17:$AB$17,AC6)*2</f>
        <v>0</v>
      </c>
      <c r="AH6" s="4">
        <f>COUNTIFS(Pricing!$R$20:$AB$20,AC6)*2</f>
        <v>0</v>
      </c>
      <c r="AI6" s="4">
        <f>COUNTIFS(Pricing!$R$23:$AB$23,AC6)*2</f>
        <v>0</v>
      </c>
      <c r="AJ6" s="4">
        <f>COUNTIFS(Pricing!$R$26:$AB$26,AC6)*2</f>
        <v>0</v>
      </c>
      <c r="AK6" s="4">
        <f>COUNTIFS(Pricing!$R$29:$AB$29,AC6)*2</f>
        <v>0</v>
      </c>
      <c r="AL6" s="4">
        <f>COUNTIFS(Pricing!$R$32:$AB$32,AC6)*2</f>
        <v>0</v>
      </c>
      <c r="AM6" s="4">
        <f>COUNTIFS(Pricing!$R$35:$AB$35,AC6)*2</f>
        <v>0</v>
      </c>
      <c r="AN6" s="4">
        <f>COUNTIFS(Pricing!$R$38:$AB$38,AC6)*2</f>
        <v>0</v>
      </c>
      <c r="AO6" s="4">
        <f>COUNTIFS(Pricing!$R$41:$AB$41,AC6)*2</f>
        <v>0</v>
      </c>
      <c r="AP6" s="4">
        <f>COUNTIFS(Pricing!$R$44:$AB$44,AC6)*2</f>
        <v>0</v>
      </c>
      <c r="AQ6" s="4">
        <f>COUNTIFS(Pricing!$R$47:$AB$47,AC6)*2</f>
        <v>0</v>
      </c>
      <c r="AR6" s="4">
        <f>COUNTIFS(Pricing!$R$50:$AB$50,AC6)*2</f>
        <v>0</v>
      </c>
      <c r="AT6" t="s">
        <v>1</v>
      </c>
    </row>
    <row r="7" spans="1:58">
      <c r="B7" s="333" t="s">
        <v>121</v>
      </c>
      <c r="C7" s="334">
        <v>180</v>
      </c>
      <c r="E7" t="s">
        <v>435</v>
      </c>
      <c r="F7" s="55">
        <v>50</v>
      </c>
      <c r="G7" t="s">
        <v>428</v>
      </c>
      <c r="K7" s="58" t="str">
        <f t="shared" si="9"/>
        <v>Bermuda</v>
      </c>
      <c r="L7" s="59">
        <f>((VLOOKUP(K7,$G$26:$H$36,2,0)*$N$33))+AA33+W33+$L$3</f>
        <v>3138.6797400000005</v>
      </c>
      <c r="M7" s="59">
        <f t="shared" si="19"/>
        <v>390.9513</v>
      </c>
      <c r="N7" s="59">
        <f t="shared" si="20"/>
        <v>1619.59896</v>
      </c>
      <c r="O7" s="59">
        <f t="shared" si="21"/>
        <v>975.87882000000002</v>
      </c>
      <c r="P7" s="59">
        <f t="shared" si="10"/>
        <v>0</v>
      </c>
      <c r="Q7" s="59">
        <f t="shared" si="11"/>
        <v>0</v>
      </c>
      <c r="R7" s="59">
        <f t="shared" si="22"/>
        <v>0</v>
      </c>
      <c r="S7" s="59">
        <f t="shared" si="12"/>
        <v>0</v>
      </c>
      <c r="T7" s="59">
        <f t="shared" si="13"/>
        <v>0</v>
      </c>
      <c r="U7" s="59">
        <f t="shared" ref="U7:U13" si="23">((VLOOKUP(K7,$G$26:$H$36,2,0)*$N$42))+$AA$42+$W$42+$U$3</f>
        <v>0</v>
      </c>
      <c r="V7" s="59">
        <f t="shared" si="14"/>
        <v>0</v>
      </c>
      <c r="W7" s="59">
        <f t="shared" si="15"/>
        <v>0</v>
      </c>
      <c r="X7" s="59">
        <f t="shared" si="16"/>
        <v>0</v>
      </c>
      <c r="Y7" s="59">
        <f t="shared" si="17"/>
        <v>0</v>
      </c>
      <c r="Z7" s="59">
        <f t="shared" si="18"/>
        <v>0</v>
      </c>
      <c r="AA7" s="55">
        <f t="shared" si="0"/>
        <v>6125.1088200000004</v>
      </c>
      <c r="AC7" s="4" t="s">
        <v>436</v>
      </c>
      <c r="AD7" s="4">
        <f>COUNTIFS(Pricing!$R$8:$AB$8,AC7)*2</f>
        <v>0</v>
      </c>
      <c r="AE7" s="4">
        <f>COUNTIFS(Pricing!$R$11:$AB$11,AC7)*2</f>
        <v>0</v>
      </c>
      <c r="AF7" s="4">
        <f>COUNTIFS(Pricing!$R$14:$AB$14,AC7)*2</f>
        <v>0</v>
      </c>
      <c r="AG7" s="4">
        <f>COUNTIFS(Pricing!$R$17:$AB$17,AC7)*2</f>
        <v>0</v>
      </c>
      <c r="AH7" s="4">
        <f>COUNTIFS(Pricing!$R$20:$AB$20,AC7)*2</f>
        <v>0</v>
      </c>
      <c r="AI7" s="4">
        <f>COUNTIFS(Pricing!$R$23:$AB$23,AC7)*2</f>
        <v>0</v>
      </c>
      <c r="AJ7" s="4">
        <f>COUNTIFS(Pricing!$R$26:$AB$26,AC7)*2</f>
        <v>0</v>
      </c>
      <c r="AK7" s="4">
        <f>COUNTIFS(Pricing!$R$29:$AB$29,AC7)*2</f>
        <v>0</v>
      </c>
      <c r="AL7" s="4">
        <f>COUNTIFS(Pricing!$R$32:$AB$32,AC7)*2</f>
        <v>0</v>
      </c>
      <c r="AM7" s="4">
        <f>COUNTIFS(Pricing!$R$35:$AB$35,AC7)*2</f>
        <v>0</v>
      </c>
      <c r="AN7" s="4">
        <f>COUNTIFS(Pricing!$R$38:$AB$38,AC7)*2</f>
        <v>0</v>
      </c>
      <c r="AO7" s="4">
        <f>COUNTIFS(Pricing!$R$41:$AB$41,AC7)*2</f>
        <v>0</v>
      </c>
      <c r="AP7" s="4">
        <f>COUNTIFS(Pricing!$R$44:$AB$44,AC7)*2</f>
        <v>0</v>
      </c>
      <c r="AQ7" s="4">
        <f>COUNTIFS(Pricing!$R$47:$AB$47,AC7)*2</f>
        <v>0</v>
      </c>
      <c r="AR7" s="4">
        <f>COUNTIFS(Pricing!$R$50:$AB$50,AC7)*2</f>
        <v>0</v>
      </c>
      <c r="AT7" t="s">
        <v>303</v>
      </c>
      <c r="AU7" t="e">
        <f>LEN(LEFT($AJ$22,LEN(LEFT(AJ22, SEARCH("(", AJ22)-1))))</f>
        <v>#VALUE!</v>
      </c>
    </row>
    <row r="8" spans="1:58">
      <c r="B8" t="s">
        <v>437</v>
      </c>
      <c r="C8" s="55">
        <v>20</v>
      </c>
      <c r="E8" t="s">
        <v>438</v>
      </c>
      <c r="F8" s="55">
        <v>200</v>
      </c>
      <c r="G8" t="s">
        <v>439</v>
      </c>
      <c r="K8" s="58" t="str">
        <f t="shared" si="9"/>
        <v>Capri</v>
      </c>
      <c r="L8" s="59">
        <f>((VLOOKUP(K8,$G$26:$H$36,2,0)*$N$33))+AA33+W33+$L$3</f>
        <v>3362.8711500000004</v>
      </c>
      <c r="M8" s="59">
        <f t="shared" si="19"/>
        <v>413.51925</v>
      </c>
      <c r="N8" s="59">
        <f t="shared" si="20"/>
        <v>1735.2846</v>
      </c>
      <c r="O8" s="59">
        <f t="shared" si="21"/>
        <v>1045.5844500000001</v>
      </c>
      <c r="P8" s="59">
        <f t="shared" si="10"/>
        <v>0</v>
      </c>
      <c r="Q8" s="59">
        <f t="shared" si="11"/>
        <v>0</v>
      </c>
      <c r="R8" s="59">
        <f t="shared" si="22"/>
        <v>0</v>
      </c>
      <c r="S8" s="59">
        <f t="shared" si="12"/>
        <v>0</v>
      </c>
      <c r="T8" s="59">
        <f t="shared" si="13"/>
        <v>0</v>
      </c>
      <c r="U8" s="59">
        <f t="shared" si="23"/>
        <v>0</v>
      </c>
      <c r="V8" s="59">
        <f t="shared" si="14"/>
        <v>0</v>
      </c>
      <c r="W8" s="59">
        <f t="shared" si="15"/>
        <v>0</v>
      </c>
      <c r="X8" s="59">
        <f t="shared" si="16"/>
        <v>0</v>
      </c>
      <c r="Y8" s="59">
        <f t="shared" si="17"/>
        <v>0</v>
      </c>
      <c r="Z8" s="59">
        <f t="shared" si="18"/>
        <v>0</v>
      </c>
      <c r="AA8" s="55">
        <f t="shared" si="0"/>
        <v>6557.2594500000005</v>
      </c>
      <c r="AC8" s="4" t="s">
        <v>440</v>
      </c>
      <c r="AD8" s="4">
        <f>COUNTIFS(Pricing!$R$8:$AB$8,AC8)*2</f>
        <v>0</v>
      </c>
      <c r="AE8" s="4">
        <f>COUNTIFS(Pricing!$R$11:$AB$11,AC8)*2</f>
        <v>0</v>
      </c>
      <c r="AF8" s="4">
        <f>COUNTIFS(Pricing!$R$14:$AB$14,AC8)*2</f>
        <v>0</v>
      </c>
      <c r="AG8" s="4">
        <f>COUNTIFS(Pricing!$R$17:$AB$17,AC8)*2</f>
        <v>0</v>
      </c>
      <c r="AH8" s="4">
        <f>COUNTIFS(Pricing!$R$20:$AB$20,AC8)*2</f>
        <v>0</v>
      </c>
      <c r="AI8" s="4">
        <f>COUNTIFS(Pricing!$R$23:$AB$23,AC8)*2</f>
        <v>0</v>
      </c>
      <c r="AJ8" s="4">
        <f>COUNTIFS(Pricing!$R$26:$AB$26,AC8)*2</f>
        <v>0</v>
      </c>
      <c r="AK8" s="4">
        <f>COUNTIFS(Pricing!$R$29:$AB$29,AC8)*2</f>
        <v>0</v>
      </c>
      <c r="AL8" s="4">
        <f>COUNTIFS(Pricing!$R$32:$AB$32,AC8)*2</f>
        <v>0</v>
      </c>
      <c r="AM8" s="4">
        <f>COUNTIFS(Pricing!$R$35:$AB$35,AC8)*2</f>
        <v>0</v>
      </c>
      <c r="AN8" s="4">
        <f>COUNTIFS(Pricing!$R$38:$AB$38,AC8)*2</f>
        <v>0</v>
      </c>
      <c r="AO8" s="4">
        <f>COUNTIFS(Pricing!$R$41:$AB$41,AC8)*2</f>
        <v>0</v>
      </c>
      <c r="AP8" s="4">
        <f>COUNTIFS(Pricing!$R$44:$AB$44,AC8)*2</f>
        <v>0</v>
      </c>
      <c r="AQ8" s="4">
        <f>COUNTIFS(Pricing!$R$47:$AB$47,AC8)*2</f>
        <v>0</v>
      </c>
      <c r="AR8" s="4">
        <f>COUNTIFS(Pricing!$R$50:$AB$50,AC8)*2</f>
        <v>0</v>
      </c>
      <c r="AT8" t="s">
        <v>2</v>
      </c>
      <c r="AU8" t="e">
        <f>MID(LEFT(AJ22,FIND(")",AJ22)-1),FIND("(",AJ22)+1,LEN(AJ22))</f>
        <v>#VALUE!</v>
      </c>
      <c r="AV8" t="e">
        <f>MID(LEFT(AJ22,FIND(")",AJ22)-1),FIND("(",AJ22, FIND(")", AJ22, FIND("(",AJ22)+1) +2),LEN(AV3))</f>
        <v>#VALUE!</v>
      </c>
    </row>
    <row r="9" spans="1:58">
      <c r="A9">
        <v>15</v>
      </c>
      <c r="B9" t="s">
        <v>78</v>
      </c>
      <c r="C9" s="537">
        <v>30</v>
      </c>
      <c r="D9" s="538">
        <v>0.5</v>
      </c>
      <c r="E9" t="s">
        <v>441</v>
      </c>
      <c r="F9" s="55">
        <v>75</v>
      </c>
      <c r="K9" s="58" t="str">
        <f t="shared" si="9"/>
        <v>Cuba</v>
      </c>
      <c r="L9" s="59">
        <f>((VLOOKUP(K9,$G$26:$H$36,2,0)*$N$33))+AA33+W33+$L$3</f>
        <v>3362.8711500000004</v>
      </c>
      <c r="M9" s="59">
        <f t="shared" si="19"/>
        <v>413.51925</v>
      </c>
      <c r="N9" s="59">
        <f t="shared" si="20"/>
        <v>1735.2846</v>
      </c>
      <c r="O9" s="59">
        <f t="shared" si="21"/>
        <v>1045.5844500000001</v>
      </c>
      <c r="P9" s="59">
        <f t="shared" si="10"/>
        <v>0</v>
      </c>
      <c r="Q9" s="59">
        <f t="shared" si="11"/>
        <v>0</v>
      </c>
      <c r="R9" s="59">
        <f t="shared" si="22"/>
        <v>0</v>
      </c>
      <c r="S9" s="59">
        <f t="shared" si="12"/>
        <v>0</v>
      </c>
      <c r="T9" s="59">
        <f t="shared" si="13"/>
        <v>0</v>
      </c>
      <c r="U9" s="59">
        <f t="shared" si="23"/>
        <v>0</v>
      </c>
      <c r="V9" s="59">
        <f t="shared" si="14"/>
        <v>0</v>
      </c>
      <c r="W9" s="59">
        <f t="shared" si="15"/>
        <v>0</v>
      </c>
      <c r="X9" s="59">
        <f t="shared" si="16"/>
        <v>0</v>
      </c>
      <c r="Y9" s="59">
        <f t="shared" si="17"/>
        <v>0</v>
      </c>
      <c r="Z9" s="59">
        <f t="shared" si="18"/>
        <v>0</v>
      </c>
      <c r="AA9" s="55">
        <f t="shared" si="0"/>
        <v>6557.2594500000005</v>
      </c>
      <c r="AC9" s="4" t="s">
        <v>442</v>
      </c>
      <c r="AD9" s="4">
        <f>COUNTIFS(Pricing!$R$8:$AB$8,AC9)*2</f>
        <v>0</v>
      </c>
      <c r="AE9" s="4">
        <f>COUNTIFS(Pricing!$R$11:$AB$11,AC9)*2</f>
        <v>0</v>
      </c>
      <c r="AF9" s="4">
        <f>COUNTIFS(Pricing!$R$14:$AB$14,AC9)*2</f>
        <v>0</v>
      </c>
      <c r="AG9" s="4">
        <f>COUNTIFS(Pricing!$R$17:$AB$17,AC9)*2</f>
        <v>0</v>
      </c>
      <c r="AH9" s="4">
        <f>COUNTIFS(Pricing!$R$20:$AB$20,AC9)*2</f>
        <v>0</v>
      </c>
      <c r="AI9" s="4">
        <f>COUNTIFS(Pricing!$R$23:$AB$23,AC9)*2</f>
        <v>0</v>
      </c>
      <c r="AJ9" s="4">
        <f>COUNTIFS(Pricing!$R$26:$AB$26,AC9)*2</f>
        <v>0</v>
      </c>
      <c r="AK9" s="4">
        <f>COUNTIFS(Pricing!$R$29:$AB$29,AC9)*2</f>
        <v>0</v>
      </c>
      <c r="AL9" s="4">
        <f>COUNTIFS(Pricing!$R$32:$AB$32,AC9)*2</f>
        <v>0</v>
      </c>
      <c r="AM9" s="4">
        <f>COUNTIFS(Pricing!$R$35:$AB$35,AC9)*2</f>
        <v>0</v>
      </c>
      <c r="AN9" s="4">
        <f>COUNTIFS(Pricing!$R$38:$AB$38,AC9)*2</f>
        <v>0</v>
      </c>
      <c r="AO9" s="4">
        <f>COUNTIFS(Pricing!$R$41:$AB$41,AC9)*2</f>
        <v>0</v>
      </c>
      <c r="AP9" s="4">
        <f>COUNTIFS(Pricing!$R$44:$AB$44,AC9)*2</f>
        <v>0</v>
      </c>
      <c r="AQ9" s="4">
        <f>COUNTIFS(Pricing!$R$47:$AB$47,AC9)*2</f>
        <v>0</v>
      </c>
      <c r="AR9" s="4">
        <f>COUNTIFS(Pricing!$R$50:$AB$50,AC9)*2</f>
        <v>0</v>
      </c>
      <c r="AT9" t="s">
        <v>443</v>
      </c>
      <c r="AU9" t="s">
        <v>444</v>
      </c>
      <c r="AV9" t="s">
        <v>445</v>
      </c>
      <c r="AW9" t="s">
        <v>446</v>
      </c>
      <c r="AX9" t="s">
        <v>447</v>
      </c>
      <c r="AY9" t="s">
        <v>448</v>
      </c>
      <c r="AZ9" t="s">
        <v>449</v>
      </c>
      <c r="BA9" t="s">
        <v>450</v>
      </c>
      <c r="BB9" t="s">
        <v>451</v>
      </c>
      <c r="BC9" t="s">
        <v>452</v>
      </c>
      <c r="BD9" t="s">
        <v>453</v>
      </c>
    </row>
    <row r="10" spans="1:58">
      <c r="B10" t="s">
        <v>61</v>
      </c>
      <c r="C10" s="155">
        <v>0.4</v>
      </c>
      <c r="E10" t="s">
        <v>454</v>
      </c>
      <c r="F10" s="55">
        <v>100</v>
      </c>
      <c r="G10" t="s">
        <v>439</v>
      </c>
      <c r="K10" s="58" t="str">
        <f t="shared" si="9"/>
        <v>Fiji</v>
      </c>
      <c r="L10" s="59">
        <f>((VLOOKUP(K10,$G$26:$H$36,2,0)*$N$33))+AA33+W33+$L$3</f>
        <v>3848.619205</v>
      </c>
      <c r="M10" s="59">
        <f t="shared" si="19"/>
        <v>462.41647499999999</v>
      </c>
      <c r="N10" s="59">
        <f t="shared" si="20"/>
        <v>1985.9368199999999</v>
      </c>
      <c r="O10" s="59">
        <f t="shared" si="21"/>
        <v>1196.6133150000001</v>
      </c>
      <c r="P10" s="59">
        <f t="shared" si="10"/>
        <v>0</v>
      </c>
      <c r="Q10" s="59">
        <f t="shared" si="11"/>
        <v>0</v>
      </c>
      <c r="R10" s="59">
        <f t="shared" si="22"/>
        <v>0</v>
      </c>
      <c r="S10" s="59">
        <f t="shared" si="12"/>
        <v>0</v>
      </c>
      <c r="T10" s="59">
        <f t="shared" si="13"/>
        <v>0</v>
      </c>
      <c r="U10" s="59">
        <f t="shared" si="23"/>
        <v>0</v>
      </c>
      <c r="V10" s="59">
        <f t="shared" si="14"/>
        <v>0</v>
      </c>
      <c r="W10" s="59">
        <f t="shared" si="15"/>
        <v>0</v>
      </c>
      <c r="X10" s="59">
        <f t="shared" si="16"/>
        <v>0</v>
      </c>
      <c r="Y10" s="59">
        <f t="shared" si="17"/>
        <v>0</v>
      </c>
      <c r="Z10" s="59">
        <f t="shared" si="18"/>
        <v>0</v>
      </c>
      <c r="AA10" s="55">
        <f t="shared" si="0"/>
        <v>7493.5858150000004</v>
      </c>
      <c r="AC10" s="4" t="s">
        <v>455</v>
      </c>
      <c r="AD10" s="4">
        <f>COUNTIFS(Pricing!$R$8:$AB$8,AC10)*2</f>
        <v>0</v>
      </c>
      <c r="AE10" s="4">
        <f>COUNTIFS(Pricing!$R$11:$AB$11,AC10)*2</f>
        <v>0</v>
      </c>
      <c r="AF10" s="4">
        <f>COUNTIFS(Pricing!$R$14:$AB$14,AC10)*2</f>
        <v>0</v>
      </c>
      <c r="AG10" s="4">
        <f>COUNTIFS(Pricing!$R$17:$AB$17,AC10)*2</f>
        <v>0</v>
      </c>
      <c r="AH10" s="4">
        <f>COUNTIFS(Pricing!$R$20:$AB$20,AC10)*2</f>
        <v>0</v>
      </c>
      <c r="AI10" s="4">
        <f>COUNTIFS(Pricing!$R$23:$AB$23,AC10)*2</f>
        <v>0</v>
      </c>
      <c r="AJ10" s="4">
        <f>COUNTIFS(Pricing!$R$26:$AB$26,AC10)*2</f>
        <v>0</v>
      </c>
      <c r="AK10" s="4">
        <f>COUNTIFS(Pricing!$R$29:$AB$29,AC10)*2</f>
        <v>0</v>
      </c>
      <c r="AL10" s="4">
        <f>COUNTIFS(Pricing!$R$32:$AB$32,AC10)*2</f>
        <v>0</v>
      </c>
      <c r="AM10" s="4">
        <f>COUNTIFS(Pricing!$R$35:$AB$35,AC10)*2</f>
        <v>0</v>
      </c>
      <c r="AN10" s="4">
        <f>COUNTIFS(Pricing!$R$38:$AB$38,AC10)*2</f>
        <v>0</v>
      </c>
      <c r="AO10" s="4">
        <f>COUNTIFS(Pricing!$R$41:$AB$41,AC10)*2</f>
        <v>0</v>
      </c>
      <c r="AP10" s="4">
        <f>COUNTIFS(Pricing!$R$44:$AB$44,AC10)*2</f>
        <v>0</v>
      </c>
      <c r="AQ10" s="4">
        <f>COUNTIFS(Pricing!$R$47:$AB$47,AC10)*2</f>
        <v>0</v>
      </c>
      <c r="AR10" s="4">
        <f>COUNTIFS(Pricing!$R$50:$AB$50,AC10)*2</f>
        <v>0</v>
      </c>
      <c r="AT10" t="s">
        <v>331</v>
      </c>
      <c r="AU10" s="4"/>
      <c r="AV10" s="4"/>
    </row>
    <row r="11" spans="1:58">
      <c r="B11" t="s">
        <v>456</v>
      </c>
      <c r="C11" s="55">
        <v>105</v>
      </c>
      <c r="E11" t="s">
        <v>457</v>
      </c>
      <c r="F11" s="537">
        <v>300</v>
      </c>
      <c r="G11" t="s">
        <v>458</v>
      </c>
      <c r="H11" s="538">
        <v>0.33</v>
      </c>
      <c r="K11" s="58" t="str">
        <f t="shared" si="9"/>
        <v>Java</v>
      </c>
      <c r="L11" s="59">
        <f>((VLOOKUP(K11,$G$26:$H$36,2,0)*$N$33))+AA33+W33+$L$3</f>
        <v>4035.4453800000001</v>
      </c>
      <c r="M11" s="59">
        <f t="shared" si="19"/>
        <v>481.22310000000004</v>
      </c>
      <c r="N11" s="59">
        <f t="shared" si="20"/>
        <v>2082.3415199999999</v>
      </c>
      <c r="O11" s="59">
        <f t="shared" si="21"/>
        <v>1254.7013400000001</v>
      </c>
      <c r="P11" s="59">
        <f t="shared" si="10"/>
        <v>0</v>
      </c>
      <c r="Q11" s="59">
        <f t="shared" si="11"/>
        <v>0</v>
      </c>
      <c r="R11" s="59">
        <f t="shared" si="22"/>
        <v>0</v>
      </c>
      <c r="S11" s="59">
        <f t="shared" si="12"/>
        <v>0</v>
      </c>
      <c r="T11" s="59">
        <f t="shared" si="13"/>
        <v>0</v>
      </c>
      <c r="U11" s="59">
        <f t="shared" si="23"/>
        <v>0</v>
      </c>
      <c r="V11" s="59">
        <f t="shared" si="14"/>
        <v>0</v>
      </c>
      <c r="W11" s="59">
        <f t="shared" si="15"/>
        <v>0</v>
      </c>
      <c r="X11" s="59">
        <f t="shared" si="16"/>
        <v>0</v>
      </c>
      <c r="Y11" s="59">
        <f t="shared" si="17"/>
        <v>0</v>
      </c>
      <c r="Z11" s="59">
        <f t="shared" si="18"/>
        <v>0</v>
      </c>
      <c r="AA11" s="55">
        <f t="shared" si="0"/>
        <v>7853.7113399999998</v>
      </c>
      <c r="AC11" s="4" t="s">
        <v>459</v>
      </c>
      <c r="AD11" s="4">
        <f>COUNTIFS(Pricing!$R$8:$AB$8,AC11)*2</f>
        <v>0</v>
      </c>
      <c r="AE11" s="4">
        <f>COUNTIFS(Pricing!$R$11:$AB$11,AC11)*2</f>
        <v>0</v>
      </c>
      <c r="AF11" s="4">
        <f>COUNTIFS(Pricing!$R$14:$AB$14,AC11)*2</f>
        <v>0</v>
      </c>
      <c r="AG11" s="4">
        <f>COUNTIFS(Pricing!$R$17:$AB$17,AC11)*2</f>
        <v>0</v>
      </c>
      <c r="AH11" s="4">
        <f>COUNTIFS(Pricing!$R$20:$AB$20,AC11)*2</f>
        <v>0</v>
      </c>
      <c r="AI11" s="4">
        <f>COUNTIFS(Pricing!$R$23:$AB$23,AC11)*2</f>
        <v>0</v>
      </c>
      <c r="AJ11" s="4">
        <f>COUNTIFS(Pricing!$R$26:$AB$26,AC11)*2</f>
        <v>0</v>
      </c>
      <c r="AK11" s="4">
        <f>COUNTIFS(Pricing!$R$29:$AB$29,AC11)*2</f>
        <v>0</v>
      </c>
      <c r="AL11" s="4">
        <f>COUNTIFS(Pricing!$R$32:$AB$32,AC11)*2</f>
        <v>0</v>
      </c>
      <c r="AM11" s="4">
        <f>COUNTIFS(Pricing!$R$35:$AB$35,AC11)*2</f>
        <v>0</v>
      </c>
      <c r="AN11" s="4">
        <f>COUNTIFS(Pricing!$R$38:$AB$38,AC11)*2</f>
        <v>0</v>
      </c>
      <c r="AO11" s="4">
        <f>COUNTIFS(Pricing!$R$41:$AB$41,AC11)*2</f>
        <v>0</v>
      </c>
      <c r="AP11" s="4">
        <f>COUNTIFS(Pricing!$R$44:$AB$44,AC11)*2</f>
        <v>0</v>
      </c>
      <c r="AQ11" s="4">
        <f>COUNTIFS(Pricing!$R$47:$AB$47,AC11)*2</f>
        <v>0</v>
      </c>
      <c r="AR11" s="4">
        <f>COUNTIFS(Pricing!$R$50:$AB$50,AC11)*2</f>
        <v>0</v>
      </c>
      <c r="AT11" t="s">
        <v>460</v>
      </c>
      <c r="AU11" s="4" cm="1">
        <f t="array" ref="AU11">MIN(IF(AU4:BD4&gt;0,AU4:BD4))</f>
        <v>0</v>
      </c>
      <c r="AV11" s="4" cm="1">
        <f t="array" ref="AV11">IF(AU11=0,,MIN(IF(AU4:BD4&gt;AU11,AU4:BD4)))</f>
        <v>0</v>
      </c>
      <c r="AW11" cm="1">
        <f t="array" ref="AW11">IF(AV11=0,,MIN(IF(AU4:BD4&gt;AV11,AU4:BD4)))</f>
        <v>0</v>
      </c>
      <c r="AX11" cm="1">
        <f t="array" ref="AX11">IF(AW11=0,,MIN(IF(AU4:BD4&gt;AW11,AU4:BD4)))</f>
        <v>0</v>
      </c>
      <c r="AY11" cm="1">
        <f t="array" ref="AY11">IF(AX11=0,,MIN(IF(AU4:BD4&gt;AX11,AU4:BD4)))</f>
        <v>0</v>
      </c>
      <c r="AZ11" cm="1">
        <f t="array" ref="AZ11">IF(AY11=0,,MIN(IF(AU4:BD4&gt;AY11,AU4:BD4)))</f>
        <v>0</v>
      </c>
      <c r="BA11" cm="1">
        <f t="array" ref="BA11">IF(AZ11=0,,MIN(IF(AU4:BD4&gt;AZ11,AU4:BD4)))</f>
        <v>0</v>
      </c>
      <c r="BB11" cm="1">
        <f t="array" ref="BB11">IF(BA11=0,,MIN(IF(AU4:BD4&gt;BA11,AU4:BD4)))</f>
        <v>0</v>
      </c>
      <c r="BC11" cm="1">
        <f t="array" ref="BC11">IF(BB11=0,,MIN(IF(AU4:BD4&gt;BB11,AU4:BD4)))</f>
        <v>0</v>
      </c>
      <c r="BD11" cm="1">
        <f t="array" ref="BD11">IF(BC11=0,,MIN(IF(AU4:BD4&gt;BC11,AU4:BD4)))</f>
        <v>0</v>
      </c>
    </row>
    <row r="12" spans="1:58">
      <c r="B12" t="s">
        <v>226</v>
      </c>
      <c r="C12" s="155">
        <v>0.25</v>
      </c>
      <c r="D12" s="155">
        <v>0.2</v>
      </c>
      <c r="E12" t="s">
        <v>461</v>
      </c>
      <c r="F12" s="55">
        <v>20</v>
      </c>
      <c r="G12" t="s">
        <v>426</v>
      </c>
      <c r="I12" s="55"/>
      <c r="K12" s="58" t="str">
        <f t="shared" si="9"/>
        <v>Maui</v>
      </c>
      <c r="L12" s="59">
        <f>((VLOOKUP(K12,$G$26:$H$36,2,0)*$N$33))+AA33+W33+$L$3</f>
        <v>3960.7149100000006</v>
      </c>
      <c r="M12" s="59">
        <f t="shared" si="19"/>
        <v>473.70045000000005</v>
      </c>
      <c r="N12" s="59">
        <f t="shared" si="20"/>
        <v>2043.77964</v>
      </c>
      <c r="O12" s="59">
        <f t="shared" si="21"/>
        <v>1231.46613</v>
      </c>
      <c r="P12" s="59">
        <f t="shared" si="10"/>
        <v>0</v>
      </c>
      <c r="Q12" s="59">
        <f t="shared" si="11"/>
        <v>0</v>
      </c>
      <c r="R12" s="59">
        <f t="shared" si="22"/>
        <v>0</v>
      </c>
      <c r="S12" s="59">
        <f t="shared" si="12"/>
        <v>0</v>
      </c>
      <c r="T12" s="59">
        <f t="shared" si="13"/>
        <v>0</v>
      </c>
      <c r="U12" s="59">
        <f t="shared" si="23"/>
        <v>0</v>
      </c>
      <c r="V12" s="59">
        <f t="shared" si="14"/>
        <v>0</v>
      </c>
      <c r="W12" s="59">
        <f t="shared" si="15"/>
        <v>0</v>
      </c>
      <c r="X12" s="59">
        <f t="shared" si="16"/>
        <v>0</v>
      </c>
      <c r="Y12" s="59">
        <f t="shared" si="17"/>
        <v>0</v>
      </c>
      <c r="Z12" s="59">
        <f t="shared" si="18"/>
        <v>0</v>
      </c>
      <c r="AA12" s="55">
        <f t="shared" si="0"/>
        <v>7709.6611300000004</v>
      </c>
      <c r="AB12" s="118" t="s">
        <v>462</v>
      </c>
      <c r="AC12" s="4" t="s">
        <v>463</v>
      </c>
      <c r="AD12" s="4">
        <f>COUNTIFS(Pricing!$R$8:$AB$8,AC12)*2</f>
        <v>0</v>
      </c>
      <c r="AE12" s="4">
        <f>COUNTIFS(Pricing!$R$11:$AB$11,AC12)*2</f>
        <v>0</v>
      </c>
      <c r="AF12" s="4">
        <f>COUNTIFS(Pricing!$R$14:$AB$14,AC12)*2</f>
        <v>0</v>
      </c>
      <c r="AG12" s="4">
        <f>COUNTIFS(Pricing!$R$17:$AB$17,AC12)*2</f>
        <v>0</v>
      </c>
      <c r="AH12" s="4">
        <f>COUNTIFS(Pricing!$R$20:$AB$20,AC12)*2</f>
        <v>0</v>
      </c>
      <c r="AI12" s="4">
        <f>COUNTIFS(Pricing!$R$23:$AB$23,AC12)*2</f>
        <v>0</v>
      </c>
      <c r="AJ12" s="4">
        <f>COUNTIFS(Pricing!$R$26:$AB$26,AC12)*2</f>
        <v>0</v>
      </c>
      <c r="AK12" s="4">
        <f>COUNTIFS(Pricing!$R$29:$AB$29,AC12)*2</f>
        <v>0</v>
      </c>
      <c r="AL12" s="4">
        <f>COUNTIFS(Pricing!$R$32:$AB$32,AC12)*2</f>
        <v>0</v>
      </c>
      <c r="AM12" s="4">
        <f>COUNTIFS(Pricing!$R$35:$AB$35,AC12)*2</f>
        <v>0</v>
      </c>
      <c r="AN12" s="4">
        <f>COUNTIFS(Pricing!$R$38:$AB$38,AC12)*2</f>
        <v>0</v>
      </c>
      <c r="AO12" s="4">
        <f>COUNTIFS(Pricing!$R$41:$AB$41,AC12)*2</f>
        <v>0</v>
      </c>
      <c r="AP12" s="4">
        <f>COUNTIFS(Pricing!$R$44:$AB$44,AC12)*2</f>
        <v>0</v>
      </c>
      <c r="AQ12" s="4">
        <f>COUNTIFS(Pricing!$R$47:$AB$47,AC12)*2</f>
        <v>0</v>
      </c>
      <c r="AR12" s="4">
        <f>COUNTIFS(Pricing!$R$50:$AB$50,AC12)*2</f>
        <v>0</v>
      </c>
      <c r="AT12" t="s">
        <v>464</v>
      </c>
      <c r="AU12" s="4" t="e">
        <f>AU11/LEN(LEFT(AJ22, SEARCH("(", AJ22)-1))</f>
        <v>#VALUE!</v>
      </c>
      <c r="AV12" s="4" t="e">
        <f>LEN(MID(AJ22,AU10+3,(AV10-AU10)-3))</f>
        <v>#VALUE!</v>
      </c>
    </row>
    <row r="13" spans="1:58">
      <c r="A13" t="s">
        <v>428</v>
      </c>
      <c r="B13" t="s">
        <v>465</v>
      </c>
      <c r="C13" s="55">
        <v>35</v>
      </c>
      <c r="E13" t="s">
        <v>466</v>
      </c>
      <c r="F13" s="55">
        <v>20</v>
      </c>
      <c r="G13" t="s">
        <v>426</v>
      </c>
      <c r="K13" s="58" t="str">
        <f>G36</f>
        <v>Tahiti</v>
      </c>
      <c r="L13" s="59">
        <f>((VLOOKUP(K13,$G$26:$H$36,2,0)*$N$33))+AA33+W33+$L$3</f>
        <v>3736.5235000000002</v>
      </c>
      <c r="M13" s="59">
        <f t="shared" si="19"/>
        <v>451.13249999999999</v>
      </c>
      <c r="N13" s="59">
        <f t="shared" si="20"/>
        <v>1928.0940000000001</v>
      </c>
      <c r="O13" s="59">
        <f t="shared" si="21"/>
        <v>1161.7604999999999</v>
      </c>
      <c r="P13" s="59">
        <f>((VLOOKUP(K13,$G$26:$H$36,2,0)*$N$37))+$AA$37+$W$37+$P$3</f>
        <v>0</v>
      </c>
      <c r="Q13" s="59">
        <f t="shared" si="11"/>
        <v>0</v>
      </c>
      <c r="R13" s="59">
        <f t="shared" si="22"/>
        <v>0</v>
      </c>
      <c r="S13" s="59">
        <f t="shared" si="12"/>
        <v>0</v>
      </c>
      <c r="T13" s="59">
        <f t="shared" si="13"/>
        <v>0</v>
      </c>
      <c r="U13" s="59">
        <f t="shared" si="23"/>
        <v>0</v>
      </c>
      <c r="V13" s="59">
        <f t="shared" si="14"/>
        <v>0</v>
      </c>
      <c r="W13" s="59">
        <f t="shared" si="15"/>
        <v>0</v>
      </c>
      <c r="X13" s="59">
        <f t="shared" si="16"/>
        <v>0</v>
      </c>
      <c r="Y13" s="59">
        <f t="shared" si="17"/>
        <v>0</v>
      </c>
      <c r="Z13" s="59">
        <f t="shared" si="18"/>
        <v>0</v>
      </c>
      <c r="AA13" s="55">
        <f t="shared" si="0"/>
        <v>7277.5105000000003</v>
      </c>
      <c r="AB13" s="55">
        <f>AA17*(1-5%)</f>
        <v>3663.5021118749996</v>
      </c>
      <c r="AC13" s="4" t="s">
        <v>467</v>
      </c>
      <c r="AD13" s="4">
        <f>COUNTIFS(Pricing!$R$8:$AB$8,AC13)*2</f>
        <v>0</v>
      </c>
      <c r="AE13" s="4">
        <f>COUNTIFS(Pricing!$R$11:$AB$11,AC13)*2</f>
        <v>0</v>
      </c>
      <c r="AF13" s="4">
        <f>COUNTIFS(Pricing!$R$14:$AB$14,AC13)*2</f>
        <v>0</v>
      </c>
      <c r="AG13" s="4">
        <f>COUNTIFS(Pricing!$R$17:$AB$17,AC13)*2</f>
        <v>0</v>
      </c>
      <c r="AH13" s="4">
        <f>COUNTIFS(Pricing!$R$20:$AB$20,AC13)*2</f>
        <v>0</v>
      </c>
      <c r="AI13" s="4">
        <f>COUNTIFS(Pricing!$R$23:$AB$23,AC13)*2</f>
        <v>0</v>
      </c>
      <c r="AJ13" s="4">
        <f>COUNTIFS(Pricing!$R$26:$AB$26,AC13)*2</f>
        <v>0</v>
      </c>
      <c r="AK13" s="4">
        <f>COUNTIFS(Pricing!$R$29:$AB$29,AC13)*2</f>
        <v>0</v>
      </c>
      <c r="AL13" s="4">
        <f>COUNTIFS(Pricing!$R$32:$AB$32,AC13)*2</f>
        <v>0</v>
      </c>
      <c r="AM13" s="4">
        <f>COUNTIFS(Pricing!$R$35:$AB$35,AC13)*2</f>
        <v>0</v>
      </c>
      <c r="AN13" s="4">
        <f>COUNTIFS(Pricing!$R$38:$AB$38,AC13)*2</f>
        <v>0</v>
      </c>
      <c r="AO13" s="4">
        <f>COUNTIFS(Pricing!$R$41:$AB$41,AC13)*2</f>
        <v>0</v>
      </c>
      <c r="AP13" s="4">
        <f>COUNTIFS(Pricing!$R$44:$AB$44,AC13)*2</f>
        <v>0</v>
      </c>
      <c r="AQ13" s="4">
        <f>COUNTIFS(Pricing!$R$47:$AB$47,AC13)*2</f>
        <v>0</v>
      </c>
      <c r="AR13" s="4">
        <f>COUNTIFS(Pricing!$R$50:$AB$50,AC13)*2</f>
        <v>0</v>
      </c>
      <c r="AU13" s="4"/>
      <c r="AV13" s="4"/>
    </row>
    <row r="14" spans="1:58">
      <c r="B14" t="s">
        <v>468</v>
      </c>
      <c r="C14" s="155">
        <v>0.1</v>
      </c>
      <c r="E14" t="s">
        <v>469</v>
      </c>
      <c r="F14" s="55">
        <v>12.5</v>
      </c>
      <c r="G14" t="s">
        <v>470</v>
      </c>
      <c r="AC14" s="4" t="s">
        <v>471</v>
      </c>
      <c r="AD14" s="4">
        <f>COUNTIFS(Pricing!$R$8:$AB$8,AC14)*2</f>
        <v>0</v>
      </c>
      <c r="AE14" s="4">
        <f>COUNTIFS(Pricing!$R$11:$AB$11,AC14)*2</f>
        <v>0</v>
      </c>
      <c r="AF14" s="4">
        <f>COUNTIFS(Pricing!$R$14:$AB$14,AC14)*2</f>
        <v>0</v>
      </c>
      <c r="AG14" s="4">
        <f>COUNTIFS(Pricing!$R$17:$AB$17,AC14)*2</f>
        <v>0</v>
      </c>
      <c r="AH14" s="4">
        <f>COUNTIFS(Pricing!$R$20:$AB$20,AC14)*2</f>
        <v>0</v>
      </c>
      <c r="AI14" s="4">
        <f>COUNTIFS(Pricing!$R$23:$AB$23,AC14)*2</f>
        <v>0</v>
      </c>
      <c r="AJ14" s="4">
        <f>COUNTIFS(Pricing!$R$26:$AB$26,AC14)*2</f>
        <v>0</v>
      </c>
      <c r="AK14" s="4">
        <f>COUNTIFS(Pricing!$R$29:$AB$29,AC14)*2</f>
        <v>0</v>
      </c>
      <c r="AL14" s="4">
        <f>COUNTIFS(Pricing!$R$32:$AB$32,AC14)*2</f>
        <v>0</v>
      </c>
      <c r="AM14" s="4">
        <f>COUNTIFS(Pricing!$R$35:$AB$35,AC14)*2</f>
        <v>0</v>
      </c>
      <c r="AN14" s="4">
        <f>COUNTIFS(Pricing!$R$38:$AB$38,AC14)*2</f>
        <v>0</v>
      </c>
      <c r="AO14" s="4">
        <f>COUNTIFS(Pricing!$R$41:$AB$41,AC14)*2</f>
        <v>0</v>
      </c>
      <c r="AP14" s="4">
        <f>COUNTIFS(Pricing!$R$44:$AB$44,AC14)*2</f>
        <v>0</v>
      </c>
      <c r="AQ14" s="4">
        <f>COUNTIFS(Pricing!$R$47:$AB$47,AC14)*2</f>
        <v>0</v>
      </c>
      <c r="AR14" s="4">
        <f>COUNTIFS(Pricing!$R$50:$AB$50,AC14)*2</f>
        <v>0</v>
      </c>
      <c r="AU14" s="4"/>
      <c r="AV14" s="4"/>
    </row>
    <row r="15" spans="1:58">
      <c r="B15" t="s">
        <v>472</v>
      </c>
      <c r="C15" s="55">
        <v>100</v>
      </c>
      <c r="E15" t="s">
        <v>473</v>
      </c>
      <c r="F15" s="55">
        <v>5</v>
      </c>
      <c r="K15" s="1534" t="str">
        <f>" List Price -" &amp; C10 &amp; "% Discount + Bay Posts + Std Shapes + Custom Colours + Installation + Buildout"</f>
        <v xml:space="preserve"> List Price -0.4% Discount + Bay Posts + Std Shapes + Custom Colours + Installation + Buildout</v>
      </c>
      <c r="L15" s="1535"/>
      <c r="M15" s="1535"/>
      <c r="N15" s="1535"/>
      <c r="O15" s="1535"/>
      <c r="P15" s="1535"/>
      <c r="Q15" s="1535"/>
      <c r="R15" s="1535"/>
      <c r="S15" s="1535"/>
      <c r="T15" s="1535"/>
      <c r="U15" s="1535"/>
      <c r="V15" s="1535"/>
      <c r="W15" s="1535"/>
      <c r="X15" s="1535"/>
      <c r="Y15" s="1535"/>
      <c r="Z15" s="1535"/>
      <c r="AC15" s="4" t="s">
        <v>474</v>
      </c>
      <c r="AD15" s="4">
        <f>COUNTIFS(Pricing!$R$8:$AB$8,AC15)*2</f>
        <v>0</v>
      </c>
      <c r="AE15" s="4">
        <f>COUNTIFS(Pricing!$R$11:$AB$11,AC15)*2</f>
        <v>0</v>
      </c>
      <c r="AF15" s="4">
        <f>COUNTIFS(Pricing!$R$14:$AB$14,AC15)*2</f>
        <v>0</v>
      </c>
      <c r="AG15" s="4">
        <f>COUNTIFS(Pricing!$R$17:$AB$17,AC15)*2</f>
        <v>0</v>
      </c>
      <c r="AH15" s="4">
        <f>COUNTIFS(Pricing!$R$20:$AB$20,AC15)*2</f>
        <v>0</v>
      </c>
      <c r="AI15" s="4">
        <f>COUNTIFS(Pricing!$R$23:$AB$23,AC15)*2</f>
        <v>0</v>
      </c>
      <c r="AJ15" s="4">
        <f>COUNTIFS(Pricing!$R$26:$AB$26,AC15)*2</f>
        <v>0</v>
      </c>
      <c r="AK15" s="4">
        <f>COUNTIFS(Pricing!$R$29:$AB$29,AC15)*2</f>
        <v>0</v>
      </c>
      <c r="AL15" s="4">
        <f>COUNTIFS(Pricing!$R$32:$AB$32,AC15)*2</f>
        <v>0</v>
      </c>
      <c r="AM15" s="4">
        <f>COUNTIFS(Pricing!$R$35:$AB$35,AC15)*2</f>
        <v>0</v>
      </c>
      <c r="AN15" s="4">
        <f>COUNTIFS(Pricing!$R$38:$AB$38,AC15)*2</f>
        <v>0</v>
      </c>
      <c r="AO15" s="4">
        <f>COUNTIFS(Pricing!$R$41:$AB$41,AC15)*2</f>
        <v>0</v>
      </c>
      <c r="AP15" s="4">
        <f>COUNTIFS(Pricing!$R$44:$AB$44,AC15)*2</f>
        <v>0</v>
      </c>
      <c r="AQ15" s="4">
        <f>COUNTIFS(Pricing!$R$47:$AB$47,AC15)*2</f>
        <v>0</v>
      </c>
      <c r="AR15" s="4">
        <f>COUNTIFS(Pricing!$R$50:$AB$50,AC15)*2</f>
        <v>0</v>
      </c>
      <c r="AU15" s="4" t="e">
        <f>FIND("(",AJ22, FIND(")", AJ22, FIND("(",AJ22)+1) +2)</f>
        <v>#VALUE!</v>
      </c>
      <c r="AV15" s="4"/>
    </row>
    <row r="16" spans="1:58">
      <c r="A16" t="s">
        <v>475</v>
      </c>
      <c r="B16" t="s">
        <v>476</v>
      </c>
      <c r="C16" s="55">
        <v>350</v>
      </c>
      <c r="E16" t="s">
        <v>477</v>
      </c>
      <c r="F16" s="55">
        <v>5</v>
      </c>
      <c r="K16" s="27"/>
      <c r="L16" s="56" t="s">
        <v>331</v>
      </c>
      <c r="M16" s="56" t="s">
        <v>334</v>
      </c>
      <c r="N16" s="56" t="s">
        <v>336</v>
      </c>
      <c r="O16" s="56" t="s">
        <v>338</v>
      </c>
      <c r="P16" s="56" t="s">
        <v>339</v>
      </c>
      <c r="Q16" s="56" t="s">
        <v>341</v>
      </c>
      <c r="R16" s="56" t="s">
        <v>342</v>
      </c>
      <c r="S16" s="56" t="s">
        <v>343</v>
      </c>
      <c r="T16" s="56" t="s">
        <v>344</v>
      </c>
      <c r="U16" s="56" t="s">
        <v>346</v>
      </c>
      <c r="V16" s="56" t="s">
        <v>348</v>
      </c>
      <c r="W16" s="56" t="s">
        <v>350</v>
      </c>
      <c r="X16" s="56" t="s">
        <v>351</v>
      </c>
      <c r="Y16" s="56" t="s">
        <v>353</v>
      </c>
      <c r="Z16" s="56" t="s">
        <v>354</v>
      </c>
      <c r="AA16" s="56" t="s">
        <v>79</v>
      </c>
      <c r="AC16" s="4" t="s">
        <v>478</v>
      </c>
      <c r="AD16" s="4">
        <f>COUNTIFS(Pricing!$R$8:$AB$8,AC16)*2</f>
        <v>0</v>
      </c>
      <c r="AE16" s="4">
        <f>COUNTIFS(Pricing!$R$11:$AB$11,AC16)*2</f>
        <v>0</v>
      </c>
      <c r="AF16" s="4">
        <f>COUNTIFS(Pricing!$R$14:$AB$14,AC16)*2</f>
        <v>0</v>
      </c>
      <c r="AG16" s="4">
        <f>COUNTIFS(Pricing!$R$17:$AB$17,AC16)*2</f>
        <v>0</v>
      </c>
      <c r="AH16" s="4">
        <f>COUNTIFS(Pricing!$R$20:$AB$20,AC16)*2</f>
        <v>0</v>
      </c>
      <c r="AI16" s="4">
        <f>COUNTIFS(Pricing!$R$23:$AB$23,AC16)*2</f>
        <v>0</v>
      </c>
      <c r="AJ16" s="4">
        <f>COUNTIFS(Pricing!$R$26:$AB$26,AC16)*2</f>
        <v>0</v>
      </c>
      <c r="AK16" s="4">
        <f>COUNTIFS(Pricing!$R$29:$AB$29,AC16)*2</f>
        <v>0</v>
      </c>
      <c r="AL16" s="4">
        <f>COUNTIFS(Pricing!$R$32:$AB$32,AC16)*2</f>
        <v>0</v>
      </c>
      <c r="AM16" s="4">
        <f>COUNTIFS(Pricing!$R$35:$AB$35,AC16)*2</f>
        <v>0</v>
      </c>
      <c r="AN16" s="4">
        <f>COUNTIFS(Pricing!$R$38:$AB$38,AC16)*2</f>
        <v>0</v>
      </c>
      <c r="AO16" s="4">
        <f>COUNTIFS(Pricing!$R$41:$AB$41,AC16)*2</f>
        <v>0</v>
      </c>
      <c r="AP16" s="4">
        <f>COUNTIFS(Pricing!$R$44:$AB$44,AC16)*2</f>
        <v>0</v>
      </c>
      <c r="AQ16" s="4">
        <f>COUNTIFS(Pricing!$R$47:$AB$47,AC16)*2</f>
        <v>0</v>
      </c>
      <c r="AR16" s="4">
        <f>COUNTIFS(Pricing!$R$50:$AB$50,AC16)*2</f>
        <v>0</v>
      </c>
      <c r="AU16" s="4"/>
      <c r="AV16" s="4"/>
    </row>
    <row r="17" spans="1:48">
      <c r="A17" t="s">
        <v>428</v>
      </c>
      <c r="B17" t="s">
        <v>479</v>
      </c>
      <c r="C17" s="55">
        <v>115</v>
      </c>
      <c r="E17" t="s">
        <v>480</v>
      </c>
      <c r="F17" s="55">
        <v>20</v>
      </c>
      <c r="K17" s="27" t="s">
        <v>63</v>
      </c>
      <c r="L17" s="59">
        <f>(VLOOKUP($K$17,$G$26:$H$36,2,0)*N33)-((VLOOKUP($K$17,$G$26:$H$36,2,0)*VLOOKUP(K17,B31:C41,2,0))*N33)+AA33+IF(AND(N33&gt;0,N33&lt;2),F9,0)</f>
        <v>1961.6748375000002</v>
      </c>
      <c r="M17" s="59">
        <f>(VLOOKUP($K$17,$G$26:$H$36,2,0)*N34)-((VLOOKUP($K$17,$G$26:$H$36,2,0)*VLOOKUP(K17,B31:C41,2,0))*N34)+AA34+IF(AND(N34&gt;0,N34&lt;2),F9,0)</f>
        <v>272.46956249999999</v>
      </c>
      <c r="N17" s="59">
        <f>(VLOOKUP($K$17,$G$26:$H$36,2,0)*N35)-((VLOOKUP($K$17,$G$26:$H$36,2,0)*VLOOKUP(K17,B31:C41,2,0))*N35)+AA35+IF(AND(N35&gt;0,N35&lt;2),F9,0)</f>
        <v>1012.24935</v>
      </c>
      <c r="O17" s="59">
        <f>(VLOOKUP($K$17,$G$26:$H$36,2,0)*N36)-((VLOOKUP($K$17,$G$26:$H$36,2,0)*VLOOKUP(K17,B31:C41,2,0))*N36)+AA36+IF(AND(N36&gt;0,N36&lt;2),F9,0)</f>
        <v>609.92426249999994</v>
      </c>
      <c r="P17" s="59">
        <f>(VLOOKUP($K$17,$G$26:$H$36,2,0)*N37)-((VLOOKUP($K$17,$G$26:$H$36,2,0)*VLOOKUP(K17,B31:C41,2,0))*N37)+AA37+IF(AND(N37&gt;0,N37&lt;2),F9,0)</f>
        <v>0</v>
      </c>
      <c r="Q17" s="59">
        <f>(VLOOKUP($K$17,$G$26:$H$36,2,0)*N38)-((VLOOKUP($K$17,$G$26:$H$36,2,0)*VLOOKUP(K17,B31:C41,2,0))*N38)+AA38+IF(AND(N38&gt;0,N38&lt;2),F9,0)</f>
        <v>0</v>
      </c>
      <c r="R17" s="59">
        <f>(VLOOKUP($K$17,$G$26:$H$36,2,0)*N39)-((VLOOKUP($K$17,$G$26:$H$36,2,0)*VLOOKUP(K17,B31:C41,2,0))*N39)+AA39+IF(AND(N39&gt;0,N39&lt;2),F9,0)</f>
        <v>0</v>
      </c>
      <c r="S17" s="59">
        <f>(VLOOKUP($K$17,$G$26:$H$36,2,0)*N40)-((VLOOKUP($K$17,$G$26:$H$36,2,0)*VLOOKUP(K17,B31:C41,2,0))*N40)+AA40+IF(AND(N40&gt;0,N40&lt;2),F9,0)</f>
        <v>0</v>
      </c>
      <c r="T17" s="59">
        <f>(VLOOKUP($K$17,$G$26:$H$36,2,0)*N41)-((VLOOKUP($K$17,$G$26:$H$36,2,0)*VLOOKUP(K17,B31:C41,2,0))*N41)+AA41+IF(AND(N41&gt;0,N41&lt;2),F9,0)</f>
        <v>0</v>
      </c>
      <c r="U17" s="59">
        <f>(VLOOKUP($K$17,$G$26:$H$36,2,0)*N42)-((VLOOKUP($K$17,$G$26:$H$36,2,0)*VLOOKUP(K17,B31:C41,2,0))*N42)+AA42+IF(AND(N42&gt;0,N42&lt;2),F9,0)</f>
        <v>0</v>
      </c>
      <c r="V17" s="59">
        <f>(VLOOKUP($K$17,$G$26:$H$36,2,0)*N43)-((VLOOKUP($K$17,$G$26:$H$36,2,0)*VLOOKUP(K17,B31:C41,2,0))*N43)+AA43+IF(AND(N43&gt;0,N43&lt;2),F9,0)</f>
        <v>0</v>
      </c>
      <c r="W17" s="59">
        <f>(VLOOKUP($K$17,$G$26:$H$36,2,0)*N44)-((VLOOKUP($K$17,$G$26:$H$36,2,0)*VLOOKUP(K17,B31:C41,2,0))*N44)+AA44+IF(AND(N44&gt;0,N44&lt;2),F9,0)</f>
        <v>0</v>
      </c>
      <c r="X17" s="59">
        <f>(VLOOKUP($K$17,$G$26:$H$36,2,0)*N45)-((VLOOKUP($K$17,$G$26:$H$36,2,0)*VLOOKUP(K17,B31:C41,2,0))*N45)+AA45+IF(AND(N45&gt;0,N45&lt;2),F9,0)</f>
        <v>0</v>
      </c>
      <c r="Y17" s="59">
        <f>(VLOOKUP($K$17,$G$26:$H$36,2,0)*N46)-((VLOOKUP($K$17,$G$26:$H$36,2,0)*VLOOKUP(K17,B31:C41,2,0))*N46)+AA46+IF(AND(N46&gt;0,N46&lt;2),F9,0)</f>
        <v>0</v>
      </c>
      <c r="Z17" s="59">
        <f>(VLOOKUP($K$17,$G$26:$H$36,2,0)*N47)-((VLOOKUP($K$17,$G$26:$H$36,2,0)*VLOOKUP(K17,B31:C41,2,0))*N47)+AA47+IF(AND(N47&gt;0,N47&lt;2),F9,0)</f>
        <v>0</v>
      </c>
      <c r="AA17" s="55">
        <f>SUM(L17:Z17)</f>
        <v>3856.3180124999999</v>
      </c>
      <c r="AC17" s="4" t="s">
        <v>481</v>
      </c>
      <c r="AD17" s="4">
        <f>COUNTIFS(Pricing!$R$8:$AB$8,AC17)*2</f>
        <v>0</v>
      </c>
      <c r="AE17" s="4">
        <f>COUNTIFS(Pricing!$R$11:$AB$11,AC17)*2</f>
        <v>0</v>
      </c>
      <c r="AF17" s="4">
        <f>COUNTIFS(Pricing!$R$14:$AB$14,AC17)*2</f>
        <v>0</v>
      </c>
      <c r="AG17" s="4">
        <f>COUNTIFS(Pricing!$R$17:$AB$17,AC17)*2</f>
        <v>0</v>
      </c>
      <c r="AH17" s="4">
        <f>COUNTIFS(Pricing!$R$20:$AB$20,AC17)*2</f>
        <v>0</v>
      </c>
      <c r="AI17" s="4">
        <f>COUNTIFS(Pricing!$R$23:$AB$23,AC17)*2</f>
        <v>0</v>
      </c>
      <c r="AJ17" s="4">
        <f>COUNTIFS(Pricing!$R$26:$AB$26,AC17)*2</f>
        <v>0</v>
      </c>
      <c r="AK17" s="4">
        <f>COUNTIFS(Pricing!$R$29:$AB$29,AC17)*2</f>
        <v>0</v>
      </c>
      <c r="AL17" s="4">
        <f>COUNTIFS(Pricing!$R$32:$AB$32,AC17)*2</f>
        <v>0</v>
      </c>
      <c r="AM17" s="4">
        <f>COUNTIFS(Pricing!$R$35:$AB$35,AC17)*2</f>
        <v>0</v>
      </c>
      <c r="AN17" s="4">
        <f>COUNTIFS(Pricing!$R$38:$AB$38,AC17)*2</f>
        <v>0</v>
      </c>
      <c r="AO17" s="4">
        <f>COUNTIFS(Pricing!$R$41:$AB$41,AC17)*2</f>
        <v>0</v>
      </c>
      <c r="AP17" s="4">
        <f>COUNTIFS(Pricing!$R$44:$AB$44,AC17)*2</f>
        <v>0</v>
      </c>
      <c r="AQ17" s="4">
        <f>COUNTIFS(Pricing!$R$47:$AB$47,AC17)*2</f>
        <v>0</v>
      </c>
      <c r="AR17" s="4">
        <f>COUNTIFS(Pricing!$R$50:$AB$50,AC17)*2</f>
        <v>0</v>
      </c>
      <c r="AU17" s="4"/>
      <c r="AV17" s="4"/>
    </row>
    <row r="18" spans="1:48">
      <c r="B18" t="s">
        <v>482</v>
      </c>
      <c r="C18" s="55">
        <v>400</v>
      </c>
      <c r="E18" s="333" t="s">
        <v>18</v>
      </c>
      <c r="F18" s="536">
        <v>75</v>
      </c>
      <c r="G18" s="538">
        <v>0.4</v>
      </c>
      <c r="H18" s="540">
        <v>30</v>
      </c>
      <c r="I18">
        <v>275</v>
      </c>
      <c r="K18" s="27" t="s">
        <v>18</v>
      </c>
      <c r="L18" s="59">
        <f>IF(ISNA(((VLOOKUP($K$18,$G$26:$H$36,2,0)*$N$33)-((VLOOKUP($K$18,$G$26:$H$36,2,0)*$N$33)*INDEX($C$31:$C$41,MATCH(Pricing!$E$8,Matrix2!$B$31:$B$41,0))))+$AA$33+$W$33),,(VLOOKUP($K$18,$G$26:$H$36,2,0)*$N$33)-((VLOOKUP($K$18,$G$26:$H$36,2,0)*$N$33)*INDEX($C$31:$C$41,MATCH(K18,Matrix2!$B$31:$B$41,0))))+$AA$33+$W$33+L17</f>
        <v>2269.9380262500003</v>
      </c>
      <c r="M18" s="59">
        <f>IF(ISNA(((VLOOKUP($K$18,$G$26:$H$36,2,0)*$N$34)-((VLOOKUP($K$18,$G$26:$H$36,2,0)*$N$34)*INDEX($C$31:$C$41,MATCH(Pricing!$E$8,Matrix2!$B$31:$B$41,0))))+$AA$34+$W$34),,(VLOOKUP($K$18,$G$26:$H$36,2,0)*$N$34)-((VLOOKUP($K$18,$G$26:$H$36,2,0)*$N$34)*INDEX($C$31:$C$41,MATCH(K18,Matrix2!$B$31:$B$41,0))))+$AA$34+$W$34+M17</f>
        <v>303.50049374999998</v>
      </c>
      <c r="N18" s="59">
        <f>IF(ISNA(((VLOOKUP($K$18,$G$26:$H$36,2,0)*$N$35)-((VLOOKUP($K$18,$G$26:$H$36,2,0)*$N$35)*INDEX($C$31:$C$41,MATCH(Pricing!$E$8,Matrix2!$B$31:$B$41,0))))+$AA$35+$W$35),,(VLOOKUP($K$18,$G$26:$H$36,2,0)*$N$35)-((VLOOKUP($K$18,$G$26:$H$36,2,0)*$N$35)*INDEX($C$31:$C$41,MATCH(K18,Matrix2!$B$31:$B$41,0))))+$AA$35+$W$35+N17</f>
        <v>1171.3171050000001</v>
      </c>
      <c r="O18" s="59">
        <f>IF(ISNA(((VLOOKUP($K$18,$G$26:$H$36,2,0)*$N$36)-((VLOOKUP($K$18,$G$26:$H$36,2,0)*$N$36)*INDEX($C$31:$C$41,MATCH(Pricing!$E$8,Matrix2!$B$31:$B$41,0))))+$AA$36+$W$36),,(VLOOKUP($K$18,$G$26:$H$36,2,0)*$N$36)-((VLOOKUP($K$18,$G$26:$H$36,2,0)*$N$36)*INDEX($C$31:$C$41,MATCH(K18,Matrix2!$B$31:$B$41,0))))+$AA$36+$W$36+O17</f>
        <v>705.7695037499999</v>
      </c>
      <c r="P18" s="59">
        <f>IF(ISNA(((VLOOKUP($K$18,$G$26:$H$36,2,0)*$N$37)-((VLOOKUP($K$18,$G$26:$H$36,2,0)*$N$37)*INDEX($C$31:$C$41,MATCH(Pricing!$E$8,Matrix2!$B$31:$B$41,0))))+$AA$37+$W$37),,(VLOOKUP($K$18,$G$26:$H$36,2,0)*$N$37)-((VLOOKUP($K$18,$G$26:$H$36,2,0)*$N$37)*INDEX($C$31:$C$41,MATCH(K18,Matrix2!$B$31:$B$41,0))))+$AA$37+$W$37+P17</f>
        <v>0</v>
      </c>
      <c r="Q18" s="59">
        <f>IF(ISNA(((VLOOKUP($K$18,$G$26:$H$36,2,0)*$N$38)-((VLOOKUP($K$18,$G$26:$H$36,2,0)*$N$38)*INDEX($C$31:$C$41,MATCH(Pricing!$E$8,Matrix2!$B$31:$B$41,0))))+$AA$38+$W$38),,(VLOOKUP($K$18,$G$26:$H$36,2,0)*$N$38)-((VLOOKUP($K$18,$G$26:$H$36,2,0)*$N$38)*INDEX($C$31:$C$41,MATCH(K18,Matrix2!$B$31:$B$41,0))))+$AA$38+$W$38+Q17</f>
        <v>0</v>
      </c>
      <c r="R18" s="59">
        <f>IF(ISNA(((VLOOKUP($K$18,$G$26:$H$36,2,0)*$N$39)-((VLOOKUP($K$18,$G$26:$H$36,2,0)*$N$39)*INDEX($C$31:$C$41,MATCH(Pricing!$E$8,Matrix2!$B$31:$B$41,0))))+$AA$39+$W$39),,(VLOOKUP($K$18,$G$26:$H$36,2,0)*$N$39)-((VLOOKUP($K$18,$G$26:$H$36,2,0)*$N$39)*INDEX($C$31:$C$41,MATCH(K18,Matrix2!$B$31:$B$41,0))))+$AA$39+$W$39+R17</f>
        <v>0</v>
      </c>
      <c r="S18" s="59">
        <f>IF(ISNA(((VLOOKUP($K$18,$G$26:$H$36,2,0)*$N$40)-((VLOOKUP($K$18,$G$26:$H$36,2,0)*$N$40)*INDEX($C$31:$C$41,MATCH(Pricing!$E$8,Matrix2!$B$31:$B$41,0))))+$AA$40+$W$40),,(VLOOKUP($K$18,$G$26:$H$36,2,0)*$N$40)-((VLOOKUP($K$18,$G$26:$H$36,2,0)*$N$40)*INDEX($C$31:$C$41,MATCH(K18,Matrix2!$B$31:$B$41,0))))+$AA$40+$W$40+S17</f>
        <v>0</v>
      </c>
      <c r="T18" s="59">
        <f>IF(ISNA(((VLOOKUP($K$18,$G$26:$H$36,2,0)*$N$41)-((VLOOKUP($K$18,$G$26:$H$36,2,0)*$N$41)*INDEX($C$31:$C$41,MATCH(Pricing!$E$8,Matrix2!$B$31:$B$41,0))))+$AA$41+$W$41),,(VLOOKUP($K$18,$G$26:$H$36,2,0)*$N$41)-((VLOOKUP($K$18,$G$26:$H$36,2,0)*$N$41)*INDEX($C$31:$C$41,MATCH(K18,Matrix2!$B$31:$B$41,0))))+$AA$41+$W$41+T17</f>
        <v>0</v>
      </c>
      <c r="U18" s="59">
        <f>IF(ISNA(((VLOOKUP($K$18,$G$26:$H$36,2,0)*$N$42)-((VLOOKUP($K$18,$G$26:$H$36,2,0)*$N$42)*INDEX($C$31:$C$41,MATCH(Pricing!$E$8,Matrix2!$B$31:$B$41,0))))+$AA$42+$W$42),,(VLOOKUP($K$18,$G$26:$H$36,2,0)*$N$42)-((VLOOKUP($K$18,$G$26:$H$36,2,0)*$N$42)*INDEX($C$31:$C$41,MATCH(K18,Matrix2!$B$31:$B$41,0))))+$AA$42+$W$42+U17</f>
        <v>0</v>
      </c>
      <c r="V18" s="59">
        <f>IF(ISNA(((VLOOKUP($K$18,$G$26:$H$36,2,0)*$N$43)-((VLOOKUP($K$18,$G$26:$H$36,2,0)*$N$43)*INDEX($C$31:$C$41,MATCH(Pricing!$E$8,Matrix2!$B$31:$B$41,0))))+$AA$43+$W$43),,(VLOOKUP($K$18,$G$26:$H$36,2,0)*$N$43)-((VLOOKUP($K$18,$G$26:$H$36,2,0)*$N$43)*INDEX($C$31:$C$41,MATCH(K18,Matrix2!$B$31:$B$41,0))))+$AA$43+$W$43+V17</f>
        <v>0</v>
      </c>
      <c r="W18" s="59">
        <f>IF(ISNA(((VLOOKUP($K$18,$G$26:$H$36,2,0)*$N$44)-((VLOOKUP($K$18,$G$26:$H$36,2,0)*$N$44)*INDEX($C$31:$C$41,MATCH(Pricing!$E$8,Matrix2!$B$31:$B$41,0))))+$AA$44+$W$44),,(VLOOKUP($K$18,$G$26:$H$36,2,0)*$N$44)-((VLOOKUP($K$18,$G$26:$H$36,2,0)*$N$44)*INDEX($C$31:$C$41,MATCH(K18,Matrix2!$B$31:$B$41,0))))+$AA$44+$W$44+W17</f>
        <v>0</v>
      </c>
      <c r="X18" s="59">
        <f>IF(ISNA(((VLOOKUP($K$18,$G$26:$H$36,2,0)*$N$45)-((VLOOKUP($K$18,$G$26:$H$36,2,0)*$N$45)*INDEX($C$31:$C$41,MATCH(Pricing!$E$8,Matrix2!$B$31:$B$41,0))))+$AA$45+$W$45),,(VLOOKUP($K$18,$G$26:$H$36,2,0)*$N$45)-((VLOOKUP($K$18,$G$26:$H$36,2,0)*$N$45)*INDEX($C$31:$C$41,MATCH(K18,Matrix2!$B$31:$B$41,0))))+$AA$45+$W$45+X17</f>
        <v>0</v>
      </c>
      <c r="Y18" s="59">
        <f>IF(ISNA(((VLOOKUP($K$18,$G$26:$H$36,2,0)*$N$46)-((VLOOKUP($K$18,$G$26:$H$36,2,0)*$N$46)*INDEX($C$31:$C$41,MATCH(Pricing!$E$8,Matrix2!$B$31:$B$41,0))))+$AA$46+$W$46),,(VLOOKUP($K$18,$G$26:$H$36,2,0)*$N$46)-((VLOOKUP($K$18,$G$26:$H$36,2,0)*$N$46)*INDEX($C$31:$C$41,MATCH(K18,Matrix2!$B$31:$B$41,0))))+$AA$46+$W$46+Y17</f>
        <v>0</v>
      </c>
      <c r="Z18" s="59">
        <f>IF(ISNA(((VLOOKUP($K$18,$G$26:$H$36,2,0)*$N$47)-((VLOOKUP($K$18,$G$26:$H$36,2,0)*$N$47)*INDEX($C$31:$C$41,MATCH(Pricing!$E$8,Matrix2!$B$31:$B$41,0))))+$AA$47+$W$47),,(VLOOKUP($K$18,$G$26:$H$36,2,0)*$N$47)-((VLOOKUP($K$18,$G$26:$H$36,2,0)*$N$47)*INDEX($C$31:$C$41,MATCH(K18,Matrix2!$B$31:$B$41,0))))+$AA$47+$W$47+Z17</f>
        <v>0</v>
      </c>
      <c r="AA18" s="55">
        <f t="shared" ref="AA18:AA27" si="24">SUM(L18:Z18)</f>
        <v>4450.5251287500005</v>
      </c>
      <c r="AC18" s="4" t="s">
        <v>483</v>
      </c>
      <c r="AD18" s="4">
        <f>COUNTIFS(Pricing!$R$8:$AB$8,AC18)*2</f>
        <v>0</v>
      </c>
      <c r="AE18" s="4">
        <f>COUNTIFS(Pricing!$R$11:$AB$11,AC18)*2</f>
        <v>0</v>
      </c>
      <c r="AF18" s="4">
        <f>COUNTIFS(Pricing!$R$14:$AB$14,AC18)*2</f>
        <v>0</v>
      </c>
      <c r="AG18" s="4">
        <f>COUNTIFS(Pricing!$R$17:$AB$17,AC18)*2</f>
        <v>0</v>
      </c>
      <c r="AH18" s="4">
        <f>COUNTIFS(Pricing!$R$20:$AB$20,AC18)*2</f>
        <v>0</v>
      </c>
      <c r="AI18" s="4">
        <f>COUNTIFS(Pricing!$R$23:$AB$23,AC18)*2</f>
        <v>0</v>
      </c>
      <c r="AJ18" s="4">
        <f>COUNTIFS(Pricing!$R$26:$AB$26,AC18)*2</f>
        <v>0</v>
      </c>
      <c r="AK18" s="4">
        <f>COUNTIFS(Pricing!$R$29:$AB$29,AC18)*2</f>
        <v>0</v>
      </c>
      <c r="AL18" s="4">
        <f>COUNTIFS(Pricing!$R$32:$AB$32,AC18)*2</f>
        <v>0</v>
      </c>
      <c r="AM18" s="4">
        <f>COUNTIFS(Pricing!$R$35:$AB$35,AC18)*2</f>
        <v>0</v>
      </c>
      <c r="AN18" s="4">
        <f>COUNTIFS(Pricing!$R$38:$AB$38,AC18)*2</f>
        <v>0</v>
      </c>
      <c r="AO18" s="4">
        <f>COUNTIFS(Pricing!$R$41:$AB$41,AC18)*2</f>
        <v>0</v>
      </c>
      <c r="AP18" s="4">
        <f>COUNTIFS(Pricing!$R$44:$AB$44,AC18)*2</f>
        <v>0</v>
      </c>
      <c r="AQ18" s="4">
        <f>COUNTIFS(Pricing!$R$47:$AB$47,AC18)*2</f>
        <v>0</v>
      </c>
      <c r="AR18" s="4">
        <f>COUNTIFS(Pricing!$R$50:$AB$50,AC18)*2</f>
        <v>0</v>
      </c>
      <c r="AU18" s="4"/>
      <c r="AV18" s="4"/>
    </row>
    <row r="19" spans="1:48">
      <c r="A19" t="s">
        <v>484</v>
      </c>
      <c r="B19" t="s">
        <v>485</v>
      </c>
      <c r="C19" s="55">
        <v>0</v>
      </c>
      <c r="E19" s="333" t="s">
        <v>119</v>
      </c>
      <c r="F19" s="334">
        <v>80</v>
      </c>
      <c r="K19" s="27" t="str">
        <f t="shared" ref="K19:K27" si="25">G28</f>
        <v>Aruba Express</v>
      </c>
      <c r="L19" s="59">
        <f>IF(ISNA((VLOOKUP($K$19,$G$26:$H$36,2,0)*$N$33)+L$17),,(VLOOKUP($K$19,$G$26:$H$36,2,0)*$N$33)+L$17)</f>
        <v>2559.5185975000004</v>
      </c>
      <c r="M19" s="59">
        <f>IF(ISNA((VLOOKUP($K$19,$G$26:$H$36,2,0)*$N$34)+M$17),,(VLOOKUP($K$19,$G$26:$H$36,2,0)*$N$34)+M$17)</f>
        <v>332.65076249999998</v>
      </c>
      <c r="N19" s="59">
        <f>IF(ISNA((VLOOKUP($K$19,$G$26:$H$36,2,0)*$N$35)+N$17),,(VLOOKUP($K$19,$G$26:$H$36,2,0)*$N$35)+N$17)</f>
        <v>1320.7443900000001</v>
      </c>
      <c r="O19" s="59">
        <f>IF(ISNA((VLOOKUP($K$19,$G$26:$H$36,2,0)*$N$36)+O$17),,(VLOOKUP($K$19,$G$26:$H$36,2,0)*$N$36)+O$17)</f>
        <v>795.8059424999999</v>
      </c>
      <c r="P19" s="59">
        <f>IF(ISNA((VLOOKUP($K$19,$G$26:$H$36,2,0)*$N$37)+P$17),,(VLOOKUP($K$19,$G$26:$H$36,2,0)*$N$37)+P$17)</f>
        <v>0</v>
      </c>
      <c r="Q19" s="59">
        <f>IF(ISNA((VLOOKUP($K$19,$G$26:$H$36,2,0)*$N$38)+Q$17),,(VLOOKUP($K$19,$G$26:$H$36,2,0)*$N$38)+Q$17)</f>
        <v>0</v>
      </c>
      <c r="R19" s="59">
        <f>IF(ISNA((VLOOKUP($K$19,$G$26:$H$36,2,0)*$N$39)+R$17),,(VLOOKUP($K$19,$G$26:$H$36,2,0)*$N$39)+R$17)</f>
        <v>0</v>
      </c>
      <c r="S19" s="59">
        <f>IF(ISNA(((VLOOKUP($K$19,$G$26:$H$36,2,0)*$N$40))+S$17),,((VLOOKUP($K$19,$G$26:$H$36,2,0)*$N$40))+S$17)</f>
        <v>0</v>
      </c>
      <c r="T19" s="59">
        <f t="shared" ref="T19:Z19" si="26">IF(ISNA(((VLOOKUP($K$19,$G$26:$H$36,2,0)*$N$40))+T$17),,((VLOOKUP($K$19,$G$26:$H$36,2,0)*$N$40))+T$17)</f>
        <v>0</v>
      </c>
      <c r="U19" s="59">
        <f t="shared" si="26"/>
        <v>0</v>
      </c>
      <c r="V19" s="59">
        <f t="shared" si="26"/>
        <v>0</v>
      </c>
      <c r="W19" s="59">
        <f t="shared" si="26"/>
        <v>0</v>
      </c>
      <c r="X19" s="59">
        <f t="shared" si="26"/>
        <v>0</v>
      </c>
      <c r="Y19" s="59">
        <f t="shared" si="26"/>
        <v>0</v>
      </c>
      <c r="Z19" s="59">
        <f t="shared" si="26"/>
        <v>0</v>
      </c>
      <c r="AA19" s="55">
        <f t="shared" si="24"/>
        <v>5008.7196925000007</v>
      </c>
      <c r="AC19" s="60" t="s">
        <v>79</v>
      </c>
      <c r="AD19" s="60">
        <f>SUM(AD2:AD18)</f>
        <v>8</v>
      </c>
      <c r="AE19" s="60">
        <f t="shared" ref="AE19:AR19" si="27">SUM(AE2:AE18)</f>
        <v>1</v>
      </c>
      <c r="AF19" s="60">
        <f t="shared" si="27"/>
        <v>4</v>
      </c>
      <c r="AG19" s="60">
        <f t="shared" si="27"/>
        <v>3</v>
      </c>
      <c r="AH19" s="60">
        <f t="shared" si="27"/>
        <v>0</v>
      </c>
      <c r="AI19" s="60">
        <f t="shared" si="27"/>
        <v>0</v>
      </c>
      <c r="AJ19" s="60">
        <f t="shared" si="27"/>
        <v>0</v>
      </c>
      <c r="AK19" s="60">
        <f t="shared" si="27"/>
        <v>0</v>
      </c>
      <c r="AL19" s="60">
        <f t="shared" si="27"/>
        <v>0</v>
      </c>
      <c r="AM19" s="60">
        <f t="shared" si="27"/>
        <v>0</v>
      </c>
      <c r="AN19" s="60">
        <f t="shared" si="27"/>
        <v>0</v>
      </c>
      <c r="AO19" s="60">
        <f t="shared" si="27"/>
        <v>0</v>
      </c>
      <c r="AP19" s="60">
        <f t="shared" si="27"/>
        <v>0</v>
      </c>
      <c r="AQ19" s="60">
        <f t="shared" si="27"/>
        <v>0</v>
      </c>
      <c r="AR19" s="60">
        <f t="shared" si="27"/>
        <v>0</v>
      </c>
      <c r="AU19" s="4"/>
      <c r="AV19" s="4"/>
    </row>
    <row r="20" spans="1:48">
      <c r="B20" s="88"/>
      <c r="C20" s="386"/>
      <c r="E20" s="333" t="s">
        <v>91</v>
      </c>
      <c r="F20" s="536">
        <v>100</v>
      </c>
      <c r="G20" s="538">
        <v>0.5</v>
      </c>
      <c r="H20" s="540">
        <v>50</v>
      </c>
      <c r="I20">
        <v>295</v>
      </c>
      <c r="K20" s="27" t="s">
        <v>118</v>
      </c>
      <c r="L20" s="59">
        <f>IF(ISNA((VLOOKUP($K$20,$G$26:$H$36,2,0)*$N$33)+L$17),,(VLOOKUP($K$20,$G$26:$H$36,2,0)*$N$33)+L$17)</f>
        <v>2522.1533625000002</v>
      </c>
      <c r="M20" s="59">
        <f t="shared" ref="M20:Z20" si="28">IF(ISNA((VLOOKUP($K$20,$G$26:$H$36,2,0)*$N$33)+M$17),,(VLOOKUP($K$20,$G$26:$H$36,2,0)*$N$33)+M$17)</f>
        <v>832.94808749999993</v>
      </c>
      <c r="N20" s="59">
        <f t="shared" si="28"/>
        <v>1572.727875</v>
      </c>
      <c r="O20" s="59">
        <f t="shared" si="28"/>
        <v>1170.4027874999999</v>
      </c>
      <c r="P20" s="59">
        <f t="shared" si="28"/>
        <v>560.47852499999999</v>
      </c>
      <c r="Q20" s="59">
        <f t="shared" si="28"/>
        <v>560.47852499999999</v>
      </c>
      <c r="R20" s="59">
        <f t="shared" si="28"/>
        <v>560.47852499999999</v>
      </c>
      <c r="S20" s="59">
        <f t="shared" si="28"/>
        <v>560.47852499999999</v>
      </c>
      <c r="T20" s="59">
        <f t="shared" si="28"/>
        <v>560.47852499999999</v>
      </c>
      <c r="U20" s="59">
        <f t="shared" si="28"/>
        <v>560.47852499999999</v>
      </c>
      <c r="V20" s="59">
        <f t="shared" si="28"/>
        <v>560.47852499999999</v>
      </c>
      <c r="W20" s="59">
        <f t="shared" si="28"/>
        <v>560.47852499999999</v>
      </c>
      <c r="X20" s="59">
        <f t="shared" si="28"/>
        <v>560.47852499999999</v>
      </c>
      <c r="Y20" s="59">
        <f t="shared" si="28"/>
        <v>560.47852499999999</v>
      </c>
      <c r="Z20" s="59">
        <f t="shared" si="28"/>
        <v>560.47852499999999</v>
      </c>
      <c r="AA20" s="55">
        <f t="shared" si="24"/>
        <v>12263.495887500005</v>
      </c>
      <c r="AB20" s="981" t="s">
        <v>486</v>
      </c>
      <c r="AC20" s="981"/>
      <c r="AD20" s="981"/>
      <c r="AE20" s="981"/>
      <c r="AF20" s="981"/>
      <c r="AT20" t="s">
        <v>334</v>
      </c>
      <c r="AU20" s="4"/>
      <c r="AV20" s="4"/>
    </row>
    <row r="21" spans="1:48">
      <c r="E21" s="333" t="s">
        <v>120</v>
      </c>
      <c r="F21" s="334">
        <v>110</v>
      </c>
      <c r="K21" s="27" t="str">
        <f t="shared" si="25"/>
        <v>Bermuda</v>
      </c>
      <c r="L21" s="59">
        <f>IF(ISNA((VLOOKUP($K$21,$G$26:$H$36,2,0)*$N$33)+L$17),,(VLOOKUP($K$21,$G$26:$H$36,2,0)*$N$33)+L$17)</f>
        <v>2484.7881275</v>
      </c>
      <c r="M21" s="59">
        <f>IF(ISNA(((VLOOKUP($K$21,$G$26:$H$36,2,0)*$N$34)+M$17)),,((VLOOKUP($K$21,$G$26:$H$36,2,0)*$N$34)+M$17))</f>
        <v>325.12811249999999</v>
      </c>
      <c r="N21" s="59">
        <f>IF(ISNA(((VLOOKUP($K$21,$G$26:$H$36,2,0)*$N$35)+N$17)),,((VLOOKUP($K$21,$G$26:$H$36,2,0)*$N$35)+N$17))</f>
        <v>1282.1825100000001</v>
      </c>
      <c r="O21" s="59">
        <f>IF(ISNA((VLOOKUP($K$21,$G$26:$H$36,2,0)*$N$36)+O$17),,(VLOOKUP($K$21,$G$26:$H$36,2,0)*$N$36)+O$17)</f>
        <v>772.57073249999996</v>
      </c>
      <c r="P21" s="59">
        <f>IF(ISNA((VLOOKUP($K$21,$G$26:$H$36,2,0)*$N$37)+P$17),,(VLOOKUP($K$21,$G$26:$H$36,2,0)*$N$37)+P$17)</f>
        <v>0</v>
      </c>
      <c r="Q21" s="59">
        <f>IF(ISNA((VLOOKUP($K$21,$G$26:$H$36,2,0)*$N$38)+Q$17),,(VLOOKUP($K$21,$G$26:$H$36,2,0)*$N$38)+Q$17)</f>
        <v>0</v>
      </c>
      <c r="R21" s="59">
        <f>IF(ISNA((VLOOKUP($K$21,$G$26:$H$36,2,0)*$N$39)+R$17),,(VLOOKUP($K$21,$G$26:$H$36,2,0)*$N$39)+R$17)</f>
        <v>0</v>
      </c>
      <c r="S21" s="59">
        <f>IF(ISNA(((VLOOKUP($K$21,$G$26:$H$36,2,0)*$N$40)+S$17)),,((VLOOKUP($K$21,$G$26:$H$36,2,0)*$N$40)+S$17))</f>
        <v>0</v>
      </c>
      <c r="T21" s="59">
        <f>IF(ISNA((VLOOKUP($K$21,$G$26:$H$36,2,0)*$N$41)+T$17),,(VLOOKUP($K$21,$G$26:$H$36,2,0)*$N$41)+T$17)</f>
        <v>0</v>
      </c>
      <c r="U21" s="59">
        <f>IF(ISNA((VLOOKUP($K$21,$G$26:$H$36,2,0)*$N$42)+U$17),,(VLOOKUP($K$21,$G$26:$H$36,2,0)*$N$42)+U$17)</f>
        <v>0</v>
      </c>
      <c r="V21" s="59">
        <f>IF(ISNA((VLOOKUP($K$21,$G$26:$H$36,2,0)*$N$43)+V$17),,(VLOOKUP($K$21,$G$26:$H$36,2,0)*$N$43)+V$17)</f>
        <v>0</v>
      </c>
      <c r="W21" s="59">
        <f>IF(ISNA((VLOOKUP($K$21,$G$26:$H$36,2,0)*$N$44)+W$17),,(VLOOKUP($K$21,$G$26:$H$36,2,0)*$N$44)+W$17)</f>
        <v>0</v>
      </c>
      <c r="X21" s="59">
        <f>IF(ISNA((VLOOKUP($K$21,$G$26:$H$36,2,0)*$N$45)+X$17),,(VLOOKUP($K$21,$G$26:$H$36,2,0)*$N$45)+X$17)</f>
        <v>0</v>
      </c>
      <c r="Y21" s="59">
        <f>IF(ISNA((VLOOKUP($K$21,$G$26:$H$36,2,0)*$N$46)+Y$17),,(VLOOKUP($K$21,$G$26:$H$36,2,0)*$N$46)+Y$17)</f>
        <v>0</v>
      </c>
      <c r="Z21" s="59">
        <f>IF(ISNA((VLOOKUP($K$21,$G$26:$H$36,2,0)*$N$47)+Z$17),,(VLOOKUP($K$21,$G$26:$H$36,2,0)*$N$47)+Z$17)</f>
        <v>0</v>
      </c>
      <c r="AA21" s="55">
        <f t="shared" si="24"/>
        <v>4864.6694825000004</v>
      </c>
      <c r="AU21" s="4"/>
      <c r="AV21" s="4"/>
    </row>
    <row r="22" spans="1:48">
      <c r="E22" s="333" t="s">
        <v>92</v>
      </c>
      <c r="F22" s="536">
        <v>150</v>
      </c>
      <c r="G22" s="538">
        <v>0.5</v>
      </c>
      <c r="H22" s="540">
        <v>100</v>
      </c>
      <c r="I22">
        <v>345</v>
      </c>
      <c r="K22" s="27" t="str">
        <f t="shared" si="25"/>
        <v>Capri</v>
      </c>
      <c r="L22" s="59">
        <f>IF(ISNA(VLOOKUP($K$22,$G$26:$H$36,2,0)*($N$33-($N$33*C36))+L$17),,VLOOKUP($K$22,$G$26:$H$36,2,0)*($N$33-($N$33*C36))+L$17)</f>
        <v>2335.3271875</v>
      </c>
      <c r="M22" s="59">
        <f>IF(ISNA(VLOOKUP($K$22,$G$26:$H$36,2,0)*($N$34-($N$34*C36))+M$17),,VLOOKUP($K$22,$G$26:$H$36,2,0)*($N$34-($N$34*C36))+M$17)</f>
        <v>310.08281249999999</v>
      </c>
      <c r="N22" s="59">
        <f>IF(ISNA(VLOOKUP($K$22,$G$26:$H$36,2,0)*($N$35-($N$35*C36))+N$17),,VLOOKUP($K$22,$G$26:$H$36,2,0)*($N$35-($N$35*C36))+N$17)</f>
        <v>1205.0587500000001</v>
      </c>
      <c r="O22" s="59">
        <f>IF(ISNA(VLOOKUP($K$22,$G$26:$H$36,2,0)*($N$36-($N$36*C36))+O$17),,VLOOKUP($K$22,$G$26:$H$36,2,0)*($N$36-($N$36*C36))+O$17)</f>
        <v>726.10031249999997</v>
      </c>
      <c r="P22" s="59">
        <f>IF(ISNA(VLOOKUP($K$22,$G$26:$H$36,2,0)*($N$37-($N$37*C36))+P$17),,VLOOKUP($K$22,$G$26:$H$36,2,0)*($N$37-($N$37*C36))+P$17)</f>
        <v>0</v>
      </c>
      <c r="Q22" s="59">
        <f>IF(ISNA(VLOOKUP($K$22,$G$26:$H$36,2,0)*($N$38-($N$38*C36))+Q$17),,VLOOKUP($K$22,$G$26:$H$36,2,0)*($N$38-($N$38*C36))+Q$17)</f>
        <v>0</v>
      </c>
      <c r="R22" s="59">
        <f>IF(ISNA(VLOOKUP($K$22,$G$26:$H$36,2,0)*($N$39-($N$39*C36))+R$17),,VLOOKUP($K$22,$G$26:$H$36,2,0)*($N$39-($N$39*C36))+R$17)</f>
        <v>0</v>
      </c>
      <c r="S22" s="59">
        <f>IF(ISNA(VLOOKUP($K$22,$G$26:$H$36,2,0)*($N$40-($N$40*C36))+S$17),,VLOOKUP($K$22,$G$26:$H$36,2,0)*($N$40-($N$40*C36))+S$17)</f>
        <v>0</v>
      </c>
      <c r="T22" s="59">
        <f>IF(ISNA(VLOOKUP($K$22,$G$26:$H$36,2,0)*($N$41-($N$41*C36))+T$17),,VLOOKUP($K$22,$G$26:$H$36,2,0)*($N$41-($N$41*C36))+T$17)</f>
        <v>0</v>
      </c>
      <c r="U22" s="59">
        <f>IF(ISNA(VLOOKUP($K$22,$G$26:$H$36,2,0)*($N$42-($N$42*C36))+U$17),,VLOOKUP($K$22,$G$26:$H$36,2,0)*($N$42-($N$42*C36))+U$17)</f>
        <v>0</v>
      </c>
      <c r="V22" s="59">
        <f>IF(ISNA(VLOOKUP($K$22,$G$26:$H$36,2,0)*($N$43-($N$43*C36))+V$17),,VLOOKUP($K$22,$G$26:$H$36,2,0)*($N$43-($N$43*C36))+V$17)</f>
        <v>0</v>
      </c>
      <c r="W22" s="59">
        <f>IF(ISNA(VLOOKUP($K$22,$G$26:$H$36,2,0)*($N$44-($N$44*C36))+W$17),,VLOOKUP($K$22,$G$26:$H$36,2,0)*($N$44-($N$44*C36))+W$17)</f>
        <v>0</v>
      </c>
      <c r="X22" s="59">
        <f>IF(ISNA(VLOOKUP($K$22,$G$26:$H$36,2,0)*($N$45-($N$45*C36))+X$17),,VLOOKUP($K$22,$G$26:$H$36,2,0)*($N$44-($N$44*C36))+W$17)</f>
        <v>0</v>
      </c>
      <c r="Y22" s="59">
        <f>IF(ISNA(VLOOKUP($K$22,$G$26:$H$36,2,0)*($N$46-($N$46*C36))+Y$17),,VLOOKUP($K$22,$G$26:$H$36,2,0)*($N$46-($N$46*C36))+Y$17)</f>
        <v>0</v>
      </c>
      <c r="Z22" s="59">
        <f>IF(ISNA(VLOOKUP($K$22,$G$26:$H$36,2,0)*($N$47-($N$47*C36))+Z$17),,VLOOKUP($K$22,$G$26:$H$36,2,0)*($N$47-($N$47*C36))+Z$17)</f>
        <v>0</v>
      </c>
      <c r="AA22" s="55">
        <f t="shared" si="24"/>
        <v>4576.5690624999997</v>
      </c>
      <c r="AB22" s="1538" t="s">
        <v>487</v>
      </c>
      <c r="AC22" s="1538"/>
      <c r="AD22" s="970" t="str">
        <f xml:space="preserve"> TRIM(Pricing!R8 &amp; Pricing!S8 &amp;  Pricing!T8 &amp; Pricing!U8  &amp; Pricing!V8 &amp; Pricing!W8  &amp; Pricing!X8  &amp; Pricing!Y8  &amp; Pricing!Z8 &amp; Pricing!AA8  &amp; Pricing!AB8)</f>
        <v>FFFFFFFF</v>
      </c>
      <c r="AE22" s="970"/>
      <c r="AF22" s="970"/>
      <c r="AG22" s="970"/>
      <c r="AH22" s="1538" t="s">
        <v>488</v>
      </c>
      <c r="AI22" s="1538"/>
      <c r="AJ22" s="970" t="str">
        <f xml:space="preserve"> TRIM('Survey Front'!S12 &amp; 'Survey Front'!T12 &amp;  'Survey Front'!U12 &amp; 'Survey Front'!V12  &amp; 'Survey Front'!W12 &amp; 'Survey Front'!X12  &amp; 'Survey Front'!Y12  &amp; 'Survey Front'!Z12  &amp; 'Survey Front'!AA12 &amp; 'Survey Front'!AB12  &amp; 'Survey Front'!AC12)</f>
        <v>FFFFFFFF</v>
      </c>
      <c r="AK22" s="970"/>
      <c r="AL22" s="970"/>
      <c r="AT22" t="s">
        <v>336</v>
      </c>
      <c r="AU22" s="4"/>
      <c r="AV22" s="4"/>
    </row>
    <row r="23" spans="1:48">
      <c r="K23" s="27" t="str">
        <f t="shared" si="25"/>
        <v>Cuba</v>
      </c>
      <c r="L23" s="59">
        <f>IF(ISNA((VLOOKUP($K$23,$G$26:$H$36,2,0)*$N$33)+L$17),,(VLOOKUP($K$23,$G$26:$H$36,2,0)*$N$33)+L$17)</f>
        <v>2708.9795375000003</v>
      </c>
      <c r="M23" s="59">
        <f>IF(ISNA((VLOOKUP($K$23,$G$26:$H$36,2,0)*$N$34)+M$17),,(VLOOKUP($K$23,$G$26:$H$36,2,0)*$N$34)+M$17)</f>
        <v>347.69606249999998</v>
      </c>
      <c r="N23" s="59">
        <f>IF(ISNA((VLOOKUP($K$23,$G$26:$H$36,2,0)*$N$35)+N$17),,VLOOKUP($K$23,$G$26:$H$36,2,0)*$N$35)+N$17</f>
        <v>1397.86815</v>
      </c>
      <c r="O23" s="59">
        <f>IF(ISNA((VLOOKUP($K$23,$G$26:$H$36,2,0)*$N$36)+O$17),,(VLOOKUP($K$23,$G$26:$H$36,2,0)*$N$36)+O$17)</f>
        <v>842.2763625</v>
      </c>
      <c r="P23" s="59">
        <f>IF(ISNA((VLOOKUP($K$23,$G$26:$H$36,2,0)*$N$37)+P$17),,VLOOKUP($K$23,$G$26:$H$36,2,0)*$N$37)+P$17</f>
        <v>0</v>
      </c>
      <c r="Q23" s="59">
        <f>IF(ISNA((VLOOKUP($K$23,$G$26:$H$36,2,0)*$N$38)+Q$17),,VLOOKUP($K$23,$G$26:$H$36,2,0)*$N$38)+Q$17</f>
        <v>0</v>
      </c>
      <c r="R23" s="59">
        <f>IF(ISNA(((VLOOKUP($K$23,$G$26:$H$36,2,0)*$N$39)+R$17)),,((VLOOKUP($K$23,$G$26:$H$36,2,0)*$N$39)+R$17))</f>
        <v>0</v>
      </c>
      <c r="S23" s="59">
        <f>IF(ISNA(((VLOOKUP($K$23,$G$26:$H$36,2,0)*$N$40)+S$17)),,((VLOOKUP($K$23,$G$26:$H$36,2,0)*$N$40)+S$17))</f>
        <v>0</v>
      </c>
      <c r="T23" s="59">
        <f>IF(ISNA(((VLOOKUP($K$23,$G$26:$H$36,2,0)*$N$41)+T$17)),,((VLOOKUP($K$23,$G$26:$H$36,2,0)*$N$41)+T$17))</f>
        <v>0</v>
      </c>
      <c r="U23" s="59">
        <f>IF(ISNA(((VLOOKUP($K$23,$G$26:$H$36,2,0)*$N$42)+U$17)),,((VLOOKUP($K$23,$G$26:$H$36,2,0)*$N$42)+U$17))</f>
        <v>0</v>
      </c>
      <c r="V23" s="59">
        <f>IF(ISNA(((VLOOKUP($K$23,$G$26:$H$36,2,0)*$N$43)+V$17)),,((VLOOKUP($K$23,$G$26:$H$36,2,0)*$N$43)+V$17))</f>
        <v>0</v>
      </c>
      <c r="W23" s="59">
        <f>IF(ISNA((VLOOKUP($K$23,$G$26:$H$36,2,0)*$N$44)+W$17),,(VLOOKUP($K$23,$G$26:$H$36,2,0)*$N$44)+W$17)</f>
        <v>0</v>
      </c>
      <c r="X23" s="59">
        <f>IF(ISNA(((VLOOKUP($K$23,$G$26:$H$36,2,0)*$N$45)+X$17)),,((VLOOKUP($K$23,$G$26:$H$36,2,0)*$N$45)+X$17))</f>
        <v>0</v>
      </c>
      <c r="Y23" s="59">
        <f>IF(ISNA(((VLOOKUP($K$23,$G$26:$H$36,2,0)*$N$46)+Y$17)),,((VLOOKUP($K$23,$G$26:$H$36,2,0)*$N$45)+X$17))</f>
        <v>0</v>
      </c>
      <c r="Z23" s="59">
        <f>IF(ISNA(((VLOOKUP($K$23,$G$26:$H$36,2,0)*$N$47)+Z$17)),,((VLOOKUP($K$23,$G$26:$H$36,2,0)*$N$47)+Z$17))</f>
        <v>0</v>
      </c>
      <c r="AA23" s="55">
        <f t="shared" si="24"/>
        <v>5296.8201125000005</v>
      </c>
      <c r="AB23" s="1538" t="s">
        <v>489</v>
      </c>
      <c r="AC23" s="1538"/>
      <c r="AD23" s="1539" t="str">
        <f xml:space="preserve"> TRIM(Pricing!R11 &amp;Pricing!S11 &amp; Pricing!T11 &amp; Pricing!U11 &amp; Pricing!V11 &amp; Pricing!W11 &amp; Pricing!X11 &amp; Pricing!Y11 &amp; Pricing!Z11 &amp; Pricing!AA11 &amp; Pricing!AB11)</f>
        <v>L</v>
      </c>
      <c r="AE23" s="1539"/>
      <c r="AF23" s="1539"/>
      <c r="AH23" s="1540" t="s">
        <v>490</v>
      </c>
      <c r="AI23" s="1541"/>
      <c r="AJ23" s="970" t="str">
        <f xml:space="preserve"> TRIM('Survey Front'!S15 &amp; 'Survey Front'!T15 &amp;  'Survey Front'!U15 &amp; 'Survey Front'!V15  &amp; 'Survey Front'!W15 &amp; 'Survey Front'!X15  &amp; 'Survey Front'!Y15  &amp; 'Survey Front'!Z15  &amp; 'Survey Front'!AA15 &amp; 'Survey Front'!AB15  &amp; 'Survey Front'!AC15)</f>
        <v>L</v>
      </c>
      <c r="AK23" s="970"/>
      <c r="AL23" s="970"/>
      <c r="AU23" s="4"/>
      <c r="AV23" s="4"/>
    </row>
    <row r="24" spans="1:48">
      <c r="B24" s="154" t="s">
        <v>491</v>
      </c>
      <c r="G24" s="1545" t="s">
        <v>492</v>
      </c>
      <c r="H24" s="1545"/>
      <c r="I24" s="1545"/>
      <c r="K24" s="27" t="str">
        <f t="shared" si="25"/>
        <v>Fiji</v>
      </c>
      <c r="L24" s="59">
        <f>IF(ISNA((VLOOKUP($K$24,$G$26:$H$36,2,0)*$N$33)+L$17),,(VLOOKUP($K$24,$G$26:$H$36,2,0)*$N$33)+L$17)</f>
        <v>3194.7275925000004</v>
      </c>
      <c r="M24" s="59">
        <f>IF(ISNA((VLOOKUP($K$24,$G$26:$H$36,2,0)*$N$34)+M$17),,(VLOOKUP($K$24,$G$26:$H$36,2,0)*$N$34)+M$17)</f>
        <v>396.59328749999997</v>
      </c>
      <c r="N24" s="59">
        <f>IF(ISNA((VLOOKUP($K$24,$G$26:$H$36,2,0)*$N$35)+N$17),,(VLOOKUP($K$24,$G$26:$H$36,2,0)*$N$35)+N$17)</f>
        <v>1648.5203700000002</v>
      </c>
      <c r="O24" s="59">
        <f>IF(ISNA((VLOOKUP($K$24,$G$26:$H$36,2,0)*$N$36)+O$17),,(VLOOKUP($K$24,$G$26:$H$36,2,0)*$N$36)+O$17)</f>
        <v>993.3052275</v>
      </c>
      <c r="P24" s="59">
        <f>IF(ISNA((VLOOKUP($K$24,$G$26:$H$36,2,0)*$N$37)+P$17),,(VLOOKUP($K$24,$G$26:$H$36,2,0)*$N$37)+P$17)</f>
        <v>0</v>
      </c>
      <c r="Q24" s="59">
        <f>IF(ISNA((VLOOKUP($K$24,$G$26:$H$36,2,0)*$N$38)+Q$17),,(VLOOKUP($K$24,$G$26:$H$36,2,0)*$N$38)+Q$17)</f>
        <v>0</v>
      </c>
      <c r="R24" s="59">
        <f>IF(ISNA((VLOOKUP($K$24,$G$26:$H$36,2,0)*$N$39)+R$17),,(VLOOKUP($K$24,$G$26:$H$36,2,0)*$N$39)+R$17)</f>
        <v>0</v>
      </c>
      <c r="S24" s="59">
        <f>IF(ISNA((VLOOKUP($K$24,$G$26:$H$36,2,0)*$N$40)+S$17),,(VLOOKUP($K$24,$G$26:$H$36,2,0)*$N$40)+S$17)</f>
        <v>0</v>
      </c>
      <c r="T24" s="59">
        <f>IF(ISNA((VLOOKUP($K$24,$G$26:$H$36,2,0)*$N$41)+T$17),,(VLOOKUP($K$24,$G$26:$H$36,2,0)*$N$41)+T$17)</f>
        <v>0</v>
      </c>
      <c r="U24" s="59">
        <f>IF(ISNA((VLOOKUP($K$24,$G$26:$H$36,2,0)*$N$42)+U$17),,(VLOOKUP($K$24,$G$26:$H$36,2,0)*$N$42)+U$17)</f>
        <v>0</v>
      </c>
      <c r="V24" s="59">
        <f>IF(ISNA((VLOOKUP($K$24,$G$26:$H$36,2,0)*$N$43)+V$17),,(VLOOKUP($K$24,$G$26:$H$36,2,0)*$N$43)+V$17)</f>
        <v>0</v>
      </c>
      <c r="W24" s="59">
        <f>IF(ISNA((VLOOKUP($K$24,$G$26:$H$36,2,0)*$N$44)+W$17),,(VLOOKUP($K$24,$G$26:$H$36,2,0)*$N$44)+W$17)</f>
        <v>0</v>
      </c>
      <c r="X24" s="59">
        <f>IF(ISNA((VLOOKUP($K$24,$G$26:$H$36,2,0)*$N$45)+X$17),,(VLOOKUP($K$24,$G$26:$H$36,2,0)*$N$45)+X$17)</f>
        <v>0</v>
      </c>
      <c r="Y24" s="59">
        <f>IF(ISNA((VLOOKUP($K$24,$G$26:$H$36,2,0)*$N$46)+Y$17),,(VLOOKUP($K$24,$G$26:$H$36,2,0)*$N$46)+Y$17)</f>
        <v>0</v>
      </c>
      <c r="Z24" s="59">
        <f>IF(ISNA((VLOOKUP($K$24,$G$26:$H$36,2,0)*$N$47)+Z$17),,(VLOOKUP($K$24,$G$26:$H$36,2,0)*$N$47)+Z$17)</f>
        <v>0</v>
      </c>
      <c r="AA24" s="55">
        <f t="shared" si="24"/>
        <v>6233.1464775000004</v>
      </c>
      <c r="AB24" s="1538" t="s">
        <v>493</v>
      </c>
      <c r="AC24" s="1538"/>
      <c r="AD24" s="970" t="str">
        <f xml:space="preserve"> TRIM(Pricing!R14 &amp; Pricing!S14 &amp; Pricing!T14 &amp; Pricing!U14  &amp; Pricing!V14 &amp;  Pricing!W14 &amp;  Pricing!X14 &amp; Pricing!Y14 &amp; Pricing!Z14 &amp; Pricing!AA14 &amp;Pricing!AB14)</f>
        <v>L(T)L(T)R(T)R</v>
      </c>
      <c r="AE24" s="970"/>
      <c r="AF24" s="970"/>
      <c r="AH24" s="1540" t="s">
        <v>494</v>
      </c>
      <c r="AI24" s="1541"/>
      <c r="AJ24" s="970" t="str">
        <f xml:space="preserve"> TRIM('Survey Front'!S18 &amp; 'Survey Front'!T18 &amp;  'Survey Front'!U18 &amp; 'Survey Front'!V18  &amp; 'Survey Front'!W18 &amp; 'Survey Front'!X18  &amp; 'Survey Front'!Y18  &amp; 'Survey Front'!Z18  &amp; 'Survey Front'!AA18 &amp; 'Survey Front'!AB18  &amp; 'Survey Front'!AC18)</f>
        <v>L(T)L(T)R(T)R</v>
      </c>
      <c r="AK24" s="970"/>
      <c r="AL24" s="970"/>
      <c r="AT24" t="s">
        <v>338</v>
      </c>
      <c r="AU24" s="4"/>
      <c r="AV24" s="4"/>
    </row>
    <row r="25" spans="1:48">
      <c r="B25" s="104" t="s">
        <v>84</v>
      </c>
      <c r="C25" s="171">
        <v>0</v>
      </c>
      <c r="D25" s="104"/>
      <c r="E25" s="104">
        <f>ROUND(20%*Pricing!U62,0.2)</f>
        <v>984</v>
      </c>
      <c r="G25" s="74" t="s">
        <v>495</v>
      </c>
      <c r="H25" s="74" t="s">
        <v>26</v>
      </c>
      <c r="I25" s="74" t="s">
        <v>496</v>
      </c>
      <c r="K25" s="27" t="str">
        <f t="shared" si="25"/>
        <v>Java</v>
      </c>
      <c r="L25" s="59">
        <f>IF(ISNA((VLOOKUP($K$25,$G$26:$H$36,2,0)*$N$33)+L$17),,(VLOOKUP($K$25,$G$26:$H$36,2,0)*$N$33)+L$17)</f>
        <v>3381.5537675000005</v>
      </c>
      <c r="M25" s="59">
        <f>IF(ISNA((VLOOKUP($K$25,$G$26:$H$36,2,0)*$N$34)+M$17),,(VLOOKUP($K$25,$G$26:$H$36,2,0)*$N$34)+M$17)</f>
        <v>415.39991250000003</v>
      </c>
      <c r="N25" s="59">
        <f>IF(ISNA((VLOOKUP($K$25,$G$26:$H$36,2,0)*$N$35)+N$17),,(VLOOKUP($K$25,$G$26:$H$36,2,0)*$N$35)+N$17)</f>
        <v>1744.92507</v>
      </c>
      <c r="O25" s="59">
        <f>IF(ISNA((VLOOKUP($K$25,$G$26:$H$36,2,0)*$N$36)+O$17),,(VLOOKUP($K$25,$G$26:$H$36,2,0)*$N$36)+O$17)</f>
        <v>1051.3932525</v>
      </c>
      <c r="P25" s="59">
        <f>IF(ISNA((VLOOKUP($K$25,$G$26:$H$36,2,0)*$N$37)+P$17),,(VLOOKUP($K$25,$G$26:$H$36,2,0)*$N$37)+P$17)</f>
        <v>0</v>
      </c>
      <c r="Q25" s="59">
        <f>IF(ISNA((VLOOKUP($K$25,$G$26:$H$36,2,0)*$N$38)+Q$17),,(VLOOKUP($K$25,$G$26:$H$36,2,0)*$N$38)+Q$17)</f>
        <v>0</v>
      </c>
      <c r="R25" s="59">
        <f>IF(ISNA((VLOOKUP($K$25,$G$26:$H$36,2,0)*$N$39)+R$17),,(VLOOKUP($K$25,$G$26:$H$36,2,0)*$N$39)+R$17)</f>
        <v>0</v>
      </c>
      <c r="S25" s="59">
        <f>IF(ISNA((VLOOKUP($K$25,$G$26:$H$36,2,0)*$N$40)+S$17),,(VLOOKUP($K$25,$G$26:$H$36,2,0)*$N$40)+S$17)</f>
        <v>0</v>
      </c>
      <c r="T25" s="59">
        <f>IF(ISNA((VLOOKUP($K$25,$G$26:$H$36,2,0)*$N$41)+T$17),,(VLOOKUP($K$25,$G$26:$H$36,2,0)*$N$41)+T$17)</f>
        <v>0</v>
      </c>
      <c r="U25" s="59">
        <f>IF(ISNA((VLOOKUP($K$25,$G$26:$H$36,2,0)*$N$42)+U$17),,(VLOOKUP($K$25,$G$26:$H$36,2,0)*$N$42)+U$17)</f>
        <v>0</v>
      </c>
      <c r="V25" s="59">
        <f>IF(ISNA((VLOOKUP($K$25,$G$26:$H$36,2,0)*$N$43)+V$17),,(VLOOKUP($K$25,$G$26:$H$36,2,0)*$N$43)+V$17)</f>
        <v>0</v>
      </c>
      <c r="W25" s="59">
        <f>IF(ISNA((VLOOKUP($K$25,$G$26:$H$36,2,0)*$N$44)+W$17),,(VLOOKUP($K$25,$G$26:$H$36,2,0)*$N$44)+W$17)</f>
        <v>0</v>
      </c>
      <c r="X25" s="59">
        <f>IF(ISNA((VLOOKUP($K$25,$G$26:$H$36,2,0)*$N$45)+X$17),,(VLOOKUP($K$25,$G$26:$H$36,2,0)*$N$45)+X$17)</f>
        <v>0</v>
      </c>
      <c r="Y25" s="59">
        <f>IF(ISNA((VLOOKUP($K$25,$G$26:$H$36,2,0)*$N$46)+Y$17),,(VLOOKUP($K$25,$G$26:$H$36,2,0)*$N$46)+Y$17)</f>
        <v>0</v>
      </c>
      <c r="Z25" s="59">
        <f>IF(ISNA((VLOOKUP($K$25,$G$26:$H$36,2,0)*$N$47)+Z$17),,(VLOOKUP($K$25,$G$26:$H$36,2,0)*$N$47)+Z$17)</f>
        <v>0</v>
      </c>
      <c r="AA25" s="55">
        <f t="shared" si="24"/>
        <v>6593.2720025000008</v>
      </c>
      <c r="AB25" s="1538" t="s">
        <v>497</v>
      </c>
      <c r="AC25" s="1538"/>
      <c r="AD25" s="970" t="str">
        <f xml:space="preserve"> TRIM(Pricing!R17 &amp; Pricing!S17 &amp; Pricing!T17 &amp; Pricing!U17 &amp; Pricing!V17 &amp; Pricing!W17 &amp; Pricing!X17 &amp; Pricing!Y17 &amp; Pricing!Z17 &amp; Pricing!AA17 &amp; Pricing!AB17)</f>
        <v>L(T)R(T)R</v>
      </c>
      <c r="AE25" s="970"/>
      <c r="AF25" s="970"/>
      <c r="AH25" s="1540" t="s">
        <v>498</v>
      </c>
      <c r="AI25" s="1541"/>
      <c r="AJ25" s="970" t="str">
        <f xml:space="preserve"> TRIM('Survey Front'!S21 &amp; 'Survey Front'!T21 &amp;  'Survey Front'!U21 &amp; 'Survey Front'!V21  &amp; 'Survey Front'!W21 &amp; 'Survey Front'!X21  &amp; 'Survey Front'!Y21  &amp; 'Survey Front'!Z21  &amp; 'Survey Front'!AA21 &amp; 'Survey Front'!AB21  &amp; 'Survey Front'!AC21)</f>
        <v>L(T)R(T)R</v>
      </c>
      <c r="AK25" s="970"/>
      <c r="AL25" s="970"/>
      <c r="AU25" s="4"/>
      <c r="AV25" s="4"/>
    </row>
    <row r="26" spans="1:48">
      <c r="B26" s="104" t="s">
        <v>229</v>
      </c>
      <c r="C26" s="172">
        <v>0.19900000000000001</v>
      </c>
      <c r="D26" s="104"/>
      <c r="E26" s="104"/>
      <c r="G26" s="333" t="s">
        <v>63</v>
      </c>
      <c r="H26" s="334">
        <f>C2</f>
        <v>350</v>
      </c>
      <c r="I26" s="333" t="s">
        <v>499</v>
      </c>
      <c r="K26" s="27" t="str">
        <f t="shared" si="25"/>
        <v>Maui</v>
      </c>
      <c r="L26" s="59">
        <f>IF(ISNA((VLOOKUP($K$26,$G$26:$H$36,2,0)*$N$33)+L$17),,(VLOOKUP($K$26,$G$26:$H$36,2,0)*$N$33)+L$17)</f>
        <v>3306.8232975000001</v>
      </c>
      <c r="M26" s="59">
        <f>IF(ISNA((VLOOKUP($K$26,$G$26:$H$36,2,0)*$N$34)+M$17),,(VLOOKUP($K$26,$G$26:$H$36,2,0)*$N$34)+M$17)</f>
        <v>407.87726250000003</v>
      </c>
      <c r="N26" s="59">
        <f>IF(ISNA((VLOOKUP($K$26,$G$26:$H$36,2,0)*$N$35)+N$17),,(VLOOKUP($K$26,$G$26:$H$36,2,0)*$N$35)+N$17)</f>
        <v>1706.36319</v>
      </c>
      <c r="O26" s="59">
        <f>IF(ISNA((VLOOKUP($K$26,$G$26:$H$36,2,0)*$N$36)+O$17),,(VLOOKUP($K$26,$G$26:$H$36,2,0)*$N$36)+O$17)</f>
        <v>1028.1580425</v>
      </c>
      <c r="P26" s="59">
        <f>IF(ISNA((VLOOKUP($K$26,$G$26:$H$36,2,0)*$N$37)+P$17),,(VLOOKUP($K$26,$G$26:$H$36,2,0)*$N$37)+P$17)</f>
        <v>0</v>
      </c>
      <c r="Q26" s="59">
        <f>IF(ISNA((VLOOKUP($K$26,$G$26:$H$36,2,0)*$N$38)+Q$17),,(VLOOKUP($K$26,$G$26:$H$36,2,0)*$N$38)+Q$17)</f>
        <v>0</v>
      </c>
      <c r="R26" s="59">
        <f>IF(ISNA((VLOOKUP($K$26,$G$26:$H$36,2,0)*$N$39)+R$17),,(VLOOKUP($K$26,$G$26:$H$36,2,0)*$N$38)+Q$17)</f>
        <v>0</v>
      </c>
      <c r="S26" s="59">
        <f>IF(ISNA((VLOOKUP($K$26,$G$26:$H$36,2,0)*$N$40)+S$17),,(VLOOKUP($K$26,$G$26:$H$36,2,0)*$N$40)+S$17)</f>
        <v>0</v>
      </c>
      <c r="T26" s="59">
        <f>IF(ISNA((VLOOKUP($K$26,$G$26:$H$36,2,0)*$N$41)+T$17),,(VLOOKUP($K$26,$G$26:$H$36,2,0)*$N$41)+T$17)</f>
        <v>0</v>
      </c>
      <c r="U26" s="59">
        <f>IF(ISNA((VLOOKUP($K$26,$G$26:$H$36,2,0)*$N$42)+U$17),,(VLOOKUP($K$26,$G$26:$H$36,2,0)*$N$42)+U$17)</f>
        <v>0</v>
      </c>
      <c r="V26" s="59">
        <f>IF(ISNA((VLOOKUP($K$26,$G$26:$H$36,2,0)*$N$43)+V$17),,(VLOOKUP($K$26,$G$26:$H$36,2,0)*$N$43)+V$17)</f>
        <v>0</v>
      </c>
      <c r="W26" s="59">
        <f>IF(ISNA((VLOOKUP($K$26,$G$26:$H$36,2,0)*$N$44)+W$17),,(VLOOKUP($K$26,$G$26:$H$36,2,0)*$N$44)+W$17)</f>
        <v>0</v>
      </c>
      <c r="X26" s="59">
        <f>IF(ISNA((VLOOKUP($K$26,$G$26:$H$36,2,0)*$N$45)+X$17),,(VLOOKUP($K$26,$G$26:$H$36,2,0)*$N$45)+X$17)</f>
        <v>0</v>
      </c>
      <c r="Y26" s="59">
        <f>IF(ISNA((VLOOKUP($K$26,$G$26:$H$36,2,0)*$N$46)+Y$17),,(VLOOKUP($K$26,$G$26:$H$36,2,0)*$N$46)+Y$17)</f>
        <v>0</v>
      </c>
      <c r="Z26" s="59">
        <f>IF(ISNA((VLOOKUP($K$26,$G$26:$H$36,2,0)*$N$47)+Z$17),,(VLOOKUP($K$26,$G$26:$H$36,2,0)*$N$47)+Z$17)</f>
        <v>0</v>
      </c>
      <c r="AA26" s="55">
        <f t="shared" si="24"/>
        <v>6449.2217925000004</v>
      </c>
      <c r="AB26" s="1538" t="s">
        <v>500</v>
      </c>
      <c r="AC26" s="1538"/>
      <c r="AD26" s="970" t="str">
        <f xml:space="preserve"> TRIM(Pricing!R20 &amp; Pricing!S20 &amp; Pricing!T20 &amp;Pricing!U20 &amp;Pricing!V20 &amp; Pricing!W20 &amp; Pricing!X20 &amp; Pricing!Y20 &amp; Pricing!Z20 &amp; Pricing!AA20 &amp; Pricing!AB20)</f>
        <v/>
      </c>
      <c r="AE26" s="970"/>
      <c r="AF26" s="970"/>
      <c r="AH26" s="1540" t="s">
        <v>501</v>
      </c>
      <c r="AI26" s="1541"/>
      <c r="AJ26" s="970" t="str">
        <f xml:space="preserve"> TRIM('Survey Front'!S24 &amp; 'Survey Front'!T24 &amp;  'Survey Front'!U24 &amp; 'Survey Front'!V24  &amp; 'Survey Front'!W24 &amp; 'Survey Front'!X24  &amp; 'Survey Front'!Y24  &amp; 'Survey Front'!Z24  &amp; 'Survey Front'!AA24 &amp; 'Survey Front'!AB24  &amp; 'Survey Front'!AC24)</f>
        <v/>
      </c>
      <c r="AK26" s="970"/>
      <c r="AL26" s="970"/>
      <c r="AT26" t="s">
        <v>339</v>
      </c>
      <c r="AU26" s="4"/>
      <c r="AV26" s="4"/>
    </row>
    <row r="27" spans="1:48">
      <c r="B27" s="104" t="s">
        <v>230</v>
      </c>
      <c r="C27" s="172">
        <v>0.19900000000000001</v>
      </c>
      <c r="D27" s="104"/>
      <c r="E27" s="104"/>
      <c r="G27" s="333" t="s">
        <v>18</v>
      </c>
      <c r="H27" s="334">
        <f>F18</f>
        <v>75</v>
      </c>
      <c r="I27" s="333" t="s">
        <v>502</v>
      </c>
      <c r="K27" s="27" t="str">
        <f t="shared" si="25"/>
        <v>Tahiti</v>
      </c>
      <c r="L27" s="59">
        <f>IF(ISNA((VLOOKUP($K$27,$G$26:$H$36,2,0)*($N$33-($N33*$C$44)))+L$17),,(VLOOKUP($K$27,$G$26:$H$36,2,0)*($N$33-($N33*$C$44)))+L$17)</f>
        <v>2522.1533625000002</v>
      </c>
      <c r="M27" s="59">
        <f>IF(ISNA((VLOOKUP($K$27,$G$26:$H$36,2,0)*($N$34-($N34*$C$44)))+M$17),,(VLOOKUP($K$27,$G$26:$H$36,2,0)*($N$34-($N34*$C$44)))+M$17)</f>
        <v>328.88943749999999</v>
      </c>
      <c r="N27" s="59">
        <f>IF(ISNA((VLOOKUP($K$27,$G$26:$H$36,2,0)*($N$35-($N35*$C$44)))+N$17),,(VLOOKUP($K$27,$G$26:$H$36,2,0)*($N$35-($N35*$C$44)))+N$17)</f>
        <v>1301.46345</v>
      </c>
      <c r="O27" s="59">
        <f>IF(ISNA((VLOOKUP($K$27,$G$26:$H$36,2,0)*($N$36-($N36*$C$44)))+O$17),,(VLOOKUP($K$27,$G$26:$H$36,2,0)*($N$36-($N36*$C$44)))+O$17)</f>
        <v>784.18833749999999</v>
      </c>
      <c r="P27" s="59">
        <f>IF(ISNA((VLOOKUP($K$27,$G$26:$H$36,2,0)*($N$37-($N37*$C$44)))+P$17),,(VLOOKUP($K$27,$G$26:$H$36,2,0)*($N$37-($N37*$C$44)))+P$17)</f>
        <v>0</v>
      </c>
      <c r="Q27" s="59">
        <f>IF(ISNA((VLOOKUP($K$27,$G$26:$H$36,2,0)*($N$38-($N38*$C$44)))+Q$17),,(VLOOKUP($K$27,$G$26:$H$36,2,0)*($N$38-($N38*$C$44)))+Q$17)</f>
        <v>0</v>
      </c>
      <c r="R27" s="59">
        <f>IF(ISNA((VLOOKUP($K$27,$G$26:$H$36,2,0)*($N$39-($N39*$C$44)))+R$17),,(VLOOKUP($K$27,$G$26:$H$36,2,0)*($N$39-($N39*$C$44)))+R$17)</f>
        <v>0</v>
      </c>
      <c r="S27" s="59">
        <f>IF(ISNA((VLOOKUP($K$27,$G$26:$H$36,2,0)*($N$40-($N40*$C$44)))+S$17),,(VLOOKUP($K$27,$G$26:$H$36,2,0)*($N$40-($N40*$C$44)))+S$17)</f>
        <v>0</v>
      </c>
      <c r="T27" s="59">
        <f>IF(ISNA((VLOOKUP($K$27,$G$26:$H$36,2,0)*($N$41-($N41*$C$44)))+T$17),,(VLOOKUP($K$27,$G$26:$H$36,2,0)*($N$41-($N41*$C$44)))+T$17)</f>
        <v>0</v>
      </c>
      <c r="U27" s="59">
        <f>IF(ISNA((VLOOKUP($K$27,$G$26:$H$36,2,0)*($N$42-($N42*$C$44)))+U$17),,(VLOOKUP($K$27,$G$26:$H$36,2,0)*($N$42-($N42*$C$44)))+U$17)</f>
        <v>0</v>
      </c>
      <c r="V27" s="59">
        <f>IF(ISNA((VLOOKUP($K$27,$G$26:$H$36,2,0)*($N$43-($N43*$C$44)))+V$17),,(VLOOKUP($K$27,$G$26:$H$36,2,0)*($N$43-($N43*$C$44)))+V$17)</f>
        <v>0</v>
      </c>
      <c r="W27" s="59">
        <f>IF(ISNA((VLOOKUP($K$27,$G$26:$H$36,2,0)*($N$44-($N44*$C$44)))+W$17),,(VLOOKUP($K$27,$G$26:$H$36,2,0)*($N$44-($N44*$C$44)))+W$17)</f>
        <v>0</v>
      </c>
      <c r="X27" s="59">
        <f>IF(ISNA((VLOOKUP($K$27,$G$26:$H$36,2,0)*($N$45-($N45*$C$44)))+X$17),,(VLOOKUP($K$27,$G$26:$H$36,2,0)*($N$45-($N45*$C$44)))+X$17)</f>
        <v>0</v>
      </c>
      <c r="Y27" s="59">
        <f>IF(ISNA((VLOOKUP($K$27,$G$26:$H$36,2,0)*($N$46-($N46*$C$44)))+Y$17),,(VLOOKUP($K$27,$G$26:$H$36,2,0)*($N$46-($N46*$C$44)))+Y$17)</f>
        <v>0</v>
      </c>
      <c r="Z27" s="59">
        <f>IF(ISNA((VLOOKUP($K$27,$G$26:$H$36,2,0)*($N$47-($N47*$C$44)))+Z$17),,(VLOOKUP($K$27,$G$26:$H$36,2,0)*($N$47-($N47*$C$44)))+Z$17)</f>
        <v>0</v>
      </c>
      <c r="AA27" s="55">
        <f t="shared" si="24"/>
        <v>4936.6945875000001</v>
      </c>
      <c r="AB27" s="1538" t="s">
        <v>503</v>
      </c>
      <c r="AC27" s="1538"/>
      <c r="AD27" s="970" t="str">
        <f xml:space="preserve"> TRIM(Pricing!R23 &amp;Pricing!S23 &amp;Pricing!T23 &amp;Pricing!U23 &amp;Pricing!V23 &amp; Pricing!W23 &amp; Pricing!X23 &amp; Pricing!Y23 &amp; Pricing!Z23 &amp; Pricing!AA23 &amp; Pricing!AB23)</f>
        <v/>
      </c>
      <c r="AE27" s="970"/>
      <c r="AF27" s="970"/>
      <c r="AH27" s="1540" t="s">
        <v>504</v>
      </c>
      <c r="AI27" s="1541"/>
      <c r="AJ27" s="970" t="str">
        <f xml:space="preserve"> TRIM('Survey Front'!S27 &amp; 'Survey Front'!T27 &amp;  'Survey Front'!U27 &amp; 'Survey Front'!V27  &amp; 'Survey Front'!W27 &amp; 'Survey Front'!X27  &amp; 'Survey Front'!Y27  &amp; 'Survey Front'!Z27  &amp; 'Survey Front'!AA27 &amp; 'Survey Front'!AB27  &amp; 'Survey Front'!AC27)</f>
        <v/>
      </c>
      <c r="AK27" s="970"/>
      <c r="AL27" s="970"/>
      <c r="AU27" s="4"/>
      <c r="AV27" s="4"/>
    </row>
    <row r="28" spans="1:48">
      <c r="B28" t="s">
        <v>505</v>
      </c>
      <c r="G28" s="333" t="s">
        <v>119</v>
      </c>
      <c r="H28" s="334">
        <f>F19</f>
        <v>80</v>
      </c>
      <c r="I28" s="333" t="s">
        <v>506</v>
      </c>
      <c r="AB28" s="1538" t="s">
        <v>507</v>
      </c>
      <c r="AC28" s="1538"/>
      <c r="AD28" s="970" t="str">
        <f xml:space="preserve"> TRIM(Pricing!R26 &amp;Pricing!S26 &amp;Pricing!T26 &amp; Pricing!U26 &amp; Pricing!V26 &amp; Pricing!W26 &amp; Pricing!X26 &amp; Pricing!Y26 &amp; Pricing!Z26 &amp;Pricing!AA26 &amp;Pricing!AB26)</f>
        <v/>
      </c>
      <c r="AE28" s="970"/>
      <c r="AF28" s="970"/>
      <c r="AH28" s="1540" t="s">
        <v>508</v>
      </c>
      <c r="AI28" s="1541"/>
      <c r="AJ28" s="970" t="str">
        <f xml:space="preserve"> TRIM('Survey Front'!S30 &amp; 'Survey Front'!T30 &amp;  'Survey Front'!U30 &amp; 'Survey Front'!V30  &amp; 'Survey Front'!W30 &amp; 'Survey Front'!X30  &amp; 'Survey Front'!Y30  &amp; 'Survey Front'!Z30  &amp; 'Survey Front'!AA30 &amp; 'Survey Front'!AB30  &amp; 'Survey Front'!AC30)</f>
        <v/>
      </c>
      <c r="AK28" s="970"/>
      <c r="AL28" s="970"/>
      <c r="AT28" t="s">
        <v>341</v>
      </c>
      <c r="AU28" s="4"/>
      <c r="AV28" s="4"/>
    </row>
    <row r="29" spans="1:48" ht="15" thickBot="1">
      <c r="B29" s="62"/>
      <c r="F29" s="55"/>
      <c r="G29" s="333" t="s">
        <v>118</v>
      </c>
      <c r="H29" s="334">
        <v>75</v>
      </c>
      <c r="I29" s="333" t="s">
        <v>502</v>
      </c>
      <c r="L29">
        <f>VLOOKUP(K17,$G$26:$H$36,2,0)*$N$34</f>
        <v>263.29275000000001</v>
      </c>
      <c r="M29">
        <f>(VLOOKUP(K17,$G$26:$H$36,2,0)*$N$34)</f>
        <v>263.29275000000001</v>
      </c>
      <c r="N29">
        <f>(INDEX($C$31:$C$41,MATCH(Pricing!$E$11,Matrix2!$B$31:$B$41,0)))</f>
        <v>0.45</v>
      </c>
      <c r="O29">
        <f>M29-(M29*N29)</f>
        <v>144.8110125</v>
      </c>
      <c r="Q29" s="55"/>
      <c r="AB29" s="1538" t="s">
        <v>509</v>
      </c>
      <c r="AC29" s="1538"/>
      <c r="AD29" s="970" t="str">
        <f xml:space="preserve"> TRIM(Pricing!R29 &amp; Pricing!S29 &amp;  Pricing!T29 &amp; Pricing!U29 &amp; Pricing!V29  &amp; Pricing!W29 &amp;  Pricing!X29 &amp; Pricing!Y29 &amp;Pricing!Z29 &amp;  Pricing!AA29 &amp; Pricing!AB29)</f>
        <v/>
      </c>
      <c r="AE29" s="970"/>
      <c r="AF29" s="970"/>
      <c r="AH29" s="1540" t="s">
        <v>510</v>
      </c>
      <c r="AI29" s="1541"/>
      <c r="AJ29" s="970" t="str">
        <f xml:space="preserve"> TRIM('Survey Front'!S33 &amp; 'Survey Front'!T33 &amp;  'Survey Front'!U33 &amp; 'Survey Front'!V33  &amp; 'Survey Front'!W33 &amp; 'Survey Front'!X33  &amp; 'Survey Front'!Y33  &amp; 'Survey Front'!Z33  &amp; 'Survey Front'!AA33 &amp; 'Survey Front'!AB33  &amp; 'Survey Front'!AC33)</f>
        <v/>
      </c>
      <c r="AK29" s="970"/>
      <c r="AL29" s="970"/>
      <c r="AU29" s="4"/>
      <c r="AV29" s="4"/>
    </row>
    <row r="30" spans="1:48" ht="13.9" customHeight="1">
      <c r="B30" s="1542" t="s">
        <v>511</v>
      </c>
      <c r="C30" s="1543"/>
      <c r="D30" s="88"/>
      <c r="E30" s="88" t="s">
        <v>512</v>
      </c>
      <c r="G30" s="333" t="s">
        <v>122</v>
      </c>
      <c r="H30" s="334">
        <f>C3</f>
        <v>70</v>
      </c>
      <c r="I30" s="333" t="s">
        <v>502</v>
      </c>
      <c r="AB30" s="1538" t="s">
        <v>513</v>
      </c>
      <c r="AC30" s="1538"/>
      <c r="AD30" s="970" t="str">
        <f xml:space="preserve"> TRIM(Pricing!R32&amp; Pricing!S32 &amp; Pricing!T32 &amp; Pricing!U32 &amp; Pricing!V32 &amp; Pricing!W32 &amp;  Pricing!X32 &amp; Pricing!Y32 &amp; Pricing!Z32 &amp;Pricing!AA32 &amp; Pricing!AB32)</f>
        <v/>
      </c>
      <c r="AE30" s="970"/>
      <c r="AF30" s="970"/>
      <c r="AH30" s="1540" t="s">
        <v>514</v>
      </c>
      <c r="AI30" s="1541"/>
      <c r="AJ30" s="970" t="str">
        <f xml:space="preserve"> TRIM('Survey Front'!S36 &amp; 'Survey Front'!T36 &amp;  'Survey Front'!U36 &amp; 'Survey Front'!V36  &amp; 'Survey Front'!W36 &amp; 'Survey Front'!X36  &amp; 'Survey Front'!Y36  &amp; 'Survey Front'!Z36  &amp; 'Survey Front'!AA36 &amp; 'Survey Front'!AB36  &amp; 'Survey Front'!AC36)</f>
        <v/>
      </c>
      <c r="AK30" s="970"/>
      <c r="AL30" s="970"/>
      <c r="AT30" t="s">
        <v>342</v>
      </c>
      <c r="AU30" s="4"/>
      <c r="AV30" s="4"/>
    </row>
    <row r="31" spans="1:48" ht="13.9" customHeight="1">
      <c r="B31" s="389" t="s">
        <v>18</v>
      </c>
      <c r="C31" s="388">
        <v>0.45</v>
      </c>
      <c r="D31" s="387" t="s">
        <v>515</v>
      </c>
      <c r="E31" s="350"/>
      <c r="F31" s="350"/>
      <c r="G31" s="333" t="s">
        <v>91</v>
      </c>
      <c r="H31" s="334">
        <f>F20</f>
        <v>100</v>
      </c>
      <c r="I31" s="333" t="s">
        <v>499</v>
      </c>
      <c r="K31" s="981" t="s">
        <v>516</v>
      </c>
      <c r="L31" s="981"/>
      <c r="M31" s="981"/>
      <c r="N31" s="981"/>
      <c r="O31" s="981"/>
      <c r="P31" s="981"/>
      <c r="Q31" s="981"/>
      <c r="R31" s="981"/>
      <c r="S31" s="981"/>
      <c r="T31" s="981"/>
      <c r="U31" s="981"/>
      <c r="V31" s="981"/>
      <c r="W31" s="981"/>
      <c r="X31" s="981"/>
      <c r="Y31" s="981"/>
      <c r="Z31" s="981"/>
      <c r="AA31" s="1544"/>
      <c r="AB31" s="1538" t="s">
        <v>517</v>
      </c>
      <c r="AC31" s="1538"/>
      <c r="AD31" s="970" t="str">
        <f xml:space="preserve"> TRIM(Pricing!R35 &amp; Pricing!S35 &amp; Pricing!T35 &amp; Pricing!U35 &amp;  Pricing!V35 &amp; Pricing!W35 &amp;  Pricing!X35 &amp; Pricing!Y35 &amp;  Pricing!Z35 &amp; Pricing!AA35 &amp;  Pricing!AB35)</f>
        <v/>
      </c>
      <c r="AE31" s="970"/>
      <c r="AF31" s="970"/>
      <c r="AH31" s="1540" t="s">
        <v>518</v>
      </c>
      <c r="AI31" s="1541"/>
      <c r="AJ31" s="970" t="str">
        <f xml:space="preserve"> TRIM('Survey Front'!S39 &amp; 'Survey Front'!T39 &amp;  'Survey Front'!U39 &amp; 'Survey Front'!V39  &amp; 'Survey Front'!W39 &amp; 'Survey Front'!X39  &amp; 'Survey Front'!Y39  &amp; 'Survey Front'!Z39  &amp; 'Survey Front'!AA39 &amp; 'Survey Front'!AB39  &amp; 'Survey Front'!AC39)</f>
        <v/>
      </c>
      <c r="AK31" s="970"/>
      <c r="AL31" s="970"/>
      <c r="AU31" s="4"/>
      <c r="AV31" s="4"/>
    </row>
    <row r="32" spans="1:48" ht="13.9" customHeight="1">
      <c r="B32" s="389" t="s">
        <v>63</v>
      </c>
      <c r="C32" s="388">
        <v>0.25</v>
      </c>
      <c r="D32" s="387" t="s">
        <v>515</v>
      </c>
      <c r="E32" s="350"/>
      <c r="F32" s="350"/>
      <c r="G32" s="333" t="s">
        <v>123</v>
      </c>
      <c r="H32" s="334">
        <f>C4</f>
        <v>100</v>
      </c>
      <c r="I32" s="333" t="s">
        <v>502</v>
      </c>
      <c r="L32" s="62" t="s">
        <v>519</v>
      </c>
      <c r="M32" s="4" t="s">
        <v>520</v>
      </c>
      <c r="N32" s="4" t="s">
        <v>14</v>
      </c>
      <c r="O32" s="4" t="s">
        <v>78</v>
      </c>
      <c r="P32" s="4" t="s">
        <v>521</v>
      </c>
      <c r="Q32" s="4" t="s">
        <v>522</v>
      </c>
      <c r="R32" s="4" t="s">
        <v>425</v>
      </c>
      <c r="S32" s="63" t="s">
        <v>465</v>
      </c>
      <c r="T32" s="63" t="s">
        <v>523</v>
      </c>
      <c r="U32" s="4" t="s">
        <v>524</v>
      </c>
      <c r="V32" s="4" t="s">
        <v>525</v>
      </c>
      <c r="W32" s="4" t="s">
        <v>526</v>
      </c>
      <c r="X32" s="4" t="s">
        <v>527</v>
      </c>
      <c r="Y32" s="4" t="s">
        <v>528</v>
      </c>
      <c r="Z32" s="4" t="s">
        <v>529</v>
      </c>
      <c r="AA32" s="4" t="s">
        <v>13</v>
      </c>
      <c r="AB32" s="1538" t="s">
        <v>530</v>
      </c>
      <c r="AC32" s="1538"/>
      <c r="AD32" s="970" t="str">
        <f xml:space="preserve"> TRIM(Pricing!R38 &amp; Pricing!S38 &amp; Pricing!T38 &amp; Pricing!U38 &amp;Pricing!V38 &amp; Pricing!W38 &amp;  Pricing!X38 &amp;Pricing!Y38&amp; Pricing!Z38 &amp; Pricing!AA38 &amp; Pricing!AB38)</f>
        <v/>
      </c>
      <c r="AE32" s="970"/>
      <c r="AF32" s="970"/>
      <c r="AH32" s="1540" t="s">
        <v>531</v>
      </c>
      <c r="AI32" s="1541"/>
      <c r="AJ32" s="970" t="str">
        <f xml:space="preserve"> TRIM('Survey Front'!S42 &amp; 'Survey Front'!T42 &amp;  'Survey Front'!U42 &amp; 'Survey Front'!V42  &amp; 'Survey Front'!W42 &amp; 'Survey Front'!X42  &amp; 'Survey Front'!Y42  &amp; 'Survey Front'!Z42  &amp; 'Survey Front'!AA42 &amp; 'Survey Front'!AB42  &amp; 'Survey Front'!AC42)</f>
        <v/>
      </c>
      <c r="AK32" s="970"/>
      <c r="AL32" s="970"/>
      <c r="AT32" t="s">
        <v>343</v>
      </c>
      <c r="AU32" s="4"/>
      <c r="AV32" s="4"/>
    </row>
    <row r="33" spans="2:48" ht="13.9" customHeight="1">
      <c r="B33" s="389" t="s">
        <v>119</v>
      </c>
      <c r="C33" s="388">
        <v>0.3</v>
      </c>
      <c r="D33" s="387" t="s">
        <v>515</v>
      </c>
      <c r="E33" s="645"/>
      <c r="F33" s="350"/>
      <c r="G33" s="333" t="s">
        <v>124</v>
      </c>
      <c r="H33" s="334">
        <f>C6</f>
        <v>165</v>
      </c>
      <c r="I33" s="333" t="s">
        <v>502</v>
      </c>
      <c r="K33" t="s">
        <v>331</v>
      </c>
      <c r="L33" s="64">
        <f>IF(Pricing!AE8="Quoted",,IF(ISNUMBER(SEARCH("(CB)",AD22))=TRUE,1,0))</f>
        <v>0</v>
      </c>
      <c r="M33" s="4">
        <f>IF(L33&gt;0,$C$8*ROUND(N33,0),)</f>
        <v>0</v>
      </c>
      <c r="N33" s="65">
        <f>IF(Pricing!AE8="Quoted",,IF(Pricing!E8="",,Pricing!M8*Pricing!N8/1000000))</f>
        <v>7.4730470000000002</v>
      </c>
      <c r="O33" s="62">
        <f>IF(Pricing!AE8="Quoted",,IF(AND(OR(Pricing!E8="Capri",Pricing!E8="Barbados"),OR(Pricing!J8 = "Silent",Pricing!J8 = "Split Tilt",Pricing!J8="Perfect-Tilt")),ROUND($C$9-($C$9*$F$36),0.2)*N33,IF(OR(Pricing!J8 = "Silent",Pricing!J8 = "Split Tilt",Pricing!J8="Perfect-Tilt"),ROUND($C$9-($C$9*$C$44),0.2)*N33,0)))</f>
        <v>0</v>
      </c>
      <c r="P33" s="62">
        <f>IF(Pricing!AE8="Quoted",,IF(Pricing!D8="Tracked",ROUND($C$11+(F2*$Q$33),0.2),))</f>
        <v>545</v>
      </c>
      <c r="Q33" s="66">
        <f>IF(Pricing!AE8="Quoted",,IF(Pricing!D8="Tracked",CONVERT(Pricing!M8,"mm","m"),))</f>
        <v>3.383</v>
      </c>
      <c r="R33" s="62">
        <f>IF(T33=0,0,IF(Pricing!D8="S/Shade",$F$3*N33-IF(Pricing!E8=Matrix2!$G$36,($F$3*T33*$F$45),($F$3*T33*$C$45))))</f>
        <v>0</v>
      </c>
      <c r="S33" s="55">
        <f>AL10*L18</f>
        <v>0</v>
      </c>
      <c r="T33" s="65">
        <f>IF(Pricing!AE8="Quoted",0,IF(Pricing!D8="S/Shade",Pricing!AD10,0))</f>
        <v>0</v>
      </c>
      <c r="U33" s="65">
        <f>IF(Pricing!AE8="Quoted",,IF(OR(Pricing!J8="Silent",Pricing!J8="Split Tilt",Pricing!J8="Perfect-Tilt",Pricing!J8="Hidden"),Pricing!M8*Pricing!N8/1000000,))</f>
        <v>7.4730470000000002</v>
      </c>
      <c r="V33" s="55">
        <f>IF(Pricing!AE8="Quoted",,IF(AND(OR(Helper!D21=TRUE,Helper!K21=TRUE,Helper!J21=TRUE,Helper!M21=TRUE,Helper!L21=TRUE),Pricing!D8="Shape"),C16+(IF(AD19&gt;2,(AD19-2)*C17,0)),IF(AND(Pricing!D8="Shape",OR(Pricing!E8="Capri",Pricing!E8="Aruba"),Pricing!F9="Radius"),Matrix2!L284,IF(AND(Pricing!D8="Shape",OR(Pricing!E8="Capri",Pricing!E8="Aruba"),Pricing!F9="Raked"),L279,0))))</f>
        <v>0</v>
      </c>
      <c r="W33" s="55" t="b">
        <f>IF(Pricing!AE8="Quoted",0,IF(AD22="",0,IF(AND(OR(AD22="L",AD22="R",AD22="LR"),Pricing!D8="French Door Cutout"),ROUND(Matrix2!$F$4,0.2)*LEN(AD22),IF(AND(OR(AD22="LL",AD22="RR"),Pricing!D8="French Door Cutout"),Matrix2!F4))))</f>
        <v>0</v>
      </c>
      <c r="X33" s="55" t="b">
        <f>IF(Pricing!AE8="Quoted",,IF(OR(Pricing!F8="Custom Colour",ISNUMBER(SEARCH("Classic Black (S/Chg)",Pricing!F8)),ISNUMBER(SEARCH("Matte Black (S/Chg)",Pricing!F8))),1))</f>
        <v>0</v>
      </c>
      <c r="Y33" s="55">
        <f>IF(OR(Pricing!G10="Stainless Steel",Pricing!G10="Brushed Nickel Plated"),ROUND(Matrix2!$C$14*Matrix2!N33,0.2),IF(Pricing!G10="Hidden",ROUND(L17*C14,0.2),0))</f>
        <v>0</v>
      </c>
      <c r="Z33" s="55">
        <f t="shared" ref="Z33:Z44" si="29">IF(AND(N33&lt;1,N33&gt;0),ROUND(1*$C$19,0.2),ROUND(N33*$C$19,0.2))</f>
        <v>0</v>
      </c>
      <c r="AA33" s="55">
        <f>IF(Pricing!AE8="Quoted",,IF(Pricing!AC10&lt;&gt;"No",ROUND((CONVERT(Pricing!M8,"mm","m")*Pricing!AC10)*$F$14,0.2),))</f>
        <v>0</v>
      </c>
      <c r="AB33" s="1538" t="s">
        <v>532</v>
      </c>
      <c r="AC33" s="1538"/>
      <c r="AD33" s="970" t="str">
        <f xml:space="preserve"> TRIM(Pricing!R41 &amp;Pricing!S41 &amp; Pricing!T41 &amp;Pricing!U41 &amp;  Pricing!V41 &amp; Pricing!W41 &amp; Pricing!X41 &amp; Pricing!Y41 &amp;Pricing!Z41 &amp; Pricing!AA41 &amp; Pricing!AB41)</f>
        <v/>
      </c>
      <c r="AE33" s="970"/>
      <c r="AF33" s="970"/>
      <c r="AH33" s="1540" t="s">
        <v>533</v>
      </c>
      <c r="AI33" s="1541"/>
      <c r="AJ33" s="970" t="str">
        <f xml:space="preserve"> TRIM('Survey Front'!S45 &amp; 'Survey Front'!T45 &amp;  'Survey Front'!U45 &amp; 'Survey Front'!V45  &amp; 'Survey Front'!W45 &amp; 'Survey Front'!X45  &amp; 'Survey Front'!Y45  &amp; 'Survey Front'!Z45  &amp; 'Survey Front'!AA45 &amp; 'Survey Front'!AB45  &amp; 'Survey Front'!AC45)</f>
        <v/>
      </c>
      <c r="AK33" s="970"/>
      <c r="AL33" s="970"/>
      <c r="AU33" s="4"/>
      <c r="AV33" s="4"/>
    </row>
    <row r="34" spans="2:48" ht="13.9" customHeight="1">
      <c r="B34" s="389" t="s">
        <v>120</v>
      </c>
      <c r="C34" s="388">
        <f>C10</f>
        <v>0.4</v>
      </c>
      <c r="D34" s="387" t="s">
        <v>515</v>
      </c>
      <c r="E34" s="350"/>
      <c r="F34" s="350"/>
      <c r="G34" s="333" t="s">
        <v>125</v>
      </c>
      <c r="H34" s="334">
        <f>C5</f>
        <v>190</v>
      </c>
      <c r="I34" s="333" t="s">
        <v>502</v>
      </c>
      <c r="K34" t="s">
        <v>334</v>
      </c>
      <c r="L34" s="64">
        <f>IF(Pricing!AE11="Quoted",,IF(ISNUMBER(SEARCH("(CB)",AD23))=TRUE,1,0))</f>
        <v>0</v>
      </c>
      <c r="M34" s="4">
        <f t="shared" ref="M34:M47" si="30">IF(L34&gt;0,$C$8*ROUND(N34,0),)</f>
        <v>0</v>
      </c>
      <c r="N34" s="65">
        <f>IF(Pricing!AE11="Quoted",,IF(Pricing!E11="",,Pricing!M11*Pricing!N11/1000000))</f>
        <v>0.75226499999999996</v>
      </c>
      <c r="O34" s="62">
        <f>IF(Pricing!AE11="Quoted",,IF(AND(OR(Pricing!E11="Capri",Pricing!E11="Barbados"),OR(Pricing!J11 = "Silent",Pricing!J11 = "Split Tilt",Pricing!J11="Perfect-Tilt")),ROUND($C$9-($C$9*$F$36),0.2)*N34,IF(OR(Pricing!J11 = "Silent",Pricing!J11 = "Split Tilt",Pricing!J11="Perfect-Tilt"),ROUND($C$9-($C$9*$C$44),0.2)*N34,0)))</f>
        <v>0</v>
      </c>
      <c r="P34" s="62">
        <f>IF(Pricing!AE11="Quoted",,IF(Pricing!D11="Tracked",ROUND($C$11+(F2*$Q$34),0.2),))</f>
        <v>0</v>
      </c>
      <c r="Q34" s="66">
        <f>IF(Pricing!AE11="Quoted",,IF(Pricing!D11="Tracked",CONVERT(Pricing!M11,"mm","m"),))</f>
        <v>0</v>
      </c>
      <c r="R34" s="62">
        <f>IF(T34=0,0,IF(Pricing!D11="S/Shade",$F$3*N34-IF(Pricing!E11=Matrix2!$G$36,$F$3*T34*$F$45,$F$3*T34*$C$45)))</f>
        <v>0</v>
      </c>
      <c r="T34" s="65">
        <f>IF(Pricing!AE11="Quoted",0,IF(Pricing!D11="S/Shade",Pricing!AD13,0))</f>
        <v>0</v>
      </c>
      <c r="U34" s="65">
        <f>IF(Pricing!AE11="Quoted",,IF(OR(Pricing!J11="Silent",Pricing!J11="Split Tilt",Pricing!J11="Perfect-Tilt",Pricing!J11="Hidden"),Pricing!M11*Pricing!N11/1000000,))</f>
        <v>0.75226499999999996</v>
      </c>
      <c r="V34" s="55">
        <f>IF(Pricing!AE11="Quoted",,IF(AND(OR(Helper!D22=TRUE,Helper!K22=TRUE,Helper!J22=TRUE,Helper!M22=TRUE,Helper!L22=TRUE),Pricing!D11="Shape"),C16+(IF(AE19&gt;2,(AE19-2)*C17,0)),IF(AND(Pricing!D11="Shape",OR(Pricing!E11="Capri",Pricing!E11="Aruba"),Pricing!F12="Radius"),Matrix2!M284,IF(AND(Pricing!D11="Shape",OR(Pricing!E11="Capri",Pricing!E11="Aruba"),Pricing!F12="Raked"),M279,0))))</f>
        <v>0</v>
      </c>
      <c r="W34" s="55" t="b">
        <f>IF(Pricing!AE11="Quoted",0,IF(AD23="",0,IF(AND(OR(AD23="L",AD23="R",AD23="LR"),Pricing!D11="French Door Cutout"),ROUND(Matrix2!$F$4,0.2)*LEN(AD23),IF(AND(OR(AD23="LL",AD23="RR"),Pricing!D11="French Door Cutout"),Matrix2!F5))))</f>
        <v>0</v>
      </c>
      <c r="X34" s="55" t="b">
        <f>IF(Pricing!AE11="Quoted",,IF(OR(Pricing!F11="Custom Colour",ISNUMBER(SEARCH("Classic Black (S/Chg)",Pricing!F11)),ISNUMBER(SEARCH("Matte Black (S/Chg)",Pricing!F11))),1))</f>
        <v>0</v>
      </c>
      <c r="Y34" s="55">
        <f>IF(OR(Pricing!G13="Stainless Steel",Pricing!G13="Brushed Nickel Plated"),ROUND(Matrix2!$F$12*Matrix2!N34,0.2),IF(Pricing!G10="Hidden",ROUND(M17*C14,0.2),0))</f>
        <v>0</v>
      </c>
      <c r="Z34" s="55">
        <f t="shared" si="29"/>
        <v>0</v>
      </c>
      <c r="AA34" s="55">
        <f>IF(Pricing!AE11="Quoted",,IF(Pricing!AC13&lt;&gt;"No",ROUND((CONVERT(Pricing!M11,"mm","m")*Pricing!AC13)*$F$14,0.2),))</f>
        <v>0</v>
      </c>
      <c r="AB34" s="1538" t="s">
        <v>534</v>
      </c>
      <c r="AC34" s="1538"/>
      <c r="AD34" s="970" t="str">
        <f xml:space="preserve"> TRIM(Pricing!R44 &amp; Pricing!S44 &amp; Pricing!T44 &amp; Pricing!U44 &amp; Pricing!V44 &amp; Pricing!W44 &amp; Pricing!X44 &amp; Pricing!Y44 &amp; Pricing!Z44 &amp;Pricing!AA44 &amp; Pricing!AB44)</f>
        <v/>
      </c>
      <c r="AE34" s="970"/>
      <c r="AF34" s="970"/>
      <c r="AH34" s="1540" t="s">
        <v>535</v>
      </c>
      <c r="AI34" s="1541"/>
      <c r="AJ34" s="970" t="str">
        <f xml:space="preserve"> TRIM('Survey Front'!S48 &amp; 'Survey Front'!T48 &amp;  'Survey Front'!U48 &amp; 'Survey Front'!V48  &amp; 'Survey Front'!W48 &amp; 'Survey Front'!X48  &amp; 'Survey Front'!Y48  &amp; 'Survey Front'!Z48  &amp; 'Survey Front'!AA48 &amp; 'Survey Front'!AB48  &amp; 'Survey Front'!AC48)</f>
        <v/>
      </c>
      <c r="AK34" s="970"/>
      <c r="AL34" s="970"/>
      <c r="AT34" t="s">
        <v>344</v>
      </c>
      <c r="AU34" s="4"/>
      <c r="AV34" s="4"/>
    </row>
    <row r="35" spans="2:48" ht="13.9" customHeight="1">
      <c r="B35" s="389" t="s">
        <v>122</v>
      </c>
      <c r="C35" s="388">
        <f>C10</f>
        <v>0.4</v>
      </c>
      <c r="D35" s="387" t="s">
        <v>515</v>
      </c>
      <c r="E35" s="350"/>
      <c r="F35" s="350"/>
      <c r="G35" s="333" t="s">
        <v>121</v>
      </c>
      <c r="H35" s="334">
        <f>C7</f>
        <v>180</v>
      </c>
      <c r="I35" s="333" t="s">
        <v>536</v>
      </c>
      <c r="K35" t="s">
        <v>336</v>
      </c>
      <c r="L35" s="64">
        <f>IF(Pricing!AE14="Quoted",,IF(ISNUMBER(SEARCH("(CB)",AD24))=TRUE,1,0))</f>
        <v>0</v>
      </c>
      <c r="M35" s="4">
        <f t="shared" si="30"/>
        <v>0</v>
      </c>
      <c r="N35" s="65">
        <f>IF(Pricing!AE14="Quoted",,IF(Pricing!E14="",,Pricing!M14*Pricing!N14/1000000))</f>
        <v>3.8561879999999999</v>
      </c>
      <c r="O35" s="62">
        <f>IF(Pricing!AE14="Quoted",,IF(AND(OR(Pricing!E14="Capri",Pricing!E14="Barbados"),OR(Pricing!J14 = "Silent",Pricing!J14 = "Split Tilt",Pricing!J14="Perfect-Tilt")),ROUND($C$9-($C$9*$F$36),0.2)*N35,IF(OR(Pricing!J14 = "Silent",Pricing!J14 = "Split Tilt",Pricing!J14="Perfect-Tilt"),ROUND($C$9-($C$9*$C$44),0.2)*N35,0)))</f>
        <v>0</v>
      </c>
      <c r="P35" s="62">
        <f>IF(Pricing!AE14="Quoted",,IF(Pricing!D14="Tracked",ROUND($C$11+($F$2*$Q$35),0.2),))</f>
        <v>0</v>
      </c>
      <c r="Q35" s="66">
        <f>IF(Pricing!AE14="Quoted",,IF(Pricing!D14="Tracked",CONVERT(Pricing!M14,"mm","m"),))</f>
        <v>0</v>
      </c>
      <c r="R35" s="62">
        <f>IF(T35=0,0,IF(Pricing!D14="S/Shade",$F$3*N35-IF(Pricing!E14=Matrix2!$G$36,$F$3*T35*$F$45,$F$3*T35*$C$45)))</f>
        <v>0</v>
      </c>
      <c r="T35" s="65">
        <f>IF(Pricing!AE14="Quoted",0,IF(Pricing!D14="S/Shade",Pricing!AD16,0))</f>
        <v>0</v>
      </c>
      <c r="U35" s="65">
        <f>IF(Pricing!AE14="Quoted",,IF(OR(Pricing!J14="Silent",Pricing!J14="Split Tilt",Pricing!J14="Perfect-Tilt",Pricing!J14="Hidden"),Pricing!M14*Pricing!N14/1000000,))</f>
        <v>3.8561879999999999</v>
      </c>
      <c r="V35" s="55">
        <f>IF(Pricing!AE14="Quoted",,IF(AND(OR(Helper!D23=TRUE,Helper!K23=TRUE,Helper!J23=TRUE,Helper!M23=TRUE,Helper!L23=TRUE),Pricing!D14="Shape"),C16+(IF(AF19&gt;2,(AF19-2)*C17,0)),IF(AND(Pricing!D14="Shape",OR(Pricing!E14="Capri",Pricing!E14="Aruba"),Pricing!F15="Radius"),Matrix2!N284,IF(AND(Pricing!D14="Shape",OR(Pricing!E14="Capri",Pricing!E14="Aruba"),Pricing!F15="Raked"),N279,0))))</f>
        <v>0</v>
      </c>
      <c r="W35" s="55" t="b">
        <f>IF(Pricing!AE14="Quoted",0,IF(AD24="",0,IF(AND(OR(AD24="L",AD24="R",AD24="LR"),Pricing!D14="French Door Cutout"),ROUND(Matrix2!$F$4,0.2)*LEN(AD24),IF(AND(OR(AD24="LL",AD24="RR"),Pricing!D14="French Door Cutout"),Matrix2!F6))))</f>
        <v>0</v>
      </c>
      <c r="X35" s="55" t="b">
        <f>IF(Pricing!AE14="Quoted",,IF(OR(Pricing!F14="Custom Colour",ISNUMBER(SEARCH("Classic Black (S/Chg)",Pricing!F14)),ISNUMBER(SEARCH("Matte Black (S/Chg)",Pricing!F14))),1))</f>
        <v>0</v>
      </c>
      <c r="Y35" s="55">
        <f>IF(OR(Pricing!G16="Stainless Steel",Pricing!G16="Brushed Nickel Plated"),ROUND(Matrix2!$F$12*Matrix2!N35,0.2),IF(Pricing!G10="Hidden",ROUND(N17*C14,0.2),0))</f>
        <v>0</v>
      </c>
      <c r="Z35" s="55">
        <f t="shared" si="29"/>
        <v>0</v>
      </c>
      <c r="AA35" s="55">
        <f>IF(Pricing!AE14="Quoted",,IF(Pricing!AC16&lt;&gt;"No",ROUND((CONVERT(Pricing!M14,"mm","m")*Pricing!AC16)*$F$14,0.2),))</f>
        <v>0</v>
      </c>
      <c r="AB35" s="1538" t="s">
        <v>537</v>
      </c>
      <c r="AC35" s="1538"/>
      <c r="AD35" s="970" t="str">
        <f xml:space="preserve"> TRIM(Pricing!R47 &amp; Pricing!S47 &amp;Pricing!T47 &amp; Pricing!U47 &amp; Pricing!V47 &amp; Pricing!W47 &amp; Pricing!X47 &amp; Pricing!Y47 &amp; Pricing!Z47 &amp; Pricing!AA47 &amp; Pricing!AB47)</f>
        <v/>
      </c>
      <c r="AE35" s="970"/>
      <c r="AF35" s="970"/>
      <c r="AH35" s="1540" t="s">
        <v>538</v>
      </c>
      <c r="AI35" s="1541"/>
      <c r="AJ35" s="970" t="str">
        <f xml:space="preserve"> TRIM('Survey Front'!S51 &amp; 'Survey Front'!T51 &amp;  'Survey Front'!U51 &amp; 'Survey Front'!V51  &amp; 'Survey Front'!W51 &amp; 'Survey Front'!X51  &amp; 'Survey Front'!Y51  &amp; 'Survey Front'!Z51  &amp; 'Survey Front'!AA51 &amp; 'Survey Front'!AB51  &amp; 'Survey Front'!AC51)</f>
        <v/>
      </c>
      <c r="AK35" s="970"/>
      <c r="AL35" s="970"/>
      <c r="AU35" s="4"/>
      <c r="AV35" s="4"/>
    </row>
    <row r="36" spans="2:48" ht="13.9" customHeight="1">
      <c r="B36" s="389" t="s">
        <v>91</v>
      </c>
      <c r="C36" s="388">
        <v>0.5</v>
      </c>
      <c r="D36" s="387" t="s">
        <v>515</v>
      </c>
      <c r="E36" s="350" t="s">
        <v>78</v>
      </c>
      <c r="F36" s="646">
        <v>1</v>
      </c>
      <c r="G36" s="333" t="s">
        <v>92</v>
      </c>
      <c r="H36" s="334">
        <f>F22</f>
        <v>150</v>
      </c>
      <c r="I36" s="333" t="s">
        <v>536</v>
      </c>
      <c r="K36" t="s">
        <v>338</v>
      </c>
      <c r="L36" s="64">
        <f>IF(Pricing!AE17="Quoted",,IF(ISNUMBER(SEARCH("(CB)",AD25))=TRUE,1,0))</f>
        <v>0</v>
      </c>
      <c r="M36" s="4">
        <f t="shared" si="30"/>
        <v>0</v>
      </c>
      <c r="N36" s="65">
        <f>IF(Pricing!AE17="Quoted",,IF(Pricing!E17="",,Pricing!M17*Pricing!N17/1000000))</f>
        <v>2.3235209999999999</v>
      </c>
      <c r="O36" s="62">
        <f>IF(Pricing!AE17="Quoted",,IF(AND(OR(Pricing!E17="Capri",Pricing!E17="Barbados"),OR(Pricing!J17 = "Silent",Pricing!J17 = "Split Tilt",Pricing!J17="Perfect-Tilt")),ROUND($C$9-($C$9*$F$36),0.2)*N36,IF(OR(Pricing!J17 = "Silent",Pricing!J17 = "Split Tilt",Pricing!J17="Perfect-Tilt"),ROUND($C$9-($C$9*$C$44),0.2)*N36,0)))</f>
        <v>0</v>
      </c>
      <c r="P36" s="62">
        <f>IF(Pricing!AE17="Quoted",,IF(Pricing!D17="Tracked",ROUND($C$11+($F$2*$Q$36),0.2),))</f>
        <v>0</v>
      </c>
      <c r="Q36" s="66">
        <f>IF(Pricing!AE17="Quoted",,IF(Pricing!D17="Tracked",CONVERT(Pricing!M17,"mm","m"),))</f>
        <v>0</v>
      </c>
      <c r="R36" s="62">
        <f>IF(T36=0,0,IF(Pricing!D17="S/Shade",$F$3*N36-IF(Pricing!E17=Matrix2!$G$36,$F$3*T36*$F$45,$F$3*T36*$C$45)))</f>
        <v>0</v>
      </c>
      <c r="T36" s="65">
        <f>IF(Pricing!AE17="Quoted",0,IF(Pricing!D17="S/Shade",Pricing!AD19,0))</f>
        <v>0</v>
      </c>
      <c r="U36" s="65">
        <f>IF(Pricing!AE17="Quoted",,IF(OR(Pricing!J17="Silent",Pricing!J17="Split Tilt",Pricing!J17="Perfect-Tilt",Pricing!J17="Hidden"),Pricing!M17*Pricing!N17/1000000,))</f>
        <v>2.3235209999999999</v>
      </c>
      <c r="V36" s="55">
        <f>IF(Pricing!AE17="Quoted",,IF(AND(OR(Helper!D24=TRUE,Helper!K24=TRUE,Helper!J24=TRUE,Helper!M24=TRUE,Helper!L24=TRUE),Pricing!D17="Shape"),C16+(IF(AG19&gt;2,(AG19-2)*C17,0)),IF(AND(Pricing!D17="Shape",OR(Pricing!E17="Capri",Pricing!E17="Aruba"),Pricing!F18="Radius"),Matrix2!O284,IF(AND(Pricing!D17="Shape",OR(Pricing!E17="Capri",Pricing!E17="Aruba"),Pricing!F18="Raked"),O279,0))))</f>
        <v>0</v>
      </c>
      <c r="W36" s="55" t="b">
        <f>IF(Pricing!AE17="Quoted",0,IF(AD25="",0,IF(AND(OR(AD25="L",AD25="R",AD25="LR"),Pricing!D17="French Door Cutout"),ROUND(Matrix2!$F$4,0.2)*LEN(AD25),IF(AND(OR(AD25="LL",AD25="RR"),Pricing!D17="French Door Cutout"),Matrix2!F7))))</f>
        <v>0</v>
      </c>
      <c r="X36" s="55" t="b">
        <f>IF(Pricing!AE17="Quoted",,IF(OR(Pricing!F17="Custom Colour",ISNUMBER(SEARCH("Classic Black (S/Chg)",Pricing!F17)),ISNUMBER(SEARCH("Matte Black (S/Chg)",Pricing!F17))),1))</f>
        <v>0</v>
      </c>
      <c r="Y36" s="55">
        <f>IF(OR(Pricing!G19="Stainless Steel",Pricing!G19="Brushed Nickel Plated"),ROUND(Matrix2!$F$12*Matrix2!N36,0.2),IF(Pricing!G10="Hidden",ROUND(O17*C14,0.2),0))</f>
        <v>0</v>
      </c>
      <c r="Z36" s="55">
        <f t="shared" si="29"/>
        <v>0</v>
      </c>
      <c r="AA36" s="55">
        <f>IF(Pricing!AE17="Quoted",,IF(Pricing!AC19&lt;&gt;"No",ROUND((CONVERT(Pricing!M17,"mm","m")*Pricing!AC19)*$F$14,0.2),))</f>
        <v>0</v>
      </c>
      <c r="AB36" s="1538" t="s">
        <v>539</v>
      </c>
      <c r="AC36" s="1538"/>
      <c r="AD36" s="970" t="str">
        <f xml:space="preserve"> TRIM(Pricing!R50 &amp; Pricing!S50 &amp; Pricing!T50 &amp;Pricing!U50 &amp; Pricing!V50 &amp; Pricing!W50 &amp; Pricing!X50 &amp; Pricing!Y50 &amp; Pricing!Z50 &amp; Pricing!AA50 &amp; Pricing!AB50)</f>
        <v/>
      </c>
      <c r="AE36" s="970"/>
      <c r="AF36" s="970"/>
      <c r="AH36" s="1540" t="s">
        <v>540</v>
      </c>
      <c r="AI36" s="1541"/>
      <c r="AJ36" s="970" t="str">
        <f xml:space="preserve"> TRIM('Survey Front'!S54 &amp; 'Survey Front'!T54 &amp;  'Survey Front'!U54 &amp; 'Survey Front'!V54  &amp; 'Survey Front'!W54 &amp; 'Survey Front'!X54  &amp; 'Survey Front'!Y54  &amp; 'Survey Front'!Z54  &amp; 'Survey Front'!AA54 &amp; 'Survey Front'!AB54  &amp; 'Survey Front'!AC54)</f>
        <v/>
      </c>
      <c r="AK36" s="970"/>
      <c r="AL36" s="970"/>
      <c r="AT36" t="s">
        <v>346</v>
      </c>
      <c r="AU36" s="4"/>
      <c r="AV36" s="4"/>
    </row>
    <row r="37" spans="2:48" ht="13.9" customHeight="1">
      <c r="B37" s="389" t="s">
        <v>123</v>
      </c>
      <c r="C37" s="388">
        <f>C10</f>
        <v>0.4</v>
      </c>
      <c r="D37" s="387" t="s">
        <v>515</v>
      </c>
      <c r="E37" s="350"/>
      <c r="F37" s="350"/>
      <c r="K37" t="s">
        <v>339</v>
      </c>
      <c r="L37" s="64">
        <f>IF(Pricing!AE20="Quoted",,IF(ISNUMBER(SEARCH("(CB)",AD26))=TRUE,1,0))</f>
        <v>0</v>
      </c>
      <c r="M37" s="4">
        <f t="shared" si="30"/>
        <v>0</v>
      </c>
      <c r="N37" s="65">
        <f>IF(Pricing!AE20="Quoted",,IF(Pricing!E20="",,Pricing!M20*Pricing!N20/1000000))</f>
        <v>0</v>
      </c>
      <c r="O37" s="62">
        <f>IF(Pricing!AE20="Quoted",,IF(AND(OR(Pricing!E20="Capri",Pricing!E20="Barbados"),OR(Pricing!J20 = "Silent",Pricing!J20 = "Split Tilt",Pricing!J20="Perfect-Tilt")),ROUND($C$9-($C$9*$F$36),0.2)*N37,IF(OR(Pricing!J20 = "Silent",Pricing!J20 = "Split Tilt",Pricing!J20="Perfect-Tilt"),ROUND($C$9-($C$9*$C$44),0.2)*N37,0)))</f>
        <v>0</v>
      </c>
      <c r="P37" s="62">
        <f>IF(Pricing!AE20="Quoted",,IF(Pricing!D20="Tracked",ROUND($C11+(F2*Q37),0.2),))</f>
        <v>0</v>
      </c>
      <c r="Q37" s="66">
        <f>IF(Pricing!AE20="Quoted",,IF(Pricing!D20="Tracked",CONVERT(Pricing!M20,"mm","m"),))</f>
        <v>0</v>
      </c>
      <c r="R37" s="62">
        <f>IF(T37=0,0,IF(Pricing!D20="S/Shade",$F$3*N37-IF(Pricing!E20=Matrix2!$G$36,$F$3*T37*$F$45,$F$3*T37*$C$45)))</f>
        <v>0</v>
      </c>
      <c r="T37" s="65">
        <f>IF(Pricing!AE20="Quoted",0,IF(Pricing!D20="S/Shade",Pricing!AD22,0))</f>
        <v>0</v>
      </c>
      <c r="U37" s="65">
        <f>IF(Pricing!AE20="Quoted",,IF(OR(Pricing!J20="Silent",Pricing!J20="Split Tilt",Pricing!J20="Perfect-Tilt",Pricing!J20="Hidden"),Pricing!M20*Pricing!N20/1000000,))</f>
        <v>0</v>
      </c>
      <c r="V37" s="55">
        <f>IF(Pricing!AE20="Quoted",,IF(AND(OR(Helper!D25=TRUE,Helper!K25=TRUE,Helper!J25=TRUE,Helper!M25=TRUE,Helper!L25=TRUE),Pricing!D20="Shape"),C16+(IF(AH19&gt;2,(AH19-2)*C17,0)),IF(AND(Pricing!D20="Shape",OR(Pricing!E20="Capri",Pricing!E20="Aruba"),Pricing!F21="Radius"),Matrix2!P284,IF(AND(Pricing!D20="Shape",OR(Pricing!E20="Capri",Pricing!E20="Aruba"),Pricing!F21="Raked"),P279,0))))</f>
        <v>0</v>
      </c>
      <c r="W37" s="55">
        <f>IF(Pricing!AE20="Quoted",0,IF(AD26="",0,IF(AND(OR(AD26="L",AD26="R",AD26="LR"),Pricing!D20="French Door Cutout"),ROUND(Matrix2!$F$4,0.2)*LEN(AD26),IF(AND(OR(AD26="LL",AD26="RR"),Pricing!D20="French Door Cutout"),Matrix2!F8))))</f>
        <v>0</v>
      </c>
      <c r="X37" s="55" t="b">
        <f>IF(Pricing!AE20="Quoted",,IF(OR(Pricing!F20="Custom Colour",ISNUMBER(SEARCH("Classic Black (S/Chg)",Pricing!F20)),ISNUMBER(SEARCH("Matte Black (S/Chg)",Pricing!F20))),1))</f>
        <v>0</v>
      </c>
      <c r="Y37" s="55">
        <f>IF(OR(Pricing!G22="Stainless Steel",Pricing!G22="Brushed Nickel Plated"),ROUND(Matrix2!$F$12*Matrix2!N37,0.2),IF(Pricing!G10="Hidden",ROUND(P17*C14,0.2),0))</f>
        <v>0</v>
      </c>
      <c r="Z37" s="55">
        <f t="shared" si="29"/>
        <v>0</v>
      </c>
      <c r="AA37" s="55">
        <f>IF(Pricing!AE20="Quoted",,IF(Pricing!AC22&lt;&gt;"No",ROUND((CONVERT(Pricing!M20,"mm","m")*Pricing!AC22)*$F$14,0.2),))</f>
        <v>0</v>
      </c>
      <c r="AU37" s="4"/>
      <c r="AV37" s="4"/>
    </row>
    <row r="38" spans="2:48" ht="13.9" customHeight="1">
      <c r="B38" s="389" t="s">
        <v>124</v>
      </c>
      <c r="C38" s="388">
        <f>C10</f>
        <v>0.4</v>
      </c>
      <c r="D38" s="387" t="s">
        <v>515</v>
      </c>
      <c r="E38" s="350"/>
      <c r="F38" s="350"/>
      <c r="K38" t="s">
        <v>341</v>
      </c>
      <c r="L38" s="64">
        <f>IF(Pricing!AE23="Quoted",,IF(ISNUMBER(SEARCH("(CB)",AD27))=TRUE,1,0))</f>
        <v>0</v>
      </c>
      <c r="M38" s="4">
        <f t="shared" si="30"/>
        <v>0</v>
      </c>
      <c r="N38" s="65">
        <f>IF(Pricing!AE23="Quoted",,IF(Pricing!E23="",,Pricing!M23*Pricing!N23/1000000))</f>
        <v>0</v>
      </c>
      <c r="O38" s="62">
        <f>IF(Pricing!AE23="Quoted",,IF(AND(OR(Pricing!E23="Capri",Pricing!E23="Barbados"),OR(Pricing!J23 = "Silent",Pricing!J23 = "Split Tilt",Pricing!J23="Perfect-Tilt")),ROUND($C$9-($C$9*$F$36),0.2)*N38,IF(OR(Pricing!J23 = "Silent",Pricing!J23 = "Split Tilt",Pricing!J23="Perfect-Tilt"),ROUND($C$9-($C$9*$C$44),0.2)*N38,0)))</f>
        <v>0</v>
      </c>
      <c r="P38" s="62">
        <f>IF(Pricing!AE23="Quoted",,IF(Pricing!D23="Tracked",ROUND(C11+(F2*Q38),0.2),))</f>
        <v>0</v>
      </c>
      <c r="Q38" s="66">
        <f>IF(Pricing!AE23="Quoted",,IF(Pricing!D23="Tracked",CONVERT(Pricing!M23,"mm","m"),))</f>
        <v>0</v>
      </c>
      <c r="R38" s="62">
        <f>IF(T38=0,0,IF(Pricing!D23="S/Shade",$F$3*N38-IF(Pricing!E23=Matrix2!$G$36,$F$3*T38*$F$45,$F$3*T38*$C$45)))</f>
        <v>0</v>
      </c>
      <c r="T38" s="65">
        <f>IF(Pricing!AE23="Quoted",0,IF(Pricing!D23="S/Shade",Pricing!AD25,0))</f>
        <v>0</v>
      </c>
      <c r="U38" s="65">
        <f>IF(Pricing!AE23="Quoted",,IF(OR(Pricing!J23="Silent",Pricing!J23="Split Tilt",Pricing!J23="Perfect-Tilt",Pricing!J23="Hidden"),Pricing!M23*Pricing!N23/1000000,))</f>
        <v>0</v>
      </c>
      <c r="V38" s="55">
        <f>IF(Pricing!AE23="Quoted",,IF(AND(OR(Helper!D26=TRUE,Helper!K26=TRUE,Helper!J26=TRUE,Helper!M26=TRUE,Helper!L26=TRUE),Pricing!D23="Shape"),C16+(IF(AI19&gt;2,(AI19-2)*C17,0)),IF(AND(Pricing!D23="Shape",OR(Pricing!E23="Capri",Pricing!E23="Aruba"),Pricing!F24="Radius"),Matrix2!Q284,IF(AND(Pricing!D23="Shape",OR(Pricing!E23="Capri",Pricing!E23="Aruba"),Pricing!F24="Raked"),Q279,0))))</f>
        <v>0</v>
      </c>
      <c r="W38" s="55">
        <f>IF(Pricing!AE23="Quoted",0,IF(AD27="",0,IF(AND(OR(AD27="L",AD27="R",AD27="LR"),Pricing!D23="French Door Cutout"),ROUND(Matrix2!$F$4,0.2)*LEN(AD27),IF(AND(OR(AD27="LL",AD27="RR"),Pricing!D23="French Door Cutout"),Matrix2!F9))))</f>
        <v>0</v>
      </c>
      <c r="X38" s="55" t="b">
        <f>IF(Pricing!AE23="Quoted",,IF(OR(Pricing!F23="Custom Colour",ISNUMBER(SEARCH("Classic Black (S/Chg)",Pricing!F23)),ISNUMBER(SEARCH("Matte Black (S/Chg)",Pricing!F23))),1))</f>
        <v>0</v>
      </c>
      <c r="Y38" s="55">
        <f>IF(OR(Pricing!G25="Stainless Steel",Pricing!G25="Brushed Nickel Plated"),ROUND(Matrix2!$F$12*Matrix2!N38,0.2),IF(Pricing!G10="Hidden",ROUND(Q17*C14,0.2),0))</f>
        <v>0</v>
      </c>
      <c r="Z38" s="55">
        <f t="shared" si="29"/>
        <v>0</v>
      </c>
      <c r="AA38" s="55">
        <f>IF(Pricing!AE23="Quoted",,IF(Pricing!AC25&lt;&gt;"No",ROUND((CONVERT(Pricing!M23,"mm","m")*Pricing!AC25)*$F$14,0.2),))</f>
        <v>0</v>
      </c>
      <c r="AH38" t="s">
        <v>541</v>
      </c>
      <c r="AT38" t="s">
        <v>348</v>
      </c>
      <c r="AU38" s="4"/>
      <c r="AV38" s="4"/>
    </row>
    <row r="39" spans="2:48" ht="13.9" customHeight="1">
      <c r="B39" s="389" t="s">
        <v>125</v>
      </c>
      <c r="C39" s="388">
        <f>C10</f>
        <v>0.4</v>
      </c>
      <c r="D39" s="387" t="s">
        <v>515</v>
      </c>
      <c r="E39" s="350"/>
      <c r="F39" s="350"/>
      <c r="K39" t="s">
        <v>342</v>
      </c>
      <c r="L39" s="64">
        <f>IF(Pricing!AE26="Quoted",,IF(ISNUMBER(SEARCH("(CB)",AD28))=TRUE,1,0))</f>
        <v>0</v>
      </c>
      <c r="M39" s="4">
        <f t="shared" si="30"/>
        <v>0</v>
      </c>
      <c r="N39" s="65">
        <f>IF(Pricing!AE26="Quoted",,IF(Pricing!E26="",,Pricing!M26*Pricing!N26/1000000))</f>
        <v>0</v>
      </c>
      <c r="O39" s="62">
        <f>IF(Pricing!AE26="Quoted",,IF(AND(OR(Pricing!E26="Capri",Pricing!E26="Barbados"),OR(Pricing!J26 = "Silent",Pricing!J26 = "Split Tilt",Pricing!J26="Perfect-Tilt")),ROUND($C$9-($C$9*$F$36),0.2)*N39,IF(OR(Pricing!J26 = "Silent",Pricing!J26 = "Split Tilt",Pricing!J26="Perfect-Tilt"),ROUND($C$9-($C$9*$C$44),0.2)*N39,0)))</f>
        <v>0</v>
      </c>
      <c r="P39" s="62">
        <f>IF(Pricing!AE26="Quoted",,IF(Pricing!D26="Tracked",ROUND(C11+(F2*Q39),0.2),))</f>
        <v>0</v>
      </c>
      <c r="Q39" s="66">
        <f>IF(Pricing!AE26="Quoted",,IF(Pricing!D26="Tracked",CONVERT(Pricing!M26,"mm","m"),))</f>
        <v>0</v>
      </c>
      <c r="R39" s="62">
        <f>IF(T39=0,0,IF(Pricing!D26="S/Shade",$F$3*N39-IF(Pricing!E26=Matrix2!$G$36,$F$3*T39*$F$45,$F$3*T39*$C$45)))</f>
        <v>0</v>
      </c>
      <c r="T39" s="65">
        <f>IF(Pricing!AE26="Quoted",0,IF(Pricing!D26="S/Shade",Pricing!AD28,0))</f>
        <v>0</v>
      </c>
      <c r="U39" s="65">
        <f>IF(Pricing!AE26="Quoted",,IF(OR(Pricing!J26="Silent",Pricing!J26="Split Tilt",Pricing!J26="Perfect-Tilt",Pricing!J26="Hidden"),Pricing!M26*Pricing!N26/1000000,))</f>
        <v>0</v>
      </c>
      <c r="V39" s="55">
        <f>IF(Pricing!AE26="Quoted",,IF(AND(OR(Helper!D27=TRUE,Helper!K27=TRUE,Helper!J27=TRUE,Helper!M27=TRUE,Helper!L27=TRUE),Pricing!D26="Shape"),C16+(IF(AJ19&gt;2,(AJ19-2)*C17,0)),IF(AND(Pricing!D26="Shape",OR(Pricing!E26="Capri",Pricing!E26="Aruba"),Pricing!F27="Radius"),Matrix2!R284,IF(AND(Pricing!D26="Shape",OR(Pricing!E26="Capri",Pricing!E26="Aruba"),Pricing!F27="Raked"),R279,0))))</f>
        <v>0</v>
      </c>
      <c r="W39" s="55">
        <f>IF(Pricing!AE26="Quoted",0,IF(AD28="",0,IF(AND(OR(AD28="L",AD28="R",AD28="LR"),Pricing!D26="French Door Cutout"),ROUND(Matrix2!$F$4,0.2)*LEN(AD28),IF(AND(OR(AD28="LL",AD28="RR"),Pricing!D26="French Door Cutout"),Matrix2!F10))))</f>
        <v>0</v>
      </c>
      <c r="X39" s="55" t="b">
        <f>IF(Pricing!AE26="Quoted",,IF(OR(Pricing!F26="Custom Colour",ISNUMBER(SEARCH("Classic Black (S/Chg)",Pricing!F26)),ISNUMBER(SEARCH("Matte Black (S/Chg)",Pricing!F26))),1))</f>
        <v>0</v>
      </c>
      <c r="Y39" s="55">
        <f>IF(OR(Pricing!G28="Stainless Steel",Pricing!G28="Brushed Nickel Plated"),ROUND(Matrix2!$F$12*Matrix2!N39,0.2),IF(Pricing!G10="Hidden",ROUND(R17*C14,0.2),0))</f>
        <v>0</v>
      </c>
      <c r="Z39" s="55">
        <f t="shared" si="29"/>
        <v>0</v>
      </c>
      <c r="AA39" s="55">
        <f>IF(Pricing!AE26="Quoted",,IF(Pricing!AC28&lt;&gt;"No",ROUND((CONVERT(Pricing!M26,"mm","m")*Pricing!AC28)*$F$14,0.2),))</f>
        <v>0</v>
      </c>
      <c r="AC39" s="54" t="s">
        <v>412</v>
      </c>
      <c r="AD39" s="54" t="s">
        <v>331</v>
      </c>
      <c r="AE39" s="54" t="s">
        <v>334</v>
      </c>
      <c r="AF39" s="54" t="s">
        <v>336</v>
      </c>
      <c r="AG39" s="54" t="s">
        <v>338</v>
      </c>
      <c r="AH39" s="54" t="s">
        <v>339</v>
      </c>
      <c r="AI39" s="54" t="s">
        <v>341</v>
      </c>
      <c r="AJ39" s="54" t="s">
        <v>342</v>
      </c>
      <c r="AK39" s="54" t="s">
        <v>343</v>
      </c>
      <c r="AL39" s="54" t="s">
        <v>344</v>
      </c>
      <c r="AM39" s="54" t="s">
        <v>346</v>
      </c>
      <c r="AN39" s="54" t="s">
        <v>348</v>
      </c>
      <c r="AO39" s="54" t="s">
        <v>350</v>
      </c>
      <c r="AP39" s="54" t="s">
        <v>351</v>
      </c>
      <c r="AQ39" s="54" t="s">
        <v>353</v>
      </c>
      <c r="AR39" s="54" t="s">
        <v>354</v>
      </c>
    </row>
    <row r="40" spans="2:48" ht="13.9" customHeight="1">
      <c r="B40" s="389" t="s">
        <v>121</v>
      </c>
      <c r="C40" s="388">
        <f>C10</f>
        <v>0.4</v>
      </c>
      <c r="D40" s="387" t="s">
        <v>515</v>
      </c>
      <c r="E40" s="350"/>
      <c r="F40" s="350"/>
      <c r="G40" s="333" t="s">
        <v>63</v>
      </c>
      <c r="H40" s="334">
        <v>350</v>
      </c>
      <c r="I40" s="333" t="s">
        <v>499</v>
      </c>
      <c r="K40" t="s">
        <v>343</v>
      </c>
      <c r="L40" s="64">
        <f>IF(Pricing!AE29="Quoted",,IF(ISNUMBER(SEARCH("(CB)",AD29))=TRUE,1,0))</f>
        <v>0</v>
      </c>
      <c r="M40" s="4">
        <f t="shared" si="30"/>
        <v>0</v>
      </c>
      <c r="N40" s="65">
        <f>IF(Pricing!AE29="Quoted",,IF(Pricing!E29="",,Pricing!M29*Pricing!N29/1000000))</f>
        <v>0</v>
      </c>
      <c r="O40" s="62">
        <f>IF(Pricing!AE29="Quoted",,IF(AND(OR(Pricing!E29="Capri",Pricing!E29="Barbados"),OR(Pricing!J29 = "Silent",Pricing!J29 = "Split Tilt",Pricing!J29="Perfect-Tilt")),ROUND($C$9-($C$9*$F$36),0.2)*N40,IF(OR(Pricing!J29 = "Silent",Pricing!J29 = "Split Tilt",Pricing!J29="Perfect-Tilt"),ROUND($C$9-($C$9*$C$44),0.2)*N40,0)))</f>
        <v>0</v>
      </c>
      <c r="P40" s="62">
        <f>IF(Pricing!AE29="Quoted",,IF(Pricing!D29="Tracked",ROUND(C11+(F2*Q40),0.2),))</f>
        <v>0</v>
      </c>
      <c r="Q40" s="66">
        <f>IF(Pricing!AE29="Quoted",,IF(Pricing!D29="Tracked",CONVERT(Pricing!M29,"mm","m"),))</f>
        <v>0</v>
      </c>
      <c r="R40" s="62">
        <f>IF(T40=0,0,IF(Pricing!D29="S/Shade",$F$3*N40-IF(Pricing!E29=Matrix2!$G$36,$F$3*T40*$F$45,$F$3*T40*$C$45)))</f>
        <v>0</v>
      </c>
      <c r="T40" s="65">
        <f>IF(Pricing!AE29="Quoted",0,IF(Pricing!D29="S/Shade",Pricing!AD31,0))</f>
        <v>0</v>
      </c>
      <c r="U40" s="65">
        <f>IF(Pricing!AE29="Quoted",,IF(OR(Pricing!J29="Silent",Pricing!J29="Split Tilt",Pricing!J29="Perfect-Tilt",Pricing!J29="Hidden"),Pricing!M29*Pricing!N29/1000000,))</f>
        <v>0</v>
      </c>
      <c r="V40" s="55">
        <f>IF(Pricing!AE29="Quoted",,IF(AND(OR(Helper!D28=TRUE,Helper!K28=TRUE,Helper!J28=TRUE,Helper!M28=TRUE,Helper!L28=TRUE),Pricing!D29="Shape"),C16+(IF(AK19&gt;2,(AK19-2)*C17,0)),IF(AND(Pricing!D29="Shape",OR(Pricing!E29="Capri",,Pricing!E29="Aruba"),Pricing!F30="Radius"),Matrix2!S284,IF(AND(Pricing!D29="Shape",OR(Pricing!E29="Capri",Pricing!E29="Aruba"),Pricing!F30="Raked"),S279,0))))</f>
        <v>0</v>
      </c>
      <c r="W40" s="55">
        <f>IF(Pricing!AE29="Quoted",0,IF(AD29="",0,IF(AND(OR(AD29="L",AD29="R",AD29="LR"),Pricing!D29="French Door Cutout"),ROUND(Matrix2!$F$4,0.2)*LEN(AD29),IF(AND(OR(AD29="LL",AD29="RR"),Pricing!D29="French Door Cutout"),Matrix2!F11))))</f>
        <v>0</v>
      </c>
      <c r="X40" s="55" t="b">
        <f>IF(Pricing!AE29="Quoted",,IF(OR(Pricing!F29="Custom Colour",ISNUMBER(SEARCH("Classic Black (S/Chg)",Pricing!F29)),ISNUMBER(SEARCH("Matte Black (S/Chg)",Pricing!F29))),1))</f>
        <v>0</v>
      </c>
      <c r="Y40" s="55">
        <f>IF(OR(Pricing!G31="Stainless Steel",Pricing!G31="Brushed Nickel Plated"),ROUND(Matrix2!$F$12*Matrix2!N40,0.2),IF(Pricing!G10="Hidden",ROUND(S17*C14,0.2),0))</f>
        <v>0</v>
      </c>
      <c r="Z40" s="55">
        <f t="shared" si="29"/>
        <v>0</v>
      </c>
      <c r="AA40" s="55">
        <f>IF(Pricing!AE29="Quoted",,IF(Pricing!AC31&lt;&gt;"No",ROUND((CONVERT(Pricing!M29,"mm","m")*Pricing!AC31)*$F$14,0.2),))</f>
        <v>0</v>
      </c>
      <c r="AC40" s="273" t="s">
        <v>37</v>
      </c>
      <c r="AD40" s="4">
        <f>COUNTIFS('Survey Front'!$S$12:$AC$12,$AC40)</f>
        <v>0</v>
      </c>
      <c r="AE40" s="4">
        <f>COUNTIFS('Survey Front'!$S$15:$AC$15,$AC40)</f>
        <v>1</v>
      </c>
      <c r="AF40" s="4">
        <f>COUNTIFS('Survey Front'!$S$18:$AC$18,$AC40)</f>
        <v>2</v>
      </c>
      <c r="AG40" s="4">
        <f>COUNTIFS('Survey Front'!$S$21:$AC$21,$AC40)</f>
        <v>1</v>
      </c>
      <c r="AH40" s="4">
        <f>COUNTIFS('Survey Front'!$S$24:$AC$24,$AC40)</f>
        <v>0</v>
      </c>
      <c r="AI40" s="4">
        <f>COUNTIFS('Survey Front'!$S$27:$AC$27,$AC40)</f>
        <v>0</v>
      </c>
      <c r="AJ40" s="4">
        <f>COUNTIFS('Survey Front'!$S$30:$AC$30,$AC40)</f>
        <v>0</v>
      </c>
      <c r="AK40" s="4">
        <f>COUNTIFS('Survey Front'!$S$33:$AC$33,$AC40)</f>
        <v>0</v>
      </c>
      <c r="AL40" s="4">
        <f>COUNTIFS('Survey Front'!$S$36:$AC$36,$AC40)</f>
        <v>0</v>
      </c>
      <c r="AM40" s="4">
        <f>COUNTIFS('Survey Front'!$S$39:$AC$39,$AC40)</f>
        <v>0</v>
      </c>
      <c r="AN40" s="4">
        <f>COUNTIFS('Survey Front'!$S$42:$AC$42,$AC40)</f>
        <v>0</v>
      </c>
      <c r="AO40" s="4">
        <f>COUNTIFS('Survey Front'!$S$45:$AC$45,$AC40)</f>
        <v>0</v>
      </c>
      <c r="AP40" s="4">
        <f>COUNTIFS('Survey Front'!$S$48:$AC$48,$AC40)</f>
        <v>0</v>
      </c>
      <c r="AQ40" s="4">
        <f>COUNTIFS('Survey Front'!$S$51:$AC$51,$AC40)</f>
        <v>0</v>
      </c>
      <c r="AR40" s="4">
        <f>COUNTIFS('Survey Front'!$S$54:$AC$54,$AC40)</f>
        <v>0</v>
      </c>
      <c r="AS40" s="273" t="s">
        <v>37</v>
      </c>
      <c r="AT40" t="s">
        <v>350</v>
      </c>
    </row>
    <row r="41" spans="2:48" ht="13.9" customHeight="1" thickBot="1">
      <c r="B41" s="390" t="s">
        <v>92</v>
      </c>
      <c r="C41" s="395">
        <v>0.5</v>
      </c>
      <c r="D41" s="387" t="s">
        <v>515</v>
      </c>
      <c r="E41" s="350"/>
      <c r="F41" s="350"/>
      <c r="G41" s="333" t="s">
        <v>18</v>
      </c>
      <c r="H41" s="334">
        <v>50</v>
      </c>
      <c r="I41" s="333" t="s">
        <v>502</v>
      </c>
      <c r="K41" t="s">
        <v>344</v>
      </c>
      <c r="L41" s="64">
        <f>IF(Pricing!AE32="Quoted",,IF(ISNUMBER(SEARCH("(CB)",AD30))=TRUE,1,0))</f>
        <v>0</v>
      </c>
      <c r="M41" s="4">
        <f t="shared" si="30"/>
        <v>0</v>
      </c>
      <c r="N41" s="65">
        <f>IF(Pricing!AE32="Quoted",,IF(Pricing!E32="",,Pricing!M32*Pricing!N32/1000000))</f>
        <v>0</v>
      </c>
      <c r="O41" s="62">
        <f>IF(Pricing!AE32="Quoted",,IF(AND(OR(Pricing!E32="Capri",Pricing!E32="Barbados"),OR(Pricing!J32 = "Silent",Pricing!J32 = "Split Tilt",Pricing!J32="Perfect-Tilt")),ROUND($C$9-($C$9*$F$36),0.2)*N41,IF(OR(Pricing!J32 = "Silent",Pricing!J32 = "Split Tilt",Pricing!J32="Perfect-Tilt"),ROUND($C$9-($C$9*$C$44),0.2)*N41,0)))</f>
        <v>0</v>
      </c>
      <c r="P41" s="62">
        <f>IF(Pricing!AE32="Quoted",,IF(Pricing!D32="Tracked",ROUND(C11+(F2*Q41),0.2),))</f>
        <v>0</v>
      </c>
      <c r="Q41" s="66">
        <f>IF(Pricing!AE32="Quoted",,IF(Pricing!D32="Tracked",CONVERT(Pricing!M32,"mm","m"),))</f>
        <v>0</v>
      </c>
      <c r="R41" s="62">
        <f>IF(T41=0,0,IF(Pricing!D32="S/Shade",$F$3*N41-IF(Pricing!E32=Matrix2!$G$36,$F$3*T41*$F$45,$F$3*T41*$C$45)))</f>
        <v>0</v>
      </c>
      <c r="T41" s="65">
        <f>IF(Pricing!AE32="Quoted",0,IF(Pricing!D32="S/Shade",Pricing!AD34,0))</f>
        <v>0</v>
      </c>
      <c r="U41" s="65">
        <f>IF(Pricing!AE32="Quoted",,IF(OR(Pricing!J32="Silent",Pricing!J32="Split Tilt",Pricing!J32="Perfect-Tilt",Pricing!J32="Hidden"),Pricing!M32*Pricing!N32/1000000,))</f>
        <v>0</v>
      </c>
      <c r="V41" s="55">
        <f>IF(Pricing!AE32="Quoted",,IF(AND(OR(Helper!D29=TRUE,Helper!K29=TRUE,Helper!J29=TRUE,Helper!M29=TRUE,Helper!L29=TRUE),Pricing!D32="Shape"),C16+(IF(AL19&gt;2,(AL19-2)*C17,0)),IF(AND(Pricing!D32="Shape",OR(Pricing!E32="Capri",Pricing!E32="Aruba"),Pricing!F33="Radius"),Matrix2!T284,IF(AND(Pricing!D32="Shape",OR(Pricing!E32="Capri",Pricing!E32="Aruba"),Pricing!F33="Raked"),T279,0))))</f>
        <v>0</v>
      </c>
      <c r="W41" s="55">
        <f>IF(Pricing!AE32="Quoted",0,IF(AD30="",0,IF(AND(OR(AD30="L",AD30="R",AD30="LR"),Pricing!D32="French Door Cutout"),ROUND(Matrix2!$F$4,0.2)*LEN(AD30),IF(AND(OR(AD30="LL",AD30="RR"),Pricing!D32="French Door Cutout"),Matrix2!F12))))</f>
        <v>0</v>
      </c>
      <c r="X41" s="55" t="b">
        <f>IF(Pricing!AE32="Quoted",,IF(OR(Pricing!F32="Custom Colour",ISNUMBER(SEARCH("Classic Black (S/Chg)",Pricing!F32)),ISNUMBER(SEARCH("Matte Black (S/Chg)",Pricing!F32))),1))</f>
        <v>0</v>
      </c>
      <c r="Y41" s="55">
        <f>IF(OR(Pricing!G34="Stainless Steel",Pricing!G34="Brushed Nickel Plated"),ROUND(Matrix2!$F$12*Matrix2!N41,0.2),IF(Pricing!G10="Hidden",ROUND(T17*C14,0.2),0))</f>
        <v>0</v>
      </c>
      <c r="Z41" s="55">
        <f t="shared" si="29"/>
        <v>0</v>
      </c>
      <c r="AA41" s="55">
        <f>IF(Pricing!AE32="Quoted",,IF(Pricing!AC34&lt;&gt;"No",ROUND((CONVERT(Pricing!M32,"mm","m")*Pricing!AC34)*$F$14,0.2),))</f>
        <v>0</v>
      </c>
      <c r="AC41" s="274" t="s">
        <v>40</v>
      </c>
      <c r="AD41" s="4">
        <f>COUNTIFS('Survey Front'!$S$12:$AC$12,$AC41)</f>
        <v>0</v>
      </c>
      <c r="AE41" s="4">
        <f>COUNTIFS('Survey Front'!$S$15:$AC$15,$AC41)</f>
        <v>0</v>
      </c>
      <c r="AF41" s="4">
        <f>COUNTIFS('Survey Front'!$S$18:$AC$18,$AC41)</f>
        <v>2</v>
      </c>
      <c r="AG41" s="4">
        <f>COUNTIFS('Survey Front'!$S$21:$AC$21,$AC41)</f>
        <v>2</v>
      </c>
      <c r="AH41" s="4">
        <f>COUNTIFS('Survey Front'!$S$24:$AC$24,$AC41)</f>
        <v>0</v>
      </c>
      <c r="AI41" s="4">
        <f>COUNTIFS('Survey Front'!$S$27:$AC$27,$AC41)</f>
        <v>0</v>
      </c>
      <c r="AJ41" s="4">
        <f>COUNTIFS('Survey Front'!$S$30:$AC$30,$AC41)</f>
        <v>0</v>
      </c>
      <c r="AK41" s="4">
        <f>COUNTIFS('Survey Front'!$S$33:$AC$33,$AC41)</f>
        <v>0</v>
      </c>
      <c r="AL41" s="4">
        <f>COUNTIFS('Survey Front'!$S$36:$AC$36,$AC41)</f>
        <v>0</v>
      </c>
      <c r="AM41" s="4">
        <f>COUNTIFS('Survey Front'!$S$39:$AC$39,$AC41)</f>
        <v>0</v>
      </c>
      <c r="AN41" s="4">
        <f>COUNTIFS('Survey Front'!$S$42:$AC$42,$AC41)</f>
        <v>0</v>
      </c>
      <c r="AO41" s="4">
        <f>COUNTIFS('Survey Front'!$S$45:$AC$45,$AC41)</f>
        <v>0</v>
      </c>
      <c r="AP41" s="4">
        <f>COUNTIFS('Survey Front'!$S$48:$AC$48,$AC41)</f>
        <v>0</v>
      </c>
      <c r="AQ41" s="4">
        <f>COUNTIFS('Survey Front'!$S$51:$AC$51,$AC41)</f>
        <v>0</v>
      </c>
      <c r="AR41" s="4">
        <f>COUNTIFS('Survey Front'!$S$54:$AC$54,$AC41)</f>
        <v>0</v>
      </c>
      <c r="AS41" s="274" t="s">
        <v>40</v>
      </c>
    </row>
    <row r="42" spans="2:48">
      <c r="G42" s="333" t="s">
        <v>119</v>
      </c>
      <c r="H42" s="334">
        <v>80</v>
      </c>
      <c r="I42" s="333" t="s">
        <v>506</v>
      </c>
      <c r="K42" t="s">
        <v>346</v>
      </c>
      <c r="L42" s="64">
        <f>IF(Pricing!AE35="Quoted",,IF(ISNUMBER(SEARCH("(CB)",AD31))=TRUE,1,0))</f>
        <v>0</v>
      </c>
      <c r="M42" s="4">
        <f t="shared" si="30"/>
        <v>0</v>
      </c>
      <c r="N42" s="65">
        <f>IF(Pricing!AE35="Quoted",,IF(Pricing!E35="",,Pricing!M35*Pricing!N35/1000000))</f>
        <v>0</v>
      </c>
      <c r="O42" s="62">
        <f>IF(Pricing!AE35="Quoted",,IF(AND(OR(Pricing!E35="Capri",Pricing!E35="Barbados"),OR(Pricing!J35 = "Silent",Pricing!J35 = "Split Tilt",Pricing!J35="Perfect-Tilt")),ROUND($C$9-($C$9*$F$36),0.2)*N42,IF(OR(Pricing!J35 = "Silent",Pricing!J35 = "Split Tilt",Pricing!J35="Perfect-Tilt"),ROUND($C$9-($C$9*$C$44),0.2)*N42,0)))</f>
        <v>0</v>
      </c>
      <c r="P42" s="62">
        <f>IF(Pricing!AE35="Quoted",,IF(Pricing!D35="Tracked",ROUND(C11+(F2*Q42),0.2),))</f>
        <v>0</v>
      </c>
      <c r="Q42" s="66">
        <f>IF(Pricing!AE35="Quoted",,IF(Pricing!D35="Tracked",CONVERT(Pricing!M35,"mm","m"),))</f>
        <v>0</v>
      </c>
      <c r="R42" s="62">
        <f>IF(T42=0,0,IF(Pricing!D35="S/Shade",$F$3*N42-IF(Pricing!E35=Matrix2!$G$36,$F$3*T42*$F$45,$F$3*T42*$C$45)))</f>
        <v>0</v>
      </c>
      <c r="T42" s="65">
        <f>IF(Pricing!AE35="Quoted",0,IF(Pricing!D35="S/Shade",Pricing!AD37,0))</f>
        <v>0</v>
      </c>
      <c r="U42" s="65">
        <f>IF(Pricing!AE35="Quoted",,IF(OR(Pricing!J35="Silent",Pricing!J35="Split Tilt",Pricing!J35="Perfect-Tilt",Pricing!J35="Hidden"),Pricing!M35*Pricing!N35/1000000,))</f>
        <v>0</v>
      </c>
      <c r="V42" s="55">
        <f>IF(Pricing!AE35="Quoted",,IF(AND(OR(Helper!D30=TRUE,Helper!K30=TRUE,Helper!J30=TRUE,Helper!M30=TRUE,Helper!L30=TRUE),Pricing!D35="Shape"),C16+(IF(AM19&gt;2,(AM19-2)*C17,0)),IF(AND(Pricing!D35="Shape",OR(Pricing!E35="Capri",Pricing!E35="Aruba"),Pricing!F36="Radius"),Matrix2!U284,IF(AND(Pricing!D35="Shape",OR(Pricing!E35="Capri",Pricing!E35="Aruba"),Pricing!F36="Raked"),U279,0))))</f>
        <v>0</v>
      </c>
      <c r="W42" s="55">
        <f>IF(Pricing!AE35="Quoted",0,IF(AD31="",0,IF(AND(OR(AD31="L",AD31="R",AD31="LR"),Pricing!D35="French Door Cutout"),ROUND(Matrix2!$F$4,0.2)*LEN(AD31),IF(AND(OR(AD31="LL",AD31="RR"),Pricing!D35="French Door Cutout"),Matrix2!F13))))</f>
        <v>0</v>
      </c>
      <c r="X42" s="55" t="b">
        <f>IF(Pricing!AE35="Quoted",,IF(OR(Pricing!F35="Custom Colour",ISNUMBER(SEARCH("Classic Black (S/Chg)",Pricing!F35)),ISNUMBER(SEARCH("Matte Black (S/Chg)",Pricing!F35))),1))</f>
        <v>0</v>
      </c>
      <c r="Y42" s="55">
        <f>IF(OR(Pricing!G37="Stainless Steel",Pricing!G37="Brushed Nickel Plated"),ROUND(Matrix2!$F$12*Matrix2!N42,0.2),IF(Pricing!G10="Hidden",ROUND(U17*C14,0.2),0))</f>
        <v>0</v>
      </c>
      <c r="Z42" s="55">
        <f t="shared" si="29"/>
        <v>0</v>
      </c>
      <c r="AA42" s="55">
        <f>IF(Pricing!AE35="Quoted",,IF(Pricing!AC37&lt;&gt;"No",ROUND((CONVERT(Pricing!M35,"mm","m")*Pricing!AC37)*$F$14,0.2),))</f>
        <v>0</v>
      </c>
      <c r="AC42" s="273" t="s">
        <v>436</v>
      </c>
      <c r="AD42" s="4">
        <f>COUNTIFS('Survey Front'!$S$12:$AC$12,$AC42)*2</f>
        <v>0</v>
      </c>
      <c r="AE42" s="4">
        <f>COUNTIFS('Survey Front'!$S$15:$AC$15,$AC42)*2</f>
        <v>0</v>
      </c>
      <c r="AF42" s="4">
        <f>COUNTIFS('Survey Front'!$S$18:$AC$18,$AC42)*2</f>
        <v>0</v>
      </c>
      <c r="AG42" s="4">
        <f>COUNTIFS('Survey Front'!$S$21:$AC$21,$AC42)*2</f>
        <v>0</v>
      </c>
      <c r="AH42" s="4">
        <f>COUNTIFS('Survey Front'!$S$24:$AC$24,$AC42)*2</f>
        <v>0</v>
      </c>
      <c r="AI42" s="4">
        <f>COUNTIFS('Survey Front'!$S$27:$AC$27,$AC42)*2</f>
        <v>0</v>
      </c>
      <c r="AJ42" s="4">
        <f>COUNTIFS('Survey Front'!$S$30:$AC$30,$AC42)*2</f>
        <v>0</v>
      </c>
      <c r="AK42" s="4">
        <f>COUNTIFS('Survey Front'!$S$33:$AC$33,$AC42)*2</f>
        <v>0</v>
      </c>
      <c r="AL42" s="4">
        <f>COUNTIFS('Survey Front'!$S$36:$AC$36,$AC42)*2</f>
        <v>0</v>
      </c>
      <c r="AM42" s="4">
        <f>COUNTIFS('Survey Front'!$S$39:$AC$39,$AC42)*2</f>
        <v>0</v>
      </c>
      <c r="AN42" s="4">
        <f>COUNTIFS('Survey Front'!$S$42:$AC$42,$AC42)*2</f>
        <v>0</v>
      </c>
      <c r="AO42" s="4">
        <f>COUNTIFS('Survey Front'!$S$45:$AC$45,$AC42)*2</f>
        <v>0</v>
      </c>
      <c r="AP42" s="4">
        <f>COUNTIFS('Survey Front'!$S$48:$AC$48,$AC42)*2</f>
        <v>0</v>
      </c>
      <c r="AQ42" s="4">
        <f>COUNTIFS('Survey Front'!$S$51:$AC$51,$AC42)*2</f>
        <v>0</v>
      </c>
      <c r="AR42" s="4">
        <f>COUNTIFS('Survey Front'!$S$54:$AC$54,$AC42)*2</f>
        <v>0</v>
      </c>
      <c r="AS42" s="273" t="s">
        <v>436</v>
      </c>
      <c r="AT42" t="s">
        <v>351</v>
      </c>
    </row>
    <row r="43" spans="2:48">
      <c r="G43" s="333" t="s">
        <v>118</v>
      </c>
      <c r="H43" s="334">
        <v>50</v>
      </c>
      <c r="I43" s="333" t="s">
        <v>502</v>
      </c>
      <c r="K43" t="s">
        <v>348</v>
      </c>
      <c r="L43" s="64">
        <f>IF(Pricing!AE38="Quoted",,IF(ISNUMBER(SEARCH("(CB)",AD32))=TRUE,1,0))</f>
        <v>0</v>
      </c>
      <c r="M43" s="4">
        <f t="shared" si="30"/>
        <v>0</v>
      </c>
      <c r="N43" s="65">
        <f>IF(Pricing!AE38="Quoted",,IF(Pricing!E38="",,Pricing!M38*Pricing!N38/1000000))</f>
        <v>0</v>
      </c>
      <c r="O43" s="62">
        <f>IF(Pricing!AE38="Quoted",,IF(AND(OR(Pricing!E38="Capri",Pricing!E38="Barbados"),OR(Pricing!J38 = "Silent",Pricing!J38 = "Split Tilt",Pricing!J38="Perfect-Tilt")),ROUND($C$9-($C$9*$F$36),0.2)*N43,IF(OR(Pricing!J38 = "Silent",Pricing!J38 = "Split Tilt",Pricing!J38="Perfect-Tilt"),ROUND($C$9-($C$9*$C$44),0.2)*N43,0)))</f>
        <v>0</v>
      </c>
      <c r="P43" s="62">
        <f>IF(Pricing!AE38="Quoted",,IF(Pricing!D38="Tracked",ROUND(C11+(F2*Q43),0.2),))</f>
        <v>0</v>
      </c>
      <c r="Q43" s="66">
        <f>IF(Pricing!AE38="Quoted",,IF(Pricing!D38="Tracked",CONVERT(Pricing!M38,"mm","m"),))</f>
        <v>0</v>
      </c>
      <c r="R43" s="62">
        <f>IF(T43=0,0,IF(Pricing!D38="S/Shade",$F$3*N43-IF(Pricing!E38=Matrix2!$G$36,$F$3*T43*$F$45,$F$3*T43*$C$45)))</f>
        <v>0</v>
      </c>
      <c r="T43" s="65">
        <f>IF(Pricing!AE38="Quoted",0,IF(Pricing!D38="S/Shade",Pricing!AD40,0))</f>
        <v>0</v>
      </c>
      <c r="U43" s="65">
        <f>IF(Pricing!AE38="Quoted",,IF(OR(Pricing!J38="Silent",Pricing!J38="Split Tilt",Pricing!J38="Perfect-Tilt",Pricing!J38="Hidden"),Pricing!M38*Pricing!N38/1000000,))</f>
        <v>0</v>
      </c>
      <c r="V43" s="55">
        <f>IF(Pricing!AE38="Quoted",,IF(AND(OR(Helper!D31=TRUE,Helper!K31=TRUE,Helper!J31=TRUE,Helper!M31=TRUE,Helper!L31=TRUE),Pricing!D38="Shape"),C16+(IF(AN19&gt;2,(AN19-2)*C17,0)),IF(AND(Pricing!D38="Shape",OR(Pricing!E38="Capri",Pricing!E38="Aruba"),Pricing!F39="Radius"),Matrix2!V284,IF(AND(Pricing!D38="Shape",OR(Pricing!E38="Capri",Pricing!E38="Aruba"),Pricing!F39="Raked"),V279,0))))</f>
        <v>0</v>
      </c>
      <c r="W43" s="55">
        <f>IF(Pricing!AE36="Quoted",0,IF(AD32="",0,IF(AND(OR(AD32="L",AD32="R",AD32="LR"),Pricing!D36="French Door Cutout"),ROUND(Matrix2!$F$4,0.2)*LEN(AD32),IF(AND(OR(AD32="LL",AD32="RR"),Pricing!D36="French Door Cutout"),Matrix2!F14))))</f>
        <v>0</v>
      </c>
      <c r="X43" s="55" t="b">
        <f>IF(Pricing!AE38="Quoted",,IF(OR(Pricing!F38="Custom Colour",ISNUMBER(SEARCH("Classic Black (S/Chg)",Pricing!F38)),ISNUMBER(SEARCH("Matte Black (S/Chg)",Pricing!F38))),1))</f>
        <v>0</v>
      </c>
      <c r="Y43" s="55">
        <f>IF(OR(Pricing!G40="Stainless Steel",Pricing!G40="Brushed Nickel Plated"),ROUND(Matrix2!$F$12*Matrix2!N43,0.2),IF(Pricing!G10="Hidden",ROUND(V17*C14,0.2),0))</f>
        <v>0</v>
      </c>
      <c r="Z43" s="55">
        <f t="shared" si="29"/>
        <v>0</v>
      </c>
      <c r="AA43" s="55">
        <f>IF(Pricing!AE38="Quoted",,IF(Pricing!AC40&lt;&gt;"No",ROUND((CONVERT(Pricing!M38,"mm","m")*Pricing!AC40)*$F$14,0.2),))</f>
        <v>0</v>
      </c>
      <c r="AC43" s="274" t="s">
        <v>429</v>
      </c>
      <c r="AD43" s="4">
        <f>COUNTIFS('Survey Front'!$S$12:$AC$12,$AC43)*2</f>
        <v>0</v>
      </c>
      <c r="AE43" s="4">
        <f>COUNTIFS('Survey Front'!$S$15:$AC$15,$AC43)*2</f>
        <v>0</v>
      </c>
      <c r="AF43" s="4">
        <f>COUNTIFS('Survey Front'!$S$18:$AC$18,$AC43)*2</f>
        <v>0</v>
      </c>
      <c r="AG43" s="4">
        <f>COUNTIFS('Survey Front'!$S$21:$AC$21,$AC43)*2</f>
        <v>0</v>
      </c>
      <c r="AH43" s="4">
        <f>COUNTIFS('Survey Front'!$S$24:$AC$24,$AC43)*2</f>
        <v>0</v>
      </c>
      <c r="AI43" s="4">
        <f>COUNTIFS('Survey Front'!$S$27:$AC$27,$AC43)*2</f>
        <v>0</v>
      </c>
      <c r="AJ43" s="4">
        <f>COUNTIFS('Survey Front'!$S$30:$AC$30,$AC43)*2</f>
        <v>0</v>
      </c>
      <c r="AK43" s="4">
        <f>COUNTIFS('Survey Front'!$S$33:$AC$33,$AC43)*2</f>
        <v>0</v>
      </c>
      <c r="AL43" s="4">
        <f>COUNTIFS('Survey Front'!$S$36:$AC$36,$AC43)*2</f>
        <v>0</v>
      </c>
      <c r="AM43" s="4">
        <f>COUNTIFS('Survey Front'!$S$39:$AC$39,$AC43)*2</f>
        <v>0</v>
      </c>
      <c r="AN43" s="4">
        <f>COUNTIFS('Survey Front'!$S$42:$AC$42,$AC43)*2</f>
        <v>0</v>
      </c>
      <c r="AO43" s="4">
        <f>COUNTIFS('Survey Front'!$S$45:$AC$45,$AC43)*2</f>
        <v>0</v>
      </c>
      <c r="AP43" s="4">
        <f>COUNTIFS('Survey Front'!$S$48:$AC$48,$AC43)*2</f>
        <v>0</v>
      </c>
      <c r="AQ43" s="4">
        <f>COUNTIFS('Survey Front'!$S$51:$AC$51,$AC43)*2</f>
        <v>0</v>
      </c>
      <c r="AR43" s="4">
        <f>COUNTIFS('Survey Front'!$S$54:$AC$54,$AC43)*2</f>
        <v>0</v>
      </c>
      <c r="AS43" s="274" t="s">
        <v>429</v>
      </c>
    </row>
    <row r="44" spans="2:48">
      <c r="B44" t="s">
        <v>78</v>
      </c>
      <c r="C44">
        <v>0.5</v>
      </c>
      <c r="E44" t="s">
        <v>542</v>
      </c>
      <c r="F44" s="170">
        <f ca="1">SUMIF(Pricing!J8:J52,"Silent",Pricing!AH10:AH52)-SUM(U92:U106)</f>
        <v>14.405021</v>
      </c>
      <c r="G44" s="333" t="s">
        <v>122</v>
      </c>
      <c r="H44" s="334">
        <v>70</v>
      </c>
      <c r="I44" s="333" t="s">
        <v>502</v>
      </c>
      <c r="K44" t="s">
        <v>350</v>
      </c>
      <c r="L44" s="64">
        <f>IF(Pricing!AE41="Quoted",,IF(ISNUMBER(SEARCH("(CB)",AD33))=TRUE,1,0))</f>
        <v>0</v>
      </c>
      <c r="M44" s="4">
        <f t="shared" si="30"/>
        <v>0</v>
      </c>
      <c r="N44" s="65">
        <f>IF(Pricing!AE41="Quoted",,IF(Pricing!E41="",,Pricing!M41*Pricing!N41/1000000))</f>
        <v>0</v>
      </c>
      <c r="O44" s="62">
        <f>IF(Pricing!AE41="Quoted",,IF(AND(OR(Pricing!E41="Capri",Pricing!E41="Barbados"),OR(Pricing!J41 = "Silent",Pricing!J41 = "Split Tilt",Pricing!J41="Perfect-Tilt")),ROUND($C$9-($C$9*$F$36),0.2)*N44,IF(OR(Pricing!J41 = "Silent",Pricing!J41 = "Split Tilt",Pricing!J41="Perfect-Tilt"),ROUND($C$9-($C$9*$C$44),0.2)*N44,0)))</f>
        <v>0</v>
      </c>
      <c r="P44" s="62">
        <f>IF(Pricing!AE41="Quoted",,IF(Pricing!D41="Tracked",ROUND(C11+(F2*Q44),0.2),))</f>
        <v>0</v>
      </c>
      <c r="Q44" s="66">
        <f>IF(Pricing!AE41="Quoted",,IF(Pricing!D41="Tracked",CONVERT(Pricing!M41,"mm","m"),))</f>
        <v>0</v>
      </c>
      <c r="R44" s="62">
        <f>IF(T44=0,0,IF(Pricing!D41="S/Shade",$F$3*N44-IF(Pricing!E41=Matrix2!$G$36,$F$3*T44*$F$45,$F$3*T44*$C$45)))</f>
        <v>0</v>
      </c>
      <c r="T44" s="65">
        <f>IF(Pricing!AE41="Quoted",0,IF(Pricing!D41="S/Shade",Pricing!AD43,0))</f>
        <v>0</v>
      </c>
      <c r="U44" s="65">
        <f>IF(Pricing!AE41="Quoted",,IF(OR(Pricing!J41="Silent",Pricing!J41="Split Tilt",Pricing!J41="Perfect-Tilt",Pricing!J41="Hidden"),Pricing!M41*Pricing!N41/1000000,))</f>
        <v>0</v>
      </c>
      <c r="V44" s="55">
        <f>IF(Pricing!AE41="Quoted",,IF(AND(OR(Helper!D32=TRUE,Helper!K32=TRUE,Helper!J32=TRUE,Helper!M32=TRUE,Helper!L32=TRUE),Pricing!D41="Shape"),C16+(IF(AO19&gt;2,(AO19-2)*C17,0)),IF(AND(Pricing!D41="Shape",OR(Pricing!E41="Capri",,Pricing!E41="Aruba"),Pricing!F42="Radius"),Matrix2!W284,IF(AND(Pricing!D41="Shape",OR(Pricing!E41="Capri",Pricing!E41="Aruba"),Pricing!F42="Raked"),W279,0))))</f>
        <v>0</v>
      </c>
      <c r="W44" s="55">
        <f>IF(Pricing!AE37="Quoted",0,IF(AD33="",0,IF(AND(OR(AD33="L",AD33="R",AD33="LR"),Pricing!D37="French Door Cutout"),ROUND(Matrix2!$F$4,0.2)*LEN(AD33),IF(AND(OR(AD33="LL",AD33="RR"),Pricing!D37="French Door Cutout"),Matrix2!F15))))</f>
        <v>0</v>
      </c>
      <c r="X44" s="55" t="b">
        <f>IF(Pricing!AE41="Quoted",,IF(OR(Pricing!F41="Custom Colour",ISNUMBER(SEARCH("Classic Black (S/Chg)",Pricing!F41)),ISNUMBER(SEARCH("Matte Black (S/Chg)",Pricing!F41))),1))</f>
        <v>0</v>
      </c>
      <c r="Y44" s="55">
        <f>IF(OR(Pricing!G43="Stainless Steel",Pricing!G43="Brushed Nickel Plated"),ROUND(Matrix2!$F$12*Matrix2!N44,0.2),IF(Pricing!G10="Hidden",ROUND(W17*C14,0.2),0))</f>
        <v>0</v>
      </c>
      <c r="Z44" s="55">
        <f t="shared" si="29"/>
        <v>0</v>
      </c>
      <c r="AA44" s="55">
        <f>IF(Pricing!AE41="Quoted",,IF(Pricing!AC43&lt;&gt;"No",ROUND((CONVERT(Pricing!M41,"mm","m")*Pricing!AC43)*$F$14,0.2),))</f>
        <v>0</v>
      </c>
      <c r="AC44" s="273" t="s">
        <v>432</v>
      </c>
      <c r="AD44" s="4">
        <f>COUNTIFS('Survey Front'!$S$12:$AC$12,$AC44)*2</f>
        <v>0</v>
      </c>
      <c r="AE44" s="4">
        <f>COUNTIFS('Survey Front'!$S$15:$AC$15,$AC44)*2</f>
        <v>0</v>
      </c>
      <c r="AF44" s="4">
        <f>COUNTIFS('Survey Front'!$S$18:$AC$18,$AC44)*2</f>
        <v>0</v>
      </c>
      <c r="AG44" s="4">
        <f>COUNTIFS('Survey Front'!$S$21:$AC$21,$AC44)*2</f>
        <v>0</v>
      </c>
      <c r="AH44" s="4">
        <f>COUNTIFS('Survey Front'!$S$24:$AC$24,$AC44)*2</f>
        <v>0</v>
      </c>
      <c r="AI44" s="4">
        <f>COUNTIFS('Survey Front'!$S$27:$AC$27,$AC44)*2</f>
        <v>0</v>
      </c>
      <c r="AJ44" s="4">
        <f>COUNTIFS('Survey Front'!$S$30:$AC$30,$AC44)*2</f>
        <v>0</v>
      </c>
      <c r="AK44" s="4">
        <f>COUNTIFS('Survey Front'!$S$33:$AC$33,$AC44)*2</f>
        <v>0</v>
      </c>
      <c r="AL44" s="4">
        <f>COUNTIFS('Survey Front'!$S$36:$AC$36,$AC44)*2</f>
        <v>0</v>
      </c>
      <c r="AM44" s="4">
        <f>COUNTIFS('Survey Front'!$S$39:$AC$39,$AC44)*2</f>
        <v>0</v>
      </c>
      <c r="AN44" s="4">
        <f>COUNTIFS('Survey Front'!$S$42:$AC$42,$AC44)*2</f>
        <v>0</v>
      </c>
      <c r="AO44" s="4">
        <f>COUNTIFS('Survey Front'!$S$45:$AC$45,$AC44)*2</f>
        <v>0</v>
      </c>
      <c r="AP44" s="4">
        <f>COUNTIFS('Survey Front'!$S$48:$AC$48,$AC44)*2</f>
        <v>0</v>
      </c>
      <c r="AQ44" s="4">
        <f>COUNTIFS('Survey Front'!$S$51:$AC$51,$AC44)*2</f>
        <v>0</v>
      </c>
      <c r="AR44" s="4">
        <f>COUNTIFS('Survey Front'!$S$54:$AC$54,$AC44)*2</f>
        <v>0</v>
      </c>
      <c r="AS44" s="273" t="s">
        <v>432</v>
      </c>
      <c r="AT44" t="s">
        <v>353</v>
      </c>
    </row>
    <row r="45" spans="2:48">
      <c r="B45" t="s">
        <v>543</v>
      </c>
      <c r="C45">
        <v>0</v>
      </c>
      <c r="E45" t="s">
        <v>544</v>
      </c>
      <c r="F45">
        <v>0.5</v>
      </c>
      <c r="G45" s="333" t="s">
        <v>91</v>
      </c>
      <c r="H45" s="334">
        <v>100</v>
      </c>
      <c r="I45" s="333" t="s">
        <v>499</v>
      </c>
      <c r="K45" t="s">
        <v>351</v>
      </c>
      <c r="L45" s="64">
        <f>IF(Pricing!AE44="Quoted",,IF(ISNUMBER(SEARCH("(CB)",AD34))=TRUE,1,0))</f>
        <v>0</v>
      </c>
      <c r="M45" s="4">
        <f t="shared" si="30"/>
        <v>0</v>
      </c>
      <c r="N45" s="65">
        <f>IF(Pricing!AE44="Quoted",,IF(Pricing!E44="",,Pricing!M44*Pricing!N44/1000000))</f>
        <v>0</v>
      </c>
      <c r="O45" s="62">
        <f>IF(Pricing!AE44="Quoted",,IF(AND(OR(Pricing!E44="Capri",Pricing!E44="Barbados"),OR(Pricing!J44 = "Silent",Pricing!J44 = "Split Tilt",Pricing!J44="Perfect-Tilt")),ROUND($C$9-($C$9*$F$36),0.2)*N45,IF(OR(Pricing!J44 = "Silent",Pricing!J44 = "Split Tilt",Pricing!J44="Perfect-Tilt"),ROUND($C$9-($C$9*$C$44),0.2)*N45,0)))</f>
        <v>0</v>
      </c>
      <c r="P45" s="62">
        <f>IF(Pricing!AE44="Quoted",,IF(Pricing!D44="Tracked",ROUND(C11+(F2*Q45),0.2),))</f>
        <v>0</v>
      </c>
      <c r="Q45" s="66">
        <f>IF(Pricing!AE44="Quoted",,IF(Pricing!D44="Tracked",CONVERT(Pricing!M44,"mm","m"),))</f>
        <v>0</v>
      </c>
      <c r="R45" s="62">
        <f>IF(T45=0,0,IF(Pricing!D44="S/Shade",$F$3*N45-IF(Pricing!E44=Matrix2!$G$36,$F$3*T45*$F$45,$F$3*T45*$C$45)))</f>
        <v>0</v>
      </c>
      <c r="T45" s="65">
        <f>IF(Pricing!AE44="Quoted",0,IF(Pricing!D44="S/Shade",Pricing!AD46,0))</f>
        <v>0</v>
      </c>
      <c r="U45" s="65">
        <f>IF(Pricing!AE44="Quoted",,IF(OR(Pricing!J44="Silent",Pricing!J44="Split Tilt",Pricing!J44="Perfect-Tilt",Pricing!J44="Hidden"),Pricing!M44*Pricing!N44/1000000,))</f>
        <v>0</v>
      </c>
      <c r="V45" s="55">
        <f>IF(Pricing!AE44="Quoted",,IF(AND(OR(Helper!D33=TRUE,Helper!K33=TRUE,Helper!J33=TRUE,Helper!M33=TRUE,Helper!L33=TRUE),Pricing!D44="Shape"),C16+(IF(AP19&gt;2,(AP19-2)*C17,0)),IF(AND(Pricing!D44="Shape",OR(Pricing!E44="Capri",Pricing!E44="Aruba"),Pricing!F45="Radius"),Matrix2!X284,IF(AND(Pricing!D44="Shape",OR(Pricing!E44="Capri",Pricing!E44="Aruba"),Pricing!F45="Raked"),X279,0))))</f>
        <v>0</v>
      </c>
      <c r="W45" s="55">
        <f>IF(Pricing!AE38="Quoted",0,IF(AD34="",0,IF(AND(OR(AD34="L",AD34="R",AD34="LR"),Pricing!D38="French Door Cutout"),ROUND(Matrix2!$F$4,0.2)*LEN(AD34),IF(AND(OR(AD34="LL",AD34="RR"),Pricing!D38="French Door Cutout"),Matrix2!F16))))</f>
        <v>0</v>
      </c>
      <c r="X45" s="55" t="b">
        <f>IF(Pricing!AE44="Quoted",,IF(OR(Pricing!F44="Custom Colour",ISNUMBER(SEARCH("Classic Black (S/Chg)",Pricing!F44)),ISNUMBER(SEARCH("Matte Black (S/Chg)",Pricing!F44))),1))</f>
        <v>0</v>
      </c>
      <c r="Y45" s="55">
        <f>IF(OR(Pricing!G46="Stainless Steel",Pricing!G46="Brushed Nickel Plated"),ROUND(Matrix2!$F$12*Matrix2!N45,0.2),IF(Pricing!G10="Hidden",ROUND(X17*C14,0.2),0))</f>
        <v>0</v>
      </c>
      <c r="Z45" s="55">
        <f>IF(AND(N45&lt;1,N45&gt;0),ROUND(1*$C$19,0.2),ROUND(N45*$C$19,0.2))</f>
        <v>0</v>
      </c>
      <c r="AA45" s="55">
        <f>IF(Pricing!AE44="Quoted",,IF(Pricing!AC46&lt;&gt;"No",ROUND((CONVERT(Pricing!M44,"mm","m")*Pricing!AC46)*$F$14,0.2),))</f>
        <v>0</v>
      </c>
      <c r="AC45" s="273" t="s">
        <v>25</v>
      </c>
      <c r="AD45" s="4">
        <f>COUNTIFS('Survey Front'!$S$12:$AC$12,$AC45)*2</f>
        <v>8</v>
      </c>
      <c r="AE45" s="4">
        <f>COUNTIFS('Survey Front'!$S$15:$AC$15,$AC45)*2</f>
        <v>0</v>
      </c>
      <c r="AF45" s="4">
        <f>COUNTIFS('Survey Front'!$S$18:$AC$18,$AC45)*2</f>
        <v>0</v>
      </c>
      <c r="AG45" s="4">
        <f>COUNTIFS('Survey Front'!$S$21:$AC$21,$AC45)*2</f>
        <v>0</v>
      </c>
      <c r="AH45" s="4">
        <f>COUNTIFS('Survey Front'!$S$24:$AC$24,$AC45)*2</f>
        <v>0</v>
      </c>
      <c r="AI45" s="4">
        <f>COUNTIFS('Survey Front'!$S$27:$AC$27,$AC45)*2</f>
        <v>0</v>
      </c>
      <c r="AJ45" s="4">
        <f>COUNTIFS('Survey Front'!$S$30:$AC$30,$AC45)*2</f>
        <v>0</v>
      </c>
      <c r="AK45" s="4">
        <f>COUNTIFS('Survey Front'!$S$33:$AC$33,$AC45)*2</f>
        <v>0</v>
      </c>
      <c r="AL45" s="4">
        <f>COUNTIFS('Survey Front'!$S$36:$AC$36,$AC45)*2</f>
        <v>0</v>
      </c>
      <c r="AM45" s="4">
        <f>COUNTIFS('Survey Front'!$S$39:$AC$39,$AC45)*2</f>
        <v>0</v>
      </c>
      <c r="AN45" s="4">
        <f>COUNTIFS('Survey Front'!$S$42:$AC$42,$AC45)*2</f>
        <v>0</v>
      </c>
      <c r="AO45" s="4">
        <f>COUNTIFS('Survey Front'!$S$45:$AC$45,$AC45)*2</f>
        <v>0</v>
      </c>
      <c r="AP45" s="4">
        <f>COUNTIFS('Survey Front'!$S$48:$AC$48,$AC45)*2</f>
        <v>0</v>
      </c>
      <c r="AQ45" s="4">
        <f>COUNTIFS('Survey Front'!$S$51:$AC$51,$AC45)*2</f>
        <v>0</v>
      </c>
      <c r="AR45" s="4">
        <f>COUNTIFS('Survey Front'!$S$54:$AC$54,$AC45)*2</f>
        <v>0</v>
      </c>
      <c r="AS45" s="273" t="s">
        <v>25</v>
      </c>
    </row>
    <row r="46" spans="2:48">
      <c r="G46" s="333" t="s">
        <v>123</v>
      </c>
      <c r="H46" s="334">
        <v>100</v>
      </c>
      <c r="I46" s="333" t="s">
        <v>502</v>
      </c>
      <c r="K46" t="s">
        <v>353</v>
      </c>
      <c r="L46" s="64">
        <f>IF(Pricing!AE47="Quoted",,IF(ISNUMBER(SEARCH("(CB)",AD35))=TRUE,1,0))</f>
        <v>0</v>
      </c>
      <c r="M46" s="4">
        <f t="shared" si="30"/>
        <v>0</v>
      </c>
      <c r="N46" s="65">
        <f>IF(Pricing!AE47="Quoted",,IF(Pricing!E47="",,Pricing!M47*Pricing!N47/1000000))</f>
        <v>0</v>
      </c>
      <c r="O46" s="62">
        <f>IF(Pricing!AE47="Quoted",,IF(AND(OR(Pricing!E47="Capri",Pricing!E47="Barbados"),OR(Pricing!J47 = "Silent",Pricing!J47 = "Split Tilt",Pricing!J47="Perfect-Tilt")),ROUND($C$9-($C$9*$F$36),0.2)*N46,IF(OR(Pricing!J47 = "Silent",Pricing!J47 = "Split Tilt",Pricing!J47="Perfect-Tilt"),ROUND($C$9-($C$9*$C$44),0.2)*N46,0)))</f>
        <v>0</v>
      </c>
      <c r="P46" s="62">
        <f>IF(Pricing!AE47="Quoted",,IF(Pricing!D47="Tracked",ROUND(C11+(F2*Q46),0.2),))</f>
        <v>0</v>
      </c>
      <c r="Q46" s="66">
        <f>IF(Pricing!AE47="Quoted",,IF(Pricing!D47="Tracked",CONVERT(Pricing!M47,"mm","m"),))</f>
        <v>0</v>
      </c>
      <c r="R46" s="62">
        <f>IF(T46=0,0,IF(Pricing!D47="S/Shade",$F$3*N46-IF(Pricing!E47=Matrix2!$G$36,$F$3*T46*$F$45,$F$3*T46*$C$45)))</f>
        <v>0</v>
      </c>
      <c r="T46" s="65">
        <f>IF(Pricing!AE47="Quoted",0,IF(Pricing!D47="S/Shade",Pricing!AD49,0))</f>
        <v>0</v>
      </c>
      <c r="U46" s="65">
        <f>IF(Pricing!AE47="Quoted",,IF(OR(Pricing!J47="Silent",Pricing!J47="Split Tilt",Pricing!J47="Perfect-Tilt",Pricing!J47="Hidden"),Pricing!M47*Pricing!N47/1000000,))</f>
        <v>0</v>
      </c>
      <c r="V46" s="55">
        <f>IF(Pricing!AE47="Quoted",,IF(AND(OR(Helper!D34=TRUE,Helper!K34=TRUE,Helper!J34=TRUE,Helper!M34=TRUE,Helper!L34=TRUE),Pricing!D47="Shape"),C16+(IF(AQ19&gt;2,(AQ19-2)*C17,0)),IF(AND(Pricing!D47="Shape",OR(Pricing!E47="Capri",Pricing!E47="Aruba"),Pricing!F48="Radius"),Matrix2!Y284,IF(AND(Pricing!D47="Shape",OR(Pricing!E47="Capri",Pricing!E47="Aruba"),Pricing!F48="Raked"),Y279,0))))</f>
        <v>0</v>
      </c>
      <c r="W46" s="55">
        <f>IF(Pricing!AE39="Quoted",0,IF(AD35="",0,IF(AND(OR(AD35="L",AD35="R",AD35="LR"),Pricing!D39="French Door Cutout"),ROUND(Matrix2!$F$4,0.2)*LEN(AD35),IF(AND(OR(AD35="LL",AD35="RR"),Pricing!D39="French Door Cutout"),Matrix2!F17))))</f>
        <v>0</v>
      </c>
      <c r="X46" s="55" t="b">
        <f>IF(Pricing!AE47="Quoted",,IF(OR(Pricing!F47="Custom Colour",ISNUMBER(SEARCH("Classic Black (S/Chg)",Pricing!F47)),ISNUMBER(SEARCH("Matte Black (S/Chg)",Pricing!F47))),1))</f>
        <v>0</v>
      </c>
      <c r="Y46" s="55">
        <f>IF(OR(Pricing!G49="Stainless Steel",Pricing!G49="Brushed Nickel Plated"),ROUND(Matrix2!$F$12*Matrix2!N46,0.2),IF(Pricing!G10="Hidden",ROUND(Y17*C14,0.2),0))</f>
        <v>0</v>
      </c>
      <c r="Z46" s="55">
        <f>IF(AND(N46&lt;1,N46&gt;0),ROUND(1*$C$19,0.2),ROUND(N46*$C$19,0.2))</f>
        <v>0</v>
      </c>
      <c r="AA46" s="55">
        <f>IF(Pricing!AE47="Quoted",,IF(Pricing!AC49&lt;&gt;"No",ROUND((CONVERT(Pricing!M47,"mm","m")*Pricing!AC49)*$F$14,0.2),))</f>
        <v>0</v>
      </c>
      <c r="AC46" s="274" t="s">
        <v>440</v>
      </c>
      <c r="AD46" s="4">
        <f>COUNTIFS('Survey Front'!$S$12:$AC$12,$AC46)*2</f>
        <v>0</v>
      </c>
      <c r="AE46" s="4">
        <f>COUNTIFS('Survey Front'!$S$15:$AC$15,$AC46)*2</f>
        <v>0</v>
      </c>
      <c r="AF46" s="4">
        <f>COUNTIFS('Survey Front'!$S$18:$AC$18,$AC46)*2</f>
        <v>0</v>
      </c>
      <c r="AG46" s="4">
        <f>COUNTIFS('Survey Front'!$S$21:$AC$21,$AC46)*2</f>
        <v>0</v>
      </c>
      <c r="AH46" s="4">
        <f>COUNTIFS('Survey Front'!$S$24:$AC$24,$AC46)*2</f>
        <v>0</v>
      </c>
      <c r="AI46" s="4">
        <f>COUNTIFS('Survey Front'!$S$27:$AC$27,$AC46)*2</f>
        <v>0</v>
      </c>
      <c r="AJ46" s="4">
        <f>COUNTIFS('Survey Front'!$S$30:$AC$30,$AC46)*2</f>
        <v>0</v>
      </c>
      <c r="AK46" s="4">
        <f>COUNTIFS('Survey Front'!$S$33:$AC$33,$AC46)*2</f>
        <v>0</v>
      </c>
      <c r="AL46" s="4">
        <f>COUNTIFS('Survey Front'!$S$36:$AC$36,$AC46)*2</f>
        <v>0</v>
      </c>
      <c r="AM46" s="4">
        <f>COUNTIFS('Survey Front'!$S$39:$AC$39,$AC46)*2</f>
        <v>0</v>
      </c>
      <c r="AN46" s="4">
        <f>COUNTIFS('Survey Front'!$S$42:$AC$42,$AC46)*2</f>
        <v>0</v>
      </c>
      <c r="AO46" s="4">
        <f>COUNTIFS('Survey Front'!$S$45:$AC$45,$AC46)*2</f>
        <v>0</v>
      </c>
      <c r="AP46" s="4">
        <f>COUNTIFS('Survey Front'!$S$48:$AC$48,$AC46)*2</f>
        <v>0</v>
      </c>
      <c r="AQ46" s="4">
        <f>COUNTIFS('Survey Front'!$S$51:$AC$51,$AC46)*2</f>
        <v>0</v>
      </c>
      <c r="AR46" s="4">
        <f>COUNTIFS('Survey Front'!$S$54:$AC$54,$AC46)*2</f>
        <v>0</v>
      </c>
      <c r="AS46" s="274" t="s">
        <v>440</v>
      </c>
      <c r="AT46" t="s">
        <v>354</v>
      </c>
    </row>
    <row r="47" spans="2:48">
      <c r="G47" s="333" t="s">
        <v>124</v>
      </c>
      <c r="H47" s="334">
        <v>165</v>
      </c>
      <c r="I47" s="333" t="s">
        <v>502</v>
      </c>
      <c r="K47" t="s">
        <v>354</v>
      </c>
      <c r="L47" s="64">
        <f>IF(Pricing!AE50="Quoted",,IF(ISNUMBER(SEARCH("(CB)",AD36))=TRUE,1,0))</f>
        <v>0</v>
      </c>
      <c r="M47" s="4">
        <f t="shared" si="30"/>
        <v>0</v>
      </c>
      <c r="N47" s="65">
        <f>IF(Pricing!AE50="Quoted",,IF(Pricing!E50="",,Pricing!M50*Pricing!N50/1000000))</f>
        <v>0</v>
      </c>
      <c r="O47" s="62">
        <f>IF(Pricing!AE50="Quoted",,IF(AND(OR(Pricing!E50="Capri",Pricing!E50="Barbados"),OR(Pricing!J50 = "Silent",Pricing!J50 = "Split Tilt",Pricing!J50="Perfect-Tilt")),ROUND($C$9-($C$9*$F$36),0.2)*N50,IF(OR(Pricing!J50 = "Silent",Pricing!J50 = "Split Tilt",Pricing!J50="Perfect-Tilt"),ROUND($C$9-($C$9*$C$44),0.2)*N47,0)))</f>
        <v>0</v>
      </c>
      <c r="P47" s="62">
        <f>IF(Pricing!AE50="Quoted",,IF(Pricing!D50="Tracked",ROUND(C11+(F2*Q47),0.2),))</f>
        <v>0</v>
      </c>
      <c r="Q47" s="66">
        <f>IF(Pricing!AE50="Quoted",,IF(Pricing!D50="Tracked",CONVERT(Pricing!M50,"mm","m"),))</f>
        <v>0</v>
      </c>
      <c r="R47" s="62">
        <f>IF(T47=0,0,IF(Pricing!D50="S/Shade",$F$3*N47-IF(Pricing!E50=Matrix2!$G$36,$F$3*T47*$F$45,$F$3*T47*$C$45)))</f>
        <v>0</v>
      </c>
      <c r="T47" s="65">
        <f>IF(Pricing!AE50="Quoted",0,IF(Pricing!D50="S/Shade",Pricing!AD52,0))</f>
        <v>0</v>
      </c>
      <c r="U47" s="65">
        <f>IF(Pricing!AE50="Quoted",,IF(OR(Pricing!J50="Silent",Pricing!J50="Split Tilt",Pricing!J50="Perfect-Tilt",Pricing!J50="Hidden"),Pricing!M50*Pricing!N50/1000000,))</f>
        <v>0</v>
      </c>
      <c r="V47" s="55">
        <f>IF(Pricing!AE50="Quoted",,IF(AND(OR(Helper!D35=TRUE,Helper!K35=TRUE,Helper!J35=TRUE,Helper!M35=TRUE,Helper!L35=TRUE),Pricing!D50="Shape"),C16+(IF(AR19&gt;2,(AR19-2)*C17,0)),IF(AND(Pricing!D50="Shape",OR(Pricing!E50="Capri",Pricing!E50="Aruba"),Pricing!F51="Radius"),Matrix2!Z284,IF(AND(Pricing!D50="Shape",OR(Pricing!E50="Capri",Pricing!E50="Aruba"),Pricing!F51="Raked"),Z279,0))))</f>
        <v>0</v>
      </c>
      <c r="W47" s="55">
        <f>IF(Pricing!AE40="Quoted",0,IF(AD36="",0,IF(AND(OR(AD36="L",AD36="R",AD36="LR"),Pricing!D40="French Door Cutout"),ROUND(Matrix2!$F$4,0.2)*LEN(AD36),IF(AND(OR(AD36="LL",AD36="RR"),Pricing!D40="French Door Cutout"),Matrix2!F18))))</f>
        <v>0</v>
      </c>
      <c r="X47" s="55" t="b">
        <f>IF(Pricing!AE50="Quoted",,IF(OR(Pricing!F50="Custom Colour",ISNUMBER(SEARCH("Classic Black (S/Chg)",Pricing!F50)),ISNUMBER(SEARCH("Matte Black (S/Chg)",Pricing!F50))),1))</f>
        <v>0</v>
      </c>
      <c r="Y47" s="55">
        <f>IF(OR(Pricing!G52="Stainless Steel",Pricing!G52="Brushed Nickel Plated"),ROUND(Matrix2!$F$12*Matrix2!N47,0.2),IF(Pricing!G10="Hidden",ROUND(Z17*C14,0.2),0))</f>
        <v>0</v>
      </c>
      <c r="Z47" s="55">
        <f>IF(AND(N47&lt;1,N47&gt;0),ROUND(1*$C$19,0.2),ROUND(N47*$C$19,0.2))</f>
        <v>0</v>
      </c>
      <c r="AA47" s="55">
        <f>IF(Pricing!AE50="Quoted",,IF(Pricing!AC52&lt;&gt;"No",ROUND((CONVERT(Pricing!M50,"mm","m")*Pricing!AC52)*$F$14,0.2),))</f>
        <v>0</v>
      </c>
      <c r="AC47" s="273" t="s">
        <v>442</v>
      </c>
      <c r="AD47" s="4">
        <f>COUNTIFS('Survey Front'!$S$12:$AC$12,$AC47)*2</f>
        <v>0</v>
      </c>
      <c r="AE47" s="4">
        <f>COUNTIFS('Survey Front'!$S$15:$AC$15,$AC47)*2</f>
        <v>0</v>
      </c>
      <c r="AF47" s="4">
        <f>COUNTIFS('Survey Front'!$S$18:$AC$18,$AC47)*2</f>
        <v>0</v>
      </c>
      <c r="AG47" s="4">
        <f>COUNTIFS('Survey Front'!$S$21:$AC$21,$AC47)*2</f>
        <v>0</v>
      </c>
      <c r="AH47" s="4">
        <f>COUNTIFS('Survey Front'!$S$24:$AC$24,$AC47)*2</f>
        <v>0</v>
      </c>
      <c r="AI47" s="4">
        <f>COUNTIFS('Survey Front'!$S$27:$AC$27,$AC47)*2</f>
        <v>0</v>
      </c>
      <c r="AJ47" s="4">
        <f>COUNTIFS('Survey Front'!$S$30:$AC$30,$AC47)*2</f>
        <v>0</v>
      </c>
      <c r="AK47" s="4">
        <f>COUNTIFS('Survey Front'!$S$33:$AC$33,$AC47)*2</f>
        <v>0</v>
      </c>
      <c r="AL47" s="4">
        <f>COUNTIFS('Survey Front'!$S$36:$AC$36,$AC47)*2</f>
        <v>0</v>
      </c>
      <c r="AM47" s="4">
        <f>COUNTIFS('Survey Front'!$S$39:$AC$39,$AC47)*2</f>
        <v>0</v>
      </c>
      <c r="AN47" s="4">
        <f>COUNTIFS('Survey Front'!$S$42:$AC$42,$AC47)*2</f>
        <v>0</v>
      </c>
      <c r="AO47" s="4">
        <f>COUNTIFS('Survey Front'!$S$45:$AC$45,$AC47)*2</f>
        <v>0</v>
      </c>
      <c r="AP47" s="4">
        <f>COUNTIFS('Survey Front'!$S$48:$AC$48,$AC47)*2</f>
        <v>0</v>
      </c>
      <c r="AQ47" s="4">
        <f>COUNTIFS('Survey Front'!$S$51:$AC$51,$AC47)*2</f>
        <v>0</v>
      </c>
      <c r="AR47" s="4">
        <f>COUNTIFS('Survey Front'!$S$54:$AC$54,$AC47)*2</f>
        <v>0</v>
      </c>
      <c r="AS47" s="273" t="s">
        <v>442</v>
      </c>
    </row>
    <row r="48" spans="2:48">
      <c r="G48" s="333" t="s">
        <v>125</v>
      </c>
      <c r="H48" s="334">
        <v>190</v>
      </c>
      <c r="I48" s="333" t="s">
        <v>502</v>
      </c>
      <c r="X48" s="55">
        <f>SUM(X33:X47)</f>
        <v>0</v>
      </c>
      <c r="AC48" s="274" t="s">
        <v>455</v>
      </c>
      <c r="AD48" s="4">
        <f>COUNTIFS('Survey Front'!$S$12:$AC$12,$AC48)*2</f>
        <v>0</v>
      </c>
      <c r="AE48" s="4">
        <f>COUNTIFS('Survey Front'!$S$15:$AC$15,$AC48)*2</f>
        <v>0</v>
      </c>
      <c r="AF48" s="4">
        <f>COUNTIFS('Survey Front'!$S$18:$AC$18,$AC48)*2</f>
        <v>0</v>
      </c>
      <c r="AG48" s="4">
        <f>COUNTIFS('Survey Front'!$S$21:$AC$21,$AC48)*2</f>
        <v>0</v>
      </c>
      <c r="AH48" s="4">
        <f>COUNTIFS('Survey Front'!$S$24:$AC$24,$AC48)*2</f>
        <v>0</v>
      </c>
      <c r="AI48" s="4">
        <f>COUNTIFS('Survey Front'!$S$27:$AC$27,$AC48)*2</f>
        <v>0</v>
      </c>
      <c r="AJ48" s="4">
        <f>COUNTIFS('Survey Front'!$S$30:$AC$30,$AC48)*2</f>
        <v>0</v>
      </c>
      <c r="AK48" s="4">
        <f>COUNTIFS('Survey Front'!$S$33:$AC$33,$AC48)*2</f>
        <v>0</v>
      </c>
      <c r="AL48" s="4">
        <f>COUNTIFS('Survey Front'!$S$36:$AC$36,$AC48)*2</f>
        <v>0</v>
      </c>
      <c r="AM48" s="4">
        <f>COUNTIFS('Survey Front'!$S$39:$AC$39,$AC48)*2</f>
        <v>0</v>
      </c>
      <c r="AN48" s="4">
        <f>COUNTIFS('Survey Front'!$S$42:$AC$42,$AC48)*2</f>
        <v>0</v>
      </c>
      <c r="AO48" s="4">
        <f>COUNTIFS('Survey Front'!$S$45:$AC$45,$AC48)*2</f>
        <v>0</v>
      </c>
      <c r="AP48" s="4">
        <f>COUNTIFS('Survey Front'!$S$48:$AC$48,$AC48)*2</f>
        <v>0</v>
      </c>
      <c r="AQ48" s="4">
        <f>COUNTIFS('Survey Front'!$S$51:$AC$51,$AC48)*2</f>
        <v>0</v>
      </c>
      <c r="AR48" s="4">
        <f>COUNTIFS('Survey Front'!$S$54:$AC$54,$AC48)*2</f>
        <v>0</v>
      </c>
      <c r="AS48" s="274" t="s">
        <v>455</v>
      </c>
    </row>
    <row r="49" spans="7:45">
      <c r="G49" s="333" t="s">
        <v>121</v>
      </c>
      <c r="H49" s="334">
        <v>180</v>
      </c>
      <c r="I49" s="333" t="s">
        <v>536</v>
      </c>
      <c r="AC49" s="273" t="s">
        <v>459</v>
      </c>
      <c r="AD49" s="4">
        <f>COUNTIFS('Survey Front'!$S$12:$AC$12,$AC49)*2</f>
        <v>0</v>
      </c>
      <c r="AE49" s="4">
        <f>COUNTIFS('Survey Front'!$S$15:$AC$15,$AC49)*2</f>
        <v>0</v>
      </c>
      <c r="AF49" s="4">
        <f>COUNTIFS('Survey Front'!$S$18:$AC$18,$AC49)*2</f>
        <v>0</v>
      </c>
      <c r="AG49" s="4">
        <f>COUNTIFS('Survey Front'!$S$21:$AC$21,$AC49)*2</f>
        <v>0</v>
      </c>
      <c r="AH49" s="4">
        <f>COUNTIFS('Survey Front'!$S$24:$AC$24,$AC49)*2</f>
        <v>0</v>
      </c>
      <c r="AI49" s="4">
        <f>COUNTIFS('Survey Front'!$S$27:$AC$27,$AC49)*2</f>
        <v>0</v>
      </c>
      <c r="AJ49" s="4">
        <f>COUNTIFS('Survey Front'!$S$30:$AC$30,$AC49)*2</f>
        <v>0</v>
      </c>
      <c r="AK49" s="4">
        <f>COUNTIFS('Survey Front'!$S$33:$AC$33,$AC49)*2</f>
        <v>0</v>
      </c>
      <c r="AL49" s="4">
        <f>COUNTIFS('Survey Front'!$S$36:$AC$36,$AC49)*2</f>
        <v>0</v>
      </c>
      <c r="AM49" s="4">
        <f>COUNTIFS('Survey Front'!$S$39:$AC$39,$AC49)*2</f>
        <v>0</v>
      </c>
      <c r="AN49" s="4">
        <f>COUNTIFS('Survey Front'!$S$42:$AC$42,$AC49)*2</f>
        <v>0</v>
      </c>
      <c r="AO49" s="4">
        <f>COUNTIFS('Survey Front'!$S$45:$AC$45,$AC49)*2</f>
        <v>0</v>
      </c>
      <c r="AP49" s="4">
        <f>COUNTIFS('Survey Front'!$S$48:$AC$48,$AC49)*2</f>
        <v>0</v>
      </c>
      <c r="AQ49" s="4">
        <f>COUNTIFS('Survey Front'!$S$51:$AC$51,$AC49)*2</f>
        <v>0</v>
      </c>
      <c r="AR49" s="4">
        <f>COUNTIFS('Survey Front'!$S$54:$AC$54,$AC49)*2</f>
        <v>0</v>
      </c>
      <c r="AS49" s="273" t="s">
        <v>459</v>
      </c>
    </row>
    <row r="50" spans="7:45">
      <c r="G50" s="333" t="s">
        <v>92</v>
      </c>
      <c r="H50" s="334">
        <v>150</v>
      </c>
      <c r="I50" s="333" t="s">
        <v>536</v>
      </c>
      <c r="AB50" s="118" t="s">
        <v>462</v>
      </c>
      <c r="AC50" s="274" t="s">
        <v>463</v>
      </c>
      <c r="AD50" s="4">
        <f>COUNTIFS('Survey Front'!$S$12:$AC$12,$AC50)*2</f>
        <v>0</v>
      </c>
      <c r="AE50" s="4">
        <f>COUNTIFS('Survey Front'!$S$15:$AC$15,$AC50)*2</f>
        <v>0</v>
      </c>
      <c r="AF50" s="4">
        <f>COUNTIFS('Survey Front'!$S$18:$AC$18,$AC50)*2</f>
        <v>0</v>
      </c>
      <c r="AG50" s="4">
        <f>COUNTIFS('Survey Front'!$S$21:$AC$21,$AC50)*2</f>
        <v>0</v>
      </c>
      <c r="AH50" s="4">
        <f>COUNTIFS('Survey Front'!$S$24:$AC$24,$AC50)*2</f>
        <v>0</v>
      </c>
      <c r="AI50" s="4">
        <f>COUNTIFS('Survey Front'!$S$27:$AC$27,$AC50)*2</f>
        <v>0</v>
      </c>
      <c r="AJ50" s="4">
        <f>COUNTIFS('Survey Front'!$S$30:$AC$30,$AC50)*2</f>
        <v>0</v>
      </c>
      <c r="AK50" s="4">
        <f>COUNTIFS('Survey Front'!$S$33:$AC$33,$AC50)*2</f>
        <v>0</v>
      </c>
      <c r="AL50" s="4">
        <f>COUNTIFS('Survey Front'!$S$36:$AC$36,$AC50)*2</f>
        <v>0</v>
      </c>
      <c r="AM50" s="4">
        <f>COUNTIFS('Survey Front'!$S$39:$AC$39,$AC50)*2</f>
        <v>0</v>
      </c>
      <c r="AN50" s="4">
        <f>COUNTIFS('Survey Front'!$S$42:$AC$42,$AC50)*2</f>
        <v>0</v>
      </c>
      <c r="AO50" s="4">
        <f>COUNTIFS('Survey Front'!$S$45:$AC$45,$AC50)*2</f>
        <v>0</v>
      </c>
      <c r="AP50" s="4">
        <f>COUNTIFS('Survey Front'!$S$48:$AC$48,$AC50)*2</f>
        <v>0</v>
      </c>
      <c r="AQ50" s="4">
        <f>COUNTIFS('Survey Front'!$S$51:$AC$51,$AC50)*2</f>
        <v>0</v>
      </c>
      <c r="AR50" s="4">
        <f>COUNTIFS('Survey Front'!$S$54:$AC$54,$AC50)*2</f>
        <v>0</v>
      </c>
      <c r="AS50" s="274" t="s">
        <v>463</v>
      </c>
    </row>
    <row r="51" spans="7:45">
      <c r="AB51" s="55">
        <f>AA75*(1-5%)</f>
        <v>0</v>
      </c>
      <c r="AC51" s="273" t="s">
        <v>467</v>
      </c>
      <c r="AD51" s="4">
        <f>COUNTIFS('Survey Front'!$S$12:$AC$12,$AC51)*2</f>
        <v>0</v>
      </c>
      <c r="AE51" s="4">
        <f>COUNTIFS('Survey Front'!$S$15:$AC$15,$AC51)*2</f>
        <v>0</v>
      </c>
      <c r="AF51" s="4">
        <f>COUNTIFS('Survey Front'!$S$18:$AC$18,$AC51)*2</f>
        <v>0</v>
      </c>
      <c r="AG51" s="4">
        <f>COUNTIFS('Survey Front'!$S$21:$AC$21,$AC51)*2</f>
        <v>0</v>
      </c>
      <c r="AH51" s="4">
        <f>COUNTIFS('Survey Front'!$S$24:$AC$24,$AC51)*2</f>
        <v>0</v>
      </c>
      <c r="AI51" s="4">
        <f>COUNTIFS('Survey Front'!$S$27:$AC$27,$AC51)*2</f>
        <v>0</v>
      </c>
      <c r="AJ51" s="4">
        <f>COUNTIFS('Survey Front'!$S$30:$AC$30,$AC51)*2</f>
        <v>0</v>
      </c>
      <c r="AK51" s="4">
        <f>COUNTIFS('Survey Front'!$S$33:$AC$33,$AC51)*2</f>
        <v>0</v>
      </c>
      <c r="AL51" s="4">
        <f>COUNTIFS('Survey Front'!$S$36:$AC$36,$AC51)*2</f>
        <v>0</v>
      </c>
      <c r="AM51" s="4">
        <f>COUNTIFS('Survey Front'!$S$39:$AC$39,$AC51)*2</f>
        <v>0</v>
      </c>
      <c r="AN51" s="4">
        <f>COUNTIFS('Survey Front'!$S$42:$AC$42,$AC51)*2</f>
        <v>0</v>
      </c>
      <c r="AO51" s="4">
        <f>COUNTIFS('Survey Front'!$S$45:$AC$45,$AC51)*2</f>
        <v>0</v>
      </c>
      <c r="AP51" s="4">
        <f>COUNTIFS('Survey Front'!$S$48:$AC$48,$AC51)*2</f>
        <v>0</v>
      </c>
      <c r="AQ51" s="4">
        <f>COUNTIFS('Survey Front'!$S$51:$AC$51,$AC51)*2</f>
        <v>0</v>
      </c>
      <c r="AR51" s="4">
        <f>COUNTIFS('Survey Front'!$S$54:$AC$54,$AC51)*2</f>
        <v>0</v>
      </c>
      <c r="AS51" s="273" t="s">
        <v>467</v>
      </c>
    </row>
    <row r="52" spans="7:45">
      <c r="G52" s="333" t="s">
        <v>545</v>
      </c>
      <c r="AC52" s="274" t="s">
        <v>471</v>
      </c>
      <c r="AD52" s="4">
        <f>COUNTIFS('Survey Front'!$S$12:$AC$12,$AC52)*2</f>
        <v>0</v>
      </c>
      <c r="AE52" s="4">
        <f>COUNTIFS('Survey Front'!$S$15:$AC$15,$AC52)*2</f>
        <v>0</v>
      </c>
      <c r="AF52" s="4">
        <f>COUNTIFS('Survey Front'!$S$18:$AC$18,$AC52)*2</f>
        <v>0</v>
      </c>
      <c r="AG52" s="4">
        <f>COUNTIFS('Survey Front'!$S$21:$AC$21,$AC52)*2</f>
        <v>0</v>
      </c>
      <c r="AH52" s="4">
        <f>COUNTIFS('Survey Front'!$S$24:$AC$24,$AC52)*2</f>
        <v>0</v>
      </c>
      <c r="AI52" s="4">
        <f>COUNTIFS('Survey Front'!$S$27:$AC$27,$AC52)*2</f>
        <v>0</v>
      </c>
      <c r="AJ52" s="4">
        <f>COUNTIFS('Survey Front'!$S$30:$AC$30,$AC52)*2</f>
        <v>0</v>
      </c>
      <c r="AK52" s="4">
        <f>COUNTIFS('Survey Front'!$S$33:$AC$33,$AC52)*2</f>
        <v>0</v>
      </c>
      <c r="AL52" s="4">
        <f>COUNTIFS('Survey Front'!$S$36:$AC$36,$AC52)*2</f>
        <v>0</v>
      </c>
      <c r="AM52" s="4">
        <f>COUNTIFS('Survey Front'!$S$39:$AC$39,$AC52)*2</f>
        <v>0</v>
      </c>
      <c r="AN52" s="4">
        <f>COUNTIFS('Survey Front'!$S$42:$AC$42,$AC52)*2</f>
        <v>0</v>
      </c>
      <c r="AO52" s="4">
        <f>COUNTIFS('Survey Front'!$S$45:$AC$45,$AC52)*2</f>
        <v>0</v>
      </c>
      <c r="AP52" s="4">
        <f>COUNTIFS('Survey Front'!$S$48:$AC$48,$AC52)*2</f>
        <v>0</v>
      </c>
      <c r="AQ52" s="4">
        <f>COUNTIFS('Survey Front'!$S$51:$AC$51,$AC52)*2</f>
        <v>0</v>
      </c>
      <c r="AR52" s="4">
        <f>COUNTIFS('Survey Front'!$S$54:$AC$54,$AC52)*2</f>
        <v>0</v>
      </c>
      <c r="AS52" s="274" t="s">
        <v>471</v>
      </c>
    </row>
    <row r="53" spans="7:45">
      <c r="G53" s="333" t="s">
        <v>91</v>
      </c>
      <c r="AC53" s="273" t="s">
        <v>474</v>
      </c>
      <c r="AD53" s="4">
        <f>COUNTIFS('Survey Front'!$S$12:$AC$12,$AC53)*2</f>
        <v>0</v>
      </c>
      <c r="AE53" s="4">
        <f>COUNTIFS('Survey Front'!$S$15:$AC$15,$AC53)*2</f>
        <v>0</v>
      </c>
      <c r="AF53" s="4">
        <f>COUNTIFS('Survey Front'!$S$18:$AC$18,$AC53)*2</f>
        <v>0</v>
      </c>
      <c r="AG53" s="4">
        <f>COUNTIFS('Survey Front'!$S$21:$AC$21,$AC53)*2</f>
        <v>0</v>
      </c>
      <c r="AH53" s="4">
        <f>COUNTIFS('Survey Front'!$S$24:$AC$24,$AC53)*2</f>
        <v>0</v>
      </c>
      <c r="AI53" s="4">
        <f>COUNTIFS('Survey Front'!$S$27:$AC$27,$AC53)*2</f>
        <v>0</v>
      </c>
      <c r="AJ53" s="4">
        <f>COUNTIFS('Survey Front'!$S$30:$AC$30,$AC53)*2</f>
        <v>0</v>
      </c>
      <c r="AK53" s="4">
        <f>COUNTIFS('Survey Front'!$S$33:$AC$33,$AC53)*2</f>
        <v>0</v>
      </c>
      <c r="AL53" s="4">
        <f>COUNTIFS('Survey Front'!$S$36:$AC$36,$AC53)*2</f>
        <v>0</v>
      </c>
      <c r="AM53" s="4">
        <f>COUNTIFS('Survey Front'!$S$39:$AC$39,$AC53)*2</f>
        <v>0</v>
      </c>
      <c r="AN53" s="4">
        <f>COUNTIFS('Survey Front'!$S$42:$AC$42,$AC53)*2</f>
        <v>0</v>
      </c>
      <c r="AO53" s="4">
        <f>COUNTIFS('Survey Front'!$S$45:$AC$45,$AC53)*2</f>
        <v>0</v>
      </c>
      <c r="AP53" s="4">
        <f>COUNTIFS('Survey Front'!$S$48:$AC$48,$AC53)*2</f>
        <v>0</v>
      </c>
      <c r="AQ53" s="4">
        <f>COUNTIFS('Survey Front'!$S$51:$AC$51,$AC53)*2</f>
        <v>0</v>
      </c>
      <c r="AR53" s="4">
        <f>COUNTIFS('Survey Front'!$S$54:$AC$54,$AC53)*2</f>
        <v>0</v>
      </c>
      <c r="AS53" s="273" t="s">
        <v>474</v>
      </c>
    </row>
    <row r="54" spans="7:45">
      <c r="G54" s="333" t="s">
        <v>92</v>
      </c>
      <c r="AC54" s="274" t="s">
        <v>478</v>
      </c>
      <c r="AD54" s="4">
        <f>COUNTIFS('Survey Front'!$S$12:$AC$12,$AC54)*2</f>
        <v>0</v>
      </c>
      <c r="AE54" s="4">
        <f>COUNTIFS('Survey Front'!$S$15:$AC$15,$AC54)*2</f>
        <v>0</v>
      </c>
      <c r="AF54" s="4">
        <f>COUNTIFS('Survey Front'!$S$18:$AC$18,$AC54)*2</f>
        <v>0</v>
      </c>
      <c r="AG54" s="4">
        <f>COUNTIFS('Survey Front'!$S$21:$AC$21,$AC54)*2</f>
        <v>0</v>
      </c>
      <c r="AH54" s="4">
        <f>COUNTIFS('Survey Front'!$S$24:$AC$24,$AC54)*2</f>
        <v>0</v>
      </c>
      <c r="AI54" s="4">
        <f>COUNTIFS('Survey Front'!$S$27:$AC$27,$AC54)*2</f>
        <v>0</v>
      </c>
      <c r="AJ54" s="4">
        <f>COUNTIFS('Survey Front'!$S$30:$AC$30,$AC54)*2</f>
        <v>0</v>
      </c>
      <c r="AK54" s="4">
        <f>COUNTIFS('Survey Front'!$S$33:$AC$33,$AC54)*2</f>
        <v>0</v>
      </c>
      <c r="AL54" s="4">
        <f>COUNTIFS('Survey Front'!$S$36:$AC$36,$AC54)*2</f>
        <v>0</v>
      </c>
      <c r="AM54" s="4">
        <f>COUNTIFS('Survey Front'!$S$39:$AC$39,$AC54)*2</f>
        <v>0</v>
      </c>
      <c r="AN54" s="4">
        <f>COUNTIFS('Survey Front'!$S$42:$AC$42,$AC54)*2</f>
        <v>0</v>
      </c>
      <c r="AO54" s="4">
        <f>COUNTIFS('Survey Front'!$S$45:$AC$45,$AC54)*2</f>
        <v>0</v>
      </c>
      <c r="AP54" s="4">
        <f>COUNTIFS('Survey Front'!$S$48:$AC$48,$AC54)*2</f>
        <v>0</v>
      </c>
      <c r="AQ54" s="4">
        <f>COUNTIFS('Survey Front'!$S$51:$AC$51,$AC54)*2</f>
        <v>0</v>
      </c>
      <c r="AR54" s="4">
        <f>COUNTIFS('Survey Front'!$S$54:$AC$54,$AC54)*2</f>
        <v>0</v>
      </c>
      <c r="AS54" s="274" t="s">
        <v>478</v>
      </c>
    </row>
    <row r="55" spans="7:45">
      <c r="G55" s="333" t="s">
        <v>18</v>
      </c>
      <c r="K55" s="1534" t="s">
        <v>546</v>
      </c>
      <c r="L55" s="1535"/>
      <c r="M55" s="1535"/>
      <c r="N55" s="1535"/>
      <c r="O55" s="1535"/>
      <c r="P55" s="1535"/>
      <c r="Q55" s="1535"/>
      <c r="R55" s="1535"/>
      <c r="S55" s="1535"/>
      <c r="T55" s="1535"/>
      <c r="U55" s="1535"/>
      <c r="V55" s="1535"/>
      <c r="W55" s="1535"/>
      <c r="X55" s="1535"/>
      <c r="Y55" s="1535"/>
      <c r="Z55" s="1535"/>
      <c r="AC55" s="273" t="s">
        <v>481</v>
      </c>
      <c r="AD55" s="4">
        <f>COUNTIFS('Survey Front'!$S$12:$AC$12,$AC55)*2</f>
        <v>0</v>
      </c>
      <c r="AE55" s="4">
        <f>COUNTIFS('Survey Front'!$S$15:$AC$15,$AC55)*2</f>
        <v>0</v>
      </c>
      <c r="AF55" s="4">
        <f>COUNTIFS('Survey Front'!$S$18:$AC$18,$AC55)*2</f>
        <v>0</v>
      </c>
      <c r="AG55" s="4">
        <f>COUNTIFS('Survey Front'!$S$21:$AC$21,$AC55)*2</f>
        <v>0</v>
      </c>
      <c r="AH55" s="4">
        <f>COUNTIFS('Survey Front'!$S$24:$AC$24,$AC55)*2</f>
        <v>0</v>
      </c>
      <c r="AI55" s="4">
        <f>COUNTIFS('Survey Front'!$S$27:$AC$27,$AC55)*2</f>
        <v>0</v>
      </c>
      <c r="AJ55" s="4">
        <f>COUNTIFS('Survey Front'!$S$30:$AC$30,$AC55)*2</f>
        <v>0</v>
      </c>
      <c r="AK55" s="4">
        <f>COUNTIFS('Survey Front'!$S$33:$AC$33,$AC55)*2</f>
        <v>0</v>
      </c>
      <c r="AL55" s="4">
        <f>COUNTIFS('Survey Front'!$S$36:$AC$36,$AC55)*2</f>
        <v>0</v>
      </c>
      <c r="AM55" s="4">
        <f>COUNTIFS('Survey Front'!$S$39:$AC$39,$AC55)*2</f>
        <v>0</v>
      </c>
      <c r="AN55" s="4">
        <f>COUNTIFS('Survey Front'!$S$42:$AC$42,$AC55)*2</f>
        <v>0</v>
      </c>
      <c r="AO55" s="4">
        <f>COUNTIFS('Survey Front'!$S$45:$AC$45,$AC55)*2</f>
        <v>0</v>
      </c>
      <c r="AP55" s="4">
        <f>COUNTIFS('Survey Front'!$S$48:$AC$48,$AC55)*2</f>
        <v>0</v>
      </c>
      <c r="AQ55" s="4">
        <f>COUNTIFS('Survey Front'!$S$51:$AC$51,$AC55)*2</f>
        <v>0</v>
      </c>
      <c r="AR55" s="4">
        <f>COUNTIFS('Survey Front'!$S$54:$AC$54,$AC55)*2</f>
        <v>0</v>
      </c>
      <c r="AS55" s="273" t="s">
        <v>481</v>
      </c>
    </row>
    <row r="56" spans="7:45">
      <c r="G56" s="333" t="s">
        <v>118</v>
      </c>
      <c r="K56" s="27"/>
      <c r="L56" s="56" t="s">
        <v>331</v>
      </c>
      <c r="M56" s="56" t="s">
        <v>334</v>
      </c>
      <c r="N56" s="56" t="s">
        <v>336</v>
      </c>
      <c r="O56" s="56" t="s">
        <v>338</v>
      </c>
      <c r="P56" s="56" t="s">
        <v>339</v>
      </c>
      <c r="Q56" s="56" t="s">
        <v>341</v>
      </c>
      <c r="R56" s="56" t="s">
        <v>342</v>
      </c>
      <c r="S56" s="56" t="s">
        <v>343</v>
      </c>
      <c r="T56" s="56" t="s">
        <v>344</v>
      </c>
      <c r="U56" s="56" t="s">
        <v>346</v>
      </c>
      <c r="V56" s="56" t="s">
        <v>348</v>
      </c>
      <c r="W56" s="56" t="s">
        <v>350</v>
      </c>
      <c r="X56" s="56" t="s">
        <v>351</v>
      </c>
      <c r="Y56" s="56" t="s">
        <v>353</v>
      </c>
      <c r="Z56" s="56" t="s">
        <v>354</v>
      </c>
      <c r="AC56" s="274" t="s">
        <v>483</v>
      </c>
      <c r="AD56" s="4">
        <f>COUNTIFS('Survey Front'!$S$12:$AC$12,$AC56)*2</f>
        <v>0</v>
      </c>
      <c r="AE56" s="4">
        <f>COUNTIFS('Survey Front'!$S$15:$AC$15,$AC56)*2</f>
        <v>0</v>
      </c>
      <c r="AF56" s="4">
        <f>COUNTIFS('Survey Front'!$S$18:$AC$18,$AC56)*2</f>
        <v>0</v>
      </c>
      <c r="AG56" s="4">
        <f>COUNTIFS('Survey Front'!$S$21:$AC$21,$AC56)*2</f>
        <v>0</v>
      </c>
      <c r="AH56" s="4">
        <f>COUNTIFS('Survey Front'!$S$24:$AC$24,$AC56)*2</f>
        <v>0</v>
      </c>
      <c r="AI56" s="4">
        <f>COUNTIFS('Survey Front'!$S$27:$AC$27,$AC56)*2</f>
        <v>0</v>
      </c>
      <c r="AJ56" s="4">
        <f>COUNTIFS('Survey Front'!$S$30:$AC$30,$AC56)*2</f>
        <v>0</v>
      </c>
      <c r="AK56" s="4">
        <f>COUNTIFS('Survey Front'!$S$33:$AC$33,$AC56)*2</f>
        <v>0</v>
      </c>
      <c r="AL56" s="4">
        <f>COUNTIFS('Survey Front'!$S$36:$AC$36,$AC56)*2</f>
        <v>0</v>
      </c>
      <c r="AM56" s="4">
        <f>COUNTIFS('Survey Front'!$S$39:$AC$39,$AC56)*2</f>
        <v>0</v>
      </c>
      <c r="AN56" s="4">
        <f>COUNTIFS('Survey Front'!$S$42:$AC$42,$AC56)*2</f>
        <v>0</v>
      </c>
      <c r="AO56" s="4">
        <f>COUNTIFS('Survey Front'!$S$45:$AC$45,$AC56)*2</f>
        <v>0</v>
      </c>
      <c r="AP56" s="4">
        <f>COUNTIFS('Survey Front'!$S$48:$AC$48,$AC56)*2</f>
        <v>0</v>
      </c>
      <c r="AQ56" s="4">
        <f>COUNTIFS('Survey Front'!$S$51:$AC$51,$AC56)*2</f>
        <v>0</v>
      </c>
      <c r="AR56" s="4">
        <f>COUNTIFS('Survey Front'!$S$54:$AC$54,$AC56)*2</f>
        <v>0</v>
      </c>
      <c r="AS56" s="274" t="s">
        <v>483</v>
      </c>
    </row>
    <row r="57" spans="7:45">
      <c r="G57" s="333" t="s">
        <v>63</v>
      </c>
      <c r="K57" s="58" t="s">
        <v>63</v>
      </c>
      <c r="L57" s="59">
        <f>((VLOOKUP($K$57,$G$26:$H$36,2,0)*$N$92))+$AA$92+$W$92+$L$261</f>
        <v>0</v>
      </c>
      <c r="M57" s="59">
        <f>((VLOOKUP($K$57,$G$26:$H$36,2,0)*$N$93))+$AA$93+$W$93+$M$261</f>
        <v>0</v>
      </c>
      <c r="N57" s="59">
        <f>((VLOOKUP($K$57,$G$26:$H$36,2,0)*$N$94))+$AA$94+$W$94+$N$261</f>
        <v>0</v>
      </c>
      <c r="O57" s="59">
        <f>((VLOOKUP($K$57,$G$26:$H$36,2,0)*$N$95))+$AA$95+$W$95+$O$261</f>
        <v>0</v>
      </c>
      <c r="P57" s="59">
        <f>((VLOOKUP($K$57,$G$26:$H$36,2,0)*$N$96))+$AA$96+$W$96+$P$261</f>
        <v>0</v>
      </c>
      <c r="Q57" s="59">
        <f>((VLOOKUP($K$57,$G$26:$H$36,2,0)*$N$97))+$AA$97+$W$97+$Q$261</f>
        <v>0</v>
      </c>
      <c r="R57" s="59">
        <f>((VLOOKUP($K$57,$G$26:$H$36,2,0)*$N$98))+$AA$98+$W$98+$R$261</f>
        <v>0</v>
      </c>
      <c r="S57" s="59">
        <f>((VLOOKUP($K$57,$G$26:$H$36,2,0)*$N$99))+$AA$99+$W$99+$S$261</f>
        <v>0</v>
      </c>
      <c r="T57" s="59">
        <f>((VLOOKUP($K$57,$G$26:$H$36,2,0)*$N$100))+$AA$100+$W$100+$T$261</f>
        <v>0</v>
      </c>
      <c r="U57" s="59">
        <f>((VLOOKUP($K$57,$G$26:$H$36,2,0)*$N$101))+$AA$101+$W$101+$U$261</f>
        <v>0</v>
      </c>
      <c r="V57" s="59">
        <f>((VLOOKUP($K$57,$G$26:$H$36,2,0)*$N$102))+$AA$102+$W$102+$V$261</f>
        <v>0</v>
      </c>
      <c r="W57" s="59">
        <f>((VLOOKUP($K$57,$G$26:$H$36,2,0)*$N$103))+$AA$103+$W$103+$W$261</f>
        <v>0</v>
      </c>
      <c r="X57" s="59">
        <f>((VLOOKUP($K$57,$G$26:$H$36,2,0)*$N$104))+$AA$104+$W$104+$X$261</f>
        <v>0</v>
      </c>
      <c r="Y57" s="59">
        <f>((VLOOKUP($K$57,$G$26:$H$36,2,0)*$N$105))+$AA$105+$W$105+$Y$261</f>
        <v>0</v>
      </c>
      <c r="Z57" s="59">
        <f>((VLOOKUP($K$57,$G$26:$H$36,2,0)*$N$106))+$AA$106+$W$106+$Z$261</f>
        <v>0</v>
      </c>
      <c r="AA57" s="55">
        <f t="shared" ref="AA57:AA62" si="31">SUM(L57:Z57)</f>
        <v>0</v>
      </c>
      <c r="AC57" s="273" t="s">
        <v>547</v>
      </c>
      <c r="AD57" s="4">
        <f>COUNTIFS('Survey Front'!$S$12:$AC$12,$AC57)*2</f>
        <v>0</v>
      </c>
      <c r="AE57" s="4">
        <f>COUNTIFS('Survey Front'!$S$15:$AC$15,$AC57)*2</f>
        <v>0</v>
      </c>
      <c r="AF57" s="4">
        <f>COUNTIFS('Survey Front'!$S$18:$AC$18,$AC57)*2</f>
        <v>0</v>
      </c>
      <c r="AG57" s="4">
        <f>COUNTIFS('Survey Front'!$S$21:$AC$21,$AC57)*2</f>
        <v>0</v>
      </c>
      <c r="AH57" s="4">
        <f>COUNTIFS('Survey Front'!$S$24:$AC$24,$AC57)*2</f>
        <v>0</v>
      </c>
      <c r="AI57" s="4">
        <f>COUNTIFS('Survey Front'!$S$27:$AC$27,$AC57)*2</f>
        <v>0</v>
      </c>
      <c r="AJ57" s="4">
        <f>COUNTIFS('Survey Front'!$S$30:$AC$30,$AC57)*2</f>
        <v>0</v>
      </c>
      <c r="AK57" s="4">
        <f>COUNTIFS('Survey Front'!$S$33:$AC$33,$AC57)*2</f>
        <v>0</v>
      </c>
      <c r="AL57" s="4">
        <f>COUNTIFS('Survey Front'!$S$36:$AC$36,$AC57)*2</f>
        <v>0</v>
      </c>
      <c r="AM57" s="4">
        <f>COUNTIFS('Survey Front'!$S$39:$AC$39,$AC57)*2</f>
        <v>0</v>
      </c>
      <c r="AN57" s="4">
        <f>COUNTIFS('Survey Front'!$S$42:$AC$42,$AC57)*2</f>
        <v>0</v>
      </c>
      <c r="AO57" s="4">
        <f>COUNTIFS('Survey Front'!$S$45:$AC$45,$AC57)*2</f>
        <v>0</v>
      </c>
      <c r="AP57" s="4">
        <f>COUNTIFS('Survey Front'!$S$48:$AC$48,$AC57)*2</f>
        <v>0</v>
      </c>
      <c r="AQ57" s="4">
        <f>COUNTIFS('Survey Front'!$S$51:$AC$51,$AC57)*2</f>
        <v>0</v>
      </c>
      <c r="AR57" s="4">
        <f>COUNTIFS('Survey Front'!$S$54:$AC$54,$AC57)*2</f>
        <v>0</v>
      </c>
      <c r="AS57" s="273" t="s">
        <v>547</v>
      </c>
    </row>
    <row r="58" spans="7:45">
      <c r="G58" s="333" t="s">
        <v>119</v>
      </c>
      <c r="K58" s="58" t="s">
        <v>18</v>
      </c>
      <c r="L58" s="59">
        <f>((VLOOKUP($K$58,$G$26:$H$36,2,0)*$N$92))+$AA$92+$W$92+$L$57</f>
        <v>0</v>
      </c>
      <c r="M58" s="59">
        <f>((VLOOKUP($K$58,$G$26:$H$36,2,0)*$N$93))+$AA$93+$W$93+$M$57</f>
        <v>0</v>
      </c>
      <c r="N58" s="59">
        <f>((VLOOKUP($K$58,$G$26:$H$36,2,0)*$N$94))+$AA$94+$W$94+$N$57</f>
        <v>0</v>
      </c>
      <c r="O58" s="59">
        <f>((VLOOKUP($K$58,$G$26:$H$36,2,0)*$N$95))+$AA$95+$W$95+$O$57</f>
        <v>0</v>
      </c>
      <c r="P58" s="59">
        <f>((VLOOKUP($K$58,$G$26:$H$36,2,0)*$N$96))+$AA$96+$W$96+$P$57</f>
        <v>0</v>
      </c>
      <c r="Q58" s="59">
        <f>((VLOOKUP($K$58,$G$26:$H$36,2,0)*$N$97))+$AA$97+$W$97+$Q$57</f>
        <v>0</v>
      </c>
      <c r="R58" s="59">
        <f>((VLOOKUP($K$58,$G$26:$H$36,2,0)*$N$98))+$AA$98+$W$98+$R$57</f>
        <v>0</v>
      </c>
      <c r="S58" s="59">
        <f>((VLOOKUP($K$58,$G$26:$H$36,2,0)*$N$99))+$AA$99+$W$99+$S$57</f>
        <v>0</v>
      </c>
      <c r="T58" s="59">
        <f>((VLOOKUP($K$58,$G$26:$H$36,2,0)*$N$100))+$AA$100+$W$100+$T$57</f>
        <v>0</v>
      </c>
      <c r="U58" s="59">
        <f>((VLOOKUP($K$58,$G$26:$H$36,2,0)*$N$101))+$AA$101+$W$101+$U$57</f>
        <v>0</v>
      </c>
      <c r="V58" s="59">
        <f>((VLOOKUP($K$58,$G$26:$H$36,2,0)*$N$102))+$AA$102+$W$102+$V$57</f>
        <v>0</v>
      </c>
      <c r="W58" s="59">
        <f>((VLOOKUP($K$58,$G$26:$H$36,2,0)*$N$103))+$AA$103+$W$103+$W$57</f>
        <v>0</v>
      </c>
      <c r="X58" s="59">
        <f>((VLOOKUP($K$58,$G$26:$H$36,2,0)*$N$104))+$AA$104+$W$104+$X$57</f>
        <v>0</v>
      </c>
      <c r="Y58" s="59">
        <f>((VLOOKUP($K$58,$G$26:$H$36,2,0)*$N$105))+$AA$105+$W$105+$Y$57</f>
        <v>0</v>
      </c>
      <c r="Z58" s="59">
        <f>((VLOOKUP($K$58,$G$26:$H$36,2,0)*$N$106))+$AA$106+$W$106+$Z$57</f>
        <v>0</v>
      </c>
      <c r="AA58" s="55">
        <f t="shared" si="31"/>
        <v>0</v>
      </c>
      <c r="AC58" s="274" t="s">
        <v>548</v>
      </c>
      <c r="AD58" s="4">
        <f>COUNTIFS('Survey Front'!$S$12:$AC$12,$AC58)*2</f>
        <v>0</v>
      </c>
      <c r="AE58" s="4">
        <f>COUNTIFS('Survey Front'!$S$15:$AC$15,$AC58)*2</f>
        <v>0</v>
      </c>
      <c r="AF58" s="4">
        <f>COUNTIFS('Survey Front'!$S$18:$AC$18,$AC58)*2</f>
        <v>0</v>
      </c>
      <c r="AG58" s="4">
        <f>COUNTIFS('Survey Front'!$S$21:$AC$21,$AC58)*2</f>
        <v>0</v>
      </c>
      <c r="AH58" s="4">
        <f>COUNTIFS('Survey Front'!$S$24:$AC$24,$AC58)*2</f>
        <v>0</v>
      </c>
      <c r="AI58" s="4">
        <f>COUNTIFS('Survey Front'!$S$27:$AC$27,$AC58)*2</f>
        <v>0</v>
      </c>
      <c r="AJ58" s="4">
        <f>COUNTIFS('Survey Front'!$S$30:$AC$30,$AC58)*2</f>
        <v>0</v>
      </c>
      <c r="AK58" s="4">
        <f>COUNTIFS('Survey Front'!$S$33:$AC$33,$AC58)*2</f>
        <v>0</v>
      </c>
      <c r="AL58" s="4">
        <f>COUNTIFS('Survey Front'!$S$36:$AC$36,$AC58)*2</f>
        <v>0</v>
      </c>
      <c r="AM58" s="4">
        <f>COUNTIFS('Survey Front'!$S$39:$AC$39,$AC58)*2</f>
        <v>0</v>
      </c>
      <c r="AN58" s="4">
        <f>COUNTIFS('Survey Front'!$S$42:$AC$42,$AC58)*2</f>
        <v>0</v>
      </c>
      <c r="AO58" s="4">
        <f>COUNTIFS('Survey Front'!$S$45:$AC$45,$AC58)*2</f>
        <v>0</v>
      </c>
      <c r="AP58" s="4">
        <f>COUNTIFS('Survey Front'!$S$48:$AC$48,$AC58)*2</f>
        <v>0</v>
      </c>
      <c r="AQ58" s="4">
        <f>COUNTIFS('Survey Front'!$S$51:$AC$51,$AC58)*2</f>
        <v>0</v>
      </c>
      <c r="AR58" s="4">
        <f>COUNTIFS('Survey Front'!$S$54:$AC$54,$AC58)*2</f>
        <v>0</v>
      </c>
      <c r="AS58" s="274" t="s">
        <v>548</v>
      </c>
    </row>
    <row r="59" spans="7:45">
      <c r="G59" s="333" t="s">
        <v>122</v>
      </c>
      <c r="K59" s="58" t="str">
        <f t="shared" ref="K59:K67" si="32">G28</f>
        <v>Aruba Express</v>
      </c>
      <c r="L59" s="59">
        <f>((VLOOKUP($K$59,$G$26:$H$36,2,0)*$N$92))+$AA$92+$W$92+L$57</f>
        <v>0</v>
      </c>
      <c r="M59" s="59">
        <f>((VLOOKUP($K$59,$G$26:$H$36,2,0)*$N$93))+$AA$93+$W$93+M$57</f>
        <v>0</v>
      </c>
      <c r="N59" s="59">
        <f>((VLOOKUP($K$59,$G$26:$H$36,2,0)*$N$94))+$AA$94+$W$94+N$57</f>
        <v>0</v>
      </c>
      <c r="O59" s="59">
        <f>((VLOOKUP($K$59,$G$26:$H$36,2,0)*$N$95))+$AA$95+$W$95+O$57</f>
        <v>0</v>
      </c>
      <c r="P59" s="59">
        <f>((VLOOKUP($K$59,$G$26:$H$36,2,0)*$N$96))+$AA$96+$W$96+P$57</f>
        <v>0</v>
      </c>
      <c r="Q59" s="59">
        <f>((VLOOKUP($K$59,$G$26:$H$36,2,0)*$N$97))+$AA$97+$W$97+Q$57</f>
        <v>0</v>
      </c>
      <c r="R59" s="59">
        <f>((VLOOKUP($K$59,$G$26:$H$36,2,0)*$N$98))+$AA$98+$W$98+R$57</f>
        <v>0</v>
      </c>
      <c r="S59" s="59">
        <f>((VLOOKUP($K$59,$G$26:$H$36,2,0)*$N$99))+$AA$99+$W$99+S$57</f>
        <v>0</v>
      </c>
      <c r="T59" s="59">
        <f>((VLOOKUP($K$59,$G$26:$H$36,2,0)*$N$100))+$AA$100+$W$100+T$57</f>
        <v>0</v>
      </c>
      <c r="U59" s="59">
        <f>((VLOOKUP($K$59,$G$26:$H$36,2,0)*$N$101))+$AA$101+$W$101+U$57</f>
        <v>0</v>
      </c>
      <c r="V59" s="59">
        <f>((VLOOKUP($K$59,$G$26:$H$36,2,0)*$N$102))+$AA$102+$W$102+V$57</f>
        <v>0</v>
      </c>
      <c r="W59" s="59">
        <f>((VLOOKUP($K$59,$G$26:$H$36,2,0)*$N$103))+$AA$103+$W$103+W$57</f>
        <v>0</v>
      </c>
      <c r="X59" s="59">
        <f>((VLOOKUP($K$59,$G$26:$H$36,2,0)*$N$104))+$AA$104+$W$104+X$57</f>
        <v>0</v>
      </c>
      <c r="Y59" s="59">
        <f>((VLOOKUP($K$59,$G$26:$H$36,2,0)*$N$105))+$AA$105+$W$105+Y$57</f>
        <v>0</v>
      </c>
      <c r="Z59" s="59">
        <f>((VLOOKUP($K$59,$G$26:$H$36,2,0)*$N$106))+$AA$106+$W$106+Z$57</f>
        <v>0</v>
      </c>
      <c r="AA59" s="55">
        <f t="shared" si="31"/>
        <v>0</v>
      </c>
      <c r="AC59" s="273" t="s">
        <v>549</v>
      </c>
      <c r="AD59" s="4">
        <f>COUNTIFS('Survey Front'!$S$12:$AC$12,$AC59)*2</f>
        <v>0</v>
      </c>
      <c r="AE59" s="4">
        <f>COUNTIFS('Survey Front'!$S$15:$AC$15,$AC59)*2</f>
        <v>0</v>
      </c>
      <c r="AF59" s="4">
        <f>COUNTIFS('Survey Front'!$S$18:$AC$18,$AC59)*2</f>
        <v>0</v>
      </c>
      <c r="AG59" s="4">
        <f>COUNTIFS('Survey Front'!$S$21:$AC$21,$AC59)*2</f>
        <v>0</v>
      </c>
      <c r="AH59" s="4">
        <f>COUNTIFS('Survey Front'!$S$24:$AC$24,$AC59)*2</f>
        <v>0</v>
      </c>
      <c r="AI59" s="4">
        <f>COUNTIFS('Survey Front'!$S$27:$AC$27,$AC59)*2</f>
        <v>0</v>
      </c>
      <c r="AJ59" s="4">
        <f>COUNTIFS('Survey Front'!$S$30:$AC$30,$AC59)*2</f>
        <v>0</v>
      </c>
      <c r="AK59" s="4">
        <f>COUNTIFS('Survey Front'!$S$33:$AC$33,$AC59)*2</f>
        <v>0</v>
      </c>
      <c r="AL59" s="4">
        <f>COUNTIFS('Survey Front'!$S$36:$AC$36,$AC59)*2</f>
        <v>0</v>
      </c>
      <c r="AM59" s="4">
        <f>COUNTIFS('Survey Front'!$S$39:$AC$39,$AC59)*2</f>
        <v>0</v>
      </c>
      <c r="AN59" s="4">
        <f>COUNTIFS('Survey Front'!$S$42:$AC$42,$AC59)*2</f>
        <v>0</v>
      </c>
      <c r="AO59" s="4">
        <f>COUNTIFS('Survey Front'!$S$45:$AC$45,$AC59)*2</f>
        <v>0</v>
      </c>
      <c r="AP59" s="4">
        <f>COUNTIFS('Survey Front'!$S$48:$AC$48,$AC59)*2</f>
        <v>0</v>
      </c>
      <c r="AQ59" s="4">
        <f>COUNTIFS('Survey Front'!$S$51:$AC$51,$AC59)*2</f>
        <v>0</v>
      </c>
      <c r="AR59" s="4">
        <f>COUNTIFS('Survey Front'!$S$54:$AC$54,$AC59)*2</f>
        <v>0</v>
      </c>
      <c r="AS59" s="273" t="s">
        <v>549</v>
      </c>
    </row>
    <row r="60" spans="7:45">
      <c r="G60" s="333" t="s">
        <v>123</v>
      </c>
      <c r="K60" s="58" t="str">
        <f t="shared" si="32"/>
        <v>Antigua</v>
      </c>
      <c r="L60" s="59">
        <f>((VLOOKUP($K$60,$G$26:$H$36,2,0)*$N$92))+$AA$92+$W$92+L$57</f>
        <v>0</v>
      </c>
      <c r="M60" s="59">
        <f>((VLOOKUP($K$60,$G$26:$H$36,2,0)*$N$93))+$AA$93+$W$93+M$57</f>
        <v>0</v>
      </c>
      <c r="N60" s="59">
        <f>((VLOOKUP($K$60,$G$26:$H$36,2,0)*$N$94))+$AA$94+$W$94+N$57</f>
        <v>0</v>
      </c>
      <c r="O60" s="59">
        <f>((VLOOKUP($K$60,$G$26:$H$36,2,0)*$N$95))+$AA$95+$W$95+O$57</f>
        <v>0</v>
      </c>
      <c r="P60" s="59">
        <f>((VLOOKUP($K$60,$G$26:$H$36,2,0)*$N$96))+$AA$96+$W$96+P$57</f>
        <v>0</v>
      </c>
      <c r="Q60" s="59">
        <f>((VLOOKUP($K$60,$G$26:$H$36,2,0)*$N$97))+$AA$97+$W$97+Q$57</f>
        <v>0</v>
      </c>
      <c r="R60" s="59">
        <f>((VLOOKUP($K$60,$G$26:$H$36,2,0)*$N$98))+$AA$98+$W$98+R$57</f>
        <v>0</v>
      </c>
      <c r="S60" s="59">
        <f>((VLOOKUP($K$60,$G$26:$H$36,2,0)*$N$99))+$AA$99+$W$99+S$57</f>
        <v>0</v>
      </c>
      <c r="T60" s="59">
        <f>((VLOOKUP($K$60,$G$26:$H$36,2,0)*$N$100))+$AA$100+$W$100+T$57</f>
        <v>0</v>
      </c>
      <c r="U60" s="59">
        <f>((VLOOKUP($K$60,$G$26:$H$36,2,0)*$N$101))+$AA$101+$W$101+U$57</f>
        <v>0</v>
      </c>
      <c r="V60" s="59">
        <f>((VLOOKUP($K$60,$G$26:$H$36,2,0)*$N$102))+$AA$102+$W$102+V$57</f>
        <v>0</v>
      </c>
      <c r="W60" s="59">
        <f>((VLOOKUP($K$60,$G$26:$H$36,2,0)*$N$103))+$AA$103+$W$103+W$57</f>
        <v>0</v>
      </c>
      <c r="X60" s="59">
        <f>((VLOOKUP($K$60,$G$26:$H$36,2,0)*$N$104))+$AA$104+$W$104+X$57</f>
        <v>0</v>
      </c>
      <c r="Y60" s="59">
        <f>((VLOOKUP($K$60,$G$26:$H$36,2,0)*$N$105))+$AA$105+$W$105+Y$57</f>
        <v>0</v>
      </c>
      <c r="Z60" s="59">
        <f>((VLOOKUP($K$60,$G$26:$H$36,2,0)*$N$106))+$AA$106+$W$106+Z$57</f>
        <v>0</v>
      </c>
      <c r="AA60" s="55">
        <f t="shared" si="31"/>
        <v>0</v>
      </c>
      <c r="AC60" s="274" t="s">
        <v>550</v>
      </c>
      <c r="AD60" s="4">
        <f>COUNTIFS('Survey Front'!$S$12:$AC$12,$AC60)*2</f>
        <v>0</v>
      </c>
      <c r="AE60" s="4">
        <f>COUNTIFS('Survey Front'!$S$15:$AC$15,$AC60)*2</f>
        <v>0</v>
      </c>
      <c r="AF60" s="4">
        <f>COUNTIFS('Survey Front'!$S$18:$AC$18,$AC60)*2</f>
        <v>0</v>
      </c>
      <c r="AG60" s="4">
        <f>COUNTIFS('Survey Front'!$S$21:$AC$21,$AC60)*2</f>
        <v>0</v>
      </c>
      <c r="AH60" s="4">
        <f>COUNTIFS('Survey Front'!$S$24:$AC$24,$AC60)*2</f>
        <v>0</v>
      </c>
      <c r="AI60" s="4">
        <f>COUNTIFS('Survey Front'!$S$27:$AC$27,$AC60)*2</f>
        <v>0</v>
      </c>
      <c r="AJ60" s="4">
        <f>COUNTIFS('Survey Front'!$S$30:$AC$30,$AC60)*2</f>
        <v>0</v>
      </c>
      <c r="AK60" s="4">
        <f>COUNTIFS('Survey Front'!$S$33:$AC$33,$AC60)*2</f>
        <v>0</v>
      </c>
      <c r="AL60" s="4">
        <f>COUNTIFS('Survey Front'!$S$36:$AC$36,$AC60)*2</f>
        <v>0</v>
      </c>
      <c r="AM60" s="4">
        <f>COUNTIFS('Survey Front'!$S$39:$AC$39,$AC60)*2</f>
        <v>0</v>
      </c>
      <c r="AN60" s="4">
        <f>COUNTIFS('Survey Front'!$S$42:$AC$42,$AC60)*2</f>
        <v>0</v>
      </c>
      <c r="AO60" s="4">
        <f>COUNTIFS('Survey Front'!$S$45:$AC$45,$AC60)*2</f>
        <v>0</v>
      </c>
      <c r="AP60" s="4">
        <f>COUNTIFS('Survey Front'!$S$48:$AC$48,$AC60)*2</f>
        <v>0</v>
      </c>
      <c r="AQ60" s="4">
        <f>COUNTIFS('Survey Front'!$S$51:$AC$51,$AC60)*2</f>
        <v>0</v>
      </c>
      <c r="AR60" s="4">
        <f>COUNTIFS('Survey Front'!$S$54:$AC$54,$AC60)*2</f>
        <v>0</v>
      </c>
      <c r="AS60" s="274" t="s">
        <v>550</v>
      </c>
    </row>
    <row r="61" spans="7:45">
      <c r="G61" s="333" t="s">
        <v>124</v>
      </c>
      <c r="K61" s="58" t="str">
        <f t="shared" si="32"/>
        <v>Bermuda</v>
      </c>
      <c r="L61" s="59">
        <f>((VLOOKUP($K$61,$G$26:$H$36,2,0)*$N$92))+$AA$92+$W$92+L$57</f>
        <v>0</v>
      </c>
      <c r="M61" s="59">
        <f>((VLOOKUP($K$61,$G$26:$H$36,2,0)*$N$93))+$AA$93+$W$93+M$57</f>
        <v>0</v>
      </c>
      <c r="N61" s="59">
        <f>((VLOOKUP($K$61,$G$26:$H$36,2,0)*$N$94))+$AA$94+$W$94+N$57</f>
        <v>0</v>
      </c>
      <c r="O61" s="59">
        <f>((VLOOKUP($K$61,$G$26:$H$36,2,0)*$N$95))+$AA$95+$W$95+O$57</f>
        <v>0</v>
      </c>
      <c r="P61" s="59">
        <f>((VLOOKUP($K$61,$G$26:$H$36,2,0)*$N$96))+$AA$96+$W$96+P$57</f>
        <v>0</v>
      </c>
      <c r="Q61" s="59">
        <f>((VLOOKUP($K$61,$G$26:$H$36,2,0)*$N$97))+$AA$97+$W$97+Q$57</f>
        <v>0</v>
      </c>
      <c r="R61" s="59">
        <f>((VLOOKUP($K$61,$G$26:$H$36,2,0)*$N$98))+$AA$98+$W$98+R$57</f>
        <v>0</v>
      </c>
      <c r="S61" s="59">
        <f>((VLOOKUP($K$61,$G$26:$H$36,2,0)*$N$99))+$AA$99+$W$99+S$57</f>
        <v>0</v>
      </c>
      <c r="T61" s="59">
        <f>((VLOOKUP($K$61,$G$26:$H$36,2,0)*$N$100))+$AA$100+$W$100+T$57</f>
        <v>0</v>
      </c>
      <c r="U61" s="59">
        <f>((VLOOKUP($K$61,$G$26:$H$36,2,0)*$N$101))+$AA$101+$W$101+U$57</f>
        <v>0</v>
      </c>
      <c r="V61" s="59">
        <f>((VLOOKUP($K$61,$G$26:$H$36,2,0)*$N$102))+$AA$102+$W$102+V$57</f>
        <v>0</v>
      </c>
      <c r="W61" s="59">
        <f>((VLOOKUP($K$61,$G$26:$H$36,2,0)*$N$103))+$AA$103+$W$103+W$57</f>
        <v>0</v>
      </c>
      <c r="X61" s="59">
        <f>((VLOOKUP($K$61,$G$26:$H$36,2,0)*$N$104))+$AA$104+$W$104+X$57</f>
        <v>0</v>
      </c>
      <c r="Y61" s="59">
        <f>((VLOOKUP($K$61,$G$26:$H$36,2,0)*$N$105))+$AA$105+$W$105+Y$57</f>
        <v>0</v>
      </c>
      <c r="Z61" s="59">
        <f>((VLOOKUP($K$61,$G$26:$H$36,2,0)*$N$106))+$AA$106+$W$106+Z$57</f>
        <v>0</v>
      </c>
      <c r="AA61" s="55">
        <f t="shared" si="31"/>
        <v>0</v>
      </c>
      <c r="AC61" s="60" t="s">
        <v>79</v>
      </c>
      <c r="AD61" s="60">
        <f t="shared" ref="AD61:AR61" si="33">SUM(AD40:AD60)</f>
        <v>8</v>
      </c>
      <c r="AE61" s="60">
        <f t="shared" si="33"/>
        <v>1</v>
      </c>
      <c r="AF61" s="60">
        <f t="shared" si="33"/>
        <v>4</v>
      </c>
      <c r="AG61" s="60">
        <f t="shared" si="33"/>
        <v>3</v>
      </c>
      <c r="AH61" s="60">
        <f t="shared" si="33"/>
        <v>0</v>
      </c>
      <c r="AI61" s="60">
        <f t="shared" si="33"/>
        <v>0</v>
      </c>
      <c r="AJ61" s="60">
        <f t="shared" si="33"/>
        <v>0</v>
      </c>
      <c r="AK61" s="60">
        <f t="shared" si="33"/>
        <v>0</v>
      </c>
      <c r="AL61" s="60">
        <f t="shared" si="33"/>
        <v>0</v>
      </c>
      <c r="AM61" s="60">
        <f t="shared" si="33"/>
        <v>0</v>
      </c>
      <c r="AN61" s="60">
        <f t="shared" si="33"/>
        <v>0</v>
      </c>
      <c r="AO61" s="60">
        <f t="shared" si="33"/>
        <v>0</v>
      </c>
      <c r="AP61" s="60">
        <f t="shared" si="33"/>
        <v>0</v>
      </c>
      <c r="AQ61" s="60">
        <f t="shared" si="33"/>
        <v>0</v>
      </c>
      <c r="AR61" s="60">
        <f t="shared" si="33"/>
        <v>0</v>
      </c>
    </row>
    <row r="62" spans="7:45">
      <c r="G62" s="333" t="s">
        <v>125</v>
      </c>
      <c r="K62" s="58" t="str">
        <f t="shared" si="32"/>
        <v>Capri</v>
      </c>
      <c r="L62" s="59">
        <f>((VLOOKUP($K$62,$G$26:$H$36,2,0)*$N$92))+$AA$92+$W$92+$L$57</f>
        <v>0</v>
      </c>
      <c r="M62" s="59">
        <f>((VLOOKUP($K$62,$G$26:$H$36,2,0)*$N$93))+$AA$93+$W$93+M$57</f>
        <v>0</v>
      </c>
      <c r="N62" s="59">
        <f>((VLOOKUP($K$62,$G$26:$H$36,2,0)*$N$94))+$AA$94+$W$94+N$57</f>
        <v>0</v>
      </c>
      <c r="O62" s="59">
        <f>((VLOOKUP($K$62,$G$26:$H$36,2,0)*$N$95))+$AA$95+$W$95+O$57</f>
        <v>0</v>
      </c>
      <c r="P62" s="59">
        <f>((VLOOKUP($K$62,$G$26:$H$36,2,0)*$N$96))+$AA$96+$W$96+P$57</f>
        <v>0</v>
      </c>
      <c r="Q62" s="59">
        <f>((VLOOKUP($K$62,$G$26:$H$36,2,0)*$N$97))+$AA$97+$W$97+Q$57</f>
        <v>0</v>
      </c>
      <c r="R62" s="59">
        <f>((VLOOKUP($K$62,$G$26:$H$36,2,0)*$N$98))+$AA$98+$W$98+R$57</f>
        <v>0</v>
      </c>
      <c r="S62" s="59">
        <f>((VLOOKUP($K$62,$G$26:$H$36,2,0)*$N$99))+$AA$99+$W$99+S$57</f>
        <v>0</v>
      </c>
      <c r="T62" s="59">
        <f>((VLOOKUP($K$62,$G$26:$H$36,2,0)*$N$100))+$AA$100+$W$100+T$57</f>
        <v>0</v>
      </c>
      <c r="U62" s="59">
        <f>((VLOOKUP($K$62,$G$26:$H$36,2,0)*$N$101))+$AA$101+$W$101+U$57</f>
        <v>0</v>
      </c>
      <c r="V62" s="59">
        <f>((VLOOKUP($K$62,$G$26:$H$36,2,0)*$N$102))+$AA$102+$W$102+V$57</f>
        <v>0</v>
      </c>
      <c r="W62" s="59">
        <f>((VLOOKUP($K$62,$G$26:$H$36,2,0)*$N$103))+$AA$103+$W$103+W$57</f>
        <v>0</v>
      </c>
      <c r="X62" s="59">
        <f>((VLOOKUP($K$62,$G$26:$H$36,2,0)*$N$104))+$AA$104+$W$104+X$57</f>
        <v>0</v>
      </c>
      <c r="Y62" s="59">
        <f>((VLOOKUP($K$62,$G$26:$H$36,2,0)*$N$105))+$AA$105+$W$105+Y$57</f>
        <v>0</v>
      </c>
      <c r="Z62" s="59">
        <f>((VLOOKUP($K$62,$G$26:$H$36,2,0)*$N$106))+$AA$106+$W$106+Z$57</f>
        <v>0</v>
      </c>
      <c r="AA62" s="55">
        <f t="shared" si="31"/>
        <v>0</v>
      </c>
    </row>
    <row r="63" spans="7:45">
      <c r="G63" s="333" t="s">
        <v>121</v>
      </c>
      <c r="K63" s="58" t="str">
        <f t="shared" si="32"/>
        <v>Cuba</v>
      </c>
      <c r="L63" s="59">
        <f>((VLOOKUP($K$63,$G$26:$H$36,2,0)*$N$92))+$AA$92+$W$92+L$57</f>
        <v>0</v>
      </c>
      <c r="M63" s="59">
        <f>((VLOOKUP($K$63,$G$26:$H$36,2,0)*$N$93))+$AA$93+$W$93+M$57</f>
        <v>0</v>
      </c>
      <c r="N63" s="59">
        <f>((VLOOKUP($K$63,$G$26:$H$36,2,0)*$N$94))+$AA$94+$W$94+N$57</f>
        <v>0</v>
      </c>
      <c r="O63" s="59">
        <f>((VLOOKUP($K$63,$G$26:$H$36,2,0)*$N$95))+$AA$95+$W$95+O$57</f>
        <v>0</v>
      </c>
      <c r="P63" s="59">
        <f>((VLOOKUP($K$63,$G$26:$H$36,2,0)*$N$96))+$AA$96+$W$96+P$57</f>
        <v>0</v>
      </c>
      <c r="Q63" s="59">
        <f>((VLOOKUP($K$63,$G$26:$H$36,2,0)*$N$97))+$AA$97+$W$97+Q$57</f>
        <v>0</v>
      </c>
      <c r="R63" s="59">
        <f>((VLOOKUP($K$63,$G$26:$H$36,2,0)*$N$98))+$AA$98+$W$98+R$57</f>
        <v>0</v>
      </c>
      <c r="S63" s="59">
        <f>((VLOOKUP($K$63,$G$26:$H$36,2,0)*$N$99))+$AA$99+$W$99+S$57</f>
        <v>0</v>
      </c>
      <c r="T63" s="59">
        <f>((VLOOKUP($K$63,$G$26:$H$36,2,0)*$N$100))+$AA$100+$W$100+T$57</f>
        <v>0</v>
      </c>
      <c r="U63" s="59">
        <f>((VLOOKUP($K$63,$G$26:$H$36,2,0)*$N$101))+$AA$101+$W$101+U$57</f>
        <v>0</v>
      </c>
      <c r="V63" s="59">
        <f>((VLOOKUP($K$63,$G$26:$H$36,2,0)*$N$102))+$AA$102+$W$102+V$57</f>
        <v>0</v>
      </c>
      <c r="W63" s="59">
        <f>((VLOOKUP($K$63,$G$26:$H$36,2,0)*$N$103))+$AA$103+$W$103+W$57</f>
        <v>0</v>
      </c>
      <c r="X63" s="59">
        <f>((VLOOKUP($K$63,$G$26:$H$36,2,0)*$N$104))+$AA$104+$W$104+X$57</f>
        <v>0</v>
      </c>
      <c r="Y63" s="59">
        <f>((VLOOKUP($K$63,$G$26:$H$36,2,0)*$N$105))+$AA$105+$W$105+Y$57</f>
        <v>0</v>
      </c>
      <c r="Z63" s="59">
        <f>((VLOOKUP($K$63,$G$26:$H$36,2,0)*$N$106))+$AA$106+$W$106+Z$57</f>
        <v>0</v>
      </c>
      <c r="AA63" s="55">
        <f t="shared" ref="AA63:AA67" si="34">SUM(L63:Z63)</f>
        <v>0</v>
      </c>
    </row>
    <row r="64" spans="7:45">
      <c r="K64" s="58" t="str">
        <f t="shared" si="32"/>
        <v>Fiji</v>
      </c>
      <c r="L64" s="59">
        <f>((VLOOKUP($K$64,$G$26:$H$36,2,0)*$N$92))+$AA$92+$W$92+L$57</f>
        <v>0</v>
      </c>
      <c r="M64" s="59">
        <f>((VLOOKUP($K$64,$G$26:$H$36,2,0)*$N$93))+$AA$93+$W$93+M$57</f>
        <v>0</v>
      </c>
      <c r="N64" s="59">
        <f>((VLOOKUP($K$64,$G$26:$H$36,2,0)*$N$94))+$AA$94+$W$94+N$57</f>
        <v>0</v>
      </c>
      <c r="O64" s="59">
        <f>((VLOOKUP($K$64,$G$26:$H$36,2,0)*$N$95))+$AA$95+$W$95+O$57</f>
        <v>0</v>
      </c>
      <c r="P64" s="59">
        <f>((VLOOKUP($K$64,$G$26:$H$36,2,0)*$N$96))+$AA$96+$W$96+P$57</f>
        <v>0</v>
      </c>
      <c r="Q64" s="59">
        <f>((VLOOKUP($K$64,$G$26:$H$36,2,0)*$N$97))+$AA$97+$W$97+Q$57</f>
        <v>0</v>
      </c>
      <c r="R64" s="59">
        <f>((VLOOKUP($K$64,$G$26:$H$36,2,0)*$N$98))+$AA$98+$W$98+R$57</f>
        <v>0</v>
      </c>
      <c r="S64" s="59">
        <f>((VLOOKUP($K$64,$G$26:$H$36,2,0)*$N$99))+$AA$99+$W$99+S$57</f>
        <v>0</v>
      </c>
      <c r="T64" s="59">
        <f>((VLOOKUP($K$64,$G$26:$H$36,2,0)*$N$100))+$AA$100+$W$100+T$57</f>
        <v>0</v>
      </c>
      <c r="U64" s="59">
        <f>((VLOOKUP($K$64,$G$26:$H$36,2,0)*$N$101))+$AA$101+$W$101+U$57</f>
        <v>0</v>
      </c>
      <c r="V64" s="59">
        <f>((VLOOKUP($K$64,$G$26:$H$36,2,0)*$N$102))+$AA$102+$W$102+V$57</f>
        <v>0</v>
      </c>
      <c r="W64" s="59">
        <f>((VLOOKUP($K$64,$G$26:$H$36,2,0)*$N$103))+$AA$103+$W$103+W$57</f>
        <v>0</v>
      </c>
      <c r="X64" s="59">
        <f>((VLOOKUP($K$64,$G$26:$H$36,2,0)*$N$104))+$AA$104+$W$104+X$57</f>
        <v>0</v>
      </c>
      <c r="Y64" s="59">
        <f>((VLOOKUP($K$64,$G$26:$H$36,2,0)*$N$105))+$AA$105+$W$105+Y$57</f>
        <v>0</v>
      </c>
      <c r="Z64" s="59">
        <f>((VLOOKUP($K$64,$G$26:$H$36,2,0)*$N$106))+$AA$106+$W$106+Z$57</f>
        <v>0</v>
      </c>
      <c r="AA64" s="55">
        <f t="shared" si="34"/>
        <v>0</v>
      </c>
    </row>
    <row r="65" spans="11:27">
      <c r="K65" s="58" t="str">
        <f t="shared" si="32"/>
        <v>Java</v>
      </c>
      <c r="L65" s="59">
        <f>((VLOOKUP($K$65,$G$26:$H$36,2,0)*$N$92))+$AA$92+$W$92+L$57</f>
        <v>0</v>
      </c>
      <c r="M65" s="59">
        <f>((VLOOKUP($K$65,$G$26:$H$36,2,0)*$N$93))+$AA$93+$W$93+M$57</f>
        <v>0</v>
      </c>
      <c r="N65" s="59">
        <f>((VLOOKUP($K$65,$G$26:$H$36,2,0)*$N$94))+$AA$94+$W$94+N$57</f>
        <v>0</v>
      </c>
      <c r="O65" s="59">
        <f>((VLOOKUP($K$65,$G$26:$H$36,2,0)*$N$95))+$AA$95+$W$95+O$57</f>
        <v>0</v>
      </c>
      <c r="P65" s="59">
        <f>((VLOOKUP($K$65,$G$26:$H$36,2,0)*$N$96))+$AA$96+$W$96+P$57</f>
        <v>0</v>
      </c>
      <c r="Q65" s="59">
        <f>((VLOOKUP($K$65,$G$26:$H$36,2,0)*$N$97))+$AA$97+$W$97+Q$57</f>
        <v>0</v>
      </c>
      <c r="R65" s="59">
        <f>((VLOOKUP($K$65,$G$26:$H$36,2,0)*$N$98))+$AA$98+$W$98+R$57</f>
        <v>0</v>
      </c>
      <c r="S65" s="59">
        <f>((VLOOKUP($K$65,$G$26:$H$36,2,0)*$N$99))+$AA$99+$W$99+S$57</f>
        <v>0</v>
      </c>
      <c r="T65" s="59">
        <f>((VLOOKUP($K$65,$G$26:$H$36,2,0)*$N$100))+$AA$100+$W$100+T$57</f>
        <v>0</v>
      </c>
      <c r="U65" s="59">
        <f>((VLOOKUP($K$65,$G$26:$H$36,2,0)*$N$101))+$AA$101+$W$101+U$57</f>
        <v>0</v>
      </c>
      <c r="V65" s="59">
        <f>((VLOOKUP($K$65,$G$26:$H$36,2,0)*$N$102))+$AA$102+$W$102+V$57</f>
        <v>0</v>
      </c>
      <c r="W65" s="59">
        <f>((VLOOKUP($K$65,$G$26:$H$36,2,0)*$N$103))+$AA$103+$W$103+W$57</f>
        <v>0</v>
      </c>
      <c r="X65" s="59">
        <f>((VLOOKUP($K$65,$G$26:$H$36,2,0)*$N$104))+$AA$104+$W$104+X$57</f>
        <v>0</v>
      </c>
      <c r="Y65" s="59">
        <f>((VLOOKUP($K$65,$G$26:$H$36,2,0)*$N$105))+$AA$105+$W$105+Y$57</f>
        <v>0</v>
      </c>
      <c r="Z65" s="59">
        <f>((VLOOKUP($K$65,$G$26:$H$36,2,0)*$N$106))+$AA$106+$W$106+Z$57</f>
        <v>0</v>
      </c>
      <c r="AA65" s="55">
        <f t="shared" si="34"/>
        <v>0</v>
      </c>
    </row>
    <row r="66" spans="11:27">
      <c r="K66" s="58" t="str">
        <f t="shared" si="32"/>
        <v>Maui</v>
      </c>
      <c r="L66" s="59">
        <f>((VLOOKUP($K$66,$G$26:$H$36,2,0)*$N$92))+$AA$92+$W$92+L$57</f>
        <v>0</v>
      </c>
      <c r="M66" s="59">
        <f>((VLOOKUP($K$66,$G$26:$H$36,2,0)*$N$93))+$AA$93+$W$93+M$57</f>
        <v>0</v>
      </c>
      <c r="N66" s="59">
        <f>((VLOOKUP($K$66,$G$26:$H$36,2,0)*$N$94))+$AA$94+$W$94+N$57</f>
        <v>0</v>
      </c>
      <c r="O66" s="59">
        <f>((VLOOKUP($K$66,$G$26:$H$36,2,0)*$N$95))+$AA$95+$W$95+O$57</f>
        <v>0</v>
      </c>
      <c r="P66" s="59">
        <f>((VLOOKUP($K$66,$G$26:$H$36,2,0)*$N$96))+$AA$96+$W$96+P$57</f>
        <v>0</v>
      </c>
      <c r="Q66" s="59">
        <f>((VLOOKUP($K$66,$G$26:$H$36,2,0)*$N$97))+$AA$97+$W$97+Q$57</f>
        <v>0</v>
      </c>
      <c r="R66" s="59">
        <f>((VLOOKUP($K$66,$G$26:$H$36,2,0)*$N$98))+$AA$98+$W$98+R$57</f>
        <v>0</v>
      </c>
      <c r="S66" s="59">
        <f>((VLOOKUP($K$66,$G$26:$H$36,2,0)*$N$99))+$AA$99+$W$99+S$57</f>
        <v>0</v>
      </c>
      <c r="T66" s="59">
        <f>((VLOOKUP($K$66,$G$26:$H$36,2,0)*$N$100))+$AA$100+$W$100+T$57</f>
        <v>0</v>
      </c>
      <c r="U66" s="59">
        <f>((VLOOKUP($K$66,$G$26:$H$36,2,0)*$N$101))+$AA$101+$W$101+U$57</f>
        <v>0</v>
      </c>
      <c r="V66" s="59">
        <f>((VLOOKUP($K$66,$G$26:$H$36,2,0)*$N$102))+$AA$102+$W$102+V$57</f>
        <v>0</v>
      </c>
      <c r="W66" s="59">
        <f>((VLOOKUP($K$66,$G$26:$H$36,2,0)*$N$103))+$AA$103+$W$103+W$57</f>
        <v>0</v>
      </c>
      <c r="X66" s="59">
        <f>((VLOOKUP($K$66,$G$26:$H$36,2,0)*$N$104))+$AA$104+$W$104+X$57</f>
        <v>0</v>
      </c>
      <c r="Y66" s="59">
        <f>((VLOOKUP($K$66,$G$26:$H$36,2,0)*$N$105))+$AA$105+$W$105+Y$57</f>
        <v>0</v>
      </c>
      <c r="Z66" s="59">
        <f>((VLOOKUP($K$66,$G$26:$H$36,2,0)*$N$106))+$AA$106+$W$106+Z$57</f>
        <v>0</v>
      </c>
      <c r="AA66" s="55">
        <f t="shared" si="34"/>
        <v>0</v>
      </c>
    </row>
    <row r="67" spans="11:27">
      <c r="K67" s="58" t="str">
        <f t="shared" si="32"/>
        <v>Tahiti</v>
      </c>
      <c r="L67" s="59">
        <f>((VLOOKUP($K$67,$G$26:$H$36,2,0)*$N$92))+$AA$92+$W$92+L$57</f>
        <v>0</v>
      </c>
      <c r="M67" s="59">
        <f>((VLOOKUP($K$67,$G$26:$H$36,2,0)*$N$93))+$AA$93+$W$93+M$57</f>
        <v>0</v>
      </c>
      <c r="N67" s="59">
        <f>((VLOOKUP($K$67,$G$26:$H$36,2,0)*$N$94))+$AA$94+$W$94+N$57</f>
        <v>0</v>
      </c>
      <c r="O67" s="59">
        <f>((VLOOKUP($K$67,$G$26:$H$36,2,0)*$N$95))+$AA$95+$W$95+O$57</f>
        <v>0</v>
      </c>
      <c r="P67" s="59">
        <f>((VLOOKUP($K$67,$G$26:$H$36,2,0)*$N$96))+$AA$96+$W$96+P$57</f>
        <v>0</v>
      </c>
      <c r="Q67" s="59">
        <f>((VLOOKUP($K$67,$G$26:$H$36,2,0)*$N$97))+$AA$97+$W$97+Q$57</f>
        <v>0</v>
      </c>
      <c r="R67" s="59">
        <f>((VLOOKUP($K$67,$G$26:$H$36,2,0)*$N$98))+$AA$98+$W$98+R$57</f>
        <v>0</v>
      </c>
      <c r="S67" s="59">
        <f>((VLOOKUP($K$67,$G$26:$H$36,2,0)*$N$99))+$AA$99+$W$99+S$57</f>
        <v>0</v>
      </c>
      <c r="T67" s="59">
        <f>((VLOOKUP($K$67,$G$26:$H$36,2,0)*$N$100))+$AA$100+$W$100+T$57</f>
        <v>0</v>
      </c>
      <c r="U67" s="59">
        <f>((VLOOKUP($K$67,$G$26:$H$36,2,0)*$N$101))+$AA$101+$W$101+U$57</f>
        <v>0</v>
      </c>
      <c r="V67" s="59">
        <f>((VLOOKUP($K$67,$G$26:$H$36,2,0)*$N$102))+$AA$102+$W$102+V$57</f>
        <v>0</v>
      </c>
      <c r="W67" s="59">
        <f>((VLOOKUP($K$67,$G$26:$H$36,2,0)*$N$103))+$AA$103+$W$103+W$57</f>
        <v>0</v>
      </c>
      <c r="X67" s="59">
        <f>((VLOOKUP($K$67,$G$26:$H$36,2,0)*$N$104))+$AA$104+$W$104+X$57</f>
        <v>0</v>
      </c>
      <c r="Y67" s="59">
        <f>((VLOOKUP($K$67,$G$26:$H$36,2,0)*$N$105))+$AA$105+$W$105+Y$57</f>
        <v>0</v>
      </c>
      <c r="Z67" s="59">
        <f>((VLOOKUP($K$67,$G$26:$H$36,2,0)*$N$106))+$AA$106+$W$106+Z$57</f>
        <v>0</v>
      </c>
      <c r="AA67" s="55">
        <f t="shared" si="34"/>
        <v>0</v>
      </c>
    </row>
    <row r="73" spans="11:27">
      <c r="K73" s="1534" t="s">
        <v>551</v>
      </c>
      <c r="L73" s="1535"/>
      <c r="M73" s="1535"/>
      <c r="N73" s="1535"/>
      <c r="O73" s="1535"/>
      <c r="P73" s="1535"/>
      <c r="Q73" s="1535"/>
      <c r="R73" s="1535"/>
      <c r="S73" s="1535"/>
      <c r="T73" s="1535"/>
      <c r="U73" s="1535"/>
      <c r="V73" s="1535"/>
      <c r="W73" s="1535"/>
      <c r="X73" s="1535"/>
      <c r="Y73" s="1535"/>
      <c r="Z73" s="1535"/>
    </row>
    <row r="74" spans="11:27" ht="15" thickBot="1">
      <c r="K74" s="27"/>
      <c r="L74" s="56" t="s">
        <v>331</v>
      </c>
      <c r="M74" s="56" t="s">
        <v>334</v>
      </c>
      <c r="N74" s="56" t="s">
        <v>336</v>
      </c>
      <c r="O74" s="56" t="s">
        <v>338</v>
      </c>
      <c r="P74" s="56" t="s">
        <v>339</v>
      </c>
      <c r="Q74" s="56" t="s">
        <v>341</v>
      </c>
      <c r="R74" s="56" t="s">
        <v>342</v>
      </c>
      <c r="S74" s="56" t="s">
        <v>343</v>
      </c>
      <c r="T74" s="56" t="s">
        <v>344</v>
      </c>
      <c r="U74" s="56" t="s">
        <v>346</v>
      </c>
      <c r="V74" s="56" t="s">
        <v>348</v>
      </c>
      <c r="W74" s="56" t="s">
        <v>350</v>
      </c>
      <c r="X74" s="56" t="s">
        <v>351</v>
      </c>
      <c r="Y74" s="56" t="s">
        <v>353</v>
      </c>
      <c r="Z74" s="56" t="s">
        <v>354</v>
      </c>
    </row>
    <row r="75" spans="11:27">
      <c r="K75" s="27" t="s">
        <v>63</v>
      </c>
      <c r="L75" s="59">
        <f>(VLOOKUP($K$75,$G$26:$H$36,2,0)*$N$92)-((VLOOKUP($K$75,$G$26:$H$36,2,0)*VLOOKUP($K$75,$B$31:$C$41,2,0))*$N$92)+AA92</f>
        <v>0</v>
      </c>
      <c r="M75" s="59">
        <f>(VLOOKUP($K$75,$G$26:$H$36,2,0)*$N$93)-((VLOOKUP($K$75,$G$26:$H$36,2,0)*VLOOKUP($K$75,$B$31:$C$41,2,0))*$N$93)+AA93</f>
        <v>0</v>
      </c>
      <c r="N75" s="59">
        <f>(VLOOKUP($K$75,$G$26:$H$36,2,0)*$N$94)-((VLOOKUP($K$75,$G$26:$H$36,2,0)*VLOOKUP($K$75,$B$31:$C$41,2,0))*$N$94)+AA94</f>
        <v>0</v>
      </c>
      <c r="O75" s="59">
        <f>(VLOOKUP($K$75,$G$26:$H$36,2,0)*$N$95)-((VLOOKUP($K$75,$G$26:$H$36,2,0)*VLOOKUP($K$75,$B$31:$C$41,2,0))*$N$95)+AA95</f>
        <v>0</v>
      </c>
      <c r="P75" s="59">
        <f>(VLOOKUP($K$75,$G$26:$H$36,2,0)*$N$96)-((VLOOKUP($K$75,$G$26:$H$36,2,0)*VLOOKUP($K$75,$B$31:$C$41,2,0))*$N$96)+AA96</f>
        <v>0</v>
      </c>
      <c r="Q75" s="59">
        <f>(VLOOKUP($K$75,$G$26:$H$36,2,0)*$N$97)-((VLOOKUP($K$75,$G$26:$H$36,2,0)*VLOOKUP($K$75,$B$31:$C$41,2,0))*$N$97)+AA97</f>
        <v>0</v>
      </c>
      <c r="R75" s="59">
        <f>(VLOOKUP($K$75,$G$26:$H$36,2,0)*$N$98)-((VLOOKUP($K$75,$G$26:$H$36,2,0)*VLOOKUP($K$75,$B$31:$C$41,2,0))*$N$98)+AA98</f>
        <v>0</v>
      </c>
      <c r="S75" s="59">
        <f>(VLOOKUP($K$75,$G$26:$H$36,2,0)*$N$99)-((VLOOKUP($K$75,$G$26:$H$36,2,0)*VLOOKUP($K$75,$B$31:$C$41,2,0))*$N$99)+AA99</f>
        <v>0</v>
      </c>
      <c r="T75" s="59">
        <f>(VLOOKUP($K$75,$G$26:$H$36,2,0)*$N$100)-((VLOOKUP($K$75,$G$26:$H$36,2,0)*VLOOKUP($K$75,$B$31:$C$41,2,0))*$N$100)+AA100</f>
        <v>0</v>
      </c>
      <c r="U75" s="59">
        <f>(VLOOKUP($K$75,$G$26:$H$36,2,0)*$N$101)-((VLOOKUP($K$75,$G$26:$H$36,2,0)*VLOOKUP($K$75,$B$31:$C$41,2,0))*$N$101)+AA101</f>
        <v>0</v>
      </c>
      <c r="V75" s="59">
        <f>(VLOOKUP($K$75,$G$26:$H$36,2,0)*$N$102)-((VLOOKUP($K$75,$G$26:$H$36,2,0)*VLOOKUP($K$75,$B$31:$C$41,2,0))*$N$102)+AA102</f>
        <v>0</v>
      </c>
      <c r="W75" s="59">
        <f>(VLOOKUP($K$75,$G$26:$H$36,2,0)*$N$103)-((VLOOKUP($K$75,$G$26:$H$36,2,0)*VLOOKUP($K$75,$B$31:$C$41,2,0))*$N$103)+AA103</f>
        <v>0</v>
      </c>
      <c r="X75" s="59">
        <f>(VLOOKUP($K$75,$G$26:$H$36,2,0)*$N$104)-((VLOOKUP($K$75,$G$26:$H$36,2,0)*VLOOKUP($K$75,$B$31:$C$41,2,0))*$N$104)+AA104</f>
        <v>0</v>
      </c>
      <c r="Y75" s="59">
        <f>(VLOOKUP($K$75,$G$26:$H$36,2,0)*$N$105)-((VLOOKUP($K$75,$G$26:$H$36,2,0)*VLOOKUP($K$75,$B$31:$C$41,2,0))*$N$105)+AA105</f>
        <v>0</v>
      </c>
      <c r="Z75" s="59">
        <f>(VLOOKUP($K$75,$G$26:$H$36,2,0)*$N$106)-((VLOOKUP($K$75,$G$26:$H$36,2,0)*VLOOKUP($K$75,$B$31:$C$41,2,0))*$N$106)+AA106</f>
        <v>0</v>
      </c>
      <c r="AA75" s="402">
        <f t="shared" ref="AA75:AA85" si="35">SUM(L75:Z75)</f>
        <v>0</v>
      </c>
    </row>
    <row r="76" spans="11:27">
      <c r="K76" s="27" t="s">
        <v>18</v>
      </c>
      <c r="L76" s="59">
        <f>IF(ISNA(((VLOOKUP($K$76,$G$26:$H$36,2,0)*$N$92)-((VLOOKUP($K$76,$G$26:$H$36,2,0)*$N$92)*INDEX($C$31:$C$41,MATCH(Pricing!$E$8,Matrix2!$B$31:$B$41,0))))+$AA$92+$W$92),,(VLOOKUP($K$76,$G$26:$H$36,2,0)*$N$92)-((VLOOKUP($K$76,$G$26:$H$36,2,0)*$N$92)*INDEX($C$31:$C$41,MATCH(K76,Matrix2!$B$31:$B$41,0))))+$W$92+L75</f>
        <v>0</v>
      </c>
      <c r="M76" s="59">
        <f>IF(ISNA(((VLOOKUP($K$76,$G$26:$H$36,2,0)*$N$93)-((VLOOKUP($K$76,$G$26:$H$36,2,0)*$N$93)*INDEX($C$31:$C$41,MATCH(Pricing!$E$8,Matrix2!$B$31:$B$41,0))))+$AA$93+$W$93),,(VLOOKUP($K$76,$G$26:$H$36,2,0)*$N$93)-((VLOOKUP($K$76,$G$26:$H$36,2,0)*$N$93)*INDEX($C$31:$C$41,MATCH($K$76,Matrix2!$B$31:$B$41,0))))+$W$93+M75</f>
        <v>0</v>
      </c>
      <c r="N76" s="59">
        <f>IF(ISNA(((VLOOKUP($K$76,$G$26:$H$36,2,0)*$N$94)-((VLOOKUP($K$76,$G$26:$H$36,2,0)*$N$94)*INDEX($C$31:$C$41,MATCH(Pricing!$E$8,Matrix2!$B$31:$B$41,0))))+$AA$94+$W$94),,(VLOOKUP($K$76,$G$26:$H$36,2,0)*$N$94)-((VLOOKUP($K$76,$G$26:$H$36,2,0)*$N$94)*INDEX($C$31:$C$41,MATCH($K$76,Matrix2!$B$31:$B$41,0))))+$W$94+N75</f>
        <v>0</v>
      </c>
      <c r="O76" s="59">
        <f>IF(ISNA(((VLOOKUP($K$76,$G$26:$H$36,2,0)*$N$95)-((VLOOKUP($K$76,$G$26:$H$36,2,0)*$N$95)*INDEX($C$31:$C$41,MATCH(Pricing!$E$8,Matrix2!$B$31:$B$41,0))))+$AA$95+$W$95),,(VLOOKUP($K$76,$G$26:$H$36,2,0)*$N$95)-((VLOOKUP($K$76,$G$26:$H$36,2,0)*$N$95)*INDEX($C$31:$C$41,MATCH($K$76,Matrix2!$B$31:$B$41,0))))+$W$95+O75</f>
        <v>0</v>
      </c>
      <c r="P76" s="59">
        <f>IF(ISNA(((VLOOKUP($K$76,$G$26:$H$36,2,0)*$N$96)-((VLOOKUP($K$76,$G$26:$H$36,2,0)*$N$96)*INDEX($C$31:$C$41,MATCH(Pricing!$E$8,Matrix2!$B$31:$B$41,0))))+$AA$96+$W$96),,(VLOOKUP($K$76,$G$26:$H$36,2,0)*$N$96)-((VLOOKUP($K$76,$G$26:$H$36,2,0)*$N$96)*INDEX($C$31:$C$41,MATCH($K$76,Matrix2!$B$31:$B$41,0))))+$W$96+P75</f>
        <v>0</v>
      </c>
      <c r="Q76" s="59">
        <f>IF(ISNA(((VLOOKUP($K$76,$G$26:$H$36,2,0)*$N$97)-((VLOOKUP($K$76,$G$26:$H$36,2,0)*$N$97)*INDEX($C$31:$C$41,MATCH(Pricing!$E$8,Matrix2!$B$31:$B$41,0))))+$AA$97+$W$97),,(VLOOKUP($K$76,$G$26:$H$36,2,0)*$N$97)-((VLOOKUP($K$76,$G$26:$H$36,2,0)*$N$97)*INDEX($C$31:$C$41,MATCH($K$76,Matrix2!$B$31:$B$41,0))))+$W$97+Q75</f>
        <v>0</v>
      </c>
      <c r="R76" s="59">
        <f>IF(ISNA(((VLOOKUP($K$76,$G$26:$H$36,2,0)*$N$98)-((VLOOKUP($K$76,$G$26:$H$36,2,0)*$N$98)*INDEX($C$31:$C$41,MATCH(Pricing!$E$8,Matrix2!$B$31:$B$41,0))))+$AA$98+$W$98),,(VLOOKUP($K$76,$G$26:$H$36,2,0)*$N$98)-((VLOOKUP($K$76,$G$26:$H$36,2,0)*$N$98)*INDEX($C$31:$C$41,MATCH($K$76,Matrix2!$B$31:$B$41,0))))+$W$98+R75</f>
        <v>0</v>
      </c>
      <c r="S76" s="59">
        <f>IF(ISNA(((VLOOKUP($K$76,$G$26:$H$36,2,0)*$N$99)-((VLOOKUP($K$76,$G$26:$H$36,2,0)*$N$99)*INDEX($C$31:$C$41,MATCH(Pricing!$E$8,Matrix2!$B$31:$B$41,0))))+$AA$99+$W$99),,(VLOOKUP($K$76,$G$26:$H$36,2,0)*$N$99)-((VLOOKUP($K$76,$G$26:$H$36,2,0)*$N$99)*INDEX($C$31:$C$41,MATCH($K$76,Matrix2!$B$31:$B$41,0))))+$W$99+S75</f>
        <v>0</v>
      </c>
      <c r="T76" s="59">
        <f>IF(ISNA(((VLOOKUP($K$76,$G$26:$H$36,2,0)*$N$100)-((VLOOKUP($K$76,$G$26:$H$36,2,0)*$N$100)*INDEX($C$31:$C$41,MATCH(Pricing!$E$8,Matrix2!$B$31:$B$41,0))))+$AA$100+$W$100),,(VLOOKUP($K$76,$G$26:$H$36,2,0)*$N$100)-((VLOOKUP($K$76,$G$26:$H$36,2,0)*$N$100)*INDEX($C$31:$C$41,MATCH($K$76,Matrix2!$B$31:$B$41,0))))+$W$100+T75</f>
        <v>0</v>
      </c>
      <c r="U76" s="59">
        <f>IF(ISNA(((VLOOKUP($K$76,$G$26:$H$36,2,0)*$N$101)-((VLOOKUP($K$76,$G$26:$H$36,2,0)*$N$101)*INDEX($C$31:$C$41,MATCH(Pricing!$E$8,Matrix2!$B$31:$B$41,0))))+$AA$101+$W$101),,(VLOOKUP($K$76,$G$26:$H$36,2,0)*$N$101)-((VLOOKUP($K$76,$G$26:$H$36,2,0)*$N$101)*INDEX($C$31:$C$41,MATCH($K$76,Matrix2!$B$31:$B$41,0))))+$W$101+U75</f>
        <v>0</v>
      </c>
      <c r="V76" s="59">
        <f>IF(ISNA(((VLOOKUP($K$76,$G$26:$H$36,2,0)*$N$102)-((VLOOKUP($K$76,$G$26:$H$36,2,0)*$N$102)*INDEX($C$31:$C$41,MATCH(Pricing!$E$8,Matrix2!$B$31:$B$41,0))))+$AA$102+$W$102),,(VLOOKUP($K$76,$G$26:$H$36,2,0)*$N$102)-((VLOOKUP($K$76,$G$26:$H$36,2,0)*$N$102)*INDEX($C$31:$C$41,MATCH($K$76,Matrix2!$B$31:$B$41,0))))+$W$102+V75</f>
        <v>0</v>
      </c>
      <c r="W76" s="59">
        <f>IF(ISNA(((VLOOKUP($K$76,$G$26:$H$36,2,0)*$N$103)-((VLOOKUP($K$76,$G$26:$H$36,2,0)*$N$103)*INDEX($C$31:$C$41,MATCH(Pricing!$E$8,Matrix2!$B$31:$B$41,0))))+$AA$103+$W$103),,(VLOOKUP($K$76,$G$26:$H$36,2,0)*$N$103)-((VLOOKUP($K$76,$G$26:$H$36,2,0)*$N$103)*INDEX($C$31:$C$41,MATCH($K$76,Matrix2!$B$31:$B$41,0))))+$W$103+W75</f>
        <v>0</v>
      </c>
      <c r="X76" s="59">
        <f>IF(ISNA(((VLOOKUP($K$76,$G$26:$H$36,2,0)*$N$104)-((VLOOKUP($K$76,$G$26:$H$36,2,0)*$N$104)*INDEX($C$31:$C$41,MATCH(Pricing!$E$8,Matrix2!$B$31:$B$41,0))))+$AA$104+$W$104),,(VLOOKUP($K$76,$G$26:$H$36,2,0)*$N$104)-((VLOOKUP($K$76,$G$26:$H$36,2,0)*$N$104)*INDEX($C$31:$C$41,MATCH($K$76,Matrix2!$B$31:$B$41,0))))+$W$104+X75</f>
        <v>0</v>
      </c>
      <c r="Y76" s="59">
        <f>IF(ISNA(((VLOOKUP($K$76,$G$26:$H$36,2,0)*$N$105)-((VLOOKUP($K$76,$G$26:$H$36,2,0)*$N$105)*INDEX($C$31:$C$41,MATCH(Pricing!$E$8,Matrix2!$B$31:$B$41,0))))+$AA$105+$W$105),,(VLOOKUP($K$76,$G$26:$H$36,2,0)*$N$105)-((VLOOKUP($K$76,$G$26:$H$36,2,0)*$N$105)*INDEX($C$31:$C$41,MATCH($K$76,Matrix2!$B$31:$B$41,0))))+$W$105+Y75</f>
        <v>0</v>
      </c>
      <c r="Z76" s="59">
        <f>IF(ISNA(((VLOOKUP($K$76,$G$26:$H$36,2,0)*$N$106)-((VLOOKUP($K$76,$G$26:$H$36,2,0)*$N$106)*INDEX($C$31:$C$41,MATCH(Pricing!$E$8,Matrix2!$B$31:$B$41,0))))+$AA$106+$W$106),,(VLOOKUP($K$76,$G$26:$H$36,2,0)*$N$106)-((VLOOKUP($K$76,$G$26:$H$36,2,0)*$N$106)*INDEX($C$31:$C$41,MATCH($K$76,Matrix2!$B$31:$B$41,0))))+$W$106+Z75</f>
        <v>0</v>
      </c>
      <c r="AA76" s="403">
        <f t="shared" si="35"/>
        <v>0</v>
      </c>
    </row>
    <row r="77" spans="11:27">
      <c r="K77" s="27" t="str">
        <f t="shared" ref="K77:K85" si="36">G28</f>
        <v>Aruba Express</v>
      </c>
      <c r="L77" s="59">
        <f>IF(ISNA(((VLOOKUP($K$77,$G$26:$H$36,2,0)*$N$92)-((VLOOKUP($K$77,$G$26:$H$36,2,0)*$N$92)*INDEX($C$31:$C$41,MATCH(Pricing!$E$8,Matrix2!$B$31:$B$41,0))))+$AA$92+$W$92),,((VLOOKUP($K$77,$G$26:$H$36,2,0)*$N$92))+L$75)</f>
        <v>0</v>
      </c>
      <c r="M77" s="59">
        <f>IF(ISNA(((VLOOKUP($K$77,$G$26:$H$36,2,0)*$N$93)-((VLOOKUP($K$77,$G$26:$H$36,2,0)*$N$93)*INDEX($C$31:$C$41,MATCH(Pricing!$E$8,Matrix2!$B$31:$B$41,0))))+$AA$93+$W$93),,((VLOOKUP($K$77,$G$26:$H$36,2,0)*$N$93))+M$75)</f>
        <v>0</v>
      </c>
      <c r="N77" s="59">
        <f>IF(ISNA(((VLOOKUP($K$77,$G$26:$H$36,2,0)*$N$94)-((VLOOKUP($K$77,$G$26:$H$36,2,0)*$N$94)*INDEX($C$31:$C$41,MATCH(Pricing!$E$8,Matrix2!$B$31:$B$41,0))))+$AA$94+$W$94),,((VLOOKUP($K$77,$G$26:$H$36,2,0)*$N$94))+N$75)</f>
        <v>0</v>
      </c>
      <c r="O77" s="59">
        <f>IF(ISNA(((VLOOKUP($K$77,$G$26:$H$36,2,0)*$N$95)-((VLOOKUP($K$77,$G$26:$H$36,2,0)*$N$95)*INDEX($C$31:$C$41,MATCH(Pricing!$E$8,Matrix2!$B$31:$B$41,0))))+$AA$95+$W$95),,((VLOOKUP($K$77,$G$26:$H$36,2,0)*$N$95))+O$75)</f>
        <v>0</v>
      </c>
      <c r="P77" s="59">
        <f>IF(ISNA(((VLOOKUP($K$77,$G$26:$H$36,2,0)*$N$96)-((VLOOKUP($K$77,$G$26:$H$36,2,0)*$N$96)*INDEX($C$31:$C$41,MATCH(Pricing!$E$8,Matrix2!$B$31:$B$41,0))))+$AA$96+$W$96),,((VLOOKUP($K$77,$G$26:$H$36,2,0)*$N$96))+P$75)</f>
        <v>0</v>
      </c>
      <c r="Q77" s="59">
        <f>IF(ISNA(((VLOOKUP($K$77,$G$26:$H$36,2,0)*$N$97)-((VLOOKUP($K$77,$G$26:$H$36,2,0)*$N$97)*INDEX($C$31:$C$41,MATCH(Pricing!$E$8,Matrix2!$B$31:$B$41,0))))+$AA$97+$W$97),,((VLOOKUP($K$77,$G$26:$H$36,2,0)*$N$97))+Q$75)</f>
        <v>0</v>
      </c>
      <c r="R77" s="59">
        <f>IF(ISNA(((VLOOKUP($K$77,$G$26:$H$36,2,0)*$N$98)-((VLOOKUP($K$77,$G$26:$H$36,2,0)*$N$98)*INDEX($C$31:$C$41,MATCH(Pricing!$E$8,Matrix2!$B$31:$B$41,0))))+$AA$98+$W$98),,((VLOOKUP($K$77,$G$26:$H$36,2,0)*$N$98))+R$75)</f>
        <v>0</v>
      </c>
      <c r="S77" s="59">
        <f>IF(ISNA(((VLOOKUP($K$77,$G$26:$H$36,2,0)*$N$99)-((VLOOKUP($K$77,$G$26:$H$36,2,0)*$N$99)*INDEX($C$31:$C$41,MATCH(Pricing!$E$8,Matrix2!$B$31:$B$41,0))))+$AA$99+$W$99),,((VLOOKUP($K$77,$G$26:$H$36,2,0)*$N$99))+S$75)</f>
        <v>0</v>
      </c>
      <c r="T77" s="59">
        <f>IF(ISNA(((VLOOKUP($K$77,$G$26:$H$36,2,0)*$N$100)-((VLOOKUP($K$77,$G$26:$H$36,2,0)*$N$100)*INDEX($C$31:$C$41,MATCH(Pricing!$E$8,Matrix2!$B$31:$B$41,0))))+$AA$100+$W$100),,((VLOOKUP($K$77,$G$26:$H$36,2,0)*$N$100))+T$75)</f>
        <v>0</v>
      </c>
      <c r="U77" s="59">
        <f>IF(ISNA(((VLOOKUP($K$77,$G$26:$H$36,2,0)*$N$101)-((VLOOKUP($K$77,$G$26:$H$36,2,0)*$N$101)*INDEX($C$31:$C$41,MATCH(Pricing!$E$8,Matrix2!$B$31:$B$41,0))))+$AA$101+$W$101),,((VLOOKUP($K$77,$G$26:$H$36,2,0)*$N$101))+U$75)</f>
        <v>0</v>
      </c>
      <c r="V77" s="59">
        <f>IF(ISNA(((VLOOKUP($K$77,$G$26:$H$36,2,0)*$N$102)-((VLOOKUP($K$77,$G$26:$H$36,2,0)*$N$102)*INDEX($C$31:$C$41,MATCH(Pricing!$E$8,Matrix2!$B$31:$B$41,0))))+$AA$102+$W$102),,((VLOOKUP($K$77,$G$26:$H$36,2,0)*$N$102))+V$75)</f>
        <v>0</v>
      </c>
      <c r="W77" s="59">
        <f>IF(ISNA(((VLOOKUP($K$77,$G$26:$H$36,2,0)*$N$103)-((VLOOKUP($K$77,$G$26:$H$36,2,0)*$N$103)*INDEX($C$31:$C$41,MATCH(Pricing!$E$8,Matrix2!$B$31:$B$41,0))))+$AA$103+$W$103),,((VLOOKUP($K$77,$G$26:$H$36,2,0)*$N$103))+W$75)</f>
        <v>0</v>
      </c>
      <c r="X77" s="59">
        <f>IF(ISNA(((VLOOKUP($K$77,$G$26:$H$36,2,0)*$N$104)-((VLOOKUP($K$77,$G$26:$H$36,2,0)*$N$104)*INDEX($C$31:$C$41,MATCH(Pricing!$E$8,Matrix2!$B$31:$B$41,0))))+$AA$104+$W$104),,((VLOOKUP($K$77,$G$26:$H$36,2,0)*$N$104))+X$75)</f>
        <v>0</v>
      </c>
      <c r="Y77" s="59">
        <f>IF(ISNA(((VLOOKUP($K$77,$G$26:$H$36,2,0)*$N$105)-((VLOOKUP($K$77,$G$26:$H$36,2,0)*$N$105)*INDEX($C$31:$C$41,MATCH(Pricing!$E$8,Matrix2!$B$31:$B$41,0))))+$AA$105+$W$105),,((VLOOKUP($K$77,$G$26:$H$36,2,0)*$N$105))+Y$75)</f>
        <v>0</v>
      </c>
      <c r="Z77" s="59">
        <f>IF(ISNA(((VLOOKUP($K$77,$G$26:$H$36,2,0)*$N$106)-((VLOOKUP($K$77,$G$26:$H$36,2,0)*$N$106)*INDEX($C$31:$C$41,MATCH(Pricing!$E$8,Matrix2!$B$31:$B$41,0))))+$AA$106+$W$106),,((VLOOKUP($K$77,$G$26:$H$36,2,0)*$N$106))+Z$75)</f>
        <v>0</v>
      </c>
      <c r="AA77" s="403">
        <f t="shared" si="35"/>
        <v>0</v>
      </c>
    </row>
    <row r="78" spans="11:27">
      <c r="K78" s="27" t="str">
        <f t="shared" si="36"/>
        <v>Antigua</v>
      </c>
      <c r="L78" s="59">
        <f>IF(ISNA(((VLOOKUP($K$78,$G$26:$H$36,2,0)*$N$92)-((VLOOKUP($K$78,$G$26:$H$36,2,0)*$N$92)*INDEX($C$31:$C$41,MATCH(Pricing!$E$8,Matrix2!$B$31:$B$41,0))))+$AA$92+$W$92),,((VLOOKUP($K$78,$G$26:$H$36,2,0)*$N$92)+L$75))</f>
        <v>0</v>
      </c>
      <c r="M78" s="59">
        <f>IF(ISNA(((VLOOKUP($K$78,$G$26:$H$36,2,0)*$N$93)-((VLOOKUP($K$78,$G$26:$H$36,2,0)*$N$93)*INDEX($C$31:$C$41,MATCH(Pricing!$E$8,Matrix2!$B$31:$B$41,0))))+$AA$93+$W$93),,((VLOOKUP($K$78,$G$26:$H$36,2,0)*$N$93)+M$75))</f>
        <v>0</v>
      </c>
      <c r="N78" s="59">
        <f>IF(ISNA(((VLOOKUP($K$78,$G$26:$H$36,2,0)*$N$94)-((VLOOKUP($K$78,$G$26:$H$36,2,0)*$N$94)*INDEX($C$31:$C$41,MATCH(Pricing!$E$8,Matrix2!$B$31:$B$41,0))))+$AA$94+$W$94),,((VLOOKUP($K$78,$G$26:$H$36,2,0)*$N$94)+N$75))</f>
        <v>0</v>
      </c>
      <c r="O78" s="59">
        <f>IF(ISNA(((VLOOKUP($K$78,$G$26:$H$36,2,0)*$N$95)-((VLOOKUP($K$78,$G$26:$H$36,2,0)*$N$95)*INDEX($C$31:$C$41,MATCH(Pricing!$E$8,Matrix2!$B$31:$B$41,0))))+$AA$95+$W$95),,((VLOOKUP($K$78,$G$26:$H$36,2,0)*$N$95)+O$75))</f>
        <v>0</v>
      </c>
      <c r="P78" s="59">
        <f>IF(ISNA(((VLOOKUP($K$78,$G$26:$H$36,2,0)*$N$96)-((VLOOKUP($K$78,$G$26:$H$36,2,0)*$N$96)*INDEX($C$31:$C$41,MATCH(Pricing!$E$8,Matrix2!$B$31:$B$41,0))))+$AA$96+$W$96),,((VLOOKUP($K$78,$G$26:$H$36,2,0)*$N$96)+P$75))</f>
        <v>0</v>
      </c>
      <c r="Q78" s="59">
        <f>IF(ISNA(((VLOOKUP($K$78,$G$26:$H$36,2,0)*$N$97)-((VLOOKUP($K$78,$G$26:$H$36,2,0)*$N$97)*INDEX($C$31:$C$41,MATCH(Pricing!$E$8,Matrix2!$B$31:$B$41,0))))+$AA$97+$W$97),,((VLOOKUP($K$78,$G$26:$H$36,2,0)*$N$97)+Q$75))</f>
        <v>0</v>
      </c>
      <c r="R78" s="59">
        <f>IF(ISNA(((VLOOKUP($K$78,$G$26:$H$36,2,0)*$N$98)-((VLOOKUP($K$78,$G$26:$H$36,2,0)*$N$98)*INDEX($C$31:$C$41,MATCH(Pricing!$E$8,Matrix2!$B$31:$B$41,0))))+$AA$98+$W$98),,((VLOOKUP($K$78,$G$26:$H$36,2,0)*$N$98)+R$75))</f>
        <v>0</v>
      </c>
      <c r="S78" s="59">
        <f>IF(ISNA(((VLOOKUP($K$78,$G$26:$H$36,2,0)*$N$99)-((VLOOKUP($K$78,$G$26:$H$36,2,0)*$N$99)*INDEX($C$31:$C$41,MATCH(Pricing!$E$8,Matrix2!$B$31:$B$41,0))))+$AA$99+$W$99),,((VLOOKUP($K$78,$G$26:$H$36,2,0)*$N$99)+S$75))</f>
        <v>0</v>
      </c>
      <c r="T78" s="59">
        <f>IF(ISNA(((VLOOKUP($K$78,$G$26:$H$36,2,0)*$N$100)-((VLOOKUP($K$78,$G$26:$H$36,2,0)*$N$100)*INDEX($C$31:$C$41,MATCH(Pricing!$E$8,Matrix2!$B$31:$B$41,0))))+$AA$100+$W$100),,((VLOOKUP($K$78,$G$26:$H$36,2,0)*$N$100)+T$75))</f>
        <v>0</v>
      </c>
      <c r="U78" s="59">
        <f>IF(ISNA(((VLOOKUP($K$78,$G$26:$H$36,2,0)*$N$101)-((VLOOKUP($K$78,$G$26:$H$36,2,0)*$N$101)*INDEX($C$31:$C$41,MATCH(Pricing!$E$8,Matrix2!$B$31:$B$41,0))))+$AA$101+$W$101),,((VLOOKUP($K$78,$G$26:$H$36,2,0)*$N$101)+U$75))</f>
        <v>0</v>
      </c>
      <c r="V78" s="59">
        <f>IF(ISNA(((VLOOKUP($K$78,$G$26:$H$36,2,0)*$N$102)-((VLOOKUP($K$78,$G$26:$H$36,2,0)*$N$102)*INDEX($C$31:$C$41,MATCH(Pricing!$E$8,Matrix2!$B$31:$B$41,0))))+$AA$102+$W$102),,((VLOOKUP($K$78,$G$26:$H$36,2,0)*$N$102)+V$75))</f>
        <v>0</v>
      </c>
      <c r="W78" s="59">
        <f>IF(ISNA(((VLOOKUP($K$78,$G$26:$H$36,2,0)*$N$103)-((VLOOKUP($K$78,$G$26:$H$36,2,0)*$N$103)*INDEX($C$31:$C$41,MATCH(Pricing!$E$8,Matrix2!$B$31:$B$41,0))))+$AA$103+$W$103),,((VLOOKUP($K$78,$G$26:$H$36,2,0)*$N$103)+W$75))</f>
        <v>0</v>
      </c>
      <c r="X78" s="59">
        <f>IF(ISNA(((VLOOKUP($K$78,$G$26:$H$36,2,0)*$N$104)-((VLOOKUP($K$78,$G$26:$H$36,2,0)*$N$104)*INDEX($C$31:$C$41,MATCH(Pricing!$E$8,Matrix2!$B$31:$B$41,0))))+$AA$104+$W$104),,((VLOOKUP($K$78,$G$26:$H$36,2,0)*$N$104)+X$75))</f>
        <v>0</v>
      </c>
      <c r="Y78" s="59">
        <f>IF(ISNA(((VLOOKUP($K$78,$G$26:$H$36,2,0)*$N$105)-((VLOOKUP($K$78,$G$26:$H$36,2,0)*$N$105)*INDEX($C$31:$C$41,MATCH(Pricing!$E$8,Matrix2!$B$31:$B$41,0))))+$AA$105+$W$105),,((VLOOKUP($K$78,$G$26:$H$36,2,0)*$N$105)+Y$75))</f>
        <v>0</v>
      </c>
      <c r="Z78" s="59">
        <f>IF(ISNA(((VLOOKUP($K$78,$G$26:$H$36,2,0)*$N$106)-((VLOOKUP($K$78,$G$26:$H$36,2,0)*$N$106)*INDEX($C$31:$C$41,MATCH(Pricing!$E$8,Matrix2!$B$31:$B$41,0))))+$AA$106+$W$106),,((VLOOKUP($K$78,$G$26:$H$36,2,0)*$N$106)+Z$75))</f>
        <v>0</v>
      </c>
      <c r="AA78" s="403">
        <f t="shared" si="35"/>
        <v>0</v>
      </c>
    </row>
    <row r="79" spans="11:27">
      <c r="K79" s="27" t="str">
        <f t="shared" si="36"/>
        <v>Bermuda</v>
      </c>
      <c r="L79" s="59">
        <f>IF(ISNA(((VLOOKUP($K$79,$G$26:$H$36,2,0)*$N$92)-((VLOOKUP($K$79,$G$26:$H$36,2,0)*$N$92)*INDEX($C$31:$C$41,MATCH(Pricing!$E$8,Matrix2!$B$31:$B$41,0))))+$AA$92+$W$92),,((VLOOKUP($K$79,$G$26:$H$36,2,0)*$N$92)+L$75))</f>
        <v>0</v>
      </c>
      <c r="M79" s="59">
        <f>IF(ISNA(((VLOOKUP($K$79,$G$26:$H$36,2,0)*$N$93)-((VLOOKUP($K$79,$G$26:$H$36,2,0)*$N$93)*INDEX($C$31:$C$41,MATCH(Pricing!$E$8,Matrix2!$B$31:$B$41,0))))+$AA$93+$W$93),,((VLOOKUP($K$79,$G$26:$H$36,2,0)*$N$93)+M$75))</f>
        <v>0</v>
      </c>
      <c r="N79" s="59">
        <f>IF(ISNA(((VLOOKUP($K$79,$G$26:$H$36,2,0)*$N$94)-((VLOOKUP($K$79,$G$26:$H$36,2,0)*$N$94)*INDEX($C$31:$C$41,MATCH(Pricing!$E$8,Matrix2!$B$31:$B$41,0))))+$AA$94+$W$94),,((VLOOKUP($K$79,$G$26:$H$36,2,0)*$N$94)+N$75))</f>
        <v>0</v>
      </c>
      <c r="O79" s="59">
        <f>IF(ISNA(((VLOOKUP($K$79,$G$26:$H$36,2,0)*$N$95)-((VLOOKUP($K$79,$G$26:$H$36,2,0)*$N$95)*INDEX($C$31:$C$41,MATCH(Pricing!$E$8,Matrix2!$B$31:$B$41,0))))+$AA$95+$W$95),,((VLOOKUP($K$79,$G$26:$H$36,2,0)*$N$95)+O$75))</f>
        <v>0</v>
      </c>
      <c r="P79" s="59">
        <f>IF(ISNA(((VLOOKUP($K$79,$G$26:$H$36,2,0)*$N$96)-((VLOOKUP($K$79,$G$26:$H$36,2,0)*$N$96)*INDEX($C$31:$C$41,MATCH(Pricing!$E$8,Matrix2!$B$31:$B$41,0))))+$AA$96+$W$96),,((VLOOKUP($K$79,$G$26:$H$36,2,0)*$N$96)+P$75))</f>
        <v>0</v>
      </c>
      <c r="Q79" s="59">
        <f>IF(ISNA(((VLOOKUP($K$79,$G$26:$H$36,2,0)*$N$97)-((VLOOKUP($K$79,$G$26:$H$36,2,0)*$N$97)*INDEX($C$31:$C$41,MATCH(Pricing!$E$8,Matrix2!$B$31:$B$41,0))))+$AA$97+$W$97),,((VLOOKUP($K$79,$G$26:$H$36,2,0)*$N$97)+Q$75))</f>
        <v>0</v>
      </c>
      <c r="R79" s="59">
        <f>IF(ISNA(((VLOOKUP($K$79,$G$26:$H$36,2,0)*$N$98)-((VLOOKUP($K$79,$G$26:$H$36,2,0)*$N$98)*INDEX($C$31:$C$41,MATCH(Pricing!$E$8,Matrix2!$B$31:$B$41,0))))+$AA$98+$W$98),,((VLOOKUP($K$79,$G$26:$H$36,2,0)*$N$98)+R$75))</f>
        <v>0</v>
      </c>
      <c r="S79" s="59">
        <f>IF(ISNA(((VLOOKUP($K$79,$G$26:$H$36,2,0)*$N$99)-((VLOOKUP($K$79,$G$26:$H$36,2,0)*$N$99)*INDEX($C$31:$C$41,MATCH(Pricing!$E$8,Matrix2!$B$31:$B$41,0))))+$AA$99+$W$99),,((VLOOKUP($K$79,$G$26:$H$36,2,0)*$N$99)+S$75))</f>
        <v>0</v>
      </c>
      <c r="T79" s="59">
        <f>IF(ISNA(((VLOOKUP($K$79,$G$26:$H$36,2,0)*$N$100)-((VLOOKUP($K$79,$G$26:$H$36,2,0)*$N$100)*INDEX($C$31:$C$41,MATCH(Pricing!$E$8,Matrix2!$B$31:$B$41,0))))+$AA$100+$W$100),,((VLOOKUP($K$79,$G$26:$H$36,2,0)*$N$100)+T$75))</f>
        <v>0</v>
      </c>
      <c r="U79" s="59">
        <f>IF(ISNA(((VLOOKUP($K$79,$G$26:$H$36,2,0)*$N$101)-((VLOOKUP($K$79,$G$26:$H$36,2,0)*$N$101)*INDEX($C$31:$C$41,MATCH(Pricing!$E$8,Matrix2!$B$31:$B$41,0))))+$AA$101+$W$101),,((VLOOKUP($K$79,$G$26:$H$36,2,0)*$N$101)+U$75))</f>
        <v>0</v>
      </c>
      <c r="V79" s="59">
        <f>IF(ISNA(((VLOOKUP($K$79,$G$26:$H$36,2,0)*$N$102)-((VLOOKUP($K$79,$G$26:$H$36,2,0)*$N$102)*INDEX($C$31:$C$41,MATCH(Pricing!$E$8,Matrix2!$B$31:$B$41,0))))+$AA$102+$W$102),,((VLOOKUP($K$79,$G$26:$H$36,2,0)*$N$102)+V$75))</f>
        <v>0</v>
      </c>
      <c r="W79" s="59">
        <f>IF(ISNA(((VLOOKUP($K$79,$G$26:$H$36,2,0)*$N$103)-((VLOOKUP($K$79,$G$26:$H$36,2,0)*$N$103)*INDEX($C$31:$C$41,MATCH(Pricing!$E$8,Matrix2!$B$31:$B$41,0))))+$AA$103+$W$103),,((VLOOKUP($K$79,$G$26:$H$36,2,0)*$N$103)+W$75))</f>
        <v>0</v>
      </c>
      <c r="X79" s="59">
        <f>IF(ISNA(((VLOOKUP($K$79,$G$26:$H$36,2,0)*$N$104)-((VLOOKUP($K$79,$G$26:$H$36,2,0)*$N$104)*INDEX($C$31:$C$41,MATCH(Pricing!$E$8,Matrix2!$B$31:$B$41,0))))+$AA$104+$W$104),,((VLOOKUP($K$79,$G$26:$H$36,2,0)*$N$104)+X$75))</f>
        <v>0</v>
      </c>
      <c r="Y79" s="59">
        <f>IF(ISNA(((VLOOKUP($K$79,$G$26:$H$36,2,0)*$N$105)-((VLOOKUP($K$79,$G$26:$H$36,2,0)*$N$105)*INDEX($C$31:$C$41,MATCH(Pricing!$E$8,Matrix2!$B$31:$B$41,0))))+$AA$105+$W$105),,((VLOOKUP($K$79,$G$26:$H$36,2,0)*$N$106)+Y$75))</f>
        <v>0</v>
      </c>
      <c r="Z79" s="59">
        <f>IF(ISNA(((VLOOKUP($K$79,$G$26:$H$36,2,0)*$N$106)-((VLOOKUP($K$79,$G$26:$H$36,2,0)*$N$106)*INDEX($C$31:$C$41,MATCH(Pricing!$E$8,Matrix2!$B$31:$B$41,0))))+$AA$106+$W$106),,((VLOOKUP($K$79,$G$26:$H$36,2,0)*$N$106)+Z$75))</f>
        <v>0</v>
      </c>
      <c r="AA79" s="403">
        <f t="shared" si="35"/>
        <v>0</v>
      </c>
    </row>
    <row r="80" spans="11:27">
      <c r="K80" s="27" t="str">
        <f t="shared" si="36"/>
        <v>Capri</v>
      </c>
      <c r="L80" s="59">
        <f>IF(ISNA(((VLOOKUP($K$80,$G$26:$H$36,2,0)*$N$92)-((VLOOKUP($K$80,$G$26:$H$36,2,0)*$N$92)*INDEX($C$31:$C$41,MATCH(Pricing!$E$8,Matrix2!$B$31:$B$41,0))))+$AA$92+$W$92),,((VLOOKUP($K$80,$G$26:$H$36,2,0)*($N$92-($N$92*$C$44))+L$75)))</f>
        <v>0</v>
      </c>
      <c r="M80" s="59">
        <f>IF(ISNA(((VLOOKUP($K$80,$G$26:$H$36,2,0)*$N$93)-((VLOOKUP($K$80,$G$26:$H$36,2,0)*$N$93)*INDEX($C$31:$C$41,MATCH(Pricing!$E$8,Matrix2!$B$31:$B$41,0))))+$AA$93+$W$93),,((VLOOKUP($K$80,$G$26:$H$36,2,0)*($N$93-($N$93*$C$44))+M$75)))</f>
        <v>0</v>
      </c>
      <c r="N80" s="59">
        <f>IF(ISNA(((VLOOKUP($K$80,$G$26:$H$36,2,0)*$N$94)-((VLOOKUP($K$80,$G$26:$H$36,2,0)*$N$94)*INDEX($C$31:$C$41,MATCH(Pricing!$E$8,Matrix2!$B$31:$B$41,0))))+$AA$94+$W$94),,((VLOOKUP($K$80,$G$26:$H$36,2,0)*($N$94-($N$94*$C$44))+N$75)))</f>
        <v>0</v>
      </c>
      <c r="O80" s="59">
        <f>IF(ISNA(((VLOOKUP($K$80,$G$26:$H$36,2,0)*$N$95)-((VLOOKUP($K$80,$G$26:$H$36,2,0)*$N$95)*INDEX($C$31:$C$41,MATCH(Pricing!$E$8,Matrix2!$B$31:$B$41,0))))+$AA$95+$W$95),,((VLOOKUP($K$80,$G$26:$H$36,2,0)*($N$95-($N$95*$C$44))+O$75)))</f>
        <v>0</v>
      </c>
      <c r="P80" s="59">
        <f>IF(ISNA(((VLOOKUP($K$80,$G$26:$H$36,2,0)*$N$96)-((VLOOKUP($K$80,$G$26:$H$36,2,0)*$N$96)*INDEX($C$31:$C$41,MATCH(Pricing!$E$8,Matrix2!$B$31:$B$41,0))))+$AA$96+$W$96),,((VLOOKUP($K$80,$G$26:$H$36,2,0)*($N$96-($N$96*$C$44))+P$75)))</f>
        <v>0</v>
      </c>
      <c r="Q80" s="59">
        <f>IF(ISNA(((VLOOKUP($K$80,$G$26:$H$36,2,0)*$N$97)-((VLOOKUP($K$80,$G$26:$H$36,2,0)*$N$97)*INDEX($C$31:$C$41,MATCH(Pricing!$E$8,Matrix2!$B$31:$B$41,0))))+$AA$97+$W$97),,((VLOOKUP($K$80,$G$26:$H$36,2,0)*($N$97-($N$97*$C$44))+Q$75)))</f>
        <v>0</v>
      </c>
      <c r="R80" s="59">
        <f>IF(ISNA(((VLOOKUP($K$80,$G$26:$H$36,2,0)*$N$98)-((VLOOKUP($K$80,$G$26:$H$36,2,0)*$N$98)*INDEX($C$31:$C$41,MATCH(Pricing!$E$8,Matrix2!$B$31:$B$41,0))))+$AA$98+$W$98),,((VLOOKUP($K$80,$G$26:$H$36,2,0)*($N$98-($N$98*$C$44))+R$75)))</f>
        <v>0</v>
      </c>
      <c r="S80" s="59">
        <f>IF(ISNA(((VLOOKUP($K$80,$G$26:$H$36,2,0)*$N$99)-((VLOOKUP($K$80,$G$26:$H$36,2,0)*$N$99)*INDEX($C$31:$C$41,MATCH(Pricing!$E$8,Matrix2!$B$31:$B$41,0))))+$AA$99+$W$99),,((VLOOKUP($K$80,$G$26:$H$36,2,0)*($N$99-($N$99*$C$44))+S$75)))</f>
        <v>0</v>
      </c>
      <c r="T80" s="59">
        <f>IF(ISNA(((VLOOKUP($K$80,$G$26:$H$36,2,0)*$N$100)-((VLOOKUP($K$80,$G$26:$H$36,2,0)*$N$100)*INDEX($C$31:$C$41,MATCH(Pricing!$E$8,Matrix2!$B$31:$B$41,0))))+$AA$100+$W$100),,((VLOOKUP($K$80,$G$26:$H$36,2,0)*($N$100-($N$100*$C$44))+T$75)))</f>
        <v>0</v>
      </c>
      <c r="U80" s="59">
        <f>IF(ISNA(((VLOOKUP($K$80,$G$26:$H$36,2,0)*$N$101)-((VLOOKUP($K$80,$G$26:$H$36,2,0)*$N$101)*INDEX($C$31:$C$41,MATCH(Pricing!$E$8,Matrix2!$B$31:$B$41,0))))+$AA$101+$W$101),,((VLOOKUP($K$80,$G$26:$H$36,2,0)*($N$101-($N$101*$C$44))+U$75)))</f>
        <v>0</v>
      </c>
      <c r="V80" s="59">
        <f>IF(ISNA(((VLOOKUP($K$80,$G$26:$H$36,2,0)*$N$102)-((VLOOKUP($K$80,$G$26:$H$36,2,0)*$N$102)*INDEX($C$31:$C$41,MATCH(Pricing!$E$8,Matrix2!$B$31:$B$41,0))))+$AA$102+$W$102),,((VLOOKUP($K$80,$G$26:$H$36,2,0)*($N$102-($N$102*$C$44))+V$75)))</f>
        <v>0</v>
      </c>
      <c r="W80" s="59">
        <f>IF(ISNA(((VLOOKUP($K$80,$G$26:$H$36,2,0)*$N$103)-((VLOOKUP($K$80,$G$26:$H$36,2,0)*$N$103)*INDEX($C$31:$C$41,MATCH(Pricing!$E$8,Matrix2!$B$31:$B$41,0))))+$AA$103+$W$103),,((VLOOKUP($K$80,$G$26:$H$36,2,0)*($N$103-($N$103*$C$44))+W$75)))</f>
        <v>0</v>
      </c>
      <c r="X80" s="59">
        <f>IF(ISNA(((VLOOKUP($K$80,$G$26:$H$36,2,0)*$N$104)-((VLOOKUP($K$80,$G$26:$H$36,2,0)*$N$104)*INDEX($C$31:$C$41,MATCH(Pricing!$E$8,Matrix2!$B$31:$B$41,0))))+$AA$104+$W$104),,((VLOOKUP($K$80,$G$26:$H$36,2,0)*($N$104-($N$104*$C$44))+X$75)))</f>
        <v>0</v>
      </c>
      <c r="Y80" s="59">
        <f>IF(ISNA(((VLOOKUP($K$80,$G$26:$H$36,2,0)*$N$105)-((VLOOKUP($K$80,$G$26:$H$36,2,0)*$N$105)*INDEX($C$31:$C$41,MATCH(Pricing!$E$8,Matrix2!$B$31:$B$41,0))))+$AA$105+$W$105),,((VLOOKUP($K$80,$G$26:$H$36,2,0)*($N$105-($N$105*$C$44))+Y$75)))</f>
        <v>0</v>
      </c>
      <c r="Z80" s="59">
        <f>IF(ISNA(((VLOOKUP($K$80,$G$26:$H$36,2,0)*$N$106)-((VLOOKUP($K$80,$G$26:$H$36,2,0)*$N$106)*INDEX($C$31:$C$41,MATCH(Pricing!$E$8,Matrix2!$B$31:$B$41,0))))+$AA$106+$W$106),,((VLOOKUP($K$80,$G$26:$H$36,2,0)*($N$106-($N$106*$C$44))+Z$75)))</f>
        <v>0</v>
      </c>
      <c r="AA80" s="403">
        <f t="shared" si="35"/>
        <v>0</v>
      </c>
    </row>
    <row r="81" spans="11:32">
      <c r="K81" s="27" t="str">
        <f t="shared" si="36"/>
        <v>Cuba</v>
      </c>
      <c r="L81" s="59">
        <f>IF(ISNA(((VLOOKUP($K$81,$G$26:$H$36,2,0)*$N$92)-((VLOOKUP($K$81,$G$26:$H$36,2,0)*$N$92)*INDEX($C$31:$C$41,MATCH(Pricing!$E$8,Matrix2!$B$31:$B$41,0))))+$AA$92+$W$92),,((VLOOKUP($K$81,$G$26:$H$36,2,0)*$N$92)+L$75))</f>
        <v>0</v>
      </c>
      <c r="M81" s="59">
        <f>IF(ISNA(((VLOOKUP($K$81,$G$26:$H$36,2,0)*$N$93)-((VLOOKUP($K$81,$G$26:$H$36,2,0)*$N$93)*INDEX($C$31:$C$41,MATCH(Pricing!$E$8,Matrix2!$B$31:$B$41,0))))+$AA$93+$W$93),,((VLOOKUP($K$81,$G$26:$H$36,2,0)*$N$93)+M$75))</f>
        <v>0</v>
      </c>
      <c r="N81" s="59">
        <f>IF(ISNA(((VLOOKUP($K$81,$G$26:$H$36,2,0)*$N$94)-((VLOOKUP($K$81,$G$26:$H$36,2,0)*$N$94)*INDEX($C$31:$C$41,MATCH(Pricing!$E$8,Matrix2!$B$31:$B$41,0))))+$AA$94+$W$94),,((VLOOKUP($K$81,$G$26:$H$36,2,0)*$N$94)+N$75))</f>
        <v>0</v>
      </c>
      <c r="O81" s="59">
        <f>IF(ISNA(((VLOOKUP($K$81,$G$26:$H$36,2,0)*$N$95)-((VLOOKUP($K$81,$G$26:$H$36,2,0)*$N$95)*INDEX($C$31:$C$41,MATCH(Pricing!$E$8,Matrix2!$B$31:$B$41,0))))+$AA$95+$W$95),,((VLOOKUP($K$81,$G$26:$H$36,2,0)*$N$95)+O$75))</f>
        <v>0</v>
      </c>
      <c r="P81" s="59">
        <f>IF(ISNA(((VLOOKUP($K$81,$G$26:$H$36,2,0)*$N$96)-((VLOOKUP($K$81,$G$26:$H$36,2,0)*$N$96)*INDEX($C$31:$C$41,MATCH(Pricing!$E$8,Matrix2!$B$31:$B$41,0))))+$AA$96+$W$96),,((VLOOKUP($K$81,$G$26:$H$36,2,0)*$N$96)+P$75))</f>
        <v>0</v>
      </c>
      <c r="Q81" s="59">
        <f>IF(ISNA(((VLOOKUP($K$81,$G$26:$H$36,2,0)*$N$97)-((VLOOKUP($K$81,$G$26:$H$36,2,0)*$N$97)*INDEX($C$31:$C$41,MATCH(Pricing!$E$8,Matrix2!$B$31:$B$41,0))))+$AA$97+$W$97),,((VLOOKUP($K$81,$G$26:$H$36,2,0)*$N$97)+Q$75))</f>
        <v>0</v>
      </c>
      <c r="R81" s="59">
        <f>IF(ISNA(((VLOOKUP($K$81,$G$26:$H$36,2,0)*$N$98)-((VLOOKUP($K$81,$G$26:$H$36,2,0)*$N$98)*INDEX($C$31:$C$41,MATCH(Pricing!$E$8,Matrix2!$B$31:$B$41,0))))+$AA$98+$W$98),,((VLOOKUP($K$81,$G$26:$H$36,2,0)*$N$98)+R$75))</f>
        <v>0</v>
      </c>
      <c r="S81" s="59">
        <f>IF(ISNA(((VLOOKUP($K$81,$G$26:$H$36,2,0)*$N$99)-((VLOOKUP($K$81,$G$26:$H$36,2,0)*$N$99)*INDEX($C$31:$C$41,MATCH(Pricing!$E$8,Matrix2!$B$31:$B$41,0))))+$AA$99+$W$99),,((VLOOKUP($K$81,$G$26:$H$36,2,0)*$N$99)+S$75))</f>
        <v>0</v>
      </c>
      <c r="T81" s="59">
        <f>IF(ISNA(((VLOOKUP($K$81,$G$26:$H$36,2,0)*$N$100)-((VLOOKUP($K$81,$G$26:$H$36,2,0)*$N$100)*INDEX($C$31:$C$41,MATCH(Pricing!$E$8,Matrix2!$B$31:$B$41,0))))+$AA$100+$W$100),,((VLOOKUP($K$81,$G$26:$H$36,2,0)*$N$100)+T$75))</f>
        <v>0</v>
      </c>
      <c r="U81" s="59">
        <f>IF(ISNA(((VLOOKUP($K$81,$G$26:$H$36,2,0)*$N$101)-((VLOOKUP($K$81,$G$26:$H$36,2,0)*$N$101)*INDEX($C$31:$C$41,MATCH(Pricing!$E$8,Matrix2!$B$31:$B$41,0))))+$AA$101+$W$101),,((VLOOKUP($K$81,$G$26:$H$36,2,0)*$N$101)+U$75))</f>
        <v>0</v>
      </c>
      <c r="V81" s="59">
        <f>IF(ISNA(((VLOOKUP($K$81,$G$26:$H$36,2,0)*$N$102)-((VLOOKUP($K$81,$G$26:$H$36,2,0)*$N$102)*INDEX($C$31:$C$41,MATCH(Pricing!$E$8,Matrix2!$B$31:$B$41,0))))+$AA$102+$W$102),,((VLOOKUP($K$81,$G$26:$H$36,2,0)*$N$102)+V$75))</f>
        <v>0</v>
      </c>
      <c r="W81" s="59">
        <f>IF(ISNA(((VLOOKUP($K$81,$G$26:$H$36,2,0)*$N$103)-((VLOOKUP($K$81,$G$26:$H$36,2,0)*$N$103)*INDEX($C$31:$C$41,MATCH(Pricing!$E$8,Matrix2!$B$31:$B$41,0))))+$AA$103+$W$103),,((VLOOKUP($K$81,$G$26:$H$36,2,0)*$N$103)+W$75))</f>
        <v>0</v>
      </c>
      <c r="X81" s="59">
        <f>IF(ISNA(((VLOOKUP($K$81,$G$26:$H$36,2,0)*$N$104)-((VLOOKUP($K$81,$G$26:$H$36,2,0)*$N$104)*INDEX($C$31:$C$41,MATCH(Pricing!$E$8,Matrix2!$B$31:$B$41,0))))+$AA$104+$W$104),,((VLOOKUP($K$81,$G$26:$H$36,2,0)*$N$104)+X$75))</f>
        <v>0</v>
      </c>
      <c r="Y81" s="59">
        <f>IF(ISNA(((VLOOKUP($K$81,$G$26:$H$36,2,0)*$N$105)-((VLOOKUP($K$81,$G$26:$H$36,2,0)*$N$105)*INDEX($C$31:$C$41,MATCH(Pricing!$E$8,Matrix2!$B$31:$B$41,0))))+$AA$105+$W$105),,((VLOOKUP($K$81,$G$26:$H$36,2,0)*$N$105)+Y$75))</f>
        <v>0</v>
      </c>
      <c r="Z81" s="59">
        <f>IF(ISNA(((VLOOKUP($K$81,$G$26:$H$36,2,0)*$N$106)-((VLOOKUP($K$81,$G$26:$H$36,2,0)*$N$106)*INDEX($C$31:$C$41,MATCH(Pricing!$E$8,Matrix2!$B$31:$B$41,0))))+$AA$106+$W$106),,((VLOOKUP($K$81,$G$26:$H$36,2,0)*$N$106)+Z$75))</f>
        <v>0</v>
      </c>
      <c r="AA81" s="403">
        <f t="shared" si="35"/>
        <v>0</v>
      </c>
    </row>
    <row r="82" spans="11:32">
      <c r="K82" s="27" t="str">
        <f t="shared" si="36"/>
        <v>Fiji</v>
      </c>
      <c r="L82" s="59">
        <f>IF(ISNA(((VLOOKUP($K$82,$G$26:$H$36,2,0)*$N$92)-((VLOOKUP($K$82,$G$26:$H$36,2,0)*$N$92)*INDEX($C$31:$C$41,MATCH(Pricing!$E$8,Matrix2!$B$31:$B$41,0))))+$AA$92+$W$92),,((VLOOKUP($K$82,$G$26:$H$36,2,0)*$N$92)+L$75))</f>
        <v>0</v>
      </c>
      <c r="M82" s="59">
        <f>IF(ISNA(((VLOOKUP($K$82,$G$26:$H$36,2,0)*$N$93)-((VLOOKUP($K$82,$G$26:$H$36,2,0)*$N$93)*INDEX($C$31:$C$41,MATCH(Pricing!$E$8,Matrix2!$B$31:$B$41,0))))+$AA$93+$W$93),,((VLOOKUP($K$82,$G$26:$H$36,2,0)*$N$93)+M$75))</f>
        <v>0</v>
      </c>
      <c r="N82" s="59">
        <f>IF(ISNA(((VLOOKUP($K$82,$G$26:$H$36,2,0)*$N$94)-((VLOOKUP($K$82,$G$26:$H$36,2,0)*$N$94)*INDEX($C$31:$C$41,MATCH(Pricing!$E$8,Matrix2!$B$31:$B$41,0))))+$AA$94+$W$94),,((VLOOKUP($K$82,$G$26:$H$36,2,0)*$N$94)+N$75))</f>
        <v>0</v>
      </c>
      <c r="O82" s="59">
        <f>IF(ISNA(((VLOOKUP($K$82,$G$26:$H$36,2,0)*$N$95)-((VLOOKUP($K$82,$G$26:$H$36,2,0)*$N$95)*INDEX($C$31:$C$41,MATCH(Pricing!$E$8,Matrix2!$B$31:$B$41,0))))+$AA$95+$W$95),,((VLOOKUP($K$82,$G$26:$H$36,2,0)*$N$95)+O$75))</f>
        <v>0</v>
      </c>
      <c r="P82" s="59">
        <f>IF(ISNA(((VLOOKUP($K$82,$G$26:$H$36,2,0)*$N$96)-((VLOOKUP($K$82,$G$26:$H$36,2,0)*$N$96)*INDEX($C$31:$C$41,MATCH(Pricing!$E$8,Matrix2!$B$31:$B$41,0))))+$AA$96+$W$96),,((VLOOKUP($K$82,$G$26:$H$36,2,0)*$N$96)+P$75))</f>
        <v>0</v>
      </c>
      <c r="Q82" s="59">
        <f>IF(ISNA(((VLOOKUP($K$82,$G$26:$H$36,2,0)*$N$97)-((VLOOKUP($K$82,$G$26:$H$36,2,0)*$N$97)*INDEX($C$31:$C$41,MATCH(Pricing!$E$8,Matrix2!$B$31:$B$41,0))))+$AA$97+$W$97),,((VLOOKUP($K$82,$G$26:$H$36,2,0)*$N$97)+Q$75))</f>
        <v>0</v>
      </c>
      <c r="R82" s="59">
        <f>IF(ISNA(((VLOOKUP($K$82,$G$26:$H$36,2,0)*$N$98)-((VLOOKUP($K$82,$G$26:$H$36,2,0)*$N$98)*INDEX($C$31:$C$41,MATCH(Pricing!$E$8,Matrix2!$B$31:$B$41,0))))+$AA$98+$W$98),,((VLOOKUP($K$82,$G$26:$H$36,2,0)*$N$98)+R$75))</f>
        <v>0</v>
      </c>
      <c r="S82" s="59">
        <f>IF(ISNA(((VLOOKUP($K$82,$G$26:$H$36,2,0)*$N$99)-((VLOOKUP($K$82,$G$26:$H$36,2,0)*$N$99)*INDEX($C$31:$C$41,MATCH(Pricing!$E$8,Matrix2!$B$31:$B$41,0))))+$AA$99+$W$99),,((VLOOKUP($K$82,$G$26:$H$36,2,0)*$N$99)+S$75))</f>
        <v>0</v>
      </c>
      <c r="T82" s="59">
        <f>IF(ISNA(((VLOOKUP($K$82,$G$26:$H$36,2,0)*$N$100)-((VLOOKUP($K$82,$G$26:$H$36,2,0)*$N$100)*INDEX($C$31:$C$41,MATCH(Pricing!$E$8,Matrix2!$B$31:$B$41,0))))+$AA$100+$W$100),,((VLOOKUP($K$82,$G$26:$H$36,2,0)*$N$100)+T$75))</f>
        <v>0</v>
      </c>
      <c r="U82" s="59">
        <f>IF(ISNA(((VLOOKUP($K$82,$G$26:$H$36,2,0)*$N$101)-((VLOOKUP($K$82,$G$26:$H$36,2,0)*$N$101)*INDEX($C$31:$C$41,MATCH(Pricing!$E$8,Matrix2!$B$31:$B$41,0))))+$AA$101+$W$101),,((VLOOKUP($K$82,$G$26:$H$36,2,0)*$N$101)+U$75))</f>
        <v>0</v>
      </c>
      <c r="V82" s="59">
        <f>IF(ISNA(((VLOOKUP($K$82,$G$26:$H$36,2,0)*$N$102)-((VLOOKUP($K$82,$G$26:$H$36,2,0)*$N$102)*INDEX($C$31:$C$41,MATCH(Pricing!$E$8,Matrix2!$B$31:$B$41,0))))+$AA$102+$W$102),,((VLOOKUP($K$82,$G$26:$H$36,2,0)*$N$102)+V$75))</f>
        <v>0</v>
      </c>
      <c r="W82" s="59">
        <f>IF(ISNA(((VLOOKUP($K$82,$G$26:$H$36,2,0)*$N$103)-((VLOOKUP($K$82,$G$26:$H$36,2,0)*$N$103)*INDEX($C$31:$C$41,MATCH(Pricing!$E$8,Matrix2!$B$31:$B$41,0))))+$AA$103+$W$103),,((VLOOKUP($K$82,$G$26:$H$36,2,0)*$N$103)+W$75))</f>
        <v>0</v>
      </c>
      <c r="X82" s="59">
        <f>IF(ISNA(((VLOOKUP($K$82,$G$26:$H$36,2,0)*$N$104)-((VLOOKUP($K$82,$G$26:$H$36,2,0)*$N$104)*INDEX($C$31:$C$41,MATCH(Pricing!$E$8,Matrix2!$B$31:$B$41,0))))+$AA$104+$W$104),,((VLOOKUP($K$82,$G$26:$H$36,2,0)*$N$104)+X$75))</f>
        <v>0</v>
      </c>
      <c r="Y82" s="59">
        <f>IF(ISNA(((VLOOKUP($K$82,$G$26:$H$36,2,0)*$N$105)-((VLOOKUP($K$82,$G$26:$H$36,2,0)*$N$105)*INDEX($C$31:$C$41,MATCH(Pricing!$E$8,Matrix2!$B$31:$B$41,0))))+$AA$105+$W$105),,((VLOOKUP($K$82,$G$26:$H$36,2,0)*$N$105)+Y$75))</f>
        <v>0</v>
      </c>
      <c r="Z82" s="59">
        <f>IF(ISNA(((VLOOKUP($K$82,$G$26:$H$36,2,0)*$N$106)-((VLOOKUP($K$82,$G$26:$H$36,2,0)*$N$106)*INDEX($C$31:$C$41,MATCH(Pricing!$E$8,Matrix2!$B$31:$B$41,0))))+$AA$106+$W$106),,((VLOOKUP($K$82,$G$26:$H$36,2,0)*$N$106)+Z$75))</f>
        <v>0</v>
      </c>
      <c r="AA82" s="403">
        <f t="shared" si="35"/>
        <v>0</v>
      </c>
    </row>
    <row r="83" spans="11:32">
      <c r="K83" s="27" t="str">
        <f t="shared" si="36"/>
        <v>Java</v>
      </c>
      <c r="L83" s="59">
        <f>IF(ISNA(((VLOOKUP($K$83,$G$26:$H$36,2,0)*$N$92)-((VLOOKUP($K$83,$G$26:$H$36,2,0)*$N$92)*INDEX($C$31:$C$41,MATCH(Pricing!$E$8,Matrix2!$B$31:$B$41,0))))+$AA$92+$W$92),,((VLOOKUP($K$83,$G$26:$H$36,2,0)*$N$92)+L$75))</f>
        <v>0</v>
      </c>
      <c r="M83" s="59">
        <f>IF(ISNA(((VLOOKUP($K$83,$G$26:$H$36,2,0)*$N$93)-((VLOOKUP($K$83,$G$26:$H$36,2,0)*$N$93)*INDEX($C$31:$C$41,MATCH(Pricing!$E$8,Matrix2!$B$31:$B$41,0))))+$AA$93+$W$93),,((VLOOKUP($K$83,$G$26:$H$36,2,0)*$N$93)+M$75))</f>
        <v>0</v>
      </c>
      <c r="N83" s="59">
        <f>IF(ISNA(((VLOOKUP($K$83,$G$26:$H$36,2,0)*$N$94)-((VLOOKUP($K$83,$G$26:$H$36,2,0)*$N$94)*INDEX($C$31:$C$41,MATCH(Pricing!$E$8,Matrix2!$B$31:$B$41,0))))+$AA$94+$W$94),,((VLOOKUP($K$83,$G$26:$H$36,2,0)*$N$94)+N$75))</f>
        <v>0</v>
      </c>
      <c r="O83" s="59">
        <f>IF(ISNA(((VLOOKUP($K$83,$G$26:$H$36,2,0)*$N$95)-((VLOOKUP($K$83,$G$26:$H$36,2,0)*$N$95)*INDEX($C$31:$C$41,MATCH(Pricing!$E$8,Matrix2!$B$31:$B$41,0))))+$AA$95+$W$95),,((VLOOKUP($K$83,$G$26:$H$36,2,0)*$N$95)+O$75))</f>
        <v>0</v>
      </c>
      <c r="P83" s="59">
        <f>IF(ISNA(((VLOOKUP($K$83,$G$26:$H$36,2,0)*$N$96)-((VLOOKUP($K$83,$G$26:$H$36,2,0)*$N$96)*INDEX($C$31:$C$41,MATCH(Pricing!$E$8,Matrix2!$B$31:$B$41,0))))+$AA$96+$W$96),,((VLOOKUP($K$83,$G$26:$H$36,2,0)*$N$96)+P$75))</f>
        <v>0</v>
      </c>
      <c r="Q83" s="59">
        <f>IF(ISNA(((VLOOKUP($K$83,$G$26:$H$36,2,0)*$N$97)-((VLOOKUP($K$83,$G$26:$H$36,2,0)*$N$97)*INDEX($C$31:$C$41,MATCH(Pricing!$E$8,Matrix2!$B$31:$B$41,0))))+$AA$97+$W$97),,((VLOOKUP($K$83,$G$26:$H$36,2,0)*$N$97)+Q$75))</f>
        <v>0</v>
      </c>
      <c r="R83" s="59">
        <f>IF(ISNA(((VLOOKUP($K$83,$G$26:$H$36,2,0)*$N$98)-((VLOOKUP($K$83,$G$26:$H$36,2,0)*$N$98)*INDEX($C$31:$C$41,MATCH(Pricing!$E$8,Matrix2!$B$31:$B$41,0))))+$AA$98+$W$98),,((VLOOKUP($K$83,$G$26:$H$36,2,0)*$N$98)+R$75))</f>
        <v>0</v>
      </c>
      <c r="S83" s="59">
        <f>IF(ISNA(((VLOOKUP($K$83,$G$26:$H$36,2,0)*$N$99)-((VLOOKUP($K$83,$G$26:$H$36,2,0)*$N$99)*INDEX($C$31:$C$41,MATCH(Pricing!$E$8,Matrix2!$B$31:$B$41,0))))+$AA$99+$W$99),,((VLOOKUP($K$83,$G$26:$H$36,2,0)*$N$99)+S$75))</f>
        <v>0</v>
      </c>
      <c r="T83" s="59">
        <f>IF(ISNA(((VLOOKUP($K$83,$G$26:$H$36,2,0)*$N$100)-((VLOOKUP($K$83,$G$26:$H$36,2,0)*$N$100)*INDEX($C$31:$C$41,MATCH(Pricing!$E$8,Matrix2!$B$31:$B$41,0))))+$AA$100+$W$100),,((VLOOKUP($K$83,$G$26:$H$36,2,0)*$N$100)+T$75))</f>
        <v>0</v>
      </c>
      <c r="U83" s="59">
        <f>IF(ISNA(((VLOOKUP($K$83,$G$26:$H$36,2,0)*$N$101)-((VLOOKUP($K$83,$G$26:$H$36,2,0)*$N$101)*INDEX($C$31:$C$41,MATCH(Pricing!$E$8,Matrix2!$B$31:$B$41,0))))+$AA$101+$W$101),,((VLOOKUP($K$83,$G$26:$H$36,2,0)*$N$101)+U$75))</f>
        <v>0</v>
      </c>
      <c r="V83" s="59">
        <f>IF(ISNA(((VLOOKUP($K$83,$G$26:$H$36,2,0)*$N$102)-((VLOOKUP($K$83,$G$26:$H$36,2,0)*$N$102)*INDEX($C$31:$C$41,MATCH(Pricing!$E$8,Matrix2!$B$31:$B$41,0))))+$AA$102+$W$102),,((VLOOKUP($K$83,$G$26:$H$36,2,0)*$N$102)+V$75))</f>
        <v>0</v>
      </c>
      <c r="W83" s="59">
        <f>IF(ISNA(((VLOOKUP($K$83,$G$26:$H$36,2,0)*$N$103)-((VLOOKUP($K$83,$G$26:$H$36,2,0)*$N$103)*INDEX($C$31:$C$41,MATCH(Pricing!$E$8,Matrix2!$B$31:$B$41,0))))+$AA$103+$W$103),,((VLOOKUP($K$83,$G$26:$H$36,2,0)*$N$103)+W$75))</f>
        <v>0</v>
      </c>
      <c r="X83" s="59">
        <f>IF(ISNA(((VLOOKUP($K$83,$G$26:$H$36,2,0)*$N$104)-((VLOOKUP($K$83,$G$26:$H$36,2,0)*$N$104)*INDEX($C$31:$C$41,MATCH(Pricing!$E$8,Matrix2!$B$31:$B$41,0))))+$AA$104+$W$104),,((VLOOKUP($K$83,$G$26:$H$36,2,0)*$N$104)+X$75))</f>
        <v>0</v>
      </c>
      <c r="Y83" s="59">
        <f>IF(ISNA(((VLOOKUP($K$83,$G$26:$H$36,2,0)*$N$105)-((VLOOKUP($K$83,$G$26:$H$36,2,0)*$N$105)*INDEX($C$31:$C$41,MATCH(Pricing!$E$8,Matrix2!$B$31:$B$41,0))))+$AA$105+$W$105),,((VLOOKUP($K$83,$G$26:$H$36,2,0)*$N$105)+Y$75))</f>
        <v>0</v>
      </c>
      <c r="Z83" s="59">
        <f>IF(ISNA(((VLOOKUP($K$83,$G$26:$H$36,2,0)*$N$106)-((VLOOKUP($K$83,$G$26:$H$36,2,0)*$N$106)*INDEX($C$31:$C$41,MATCH(Pricing!$E$8,Matrix2!$B$31:$B$41,0))))+$AA$106+$W$106),,((VLOOKUP($K$83,$G$26:$H$36,2,0)*$N$106)+Z$75))</f>
        <v>0</v>
      </c>
      <c r="AA83" s="403">
        <f t="shared" si="35"/>
        <v>0</v>
      </c>
    </row>
    <row r="84" spans="11:32">
      <c r="K84" s="27" t="str">
        <f t="shared" si="36"/>
        <v>Maui</v>
      </c>
      <c r="L84" s="59">
        <f>IF(ISNA(((VLOOKUP($K$84,$G$26:$H$36,2,0)*$N$92)-((VLOOKUP($K$84,$G$26:$H$36,2,0)*$N$92)*INDEX($C$31:$C$41,MATCH(Pricing!$E$8,Matrix2!$B$31:$B$41,0))))+$AA$92+$W$92),,((VLOOKUP($K$84,$G$26:$H$36,2,0)*$N$92)+L$75))</f>
        <v>0</v>
      </c>
      <c r="M84" s="59">
        <f>IF(ISNA(((VLOOKUP($K$84,$G$26:$H$36,2,0)*$N$93)-((VLOOKUP($K$84,$G$26:$H$36,2,0)*$N$93)*INDEX($C$31:$C$41,MATCH(Pricing!$E$8,Matrix2!$B$31:$B$41,0))))+$AA$93+$W$93),,((VLOOKUP($K$84,$G$26:$H$36,2,0)*$N$93)+M$75))</f>
        <v>0</v>
      </c>
      <c r="N84" s="59">
        <f>IF(ISNA(((VLOOKUP($K$84,$G$26:$H$36,2,0)*$N$94)-((VLOOKUP($K$84,$G$26:$H$36,2,0)*$N$94)*INDEX($C$31:$C$41,MATCH(Pricing!$E$8,Matrix2!$B$31:$B$41,0))))+$AA$94+$W$94),,((VLOOKUP($K$84,$G$26:$H$36,2,0)*$N$94)+N$75))</f>
        <v>0</v>
      </c>
      <c r="O84" s="59">
        <f>IF(ISNA(((VLOOKUP($K$84,$G$26:$H$36,2,0)*$N$95)-((VLOOKUP($K$84,$G$26:$H$36,2,0)*$N$95)*INDEX($C$31:$C$41,MATCH(Pricing!$E$8,Matrix2!$B$31:$B$41,0))))+$AA$95+$W$95),,((VLOOKUP($K$84,$G$26:$H$36,2,0)*$N$95)+O$75))</f>
        <v>0</v>
      </c>
      <c r="P84" s="59">
        <f>IF(ISNA(((VLOOKUP($K$84,$G$26:$H$36,2,0)*$N$96)-((VLOOKUP($K$84,$G$26:$H$36,2,0)*$N$96)*INDEX($C$31:$C$41,MATCH(Pricing!$E$8,Matrix2!$B$31:$B$41,0))))+$AA$96+$W$96),,((VLOOKUP($K$84,$G$26:$H$36,2,0)*$N$96)+P$75))</f>
        <v>0</v>
      </c>
      <c r="Q84" s="59">
        <f>IF(ISNA(((VLOOKUP($K$84,$G$26:$H$36,2,0)*$N$97)-((VLOOKUP($K$84,$G$26:$H$36,2,0)*$N$97)*INDEX($C$31:$C$41,MATCH(Pricing!$E$8,Matrix2!$B$31:$B$41,0))))+$AA$97+$W$97),,((VLOOKUP($K$84,$G$26:$H$36,2,0)*$N$97)+Q$75))</f>
        <v>0</v>
      </c>
      <c r="R84" s="59">
        <f>IF(ISNA(((VLOOKUP($K$84,$G$26:$H$36,2,0)*$N$98)-((VLOOKUP($K$84,$G$26:$H$36,2,0)*$N$98)*INDEX($C$31:$C$41,MATCH(Pricing!$E$8,Matrix2!$B$31:$B$41,0))))+$AA$98+$W$98),,((VLOOKUP($K$84,$G$26:$H$36,2,0)*$N$98)+R$75))</f>
        <v>0</v>
      </c>
      <c r="S84" s="59">
        <f>IF(ISNA(((VLOOKUP($K$84,$G$26:$H$36,2,0)*$N$99)-((VLOOKUP($K$84,$G$26:$H$36,2,0)*$N$99)*INDEX($C$31:$C$41,MATCH(Pricing!$E$8,Matrix2!$B$31:$B$41,0))))+$AA$99+$W$99),,((VLOOKUP($K$84,$G$26:$H$36,2,0)*$N$99)+S$75))</f>
        <v>0</v>
      </c>
      <c r="T84" s="59">
        <f>IF(ISNA(((VLOOKUP($K$84,$G$26:$H$36,2,0)*$N$100)-((VLOOKUP($K$84,$G$26:$H$36,2,0)*$N$100)*INDEX($C$31:$C$41,MATCH(Pricing!$E$8,Matrix2!$B$31:$B$41,0))))+$AA$100+$W$100),,((VLOOKUP($K$84,$G$26:$H$36,2,0)*$N$100)+T$75))</f>
        <v>0</v>
      </c>
      <c r="U84" s="59">
        <f>IF(ISNA(((VLOOKUP($K$84,$G$26:$H$36,2,0)*$N$101)-((VLOOKUP($K$84,$G$26:$H$36,2,0)*$N$101)*INDEX($C$31:$C$41,MATCH(Pricing!$E$8,Matrix2!$B$31:$B$41,0))))+$AA$101+$W$101),,((VLOOKUP($K$84,$G$26:$H$36,2,0)*$N$101)+U$75))</f>
        <v>0</v>
      </c>
      <c r="V84" s="59">
        <f>IF(ISNA(((VLOOKUP($K$84,$G$26:$H$36,2,0)*$N$102)-((VLOOKUP($K$84,$G$26:$H$36,2,0)*$N$102)*INDEX($C$31:$C$41,MATCH(Pricing!$E$8,Matrix2!$B$31:$B$41,0))))+$AA$102+$W$102),,((VLOOKUP($K$84,$G$26:$H$36,2,0)*$N$102)+V$75))</f>
        <v>0</v>
      </c>
      <c r="W84" s="59">
        <f>IF(ISNA(((VLOOKUP($K$84,$G$26:$H$36,2,0)*$N$103)-((VLOOKUP($K$84,$G$26:$H$36,2,0)*$N$103)*INDEX($C$31:$C$41,MATCH(Pricing!$E$8,Matrix2!$B$31:$B$41,0))))+$AA$103+$W$103),,((VLOOKUP($K$84,$G$26:$H$36,2,0)*$N$103)+W$75))</f>
        <v>0</v>
      </c>
      <c r="X84" s="59">
        <f>IF(ISNA(((VLOOKUP($K$84,$G$26:$H$36,2,0)*$N$104)-((VLOOKUP($K$84,$G$26:$H$36,2,0)*$N$104)*INDEX($C$31:$C$41,MATCH(Pricing!$E$8,Matrix2!$B$31:$B$41,0))))+$AA$104+$W$104),,((VLOOKUP($K$84,$G$26:$H$36,2,0)*$N$104)+X$75))</f>
        <v>0</v>
      </c>
      <c r="Y84" s="59">
        <f>IF(ISNA(((VLOOKUP($K$84,$G$26:$H$36,2,0)*$N$105)-((VLOOKUP($K$84,$G$26:$H$36,2,0)*$N$105)*INDEX($C$31:$C$41,MATCH(Pricing!$E$8,Matrix2!$B$31:$B$41,0))))+$AA$105+$W$105),,((VLOOKUP($K$84,$G$26:$H$36,2,0)*$N$105)+Y$75))</f>
        <v>0</v>
      </c>
      <c r="Z84" s="59">
        <f>IF(ISNA(((VLOOKUP($K$84,$G$26:$H$36,2,0)*$N$106)-((VLOOKUP($K$84,$G$26:$H$36,2,0)*$N$106)*INDEX($C$31:$C$41,MATCH(Pricing!$E$8,Matrix2!$B$31:$B$41,0))))+$AA$106+$W$106),,((VLOOKUP($K$84,$G$26:$H$36,2,0)*$N$106)+Z$75))</f>
        <v>0</v>
      </c>
      <c r="AA84" s="403">
        <f t="shared" si="35"/>
        <v>0</v>
      </c>
    </row>
    <row r="85" spans="11:32" ht="15" thickBot="1">
      <c r="K85" s="27" t="str">
        <f t="shared" si="36"/>
        <v>Tahiti</v>
      </c>
      <c r="L85" s="59">
        <f>IF(ISNA(((VLOOKUP($K$85,$G$26:$H$36,2,0)*$N$92)-((VLOOKUP($K$85,$G$26:$H$36,2,0)*$N$92)*INDEX($C$31:$C$41,MATCH(Pricing!$E$8,Matrix2!$B$31:$B$41,0))))+$AA$92+$W$92),,((VLOOKUP($K$85,$G$26:$H$36,2,0)*($N$92-($N92*$C$44)))+L$75))</f>
        <v>0</v>
      </c>
      <c r="M85" s="59">
        <f>IF(ISNA(((VLOOKUP($K$85,$G$26:$H$36,2,0)*$N$93)-((VLOOKUP($K$85,$G$26:$H$36,2,0)*$N$93)*INDEX($C$31:$C$41,MATCH(Pricing!$E$8,Matrix2!$B$31:$B$41,0))))+$AA$93+$W$93),,((VLOOKUP($K$85,$G$26:$H$36,2,0)*($N$93-($N93*$C$44)))+M$75))</f>
        <v>0</v>
      </c>
      <c r="N85" s="59">
        <f>IF(ISNA(((VLOOKUP($K$85,$G$26:$H$36,2,0)*$N$94)-((VLOOKUP($K$85,$G$26:$H$36,2,0)*$N$94)*INDEX($C$31:$C$41,MATCH(Pricing!$E$8,Matrix2!$B$31:$B$41,0))))+$AA$94+$W$94),,((VLOOKUP($K$85,$G$26:$H$36,2,0)*($N$94-($N94*$C$44)))+N$75))</f>
        <v>0</v>
      </c>
      <c r="O85" s="59">
        <f>IF(ISNA(((VLOOKUP($K$85,$G$26:$H$36,2,0)*$N$95)-((VLOOKUP($K$85,$G$26:$H$36,2,0)*$N$95)*INDEX($C$31:$C$41,MATCH(Pricing!$E$8,Matrix2!$B$31:$B$41,0))))+$AA$95+$W$95),,((VLOOKUP($K$85,$G$26:$H$36,2,0)*($N$95-($N95*$C$44)))+O$75))</f>
        <v>0</v>
      </c>
      <c r="P85" s="59">
        <f>IF(ISNA(((VLOOKUP($K$85,$G$26:$H$36,2,0)*$N$96)-((VLOOKUP($K$85,$G$26:$H$36,2,0)*$N$96)*INDEX($C$31:$C$41,MATCH(Pricing!$E$8,Matrix2!$B$31:$B$41,0))))+$AA$96+$W$96),,((VLOOKUP($K$85,$G$26:$H$36,2,0)*($N$96-($N96*$C$44)))+P$75))</f>
        <v>0</v>
      </c>
      <c r="Q85" s="59">
        <f>IF(ISNA(((VLOOKUP($K$85,$G$26:$H$36,2,0)*$N$97)-((VLOOKUP($K$85,$G$26:$H$36,2,0)*$N$97)*INDEX($C$31:$C$41,MATCH(Pricing!$E$8,Matrix2!$B$31:$B$41,0))))+$AA$97+$W$97),,((VLOOKUP($K$85,$G$26:$H$36,2,0)*($N$97-($N97*$C$44)))+Q$75))</f>
        <v>0</v>
      </c>
      <c r="R85" s="59">
        <f>IF(ISNA(((VLOOKUP($K$85,$G$26:$H$36,2,0)*$N$98)-((VLOOKUP($K$85,$G$26:$H$36,2,0)*$N$98)*INDEX($C$31:$C$41,MATCH(Pricing!$E$8,Matrix2!$B$31:$B$41,0))))+$AA$98+$W$98),,((VLOOKUP($K$85,$G$26:$H$36,2,0)*($N$98-($N98*$C$44)))+R$75))</f>
        <v>0</v>
      </c>
      <c r="S85" s="59">
        <f>IF(ISNA(((VLOOKUP($K$85,$G$26:$H$36,2,0)*$N$99)-((VLOOKUP($K$85,$G$26:$H$36,2,0)*$N$99)*INDEX($C$31:$C$41,MATCH(Pricing!$E$8,Matrix2!$B$31:$B$41,0))))+$AA$99+$W$99),,((VLOOKUP($K$85,$G$26:$H$36,2,0)*($N$99-($N99*$C$44)))+S$75))</f>
        <v>0</v>
      </c>
      <c r="T85" s="59">
        <f>IF(ISNA(((VLOOKUP($K$85,$G$26:$H$36,2,0)*$N$100)-((VLOOKUP($K$85,$G$26:$H$36,2,0)*$N$100)*INDEX($C$31:$C$41,MATCH(Pricing!$E$8,Matrix2!$B$31:$B$41,0))))+$AA$100+$W$100),,((VLOOKUP($K$85,$G$26:$H$36,2,0)*($N$100-($N100*$C$44)))+T$75))</f>
        <v>0</v>
      </c>
      <c r="U85" s="59">
        <f>IF(ISNA(((VLOOKUP($K$85,$G$26:$H$36,2,0)*$N$101)-((VLOOKUP($K$85,$G$26:$H$36,2,0)*$N$101)*INDEX($C$31:$C$41,MATCH(Pricing!$E$8,Matrix2!$B$31:$B$41,0))))+$AA$101+$W$101),,((VLOOKUP($K$85,$G$26:$H$36,2,0)*($N$101-($N101*$C$44)))+U$75))</f>
        <v>0</v>
      </c>
      <c r="V85" s="59">
        <f>IF(ISNA(((VLOOKUP($K$85,$G$26:$H$36,2,0)*$N$102)-((VLOOKUP($K$85,$G$26:$H$36,2,0)*$N$102)*INDEX($C$31:$C$41,MATCH(Pricing!$E$8,Matrix2!$B$31:$B$41,0))))+$AA$102+$W$102),,((VLOOKUP($K$85,$G$26:$H$36,2,0)*($N$102-($N102*$C$44)))+V$75))</f>
        <v>0</v>
      </c>
      <c r="W85" s="59">
        <f>IF(ISNA(((VLOOKUP($K$85,$G$26:$H$36,2,0)*$N$103)-((VLOOKUP($K$85,$G$26:$H$36,2,0)*$N$103)*INDEX($C$31:$C$41,MATCH(Pricing!$E$8,Matrix2!$B$31:$B$41,0))))+$AA$103+$W$103),,((VLOOKUP($K$85,$G$26:$H$36,2,0)*($N$103-($N103*$C$44)))+W$75))</f>
        <v>0</v>
      </c>
      <c r="X85" s="59">
        <f>IF(ISNA(((VLOOKUP($K$85,$G$26:$H$36,2,0)*$N$104)-((VLOOKUP($K$85,$G$26:$H$36,2,0)*$N$104)*INDEX($C$31:$C$41,MATCH(Pricing!$E$8,Matrix2!$B$31:$B$41,0))))+$AA$104+$W$104),,((VLOOKUP($K$85,$G$26:$H$36,2,0)*($N$104-($N104*$C$44)))+X$75))</f>
        <v>0</v>
      </c>
      <c r="Y85" s="59">
        <f>IF(ISNA(((VLOOKUP($K$85,$G$26:$H$36,2,0)*$N$105)-((VLOOKUP($K$85,$G$26:$H$36,2,0)*$N$105)*INDEX($C$31:$C$41,MATCH(Pricing!$E$8,Matrix2!$B$31:$B$41,0))))+$AA$105+$W$105),,((VLOOKUP($K$85,$G$26:$H$36,2,0)*($N$105-($N105*$C$44)))+Y$75))</f>
        <v>0</v>
      </c>
      <c r="Z85" s="59">
        <f>IF(ISNA(((VLOOKUP($K$85,$G$26:$H$36,2,0)*$N$106)-((VLOOKUP($K$85,$G$26:$H$36,2,0)*$N$106)*INDEX($C$31:$C$41,MATCH(Pricing!$E$8,Matrix2!$B$31:$B$41,0))))+$AA$106+$W$106),,((VLOOKUP($K$85,$G$26:$H$36,2,0)*($N$106-($N106*$C$44)))+Z$75))</f>
        <v>0</v>
      </c>
      <c r="AA85" s="404">
        <f t="shared" si="35"/>
        <v>0</v>
      </c>
      <c r="AD85" s="1009" t="s">
        <v>552</v>
      </c>
      <c r="AE85" s="1009"/>
      <c r="AF85" s="1009"/>
    </row>
    <row r="86" spans="11:32">
      <c r="K86" s="27"/>
      <c r="AC86" s="27" t="s">
        <v>18</v>
      </c>
      <c r="AD86" s="27">
        <f>INDEX(AA116:AA126,MATCH(AC86,K116:K126,0))</f>
        <v>14.405021</v>
      </c>
      <c r="AE86" s="341">
        <f t="shared" ref="AE86:AE96" si="37">AD86*VLOOKUP(AC86,$G$26:$H$36,2,0)</f>
        <v>1080.376575</v>
      </c>
    </row>
    <row r="87" spans="11:32">
      <c r="AC87" s="27" t="s">
        <v>63</v>
      </c>
      <c r="AD87" s="27">
        <f>INDEX(AA116:AA126,MATCH(AC87,K116:K126,0))</f>
        <v>14.405021</v>
      </c>
      <c r="AE87" s="341">
        <f t="shared" si="37"/>
        <v>5041.7573499999999</v>
      </c>
    </row>
    <row r="88" spans="11:32">
      <c r="AC88" s="27" t="s">
        <v>119</v>
      </c>
      <c r="AD88" s="27">
        <f>INDEX(AA116:AA126,MATCH(AC88,K116:K126,0))</f>
        <v>0</v>
      </c>
      <c r="AE88" s="341">
        <f t="shared" si="37"/>
        <v>0</v>
      </c>
    </row>
    <row r="89" spans="11:32">
      <c r="AC89" s="27" t="s">
        <v>120</v>
      </c>
      <c r="AD89" s="27" t="e">
        <f>INDEX(AA116:AA126,MATCH(AC89,K116:K126,0))</f>
        <v>#N/A</v>
      </c>
      <c r="AE89" s="341" t="e">
        <f t="shared" si="37"/>
        <v>#N/A</v>
      </c>
    </row>
    <row r="90" spans="11:32">
      <c r="K90" s="981" t="s">
        <v>553</v>
      </c>
      <c r="L90" s="981"/>
      <c r="M90" s="981"/>
      <c r="N90" s="981"/>
      <c r="O90" s="981"/>
      <c r="P90" s="981"/>
      <c r="Q90" s="981"/>
      <c r="R90" s="981"/>
      <c r="S90" s="981"/>
      <c r="T90" s="981"/>
      <c r="U90" s="981"/>
      <c r="V90" s="981"/>
      <c r="W90" s="981"/>
      <c r="X90" s="981"/>
      <c r="Y90" s="981"/>
      <c r="Z90" s="981"/>
      <c r="AA90" s="981"/>
      <c r="AC90" s="27" t="s">
        <v>122</v>
      </c>
      <c r="AD90" s="27">
        <f>INDEX(AA116:AA126,MATCH(AC90,K116:K126,0))</f>
        <v>0</v>
      </c>
      <c r="AE90" s="341">
        <f t="shared" si="37"/>
        <v>0</v>
      </c>
    </row>
    <row r="91" spans="11:32">
      <c r="L91" s="62" t="s">
        <v>519</v>
      </c>
      <c r="M91" s="4" t="s">
        <v>520</v>
      </c>
      <c r="N91" s="4" t="s">
        <v>14</v>
      </c>
      <c r="O91" s="4" t="s">
        <v>78</v>
      </c>
      <c r="P91" s="4" t="s">
        <v>521</v>
      </c>
      <c r="Q91" s="4" t="s">
        <v>522</v>
      </c>
      <c r="R91" s="4" t="s">
        <v>425</v>
      </c>
      <c r="S91" s="63" t="s">
        <v>465</v>
      </c>
      <c r="T91" s="63" t="s">
        <v>523</v>
      </c>
      <c r="U91" s="4" t="s">
        <v>524</v>
      </c>
      <c r="V91" s="4" t="s">
        <v>525</v>
      </c>
      <c r="W91" s="4" t="s">
        <v>526</v>
      </c>
      <c r="X91" t="s">
        <v>527</v>
      </c>
      <c r="Y91" s="4" t="s">
        <v>528</v>
      </c>
      <c r="Z91" t="s">
        <v>529</v>
      </c>
      <c r="AA91" s="4" t="s">
        <v>13</v>
      </c>
      <c r="AC91" s="29" t="s">
        <v>91</v>
      </c>
      <c r="AD91" s="27">
        <f>INDEX(AA116:AA126,MATCH(AC91,K116:K126,0))</f>
        <v>0</v>
      </c>
      <c r="AE91" s="341">
        <f t="shared" si="37"/>
        <v>0</v>
      </c>
    </row>
    <row r="92" spans="11:32">
      <c r="K92" t="s">
        <v>331</v>
      </c>
      <c r="L92" s="64">
        <f>IF(Pricing!AE8="Quoted",COUNTIFS(Pricing!R8:AB8,"(CB)"),)</f>
        <v>0</v>
      </c>
      <c r="M92" s="4">
        <f>IF(L92&gt;0,$C$8*ROUND(N92,0),)</f>
        <v>0</v>
      </c>
      <c r="N92" s="65">
        <f>IF(Pricing!AE8="Quoted",IF(Pricing!E8="",,Pricing!M8*Pricing!N8/1000000),)</f>
        <v>0</v>
      </c>
      <c r="O92" s="62">
        <f>IF(Pricing!AE8="Quoted",IF(AND(Pricing!E8="Capri",OR(Pricing!J8="Silent",Pricing!J8="Split Tilt",Pricing!J8="Perfect-Tilt")),ROUND($C$9-($C$9*$F$36),0.2)*N92,IF(Pricing!AE8="Quoted",IF(OR(Pricing!J8="Silent",Pricing!J8="Split Tilt"),ROUND(U92*C$9-($C$9*$C$44),0),),)),)</f>
        <v>0</v>
      </c>
      <c r="P92" s="62">
        <f>IF(Pricing!AE8="Quoted",IF(Pricing!D8="Tracked",ROUND($C$11+(Q92*$F$2),0.2),),)</f>
        <v>0</v>
      </c>
      <c r="Q92" s="66">
        <f>IF(Pricing!AE8="Quoted",IF(Pricing!D8="Tracked",IF(N92&gt;0,CONVERT(Pricing!M8,"mm","m"),),),)</f>
        <v>0</v>
      </c>
      <c r="R92" s="62">
        <f>IF(Pricing!D8="S/Shade",ROUND($F$3*N92,0.2),0)</f>
        <v>0</v>
      </c>
      <c r="S92" s="55">
        <v>0</v>
      </c>
      <c r="T92" s="4">
        <f>IF(R92&gt;0,N92,)</f>
        <v>0</v>
      </c>
      <c r="U92" s="65">
        <f>IF(Pricing!AE8="Quoted",IF(OR(Pricing!J8="Silent",Pricing!J8="Split Tilt"),N92),)</f>
        <v>0</v>
      </c>
      <c r="V92" s="55">
        <f>IF(Pricing!AE8="Quoted",IF(Pricing!D8="Shape",IF(AD19&gt;2,ROUND(C16+((AD19-2)*C17),0.2),ROUND(C16,0.2)),),)</f>
        <v>0</v>
      </c>
      <c r="W92" s="55">
        <f>IF(Pricing!D8="French Door Cutout",ROUND(Matrix2!$F$4,0.2)*LEN(AD22),)</f>
        <v>0</v>
      </c>
      <c r="X92" s="55">
        <f>IF(Pricing!AE8="Quoted",IF(OR(Pricing!F8="Custom Colour",ISNUMBER(SEARCH("Classic Black",Pricing!F8)),ISNUMBER(SEARCH("Matte Black",Pricing!F8))),ROUND(Matrix2!F11,0.2),),)</f>
        <v>0</v>
      </c>
      <c r="Y92" s="55">
        <f>IF(OR(AND(Pricing!E8&lt;&gt;"Java",Pricing!G10="Stainless Steel"),Pricing!G10="Brushed Nickel Plated"),ROUND(Matrix2!$F$12*Matrix2!N92,0.2),)</f>
        <v>0</v>
      </c>
      <c r="Z92" s="170">
        <f t="shared" ref="Z92:Z106" si="38">IF(AND(N92&lt;1,N92&gt;0),ROUND(1*$C$19,0.2),ROUND(N92*$C$19,0.2))</f>
        <v>0</v>
      </c>
      <c r="AA92" s="55">
        <f>IF(Pricing!AE8="Quoted",IF(Pricing!AC10&lt;&gt;"No",ROUND((CONVERT(Pricing!M8,"mm","m")*Pricing!AC10)*$F$14,0.2),),)</f>
        <v>0</v>
      </c>
      <c r="AC92" s="27" t="s">
        <v>123</v>
      </c>
      <c r="AD92" s="27">
        <f>INDEX(AA116:AA126,MATCH(AC92,K116:K126,0))</f>
        <v>0</v>
      </c>
      <c r="AE92" s="341">
        <f t="shared" si="37"/>
        <v>0</v>
      </c>
    </row>
    <row r="93" spans="11:32">
      <c r="K93" t="s">
        <v>334</v>
      </c>
      <c r="L93" s="64">
        <f>IF(Pricing!AE11="Quoted",COUNTIFS(Pricing!R11:AB11,"(CB)"),)</f>
        <v>0</v>
      </c>
      <c r="M93" s="4">
        <f t="shared" ref="M93:M106" si="39">IF(L93&gt;0,$C$8*ROUND(N93,0),)</f>
        <v>0</v>
      </c>
      <c r="N93" s="65">
        <f>IF(Pricing!AE11="Quoted",IF(Pricing!E11="",,Pricing!M11*Pricing!N11/1000000),)</f>
        <v>0</v>
      </c>
      <c r="O93" s="62">
        <f>IF(Pricing!AE11="Quoted",IF(AND(Pricing!E11="Capri",OR(Pricing!J11="Silent",Pricing!J11="Split Tilt",Pricing!J11="Perfect-Tilt")),ROUND($C$9-($C$9*$F$36),0.2)*N93,IF(Pricing!AE11="Quoted",IF(OR(Pricing!J11="Silent",Pricing!J11="Split Tilt"),ROUND(U93*C$9-($C$9*$C$44),0),),)),)</f>
        <v>0</v>
      </c>
      <c r="P93" s="62">
        <f>IF(Pricing!AE11="Quoted",IF(Pricing!D11="Tracked",ROUND($C$11+(Q93*$F$2),0.2),),)</f>
        <v>0</v>
      </c>
      <c r="Q93" s="66">
        <f>IF(Pricing!AE11="Quoted",IF(Pricing!D11="Tracked",IF(N93&gt;0,CONVERT(Pricing!M11,"mm","m"),),),)</f>
        <v>0</v>
      </c>
      <c r="R93" s="62">
        <f>IF(Pricing!D11="S/Shade",ROUND($F$3*N93,0.2),0)</f>
        <v>0</v>
      </c>
      <c r="S93" s="55"/>
      <c r="T93" s="4">
        <f t="shared" ref="T93:T106" si="40">IF(R93&gt;0,N93,)</f>
        <v>0</v>
      </c>
      <c r="U93" s="65">
        <f>IF(Pricing!AE11="Quoted",IF(OR(Pricing!J11="Silent",Pricing!J11="Split Tilt"),N93),)</f>
        <v>0</v>
      </c>
      <c r="V93" s="55">
        <f>IF(Pricing!AE11="Quoted",IF(Pricing!D11="Shape",IF(AE19&gt;2,ROUND(C16+((AE19-2)*C17),0.2),ROUND(C16,0.2)),),)</f>
        <v>0</v>
      </c>
      <c r="W93" s="55">
        <f>IF(Pricing!D11="French Door Cutout",ROUND(Matrix2!$F$4,0.2)*LEN(AD23),)</f>
        <v>0</v>
      </c>
      <c r="X93" s="55">
        <f>IF(Pricing!AE11="Quoted",IF(OR(Pricing!F11="Custom Colour",ISNUMBER(SEARCH("Classic Black",Pricing!F11)),ISNUMBER(SEARCH("Matte Black",Pricing!F11))),ROUND(Matrix2!F11,0.2),),)</f>
        <v>0</v>
      </c>
      <c r="Y93" s="55">
        <f>IF(OR(AND(Pricing!E11&lt;&gt;"Java",Pricing!G13="Stainless Steel"),Pricing!G13="Brushed Nickel Plated"),ROUND(Matrix2!$F$12*Matrix2!N93,0.2),)</f>
        <v>0</v>
      </c>
      <c r="Z93" s="170">
        <f t="shared" si="38"/>
        <v>0</v>
      </c>
      <c r="AA93" s="55">
        <f>IF(Pricing!AE11="Quoted",IF(Pricing!AC13&lt;&gt;"No",ROUND((CONVERT(Pricing!M11,"mm","m")*Pricing!AC13)*$F$14,0.2),),)</f>
        <v>0</v>
      </c>
      <c r="AC93" s="27" t="s">
        <v>124</v>
      </c>
      <c r="AD93" s="27">
        <f>INDEX(AA116:AA126,MATCH(AC93,K116:K126,0))</f>
        <v>0</v>
      </c>
      <c r="AE93" s="341">
        <f t="shared" si="37"/>
        <v>0</v>
      </c>
    </row>
    <row r="94" spans="11:32">
      <c r="K94" t="s">
        <v>336</v>
      </c>
      <c r="L94" s="64">
        <f>IF(Pricing!AE14="Quoted",COUNTIFS(Pricing!R14:AB14,"(CB)"),)</f>
        <v>0</v>
      </c>
      <c r="M94" s="4">
        <f t="shared" si="39"/>
        <v>0</v>
      </c>
      <c r="N94" s="65">
        <f>IF(Pricing!AE14="Quoted",IF(Pricing!E14="",,Pricing!M14*Pricing!N14/1000000),)</f>
        <v>0</v>
      </c>
      <c r="O94" s="62">
        <f>IF(Pricing!AE14="Quoted",IF(AND(Pricing!E14="Capri",OR(Pricing!J14="Silent",Pricing!J14="Split Tilt",Pricing!J14="Perfect-Tilt")),ROUND($C$9-($C$9*$F$36),0.2)*N94,IF(Pricing!AE14="Quoted",IF(OR(Pricing!J14="Silent",Pricing!J14="Split Tilt"),ROUND(U94*C$9-($C$9*$C$44),0),),)),)</f>
        <v>0</v>
      </c>
      <c r="P94" s="62">
        <f>IF(Pricing!AE14="Quoted",IF(Pricing!D14="Tracked",ROUND(($C$11+(Q94*$F$2)),0.2),),)</f>
        <v>0</v>
      </c>
      <c r="Q94" s="66">
        <f>IF(Pricing!AE14="Quoted",IF(Pricing!D14="Tracked",IF(N94&gt;0,CONVERT(Pricing!M14,"mm","m"),),),)</f>
        <v>0</v>
      </c>
      <c r="R94" s="62">
        <f>IF(Pricing!D14="S/Shade",ROUND($F$3*N94,0.2),0)</f>
        <v>0</v>
      </c>
      <c r="S94" s="55"/>
      <c r="T94" s="4">
        <f t="shared" si="40"/>
        <v>0</v>
      </c>
      <c r="U94" s="65">
        <f>IF(Pricing!AE14="Quoted",IF(OR(Pricing!J14="Silent",Pricing!J14="Split Tilt"),N94),)</f>
        <v>0</v>
      </c>
      <c r="V94" s="55">
        <f>IF(Pricing!AE14="Quoted",IF(Pricing!D14="Shape",IF(AF19&gt;2,ROUND(C16+((AF19-2)*C17),0.2),ROUND(C16,0.2)),),)</f>
        <v>0</v>
      </c>
      <c r="W94" s="55">
        <f>IF(Pricing!D14="French Door Cutout",ROUND(Matrix2!$F$4,0.2)*LEN(AD24),)</f>
        <v>0</v>
      </c>
      <c r="X94" s="55">
        <f>IF(Pricing!AE14="Quoted",IF(OR(Pricing!F14="Custom Colour",ISNUMBER(SEARCH("Classic Black",Pricing!F14)),ISNUMBER(SEARCH("Matte Black",Pricing!F14))),ROUND(Matrix2!F11,0.2),),)</f>
        <v>0</v>
      </c>
      <c r="Y94" s="55">
        <f>IF(OR(AND(Pricing!E14&lt;&gt;"Java",Pricing!G16="Stainless Steel"),Pricing!G16="Brushed Nickel Plated"),ROUND(Matrix2!$F$12*Matrix2!N94,0.2),)</f>
        <v>0</v>
      </c>
      <c r="Z94" s="170">
        <f t="shared" si="38"/>
        <v>0</v>
      </c>
      <c r="AA94" s="55">
        <f>IF(Pricing!AE14="Quoted",IF(Pricing!AC16&lt;&gt;"No",ROUND((CONVERT(Pricing!M14,"mm","m")*Pricing!AC16)*$F$14,0.2),),)</f>
        <v>0</v>
      </c>
      <c r="AC94" s="27" t="s">
        <v>125</v>
      </c>
      <c r="AD94" s="27">
        <f>INDEX(AA116:AA126,MATCH(AC94,K116:K126,0))</f>
        <v>0</v>
      </c>
      <c r="AE94" s="341">
        <f t="shared" si="37"/>
        <v>0</v>
      </c>
    </row>
    <row r="95" spans="11:32">
      <c r="K95" t="s">
        <v>338</v>
      </c>
      <c r="L95" s="64">
        <f>IF(Pricing!AE17="Quoted",COUNTIFS(Pricing!R17:AB17,"(CB)"),)</f>
        <v>0</v>
      </c>
      <c r="M95" s="4">
        <f t="shared" si="39"/>
        <v>0</v>
      </c>
      <c r="N95" s="65">
        <f>IF(Pricing!AE17="Quoted",IF(Pricing!E17="",,Pricing!M17*Pricing!N17/1000000),)</f>
        <v>0</v>
      </c>
      <c r="O95" s="62">
        <f>IF(Pricing!AE17="Quoted",IF(AND(Pricing!E17="Capri",OR(Pricing!J17="Silent",Pricing!J17="Split Tilt",Pricing!J17="Perfect-Tilt")),ROUND($C$9-($C$9*$F$36),0.2)*N95,IF(Pricing!AE17="Quoted",IF(OR(Pricing!J17="Silent",Pricing!J17="Split Tilt"),ROUND(U95*C$9-($C$9*$C$44),0),),)),)</f>
        <v>0</v>
      </c>
      <c r="P95" s="62">
        <f>IF(Pricing!AE17="Quoted",IF(Pricing!D17="Tracked",ROUND($C$11+(Q95*$F$2),0.2),),)</f>
        <v>0</v>
      </c>
      <c r="Q95" s="66">
        <f>IF(Pricing!AE17="Quoted",IF(Pricing!D17="Tracked",IF(N95&gt;0,CONVERT(Pricing!M17,"mm","m"),),),)</f>
        <v>0</v>
      </c>
      <c r="R95" s="62">
        <f>IF(Pricing!D17="S/Shade",ROUND($F$3*N95,0.2),0)</f>
        <v>0</v>
      </c>
      <c r="S95" s="55"/>
      <c r="T95" s="4">
        <f t="shared" si="40"/>
        <v>0</v>
      </c>
      <c r="U95" s="65">
        <f>IF(Pricing!AE17="Quoted",IF(OR(Pricing!J17="Silent",Pricing!J17="Split Tilt"),N95),)</f>
        <v>0</v>
      </c>
      <c r="V95" s="55">
        <f>IF(Pricing!AE17="Quoted",IF(Pricing!D17="Shape",IF(AG19&gt;2,ROUND(C16+((AG19-2)*C17),0.2),ROUND(C16,0.2)),),)</f>
        <v>0</v>
      </c>
      <c r="W95" s="55">
        <f>IF(Pricing!D17="French Door Cutout",ROUND(Matrix2!$F$4,0.2)*LEN(AD25),)</f>
        <v>0</v>
      </c>
      <c r="X95" s="55">
        <f>IF(Pricing!AE17="Quoted",IF(OR(Pricing!F17="Custom Colour",ISNUMBER(SEARCH("Classic Black",Pricing!F17)),ISNUMBER(SEARCH("Matte Black",Pricing!F17))),ROUND(Matrix2!F11,0.2),),)</f>
        <v>0</v>
      </c>
      <c r="Y95" s="55">
        <f>IF(OR(AND(Pricing!E17&lt;&gt;"Java",Pricing!G19="Stainless Steel"),Pricing!G19="Brushed Nickel Plated"),ROUND(Matrix2!$F$12*Matrix2!N95,0.2),)</f>
        <v>0</v>
      </c>
      <c r="Z95" s="170">
        <f t="shared" si="38"/>
        <v>0</v>
      </c>
      <c r="AA95" s="55">
        <f>IF(Pricing!AE17="Quoted",IF(Pricing!AC19&lt;&gt;"No",ROUND((CONVERT(Pricing!M17,"mm","m")*Pricing!AC19)*$F$14,0.2),),)</f>
        <v>0</v>
      </c>
      <c r="AC95" s="27" t="s">
        <v>121</v>
      </c>
      <c r="AD95" s="27">
        <f>INDEX(AA116:AA126,MATCH(AC95,K116:K126,0))</f>
        <v>0</v>
      </c>
      <c r="AE95" s="341">
        <f t="shared" si="37"/>
        <v>0</v>
      </c>
    </row>
    <row r="96" spans="11:32">
      <c r="K96" t="s">
        <v>339</v>
      </c>
      <c r="L96" s="64">
        <f>IF(Pricing!AE20="Quoted",COUNTIFS(Pricing!R20:AB20,"(CB)"),)</f>
        <v>0</v>
      </c>
      <c r="M96" s="4">
        <f t="shared" si="39"/>
        <v>0</v>
      </c>
      <c r="N96" s="65">
        <f>IF(Pricing!AE20="Quoted",IF(Pricing!E20="",,Pricing!M20*Pricing!N20/1000000),)</f>
        <v>0</v>
      </c>
      <c r="O96" s="62">
        <f>IF(Pricing!AE20="Quoted",IF(AND(Pricing!E20="Capri",OR(Pricing!J20="Silent",Pricing!J20="Split Tilt",Pricing!J20="Perfect-Tilt")),ROUND($C$9-($C$9*$F$36),0.2)*N96,IF(Pricing!AE20="Quoted",IF(OR(Pricing!J20="Silent",Pricing!J20="Split Tilt"),ROUND(U96*C$9-($C$9*$C$44),0),),)),)</f>
        <v>0</v>
      </c>
      <c r="P96" s="62">
        <f>IF(Pricing!AE20="Quoted",IF(Pricing!D20="Tracked",ROUND($C$11+(Q96*$F$2),0.2),),)</f>
        <v>0</v>
      </c>
      <c r="Q96" s="66">
        <f>IF(Pricing!AE20="Quoted",IF(Pricing!D20="Tracked",IF(N96&gt;0,CONVERT(Pricing!M20,"mm","m"),),),)</f>
        <v>0</v>
      </c>
      <c r="R96" s="62">
        <f>IF(Pricing!D20="S/Shade",ROUND($F$3*N96,0.2),0)</f>
        <v>0</v>
      </c>
      <c r="S96" s="55"/>
      <c r="T96" s="4">
        <f t="shared" si="40"/>
        <v>0</v>
      </c>
      <c r="U96" s="65">
        <f>IF(Pricing!AE20="Quoted",IF(OR(Pricing!J20="Silent",Pricing!J20="Split Tilt"),N96),)</f>
        <v>0</v>
      </c>
      <c r="V96" s="55">
        <f>IF(Pricing!AE20="Quoted",IF(Pricing!D20="Shape",IF(AH19&gt;2,ROUND(C16+((AH19-2)*C17),0.2),ROUND(C16,0.2)),),)</f>
        <v>0</v>
      </c>
      <c r="W96" s="55">
        <f>IF(Pricing!D20="French Door Cutout",ROUND(Matrix2!$F$4,0.2)*LEN(AD26),)</f>
        <v>0</v>
      </c>
      <c r="X96" s="55">
        <f>IF(Pricing!AE20="Quoted",IF(OR(Pricing!F20="Custom Colour",ISNUMBER(SEARCH("Classic Black",Pricing!F20)),ISNUMBER(SEARCH("Matte Black",Pricing!F20))),ROUND(Matrix2!F11,0.2),),)</f>
        <v>0</v>
      </c>
      <c r="Y96" s="55">
        <f>IF(OR(AND(Pricing!E20&lt;&gt;"Java",Pricing!G22="Stainless Steel"),Pricing!G22="Brushed Nickel Plated"),ROUND(Matrix2!$F$12*Matrix2!N97,0.2),)</f>
        <v>0</v>
      </c>
      <c r="Z96" s="170">
        <f t="shared" si="38"/>
        <v>0</v>
      </c>
      <c r="AA96" s="55">
        <f>IF(Pricing!AE20="Quoted",IF(Pricing!AC22&lt;&gt;"No",ROUND((CONVERT(Pricing!M20,"mm","m")*Pricing!AC22)*$F$14,0.2),),)</f>
        <v>0</v>
      </c>
      <c r="AC96" s="27" t="s">
        <v>92</v>
      </c>
      <c r="AD96" s="27">
        <f>INDEX(AA116:AA126,MATCH(AC96,K116:K126,0))</f>
        <v>0</v>
      </c>
      <c r="AE96" s="341">
        <f t="shared" si="37"/>
        <v>0</v>
      </c>
    </row>
    <row r="97" spans="11:27">
      <c r="K97" t="s">
        <v>341</v>
      </c>
      <c r="L97" s="64">
        <f>IF(Pricing!AE23="Quoted",COUNTIFS(Pricing!R23:AB23,"(CB)"),)</f>
        <v>0</v>
      </c>
      <c r="M97" s="4">
        <f t="shared" si="39"/>
        <v>0</v>
      </c>
      <c r="N97" s="65">
        <f>IF(Pricing!AE23="Quoted",IF(Pricing!E23="",,Pricing!M23*Pricing!N23/1000000),)</f>
        <v>0</v>
      </c>
      <c r="O97" s="62">
        <f>IF(Pricing!AE23="Quoted",IF(AND(Pricing!E23="Capri",OR(Pricing!J23="Silent",Pricing!J23="Split Tilt",Pricing!J23="Perfect-Tilt")),ROUND($C$9-($C$9*$F$36),0.2)*N97,IF(Pricing!AE23="Quoted",IF(OR(Pricing!J23="Silent",Pricing!J23="Split Tilt"),ROUND(U97*C$9-($C$9*$C$44),0),),)),)</f>
        <v>0</v>
      </c>
      <c r="P97" s="62">
        <f>IF(Pricing!AE23="Quoted",IF(Pricing!D23="Tracked",ROUND($C$11+(Q97*$F$2),0.2),),)</f>
        <v>0</v>
      </c>
      <c r="Q97" s="66">
        <f>IF(Pricing!AE23="Quoted",IF(Pricing!D23="Tracked",IF(N97&gt;0,CONVERT(Pricing!M23,"mm","m"),),),)</f>
        <v>0</v>
      </c>
      <c r="R97" s="62">
        <f>IF(Pricing!D23="S/Shade",ROUND($F$3*N97,0.2),0)</f>
        <v>0</v>
      </c>
      <c r="S97" s="55"/>
      <c r="T97" s="4">
        <f t="shared" si="40"/>
        <v>0</v>
      </c>
      <c r="U97" s="65">
        <f>IF(Pricing!AE23="Quoted",IF(OR(Pricing!J23="Silent",Pricing!J23="Split Tilt"),N97),)</f>
        <v>0</v>
      </c>
      <c r="V97" s="55">
        <f>IF(Pricing!AE23="Quoted",IF(Pricing!D23="Shape",IF(AI19&gt;2,ROUND(C16+((AI19-2)*C17),0.2),ROUND(C16,0.2)),),)</f>
        <v>0</v>
      </c>
      <c r="W97" s="55">
        <f>IF(Pricing!D23="French Door Cutout",ROUND(Matrix2!$F$4,0.2)*LEN(AD27),)</f>
        <v>0</v>
      </c>
      <c r="X97" s="55">
        <f>IF(Pricing!AE23="Quoted",IF(OR(Pricing!F23="Custom Colour",ISNUMBER(SEARCH("Classic Black",Pricing!F23)),ISNUMBER(SEARCH("Matte Black",Pricing!F23))),ROUND(Matrix2!F11,0.2),),)</f>
        <v>0</v>
      </c>
      <c r="Y97" s="55">
        <f>IF(OR(AND(Pricing!E26&lt;&gt;"Java",Pricing!G28="Stainless Steel"),Pricing!G28="Brushed Nickel Plated"),ROUND(Matrix2!$F$12*Matrix2!N97,0.2),)</f>
        <v>0</v>
      </c>
      <c r="Z97" s="170">
        <f t="shared" si="38"/>
        <v>0</v>
      </c>
      <c r="AA97" s="55">
        <f>IF(Pricing!AE23="Quoted",IF(Pricing!AC25&lt;&gt;"No",ROUND((CONVERT(Pricing!M23,"mm","m")*Pricing!AC25)*$F$14,0.2),),)</f>
        <v>0</v>
      </c>
    </row>
    <row r="98" spans="11:27">
      <c r="K98" t="s">
        <v>342</v>
      </c>
      <c r="L98" s="64">
        <f>IF(Pricing!AE26="Quoted",COUNTIFS(Pricing!R26:AB26,"(CB)"),)</f>
        <v>0</v>
      </c>
      <c r="M98" s="4">
        <f t="shared" si="39"/>
        <v>0</v>
      </c>
      <c r="N98" s="65">
        <f>IF(Pricing!AE26="Quoted",IF(Pricing!E26="",,Pricing!M26*Pricing!N26/1000000),)</f>
        <v>0</v>
      </c>
      <c r="O98" s="62">
        <f>IF(Pricing!AE26="Quoted",IF(AND(Pricing!E26="Capri",OR(Pricing!J26="Silent",Pricing!J26="Split Tilt",Pricing!J26="Perfect-Tilt")),ROUND($C$9-($C$9*$F$36),0.2)*N98,IF(Pricing!AE26="Quoted",IF(OR(Pricing!J26="Silent",Pricing!J26="Split Tilt"),ROUND(U98*C$9-($C$9*$C$44),0),),)),)</f>
        <v>0</v>
      </c>
      <c r="P98" s="62">
        <f>IF(Pricing!AE26="Quoted",IF(Pricing!D26="Tracked",ROUND($C$11+(Q98*$F$2),0.2),),)</f>
        <v>0</v>
      </c>
      <c r="Q98" s="66">
        <f>IF(Pricing!AE26="Quoted",IF(Pricing!D26="Tracked",IF(N98&gt;0,CONVERT(Pricing!M26,"mm","m"),),),)</f>
        <v>0</v>
      </c>
      <c r="R98" s="62">
        <f>IF(Pricing!D26="S/Shade",ROUND($F$3*N98,0.2),0)</f>
        <v>0</v>
      </c>
      <c r="S98" s="55"/>
      <c r="T98" s="4">
        <f t="shared" si="40"/>
        <v>0</v>
      </c>
      <c r="U98" s="65">
        <f>IF(Pricing!AE26="Quoted",IF(OR(Pricing!J26="Silent",Pricing!J26="Split Tilt"),N98),)</f>
        <v>0</v>
      </c>
      <c r="V98" s="55">
        <f>IF(Pricing!AE26="Quoted",IF(Pricing!D26="Shape",IF(AJ19&gt;2,ROUND(C16+((AJ19-2)*C17),0.2),ROUND(C16,0.2)),),)</f>
        <v>0</v>
      </c>
      <c r="W98" s="55">
        <f>IF(Pricing!D26="French Door Cutout",ROUND(Matrix2!$F$4,0.2)*LEN(AD28),)</f>
        <v>0</v>
      </c>
      <c r="X98" s="55">
        <f>IF(Pricing!AE26="Quoted",IF(OR(Pricing!F26="Custom Colour",ISNUMBER(SEARCH("Classic Black",Pricing!F26)),ISNUMBER(SEARCH("Matte Black",Pricing!F26))),ROUND(Matrix2!F11,0.2),),)</f>
        <v>0</v>
      </c>
      <c r="Y98" s="55">
        <f>IF(OR(AND(Pricing!E26&lt;&gt;"Java",Pricing!G28="Stainless Steel"),Pricing!G28="Brushed Nickel Plated"),ROUND(Matrix2!$F$12*Matrix2!N98,0.2),)</f>
        <v>0</v>
      </c>
      <c r="Z98" s="170">
        <f t="shared" si="38"/>
        <v>0</v>
      </c>
      <c r="AA98" s="55">
        <f>IF(Pricing!AE26="Quoted",IF(Pricing!AC28&lt;&gt;"No",ROUND((CONVERT(Pricing!M26,"mm","m")*Pricing!AC28)*$F$14,0.2),),)</f>
        <v>0</v>
      </c>
    </row>
    <row r="99" spans="11:27">
      <c r="K99" t="s">
        <v>343</v>
      </c>
      <c r="L99" s="64">
        <f>IF(Pricing!AE29="Quoted",COUNTIFS(Pricing!R29:AB29,"(CB)"),)</f>
        <v>0</v>
      </c>
      <c r="M99" s="4">
        <f t="shared" si="39"/>
        <v>0</v>
      </c>
      <c r="N99" s="65">
        <f>IF(Pricing!AE29="Quoted",IF(Pricing!E29="",,Pricing!M29*Pricing!N29/1000000),)</f>
        <v>0</v>
      </c>
      <c r="O99" s="62">
        <f>IF(Pricing!AE29="Quoted",IF(AND(Pricing!E29="Capri",OR(Pricing!J29="Silent",Pricing!J29="Split Tilt",Pricing!J29="Perfect-Tilt")),ROUND($C$9-($C$9*$F$36),0.2)*N99,IF(Pricing!AE29="Quoted",IF(OR(Pricing!J29="Silent",Pricing!J29="Split Tilt"),ROUND(U99*C$9-($C$9*$C$44),0),),)),)</f>
        <v>0</v>
      </c>
      <c r="P99" s="62">
        <f>IF(Pricing!AE29="Quoted",IF(Pricing!D29="Tracked",ROUND($C$11+(Q99*$F$2),0.2),),)</f>
        <v>0</v>
      </c>
      <c r="Q99" s="66">
        <f>IF(Pricing!AE29="Quoted",IF(Pricing!D29="Tracked",IF(N99&gt;0,CONVERT(Pricing!M29,"mm","m"),),),)</f>
        <v>0</v>
      </c>
      <c r="R99" s="62">
        <f>IF(Pricing!D29="S/Shade",ROUND($F$3*N99,0.2),0)</f>
        <v>0</v>
      </c>
      <c r="S99" s="55"/>
      <c r="T99" s="4">
        <f t="shared" si="40"/>
        <v>0</v>
      </c>
      <c r="U99" s="65">
        <f>IF(Pricing!AE29="Quoted",IF(OR(Pricing!J29="Silent",Pricing!J29="Split Tilt"),N99),)</f>
        <v>0</v>
      </c>
      <c r="V99" s="55">
        <f>IF(Pricing!AE29="Quoted",IF(Pricing!D29="Shape",IF(AK19&gt;2,ROUND(C16+((AK19-2)*C17),0.2),ROUND(C16,0.2)),),)</f>
        <v>0</v>
      </c>
      <c r="W99" s="55">
        <f>IF(Pricing!D29="French Door Cutout",ROUND(Matrix2!$F$4,0.2)*LEN(AD29),)</f>
        <v>0</v>
      </c>
      <c r="X99" s="55">
        <f>IF(Pricing!AE29="Quoted",IF(OR(Pricing!F29="Custom Colour",ISNUMBER(SEARCH("Classic Black",Pricing!F29)),ISNUMBER(SEARCH("Matte Black",Pricing!F29))),ROUND(Matrix2!F11,0.2),),)</f>
        <v>0</v>
      </c>
      <c r="Y99" s="55">
        <f>IF(OR(AND(Pricing!E29&lt;&gt;"Java",Pricing!G31="Stainless Steel"),Pricing!G31="Brushed Nickel Plated"),ROUND(Matrix2!$F$12*Matrix2!N99,0.2),)</f>
        <v>0</v>
      </c>
      <c r="Z99" s="170">
        <f t="shared" si="38"/>
        <v>0</v>
      </c>
      <c r="AA99" s="55">
        <f>IF(Pricing!AE29="Quoted",IF(Pricing!AC31&lt;&gt;"No",ROUND((CONVERT(Pricing!M29,"mm","m")*Pricing!AC31)*$F$14,0.2),),)</f>
        <v>0</v>
      </c>
    </row>
    <row r="100" spans="11:27">
      <c r="K100" t="s">
        <v>344</v>
      </c>
      <c r="L100" s="64">
        <f>IF(Pricing!AE32="Quoted",COUNTIFS(Pricing!R32:AB32,"(CB)"),)</f>
        <v>0</v>
      </c>
      <c r="M100" s="4">
        <f t="shared" si="39"/>
        <v>0</v>
      </c>
      <c r="N100" s="65">
        <f>IF(Pricing!AE32="Quoted",IF(Pricing!E32="",,Pricing!M32*Pricing!N32/1000000),)</f>
        <v>0</v>
      </c>
      <c r="O100" s="62">
        <f>IF(Pricing!AE32="Quoted",IF(AND(Pricing!E32="Capri",OR(Pricing!J32="Silent",Pricing!J32="Split Tilt",Pricing!J32="Perfect-Tilt")),ROUND($C$9-($C$9*$F$36),0.2)*N100,IF(Pricing!AE32="Quoted",IF(OR(Pricing!J32="Silent",Pricing!J32="Split Tilt"),ROUND(U100*C$9-($C$9*$C$44),0),),)),)</f>
        <v>0</v>
      </c>
      <c r="P100" s="62">
        <f>IF(Pricing!AE32="Quoted",IF(Pricing!D32="Tracked",ROUND($C$11+(Q100*$F$2),0.2),),)</f>
        <v>0</v>
      </c>
      <c r="Q100" s="66">
        <f>IF(Pricing!AE32="Quoted",IF(Pricing!D32="Tracked",IF(N100&gt;0,CONVERT(Pricing!M32,"mm","m"),),),)</f>
        <v>0</v>
      </c>
      <c r="R100" s="62">
        <f>IF(Pricing!D32="S/Shade",ROUND($F$3*N100,0.2),0)</f>
        <v>0</v>
      </c>
      <c r="S100" s="55"/>
      <c r="T100" s="4">
        <f t="shared" si="40"/>
        <v>0</v>
      </c>
      <c r="U100" s="65">
        <f>IF(Pricing!AE32="Quoted",IF(OR(Pricing!J32="Silent",Pricing!J32="Split Tilt"),N100),)</f>
        <v>0</v>
      </c>
      <c r="V100" s="55">
        <f>IF(Pricing!AE32="Quoted",IF(Pricing!D32="Shape",IF(AL19&gt;2,ROUND(C16+((AL19-2)*C17),0.2),ROUND(C16,0.2)),),)</f>
        <v>0</v>
      </c>
      <c r="W100" s="55">
        <f>IF(Pricing!D32="French Door Cutout",ROUND(Matrix2!$F$4,0.2)*LEN(AD30),)</f>
        <v>0</v>
      </c>
      <c r="X100" s="55">
        <f>IF(Pricing!AE32="Quoted",IF(OR(Pricing!F32="Custom Colour",ISNUMBER(SEARCH("Classic Black",Pricing!F32)),ISNUMBER(SEARCH("Matte Black",Pricing!F32))),ROUND(Matrix2!F11,0.2),),)</f>
        <v>0</v>
      </c>
      <c r="Y100" s="55">
        <f>IF(OR(AND(Pricing!E32&lt;&gt;"Java",Pricing!G34="Stainless Steel"),Pricing!G34="Brushed Nickel Plated"),ROUND(Matrix2!$F$12*Matrix2!N100,0.2),)</f>
        <v>0</v>
      </c>
      <c r="Z100" s="170">
        <f t="shared" si="38"/>
        <v>0</v>
      </c>
      <c r="AA100" s="55">
        <f>IF(Pricing!AE32="Quoted",IF(Pricing!AC34&lt;&gt;"No",ROUND((CONVERT(Pricing!M32,"mm","m")*Pricing!AC34)*$F$14,0.2),),)</f>
        <v>0</v>
      </c>
    </row>
    <row r="101" spans="11:27">
      <c r="K101" t="s">
        <v>346</v>
      </c>
      <c r="L101" s="64">
        <f>IF(Pricing!AE35="Quoted",COUNTIFS(Pricing!R35:AB35,"(CB)"),)</f>
        <v>0</v>
      </c>
      <c r="M101" s="4">
        <f t="shared" si="39"/>
        <v>0</v>
      </c>
      <c r="N101" s="65">
        <f>IF(Pricing!AE35="Quoted",IF(Pricing!E35="",,Pricing!M35*Pricing!N35/1000000),)</f>
        <v>0</v>
      </c>
      <c r="O101" s="62">
        <f>IF(Pricing!AE35="Quoted",IF(AND(Pricing!E35="Capri",OR(Pricing!J35="Silent",Pricing!J35="Split Tilt",Pricing!J35="Perfect-Tilt")),ROUND($C$9-($C$9*$F$36),0.2)*N101,IF(Pricing!AE35="Quoted",IF(OR(Pricing!J35="Silent",Pricing!J35="Split Tilt"),ROUND(U101*C$9-($C$9*$C$44),0),),)),)</f>
        <v>0</v>
      </c>
      <c r="P101" s="62">
        <f>IF(Pricing!AE35="Quoted",IF(Pricing!D35="Tracked",ROUND($C$11+(Q101*$F$2),0.2),),)</f>
        <v>0</v>
      </c>
      <c r="Q101" s="66">
        <f>IF(Pricing!AE35="Quoted",IF(Pricing!D35="Tracked",IF(N101&gt;0,CONVERT(Pricing!M35,"mm","m"),),),)</f>
        <v>0</v>
      </c>
      <c r="R101" s="62">
        <f>IF(Pricing!D35="S/Shade",ROUND($F$3*N101,0.2),0)</f>
        <v>0</v>
      </c>
      <c r="S101" s="55"/>
      <c r="T101" s="4">
        <f t="shared" si="40"/>
        <v>0</v>
      </c>
      <c r="U101" s="65">
        <f>IF(Pricing!AE35="Quoted",IF(OR(Pricing!J35="Silent",Pricing!J35="Split Tilt"),N101),)</f>
        <v>0</v>
      </c>
      <c r="V101" s="55">
        <f>IF(Pricing!AE35="Quoted",IF(Pricing!D35="Shape",IF(AM19&gt;2,Roumd(C16+((AM19-2)*C17),0.2),ROUND(C16,0.2)),),)</f>
        <v>0</v>
      </c>
      <c r="W101" s="55">
        <f>IF(Pricing!D35="French Door Cutout",ROUND(Matrix2!$F$4,0.2)*LEN(AD31),)</f>
        <v>0</v>
      </c>
      <c r="X101" s="55">
        <f>IF(Pricing!AE35="Quoted",IF(OR(Pricing!F35="Custom Colour",ISNUMBER(SEARCH("Classic Black",Pricing!F35)),ISNUMBER(SEARCH("Matte Black",Pricing!F35))),ROUND(Matrix2!F11,0.2),),)</f>
        <v>0</v>
      </c>
      <c r="Y101" s="55">
        <f>IF(OR(AND(Pricing!E35&lt;&gt;"Java",Pricing!G37="Stainless Steel"),Pricing!G37="Brushed Nickel Plated"),ROUND(Matrix2!$F$12*Matrix2!N101,0.2),)</f>
        <v>0</v>
      </c>
      <c r="Z101" s="170">
        <f t="shared" si="38"/>
        <v>0</v>
      </c>
      <c r="AA101" s="55">
        <f>IF(Pricing!AE35="Quoted",IF(Pricing!AC37&lt;&gt;"No",ROUND((CONVERT(Pricing!M35,"mm","m")*Pricing!AC37)*$F$14,0.2),),)</f>
        <v>0</v>
      </c>
    </row>
    <row r="102" spans="11:27">
      <c r="K102" t="s">
        <v>348</v>
      </c>
      <c r="L102" s="64">
        <f>IF(Pricing!AE38="Quoted",COUNTIFS(Pricing!R38:AB38,"(CB)"),)</f>
        <v>0</v>
      </c>
      <c r="M102" s="4">
        <f t="shared" si="39"/>
        <v>0</v>
      </c>
      <c r="N102" s="65">
        <f>IF(Pricing!AE38="Quoted",IF(Pricing!E38="",,Pricing!M38*Pricing!N38/1000000),)</f>
        <v>0</v>
      </c>
      <c r="O102" s="62">
        <f>IF(Pricing!AE38="Quoted",IF(AND(Pricing!E38="Capri",OR(Pricing!J38="Silent",Pricing!J38="Split Tilt",Pricing!J38="Perfect-Tilt")),ROUND($C$9-($C$9*$F$36),0.2)*N102,IF(Pricing!AE38="Quoted",IF(OR(Pricing!J38="Silent",Pricing!J38="Split Tilt"),ROUND(U102*C$9-($C$9*$C$44),0),),)),)</f>
        <v>0</v>
      </c>
      <c r="P102" s="62">
        <f>IF(Pricing!AE38="Quoted",IF(Pricing!D38="Tracked",ROUND($C$11+(Q102*$F$2),0.2),),)</f>
        <v>0</v>
      </c>
      <c r="Q102" s="66">
        <f>IF(Pricing!AE38="Quoted",IF(Pricing!D38="Tracked",IF(N102&gt;0,CONVERT(Pricing!M38,"mm","m"),),),)</f>
        <v>0</v>
      </c>
      <c r="R102" s="62">
        <f>IF(Pricing!D38="S/Shade",ROUND($F$3*N102,0.2),0)</f>
        <v>0</v>
      </c>
      <c r="S102" s="55"/>
      <c r="T102" s="4">
        <f t="shared" si="40"/>
        <v>0</v>
      </c>
      <c r="U102" s="65">
        <f>IF(Pricing!AE38="Quoted",IF(OR(Pricing!J38="Silent",Pricing!J38="Split Tilt"),N102),)</f>
        <v>0</v>
      </c>
      <c r="V102" s="55">
        <f>IF(Pricing!AE38="Quoted",IF(Pricing!D38="Shape",IF(AN19&gt;2,ROUND(C16+((AN19-2)*C17),0.2),ROUND(C16,0.2)),),)</f>
        <v>0</v>
      </c>
      <c r="W102" s="55">
        <f>IF(Pricing!D38="French Door Cutout",ROUND(Matrix2!$F$4,0.2)*LEN(AD32),)</f>
        <v>0</v>
      </c>
      <c r="X102" s="55">
        <f>IF(Pricing!AE38="Quoted",IF(OR(Pricing!F38="Custom Colour",ISNUMBER(SEARCH("Classic Black",Pricing!F38)),ISNUMBER(SEARCH("Matte Black",Pricing!F38))),ROUND(Matrix2!F11,0.2),),)</f>
        <v>0</v>
      </c>
      <c r="Y102" s="55">
        <f>IF(OR(AND(Pricing!E38&lt;&gt;"Java",Pricing!G40="Stainless Steel"),Pricing!G40="Brushed Nickel Plated"),ROUND(Matrix2!$F$12*Matrix2!N102,0.2),)</f>
        <v>0</v>
      </c>
      <c r="Z102" s="170">
        <f t="shared" si="38"/>
        <v>0</v>
      </c>
      <c r="AA102" s="55">
        <f>IF(Pricing!AE38="Quoted",IF(Pricing!AC40&lt;&gt;"No",ROUND((CONVERT(Pricing!M38,"mm","m")*Pricing!AC40)*$F$14,0.2),),)</f>
        <v>0</v>
      </c>
    </row>
    <row r="103" spans="11:27">
      <c r="K103" t="s">
        <v>350</v>
      </c>
      <c r="L103" s="64">
        <f>IF(Pricing!AE41="Quoted",COUNTIFS(Pricing!R41:AB41,"(CB)"),)</f>
        <v>0</v>
      </c>
      <c r="M103" s="4">
        <f t="shared" si="39"/>
        <v>0</v>
      </c>
      <c r="N103" s="65">
        <f>IF(Pricing!AE41="Quoted",IF(Pricing!E41="",,Pricing!M41*Pricing!N41/1000000),)</f>
        <v>0</v>
      </c>
      <c r="O103" s="62">
        <f>IF(Pricing!AE41="Quoted",IF(AND(Pricing!E41="Capri",OR(Pricing!J41="Silent",Pricing!J41="Split Tilt",Pricing!J41="Perfect-Tilt")),ROUND($C$9-($C$9*$F$36),0.2)*N103,IF(Pricing!AE41="Quoted",IF(OR(Pricing!J41="Silent",Pricing!J41="Split Tilt"),ROUND(U103*C$9-($C$9*$C$44),0),),)),)</f>
        <v>0</v>
      </c>
      <c r="P103" s="62">
        <f>IF(Pricing!AE41="Quoted",IF(Pricing!D41="Tracked",ROUND($C$11+(Q103*$F$2),0.2),),)</f>
        <v>0</v>
      </c>
      <c r="Q103" s="66">
        <f>IF(Pricing!AE41="Quoted",IF(Pricing!D41="Tracked",IF(N103&gt;0,CONVERT(Pricing!M41,"mm","m"),),),)</f>
        <v>0</v>
      </c>
      <c r="R103" s="62">
        <f>IF(Pricing!D41="S/Shade",ROUND($F$3*N103,0.2),0)</f>
        <v>0</v>
      </c>
      <c r="S103" s="55"/>
      <c r="T103" s="4">
        <f t="shared" si="40"/>
        <v>0</v>
      </c>
      <c r="U103" s="65">
        <f>IF(Pricing!AE41="Quoted",IF(OR(Pricing!J41="Silent",Pricing!J41="Split Tilt"),N103),)</f>
        <v>0</v>
      </c>
      <c r="V103" s="55">
        <f>IF(Pricing!AE41="Quoted",IF(Pricing!D41="Shape",IF(AO19&gt;2,ROUND(C16+((AO19-2)*C17),0.2),ROUND(C16,0.2)),),)</f>
        <v>0</v>
      </c>
      <c r="W103" s="55">
        <f>IF(Pricing!D41="French Door Cutout",ROUND(Matrix2!$F$4,0.2)*LEN(AD33),)</f>
        <v>0</v>
      </c>
      <c r="X103" s="55">
        <f>IF(Pricing!AE41="Quoted",IF(OR(Pricing!F41="Custom Colour",ISNUMBER(SEARCH("Classic Black",Pricing!F41)),ISNUMBER(SEARCH("Matte Black",Pricing!F41))),ROUND(Matrix2!F11,0.2),),)</f>
        <v>0</v>
      </c>
      <c r="Y103" s="55">
        <f>IF(OR(AND(Pricing!E41&lt;&gt;"Java",Pricing!G43="Stainless Steel"),Pricing!G43="Brushed Nickel Plated"),ROUND(Matrix2!$F$12*Matrix2!N103,0.2),)</f>
        <v>0</v>
      </c>
      <c r="Z103" s="170">
        <f t="shared" si="38"/>
        <v>0</v>
      </c>
      <c r="AA103" s="55">
        <f>IF(Pricing!AE41="Quoted",IF(Pricing!AC43&lt;&gt;"No",ROUND((CONVERT(Pricing!M41,"mm","m")*Pricing!AC43)*$F$14,0.2),),)</f>
        <v>0</v>
      </c>
    </row>
    <row r="104" spans="11:27">
      <c r="K104" t="s">
        <v>351</v>
      </c>
      <c r="L104" s="64">
        <f>IF(Pricing!AE44="Quoted",COUNTIFS(Pricing!R44:AB44,"(CB)"),)</f>
        <v>0</v>
      </c>
      <c r="M104" s="4">
        <f t="shared" si="39"/>
        <v>0</v>
      </c>
      <c r="N104" s="65">
        <f>IF(Pricing!AE44="Quoted",IF(Pricing!E44="",,Pricing!M44*Pricing!N44/1000000),)</f>
        <v>0</v>
      </c>
      <c r="O104" s="62">
        <f>IF(Pricing!AE44="Quoted",IF(AND(Pricing!E44="Capri",OR(Pricing!J44="Silent",Pricing!J44="Split Tilt",Pricing!J44="Perfect-Tilt")),ROUND($C$9-($C$9*$F$36),0.2)*N104,IF(Pricing!AE44="Quoted",IF(OR(Pricing!J44="Silent",Pricing!J44="Split Tilt"),ROUND(U104*C$9-($C$9*$C$44),0),),)),)</f>
        <v>0</v>
      </c>
      <c r="P104" s="62">
        <f>IF(Pricing!AE44="Quoted",IF(Pricing!D44="Tracked",ROUND($C$11+(Q104*$F$2),0.2),),)</f>
        <v>0</v>
      </c>
      <c r="Q104" s="66">
        <f>IF(Pricing!AE44="Quoted",IF(Pricing!D44="Tracked",IF(N104&gt;0,CONVERT(Pricing!M44,"mm","m"),),),)</f>
        <v>0</v>
      </c>
      <c r="R104" s="62">
        <f>IF(Pricing!D44="S/Shade",ROUND($F$3*N104,0.2),0)</f>
        <v>0</v>
      </c>
      <c r="S104" s="55"/>
      <c r="T104" s="4">
        <f t="shared" si="40"/>
        <v>0</v>
      </c>
      <c r="U104" s="65">
        <f>IF(Pricing!AE44="Quoted",IF(OR(Pricing!J44="Silent",Pricing!J44="Split Tilt"),N104),)</f>
        <v>0</v>
      </c>
      <c r="V104" s="55">
        <f>IF(Pricing!AE44="Quoted",IF(Pricing!D44="Shape",IF(AP19&gt;2,ROUND(C16+((AP19-2)*C17),0.2),ROUND(C16,0.2)),),)</f>
        <v>0</v>
      </c>
      <c r="W104" s="55">
        <f>IF(Pricing!D44="French Door Cutout",ROUND(Matrix2!$F$4,0.2)*LEN(AD34),)</f>
        <v>0</v>
      </c>
      <c r="X104" s="55">
        <f>IF(Pricing!AE44="Quoted",IF(OR(Pricing!F44="Custom Colour",ISNUMBER(SEARCH("Classic Black",Pricing!F44)),ISNUMBER(SEARCH("Matte Black",Pricing!F44))),ROUND(Matrix2!F11,0.2),),)</f>
        <v>0</v>
      </c>
      <c r="Y104" s="55">
        <f>IF(OR(AND(Pricing!E44&lt;&gt;"Java",Pricing!G46="Stainless Steel"),Pricing!G46="Brushed Nickel Plated"),ROUND(Matrix2!$F$12*Matrix2!N104,0.2),)</f>
        <v>0</v>
      </c>
      <c r="Z104" s="170">
        <f t="shared" si="38"/>
        <v>0</v>
      </c>
      <c r="AA104" s="55">
        <f>IF(Pricing!AE44="Quoted",IF(Pricing!AC46&lt;&gt;"No",ROUND((CONVERT(Pricing!M44,"mm","m")*Pricing!AC46)*$F$14,0.2),),)</f>
        <v>0</v>
      </c>
    </row>
    <row r="105" spans="11:27">
      <c r="K105" t="s">
        <v>353</v>
      </c>
      <c r="L105" s="64">
        <f>IF(Pricing!AE47="Quoted",COUNTIFS(Pricing!R47:AB47,"(CB)"),)</f>
        <v>0</v>
      </c>
      <c r="M105" s="4">
        <f t="shared" si="39"/>
        <v>0</v>
      </c>
      <c r="N105" s="65">
        <f>IF(Pricing!AE47="Quoted",IF(Pricing!E47="",,Pricing!M47*Pricing!N47/1000000),)</f>
        <v>0</v>
      </c>
      <c r="O105" s="62">
        <f>IF(Pricing!AE47="Quoted",IF(AND(Pricing!E47="Capri",OR(Pricing!J47="Silent",Pricing!J47="Split Tilt",Pricing!J47="Perfect-Tilt")),ROUND($C$9-($C$9*$F$36),0.2)*N105,IF(Pricing!AE47="Quoted",IF(OR(Pricing!J47="Silent",Pricing!J47="Split Tilt"),ROUND(U105*C$9-($C$9*$C$44),0),),)),)</f>
        <v>0</v>
      </c>
      <c r="P105" s="62">
        <f>IF(Pricing!AE47="Quoted",IF(Pricing!D47="Tracked",ROUND($C$11+(Q105*$F$2),0.2),),)</f>
        <v>0</v>
      </c>
      <c r="Q105" s="66">
        <f>IF(Pricing!AE47="Quoted",IF(Pricing!D47="Tracked",IF(N105&gt;0,CONVERT(Pricing!M47,"mm","m"),),),)</f>
        <v>0</v>
      </c>
      <c r="R105" s="62">
        <f>IF(Pricing!D47="S/Shade",ROUND($F$3*N105,0.2),0)</f>
        <v>0</v>
      </c>
      <c r="S105" s="55"/>
      <c r="T105" s="4">
        <f t="shared" si="40"/>
        <v>0</v>
      </c>
      <c r="U105" s="65">
        <f>IF(Pricing!AE47="Quoted",IF(OR(Pricing!J47="Silent",Pricing!J47="Split Tilt"),N105),)</f>
        <v>0</v>
      </c>
      <c r="V105" s="55">
        <f>IF(Pricing!AE47="Quoted",IF(Pricing!D47="Shape",IF(AQ19&gt;2,ROUND(C16+((AQ19-2)*C17),0.2),ROUND(C16,0.2)),),)</f>
        <v>0</v>
      </c>
      <c r="W105" s="55">
        <f>IF(Pricing!D47="French Door Cutout",ROUND(Matrix2!$F$4,0.2)*LEN(AD35),)</f>
        <v>0</v>
      </c>
      <c r="X105" s="55">
        <f>IF(Pricing!AE47="Quoted",IF(OR(Pricing!F47="Custom Colour",ISNUMBER(SEARCH("Classic Black",Pricing!F47)),ISNUMBER(SEARCH("Matte Black",Pricing!F47))),ROUND(Matrix2!F11,0.2),),)</f>
        <v>0</v>
      </c>
      <c r="Y105" s="55">
        <f>IF(OR(AND(Pricing!E47&lt;&gt;"Java",Pricing!G49="Stainless Steel"),Pricing!G49="Brushed Nickel Plated"),ROUND(Matrix2!$F$12*Matrix2!N105,0.2),)</f>
        <v>0</v>
      </c>
      <c r="Z105" s="170">
        <f t="shared" si="38"/>
        <v>0</v>
      </c>
      <c r="AA105" s="55">
        <f>IF(Pricing!AE47="Quoted",IF(Pricing!AC49&lt;&gt;"No",ROUND((CONVERT(Pricing!M47,"mm","m")*Pricing!AC49)*$F$14,0.2),),)</f>
        <v>0</v>
      </c>
    </row>
    <row r="106" spans="11:27">
      <c r="K106" t="s">
        <v>354</v>
      </c>
      <c r="L106" s="64">
        <f>IF(Pricing!AE50="Quoted",COUNTIFS(Pricing!R50:AB50,"(CB)"),)</f>
        <v>0</v>
      </c>
      <c r="M106" s="4">
        <f t="shared" si="39"/>
        <v>0</v>
      </c>
      <c r="N106" s="65">
        <f>IF(Pricing!AE50="Quoted",IF(Pricing!E50="",,Pricing!M50*Pricing!N50/1000000),)</f>
        <v>0</v>
      </c>
      <c r="O106" s="62">
        <f>IF(Pricing!AE50="Quoted",IF(AND(Pricing!E50="Capri",OR(Pricing!J50="Silent",Pricing!J50="Split Tilt",Pricing!J50="Perfect-Tilt")),ROUND($C$9-($C$9*$F$36),0.2)*N106,IF(Pricing!AE50="Quoted",IF(OR(Pricing!J50="Silent",Pricing!J50="Split Tilt"),ROUND(U106*C$9-($C$9*$C$44),0),),)),)</f>
        <v>0</v>
      </c>
      <c r="P106" s="62">
        <f>IF(Pricing!AE50="Quoted",IF(Pricing!D50="Tracked",ROUND($C$11+(Q106*$F$2),0.2),),)</f>
        <v>0</v>
      </c>
      <c r="Q106" s="66">
        <f>IF(Pricing!AE50="Quoted",IF(Pricing!D50="Tracked",IF(N106&gt;0,CONVERT(Pricing!M50,"mm","m"),),),)</f>
        <v>0</v>
      </c>
      <c r="R106" s="62">
        <f>IF(Pricing!D50="S/Shade",ROUND($F$3*N106,0.2),0)</f>
        <v>0</v>
      </c>
      <c r="S106" s="55"/>
      <c r="T106" s="4">
        <f t="shared" si="40"/>
        <v>0</v>
      </c>
      <c r="U106" s="65">
        <f>IF(Pricing!AE50="Quoted",IF(OR(Pricing!J50="Silent",Pricing!J50="Split Tilt"),N106),)</f>
        <v>0</v>
      </c>
      <c r="V106" s="55">
        <f>IF(Pricing!AE50="Quoted",IF(Pricing!D50="Shape",IF(AR19&gt;2,ROUND(C16+((AR19-2)*C17),0.2),ROUND(C16,0.2)),),)</f>
        <v>0</v>
      </c>
      <c r="W106" s="55">
        <f>IF(Pricing!D50="French Door Cutout",ROUND(Matrix2!$F$4,0.2)*LEN(AD36),)</f>
        <v>0</v>
      </c>
      <c r="X106" s="55">
        <f>IF(Pricing!AE50="Quoted",IF(OR(Pricing!F50="Custom Colour",ISNUMBER(SEARCH("Classic Black",Pricing!F50)),ISNUMBER(SEARCH("Matte Black",Pricing!F50))),ROUND(Matrix2!F11,0.2),),)</f>
        <v>0</v>
      </c>
      <c r="Y106" s="55">
        <f>IF(OR(AND(Pricing!E50&lt;&gt;"Java",Pricing!G52="Stainless Steel"),Pricing!G52="Brushed Nickel Plated"),ROUND(Matrix2!$F$12*Matrix2!N106,0.2),)</f>
        <v>0</v>
      </c>
      <c r="Z106" s="170">
        <f t="shared" si="38"/>
        <v>0</v>
      </c>
      <c r="AA106" s="55">
        <f>IF(Pricing!AE50="Quoted",IF(Pricing!AC52&lt;&gt;"No",ROUND((CONVERT(Pricing!M50,"mm","m")*Pricing!AC52)*$F$14,0.2),),)</f>
        <v>0</v>
      </c>
    </row>
    <row r="114" spans="11:27">
      <c r="K114" s="981" t="s">
        <v>554</v>
      </c>
      <c r="L114" s="981"/>
      <c r="M114" s="981"/>
      <c r="N114" s="981"/>
      <c r="O114" s="981"/>
      <c r="P114" s="981"/>
      <c r="Q114" s="981"/>
      <c r="R114" s="981"/>
      <c r="S114" s="981"/>
      <c r="T114" s="981"/>
      <c r="U114" s="981"/>
      <c r="V114" s="981"/>
      <c r="W114" s="981"/>
      <c r="X114" s="981"/>
      <c r="Y114" s="981"/>
      <c r="Z114" s="981"/>
      <c r="AA114" s="981"/>
    </row>
    <row r="115" spans="11:27">
      <c r="L115" s="67" t="s">
        <v>331</v>
      </c>
      <c r="M115" s="67" t="s">
        <v>334</v>
      </c>
      <c r="N115" s="67" t="s">
        <v>336</v>
      </c>
      <c r="O115" s="67" t="s">
        <v>338</v>
      </c>
      <c r="P115" s="67" t="s">
        <v>339</v>
      </c>
      <c r="Q115" s="67" t="s">
        <v>341</v>
      </c>
      <c r="R115" s="67" t="s">
        <v>342</v>
      </c>
      <c r="S115" s="67" t="s">
        <v>343</v>
      </c>
      <c r="T115" s="67" t="s">
        <v>344</v>
      </c>
      <c r="U115" s="67" t="s">
        <v>346</v>
      </c>
      <c r="V115" s="67" t="s">
        <v>348</v>
      </c>
      <c r="W115" s="67" t="s">
        <v>350</v>
      </c>
      <c r="X115" s="67" t="s">
        <v>351</v>
      </c>
      <c r="Y115" s="67" t="s">
        <v>353</v>
      </c>
      <c r="Z115" s="68" t="s">
        <v>354</v>
      </c>
      <c r="AA115" s="397" t="s">
        <v>104</v>
      </c>
    </row>
    <row r="116" spans="11:27">
      <c r="K116" s="27" t="s">
        <v>63</v>
      </c>
      <c r="L116" s="336">
        <f>IF(AND(Pricing!$E$8=K116,Pricing!$AE$8="Quoted"),,IF(Pricing!$E$8=K116,$N$33,))</f>
        <v>0</v>
      </c>
      <c r="M116" s="336">
        <f>IF(AND(Pricing!$E$11=K116,Pricing!$AE$11="Quoted"),,IF(Pricing!$E$11=K116,$N$34,))</f>
        <v>0</v>
      </c>
      <c r="N116" s="336">
        <f>IF(AND(Pricing!$E$14=K116,Pricing!$AE$14="Quoted"),,IF(Pricing!$E$14=K116,$N$35,))</f>
        <v>0</v>
      </c>
      <c r="O116" s="336">
        <f>IF(AND(Pricing!$E$17=K116,Pricing!$AE$17="Quoted"),,IF(Pricing!$E$17=K116,$N$36,))</f>
        <v>0</v>
      </c>
      <c r="P116" s="336">
        <f>IF(AND(Pricing!$E$20=K116,Pricing!$AE$20="Quoted"),,IF(Pricing!$E$20=K116,$N$37,))</f>
        <v>0</v>
      </c>
      <c r="Q116" s="336">
        <f>IF(AND(Pricing!$E$23=K116,Pricing!$AE$23="Quoted"),,IF(Pricing!$E$23=K116,$N$38,))</f>
        <v>0</v>
      </c>
      <c r="R116" s="336">
        <f>IF(AND(Pricing!$E$26=K116,Pricing!$AE$26="Quoted"),,IF(Pricing!$E$26=K116,$N$39,))</f>
        <v>0</v>
      </c>
      <c r="S116" s="336">
        <f>IF(AND(Pricing!$E$29=K116,Pricing!$AE$29="Quoted"),,IF(Pricing!$E$29=K116,$N$40,))</f>
        <v>0</v>
      </c>
      <c r="T116" s="336">
        <f>IF(AND(Pricing!$E$32=K116,Pricing!$AE$32="Quoted"),,IF(Pricing!$E$32=K116,$N$41,))</f>
        <v>0</v>
      </c>
      <c r="U116" s="336">
        <f>IF(AND(Pricing!$E$35=K116,Pricing!$AE$35="Quoted"),,IF(Pricing!$E$35=K116,$N$42,))</f>
        <v>0</v>
      </c>
      <c r="V116" s="336">
        <f>IF(AND(Pricing!$E$38=K116,Pricing!$AE$38="Quoted"),,IF(Pricing!$E$38=K116,$N$43,))</f>
        <v>0</v>
      </c>
      <c r="W116" s="336">
        <f>IF(AND(Pricing!$E$41=K116,Pricing!$AE$41="Quoted"),,IF(Pricing!$E$41=K116,$N$44,))</f>
        <v>0</v>
      </c>
      <c r="X116" s="336">
        <f>IF(AND(Pricing!$E$44=K116,Pricing!$AE$44="Quoted"),,IF(Pricing!$E$44=K116,$N$45,))</f>
        <v>0</v>
      </c>
      <c r="Y116" s="336">
        <f>IF(AND(Pricing!$E$47=K116,Pricing!$AE$47="Quoted"),,IF(Pricing!$E$47=K116,$N$46,))</f>
        <v>0</v>
      </c>
      <c r="Z116" s="396">
        <f>IF(AND(Pricing!$E$50=K116,Pricing!$AE$50="Quoted"),,IF(Pricing!$E$50=K116,$N$47,))</f>
        <v>0</v>
      </c>
      <c r="AA116" s="398">
        <f>SUM(L116:Z116)+SUM(AA117:AA126)</f>
        <v>14.405021</v>
      </c>
    </row>
    <row r="117" spans="11:27">
      <c r="K117" s="27" t="s">
        <v>18</v>
      </c>
      <c r="L117" s="336">
        <f>IF(AND(Pricing!$E$8=K117,Pricing!$AE$8="Quoted"),,IF(Pricing!$E$8=K117,$N$33,))</f>
        <v>7.4730470000000002</v>
      </c>
      <c r="M117" s="336">
        <f>IF(AND(Pricing!$E$11=K117,Pricing!$AE$11="Quoted"),,IF(Pricing!$E$11=K117,$N$34,))</f>
        <v>0.75226499999999996</v>
      </c>
      <c r="N117" s="336">
        <f>IF(AND(Pricing!$E$14=K117,Pricing!$AE$14="Quoted"),,IF(Pricing!$E$14=K117,$N$35,))</f>
        <v>3.8561879999999999</v>
      </c>
      <c r="O117" s="336">
        <f>IF(AND(Pricing!$E$17=K117,Pricing!$AE$17="Quoted"),,IF(Pricing!$E$17=K117,$N$36,))</f>
        <v>2.3235209999999999</v>
      </c>
      <c r="P117" s="336">
        <f>IF(AND(Pricing!$E$20=K117,Pricing!$AE$20="Quoted"),,IF(Pricing!$E$20=K117,$N$37,))</f>
        <v>0</v>
      </c>
      <c r="Q117" s="336">
        <f>IF(AND(Pricing!$E$23=K117,Pricing!$AE$23="Quoted"),,IF(Pricing!$E$23=K117,$N$38,))</f>
        <v>0</v>
      </c>
      <c r="R117" s="336">
        <f>IF(AND(Pricing!$E$26=K117,Pricing!$AE$26="Quoted"),,IF(Pricing!$E$26=K117,$N$39,))</f>
        <v>0</v>
      </c>
      <c r="S117" s="336">
        <f>IF(AND(Pricing!$E$29=K117,Pricing!$AE$29="Quoted"),,IF(Pricing!$E$29=K117,$N$40,))</f>
        <v>0</v>
      </c>
      <c r="T117" s="336">
        <f>IF(AND(Pricing!$E$32=K117,Pricing!$AE$32="Quoted"),,IF(Pricing!$E$32=K117,$N$41,))</f>
        <v>0</v>
      </c>
      <c r="U117" s="336">
        <f>IF(AND(Pricing!$E$35=K117,Pricing!$AE$35="Quoted"),,IF(Pricing!$E$35=K117,$N$42,))</f>
        <v>0</v>
      </c>
      <c r="V117" s="336">
        <f>IF(AND(Pricing!$E$38=K117,Pricing!$AE$38="Quoted"),,IF(Pricing!$E$38=K117,$N$43,))</f>
        <v>0</v>
      </c>
      <c r="W117" s="336">
        <f>IF(AND(Pricing!$E$41=K117,Pricing!$AE$41="Quoted"),,IF(Pricing!$E$41=K117,$N$44,))</f>
        <v>0</v>
      </c>
      <c r="X117" s="336">
        <f>IF(AND(Pricing!$E$44=K117,Pricing!$AE$44="Quoted"),,IF(Pricing!$E$44=K117,$N$45,))</f>
        <v>0</v>
      </c>
      <c r="Y117" s="336">
        <f>IF(AND(Pricing!$E$47=K117,Pricing!$AE$47="Quoted"),,IF(Pricing!$E$47=K117,$N$46,))</f>
        <v>0</v>
      </c>
      <c r="Z117" s="396">
        <f>IF(AND(Pricing!$E$50=K117,Pricing!$AE$50="Quoted"),,IF(Pricing!$E$50=K117,$N$47,))</f>
        <v>0</v>
      </c>
      <c r="AA117" s="398">
        <f t="shared" ref="AA117:AA126" si="41">SUM(L117:Z117)</f>
        <v>14.405021</v>
      </c>
    </row>
    <row r="118" spans="11:27">
      <c r="K118" s="27" t="str">
        <f t="shared" ref="K118:K126" si="42">G28</f>
        <v>Aruba Express</v>
      </c>
      <c r="L118" s="336">
        <f>IF(AND(Pricing!$E$8=K118,Pricing!$AE$8="Quoted"),,IF(Pricing!$E$8=K118,$N$33,))</f>
        <v>0</v>
      </c>
      <c r="M118" s="336">
        <f>IF(AND(Pricing!$E$11=K118,Pricing!$AE$11="Quoted"),,IF(Pricing!$E$11=K118,$N$34,))</f>
        <v>0</v>
      </c>
      <c r="N118" s="336">
        <f>IF(AND(Pricing!$E$14=K118,Pricing!$AE$14="Quoted"),,IF(Pricing!$E$14=K118,$N$35,))</f>
        <v>0</v>
      </c>
      <c r="O118" s="336">
        <f>IF(AND(Pricing!$E$17=K118,Pricing!$AE$17="Quoted"),,IF(Pricing!$E$17=K118,$N$36,))</f>
        <v>0</v>
      </c>
      <c r="P118" s="336">
        <f>IF(AND(Pricing!$E$20=K118,Pricing!$AE$20="Quoted"),,IF(Pricing!$E$20=K118,$N$37,))</f>
        <v>0</v>
      </c>
      <c r="Q118" s="336">
        <f>IF(AND(Pricing!$E$23=K118,Pricing!$AE$23="Quoted"),,IF(Pricing!$E$23=K118,$N$38,))</f>
        <v>0</v>
      </c>
      <c r="R118" s="336">
        <f>IF(AND(Pricing!$E$26=K118,Pricing!$AE$26="Quoted"),,IF(Pricing!$E$26=K118,$N$39,))</f>
        <v>0</v>
      </c>
      <c r="S118" s="336">
        <f>IF(AND(Pricing!$E$29=K118,Pricing!$AE$29="Quoted"),,IF(Pricing!$E$29=K118,$N$40,))</f>
        <v>0</v>
      </c>
      <c r="T118" s="336">
        <f>IF(AND(Pricing!$E$32=K118,Pricing!$AE$32="Quoted"),,IF(Pricing!$E$32=K118,$N$41,))</f>
        <v>0</v>
      </c>
      <c r="U118" s="336">
        <f>IF(AND(Pricing!$E$35=K118,Pricing!$AE$35="Quoted"),,IF(Pricing!$E$35=K118,$N$42,))</f>
        <v>0</v>
      </c>
      <c r="V118" s="336">
        <f>IF(AND(Pricing!$E$38=K118,Pricing!$AE$38="Quoted"),,IF(Pricing!$E$38=K118,$N$43,))</f>
        <v>0</v>
      </c>
      <c r="W118" s="336">
        <f>IF(AND(Pricing!$E$41=K118,Pricing!$AE$41="Quoted"),,IF(Pricing!$E$41=K118,$N$44,))</f>
        <v>0</v>
      </c>
      <c r="X118" s="336">
        <f>IF(AND(Pricing!$E$44=K118,Pricing!$AE$44="Quoted"),,IF(Pricing!$E$44=K118,$N$45,))</f>
        <v>0</v>
      </c>
      <c r="Y118" s="336">
        <f>IF(AND(Pricing!$E$47=K118,Pricing!$AE$47="Quoted"),,IF(Pricing!$E$47=K118,$N$46,))</f>
        <v>0</v>
      </c>
      <c r="Z118" s="396">
        <f>IF(AND(Pricing!$E$50=K118,Pricing!$AE$50="Quoted"),,IF(Pricing!$E$50=K118,$N$47,))</f>
        <v>0</v>
      </c>
      <c r="AA118" s="398">
        <f t="shared" si="41"/>
        <v>0</v>
      </c>
    </row>
    <row r="119" spans="11:27">
      <c r="K119" s="27" t="str">
        <f t="shared" si="42"/>
        <v>Antigua</v>
      </c>
      <c r="L119" s="336">
        <f>IF(AND(Pricing!$E$8=K119,Pricing!$AE$8="Quoted"),,IF(Pricing!$E$8=K119,$N$33,))</f>
        <v>0</v>
      </c>
      <c r="M119" s="336">
        <f>IF(AND(Pricing!$E$11=K119,Pricing!$AE$11="Quoted"),,IF(Pricing!$E$11=K119,$N$34,))</f>
        <v>0</v>
      </c>
      <c r="N119" s="336">
        <f>IF(AND(Pricing!$E$14=K119,Pricing!$AE$14="Quoted"),,IF(Pricing!$E$14=K119,$N$35,))</f>
        <v>0</v>
      </c>
      <c r="O119" s="336">
        <f>IF(AND(Pricing!$E$17=K119,Pricing!$AE$17="Quoted"),,IF(Pricing!$E$17=K119,$N$36,))</f>
        <v>0</v>
      </c>
      <c r="P119" s="336">
        <f>IF(AND(Pricing!$E$20=K119,Pricing!$AE$20="Quoted"),,IF(Pricing!$E$20=K119,$N$37,))</f>
        <v>0</v>
      </c>
      <c r="Q119" s="336">
        <f>IF(AND(Pricing!$E$23=K119,Pricing!$AE$23="Quoted"),,IF(Pricing!$E$23=K119,$N$38,))</f>
        <v>0</v>
      </c>
      <c r="R119" s="336">
        <f>IF(AND(Pricing!$E$26=K119,Pricing!$AE$26="Quoted"),,IF(Pricing!$E$26=K119,$N$39,))</f>
        <v>0</v>
      </c>
      <c r="S119" s="336">
        <f>IF(AND(Pricing!$E$29=K119,Pricing!$AE$29="Quoted"),,IF(Pricing!$E$29=K119,$N$40,))</f>
        <v>0</v>
      </c>
      <c r="T119" s="336">
        <f>IF(AND(Pricing!$E$32=K119,Pricing!$AE$32="Quoted"),,IF(Pricing!$E$32=K119,$N$41,))</f>
        <v>0</v>
      </c>
      <c r="U119" s="336">
        <f>IF(AND(Pricing!$E$35=K119,Pricing!$AE$35="Quoted"),,IF(Pricing!$E$35=K119,$N$42,))</f>
        <v>0</v>
      </c>
      <c r="V119" s="336">
        <f>IF(AND(Pricing!$E$38=K119,Pricing!$AE$38="Quoted"),,IF(Pricing!$E$38=K119,$N$43,))</f>
        <v>0</v>
      </c>
      <c r="W119" s="336">
        <f>IF(AND(Pricing!$E$41=K119,Pricing!$AE$41="Quoted"),,IF(Pricing!$E$41=K119,$N$44,))</f>
        <v>0</v>
      </c>
      <c r="X119" s="336">
        <f>IF(AND(Pricing!$E$44=K119,Pricing!$AE$44="Quoted"),,IF(Pricing!$E$44=K119,$N$45,))</f>
        <v>0</v>
      </c>
      <c r="Y119" s="336">
        <f>IF(AND(Pricing!$E$47=K119,Pricing!$AE$47="Quoted"),,IF(Pricing!$E$47=K119,$N$46,))</f>
        <v>0</v>
      </c>
      <c r="Z119" s="396">
        <f>IF(AND(Pricing!$E$50=K119,Pricing!$AE$50="Quoted"),,IF(Pricing!$E$50=K119,$N$47,))</f>
        <v>0</v>
      </c>
      <c r="AA119" s="398">
        <f t="shared" si="41"/>
        <v>0</v>
      </c>
    </row>
    <row r="120" spans="11:27">
      <c r="K120" s="27" t="str">
        <f t="shared" si="42"/>
        <v>Bermuda</v>
      </c>
      <c r="L120" s="336">
        <f>IF(AND(Pricing!$E$8=K120,Pricing!$AE$8="Quoted"),,IF(Pricing!$E$8=K120,$N$33,))</f>
        <v>0</v>
      </c>
      <c r="M120" s="336">
        <f>IF(AND(Pricing!$E$11=K120,Pricing!$AE$11="Quoted"),,IF(Pricing!$E$11=K120,$N$34,))</f>
        <v>0</v>
      </c>
      <c r="N120" s="336">
        <f>IF(AND(Pricing!$E$14=K120,Pricing!$AE$14="Quoted"),,IF(Pricing!$E$14=K120,$N$35,))</f>
        <v>0</v>
      </c>
      <c r="O120" s="336">
        <f>IF(AND(Pricing!$E$17=K120,Pricing!$AE$17="Quoted"),,IF(Pricing!$E$17=K120,$N$36,))</f>
        <v>0</v>
      </c>
      <c r="P120" s="336">
        <f>IF(AND(Pricing!$E$20=K120,Pricing!$AE$20="Quoted"),,IF(Pricing!$E$20=K120,$N$37,))</f>
        <v>0</v>
      </c>
      <c r="Q120" s="336">
        <f>IF(AND(Pricing!$E$23=K120,Pricing!$AE$23="Quoted"),,IF(Pricing!$E$23=K120,$N$38,))</f>
        <v>0</v>
      </c>
      <c r="R120" s="336">
        <f>IF(AND(Pricing!$E$26=K120,Pricing!$AE$26="Quoted"),,IF(Pricing!$E$26=K120,$N$39,))</f>
        <v>0</v>
      </c>
      <c r="S120" s="336">
        <f>IF(AND(Pricing!$E$29=K120,Pricing!$AE$29="Quoted"),,IF(Pricing!$E$29=K120,$N$40,))</f>
        <v>0</v>
      </c>
      <c r="T120" s="336">
        <f>IF(AND(Pricing!$E$32=K120,Pricing!$AE$32="Quoted"),,IF(Pricing!$E$32=K120,$N$41,))</f>
        <v>0</v>
      </c>
      <c r="U120" s="336">
        <f>IF(AND(Pricing!$E$35=K120,Pricing!$AE$35="Quoted"),,IF(Pricing!$E$35=K120,$N$42,))</f>
        <v>0</v>
      </c>
      <c r="V120" s="336">
        <f>IF(AND(Pricing!$E$38=K120,Pricing!$AE$38="Quoted"),,IF(Pricing!$E$38=K120,$N$43,))</f>
        <v>0</v>
      </c>
      <c r="W120" s="336">
        <f>IF(AND(Pricing!$E$41=K120,Pricing!$AE$41="Quoted"),,IF(Pricing!$E$41=K120,$N$44,))</f>
        <v>0</v>
      </c>
      <c r="X120" s="336">
        <f>IF(AND(Pricing!$E$44=K120,Pricing!$AE$44="Quoted"),,IF(Pricing!$E$44=K120,$N$45,))</f>
        <v>0</v>
      </c>
      <c r="Y120" s="336">
        <f>IF(AND(Pricing!$E$47=K120,Pricing!$AE$47="Quoted"),,IF(Pricing!$E$47=K120,$N$46,))</f>
        <v>0</v>
      </c>
      <c r="Z120" s="396">
        <f>IF(AND(Pricing!$E$50=K120,Pricing!$AE$50="Quoted"),,IF(Pricing!$E$50=K120,$N$47,))</f>
        <v>0</v>
      </c>
      <c r="AA120" s="398">
        <f t="shared" si="41"/>
        <v>0</v>
      </c>
    </row>
    <row r="121" spans="11:27">
      <c r="K121" s="27" t="str">
        <f t="shared" si="42"/>
        <v>Capri</v>
      </c>
      <c r="L121" s="336">
        <f>IF(AND(Pricing!$E$8=K121,Pricing!$AE$8="Quoted"),,IF(Pricing!$E$8=K121,$N$33,))</f>
        <v>0</v>
      </c>
      <c r="M121" s="336">
        <f>IF(AND(Pricing!$E$11=K121,Pricing!$AE$11="Quoted"),,IF(Pricing!$E$11=K121,$N$34,))</f>
        <v>0</v>
      </c>
      <c r="N121" s="336">
        <f>IF(AND(Pricing!$E$14=K121,Pricing!$AE$14="Quoted"),,IF(Pricing!$E$14=K121,$N$35,))</f>
        <v>0</v>
      </c>
      <c r="O121" s="336">
        <f>IF(AND(Pricing!$E$17=K121,Pricing!$AE$17="Quoted"),,IF(Pricing!$E$17=K121,$N$36,))</f>
        <v>0</v>
      </c>
      <c r="P121" s="336">
        <f>IF(AND(Pricing!$E$20=K121,Pricing!$AE$20="Quoted"),,IF(Pricing!$E$20=K121,$N$37,))</f>
        <v>0</v>
      </c>
      <c r="Q121" s="336">
        <f>IF(AND(Pricing!$E$23=K121,Pricing!$AE$23="Quoted"),,IF(Pricing!$E$23=K121,$N$38,))</f>
        <v>0</v>
      </c>
      <c r="R121" s="336">
        <f>IF(AND(Pricing!$E$26=K121,Pricing!$AE$26="Quoted"),,IF(Pricing!$E$26=K121,$N$39,))</f>
        <v>0</v>
      </c>
      <c r="S121" s="336">
        <f>IF(AND(Pricing!$E$29=K121,Pricing!$AE$29="Quoted"),,IF(Pricing!$E$29=K121,$N$40,))</f>
        <v>0</v>
      </c>
      <c r="T121" s="336">
        <f>IF(AND(Pricing!$E$32=K121,Pricing!$AE$32="Quoted"),,IF(Pricing!$E$32=K121,$N$41,))</f>
        <v>0</v>
      </c>
      <c r="U121" s="336">
        <f>IF(AND(Pricing!$E$35=K121,Pricing!$AE$35="Quoted"),,IF(Pricing!$E$35=K121,$N$42,))</f>
        <v>0</v>
      </c>
      <c r="V121" s="336">
        <f>IF(AND(Pricing!$E$38=K121,Pricing!$AE$38="Quoted"),,IF(Pricing!$E$38=K121,$N$43,))</f>
        <v>0</v>
      </c>
      <c r="W121" s="336">
        <f>IF(AND(Pricing!$E$41=K121,Pricing!$AE$41="Quoted"),,IF(Pricing!$E$41=K121,$N$44,))</f>
        <v>0</v>
      </c>
      <c r="X121" s="336">
        <f>IF(AND(Pricing!$E$44=K121,Pricing!$AE$44="Quoted"),,IF(Pricing!$E$44=K121,$N$45,))</f>
        <v>0</v>
      </c>
      <c r="Y121" s="336">
        <f>IF(AND(Pricing!$E$47=K121,Pricing!$AE$47="Quoted"),,IF(Pricing!$E$47=K121,$N$46,))</f>
        <v>0</v>
      </c>
      <c r="Z121" s="396">
        <f>IF(AND(Pricing!$E$50=K121,Pricing!$AE$50="Quoted"),,IF(Pricing!$E$50=K121,$N$47,))</f>
        <v>0</v>
      </c>
      <c r="AA121" s="398">
        <f t="shared" si="41"/>
        <v>0</v>
      </c>
    </row>
    <row r="122" spans="11:27">
      <c r="K122" s="27" t="str">
        <f t="shared" si="42"/>
        <v>Cuba</v>
      </c>
      <c r="L122" s="336">
        <f>IF(AND(Pricing!$E$8=K122,Pricing!$AE$8="Quoted"),,IF(Pricing!$E$8=K122,$N$33,))</f>
        <v>0</v>
      </c>
      <c r="M122" s="336">
        <f>IF(AND(Pricing!$E$11=K122,Pricing!$AE$11="Quoted"),,IF(Pricing!$E$11=K122,$N$34,))</f>
        <v>0</v>
      </c>
      <c r="N122" s="336">
        <f>IF(AND(Pricing!$E$14=K122,Pricing!$AE$14="Quoted"),,IF(Pricing!$E$14=K122,$N$35,))</f>
        <v>0</v>
      </c>
      <c r="O122" s="336">
        <f>IF(AND(Pricing!$E$17=K122,Pricing!$AE$17="Quoted"),,IF(Pricing!$E$17=K122,$N$36,))</f>
        <v>0</v>
      </c>
      <c r="P122" s="336">
        <f>IF(AND(Pricing!$E$20=K122,Pricing!$AE$20="Quoted"),,IF(Pricing!$E$20=K122,$N$37,))</f>
        <v>0</v>
      </c>
      <c r="Q122" s="336">
        <f>IF(AND(Pricing!$E$23=K122,Pricing!$AE$23="Quoted"),,IF(Pricing!$E$23=K122,$N$38,))</f>
        <v>0</v>
      </c>
      <c r="R122" s="336">
        <f>IF(AND(Pricing!$E$26=K122,Pricing!$AE$26="Quoted"),,IF(Pricing!$E$26=K122,$N$39,))</f>
        <v>0</v>
      </c>
      <c r="S122" s="336">
        <f>IF(AND(Pricing!$E$29=K122,Pricing!$AE$29="Quoted"),,IF(Pricing!$E$29=K122,$N$40,))</f>
        <v>0</v>
      </c>
      <c r="T122" s="336">
        <f>IF(AND(Pricing!$E$32=K122,Pricing!$AE$32="Quoted"),,IF(Pricing!$E$32=K122,$N$41,))</f>
        <v>0</v>
      </c>
      <c r="U122" s="336">
        <f>IF(AND(Pricing!$E$35=K122,Pricing!$AE$35="Quoted"),,IF(Pricing!$E$35=K122,$N$42,))</f>
        <v>0</v>
      </c>
      <c r="V122" s="336">
        <f>IF(AND(Pricing!$E$38=K122,Pricing!$AE$38="Quoted"),,IF(Pricing!$E$38=K122,$N$43,))</f>
        <v>0</v>
      </c>
      <c r="W122" s="336">
        <f>IF(AND(Pricing!$E$41=K122,Pricing!$AE$41="Quoted"),,IF(Pricing!$E$41=K122,$N$44,))</f>
        <v>0</v>
      </c>
      <c r="X122" s="336">
        <f>IF(AND(Pricing!$E$44=K122,Pricing!$AE$44="Quoted"),,IF(Pricing!$E$44=K122,$N$45,))</f>
        <v>0</v>
      </c>
      <c r="Y122" s="336">
        <f>IF(AND(Pricing!$E$47=K122,Pricing!$AE$47="Quoted"),,IF(Pricing!$E$47=K122,$N$46,))</f>
        <v>0</v>
      </c>
      <c r="Z122" s="396">
        <f>IF(AND(Pricing!$E$50=K122,Pricing!$AE$50="Quoted"),,IF(Pricing!$E$50=K122,$N$47,))</f>
        <v>0</v>
      </c>
      <c r="AA122" s="398">
        <f t="shared" si="41"/>
        <v>0</v>
      </c>
    </row>
    <row r="123" spans="11:27">
      <c r="K123" s="27" t="str">
        <f t="shared" si="42"/>
        <v>Fiji</v>
      </c>
      <c r="L123" s="336">
        <f>IF(AND(Pricing!$E$8=K123,Pricing!$AE$8="Quoted"),,IF(Pricing!$E$8=K123,$N$33,))</f>
        <v>0</v>
      </c>
      <c r="M123" s="336">
        <f>IF(AND(Pricing!$E$11=K123,Pricing!$AE$11="Quoted"),,IF(Pricing!$E$11=K123,$N$34,))</f>
        <v>0</v>
      </c>
      <c r="N123" s="336">
        <f>IF(AND(Pricing!$E$14=K123,Pricing!$AE$14="Quoted"),,IF(Pricing!$E$14=K123,$N$35,))</f>
        <v>0</v>
      </c>
      <c r="O123" s="336">
        <f>IF(AND(Pricing!$E$17=K123,Pricing!$AE$17="Quoted"),,IF(Pricing!$E$17=K123,$N$36,))</f>
        <v>0</v>
      </c>
      <c r="P123" s="336">
        <f>IF(AND(Pricing!$E$20=K123,Pricing!$AE$20="Quoted"),,IF(Pricing!$E$20=K123,$N$37,))</f>
        <v>0</v>
      </c>
      <c r="Q123" s="336">
        <f>IF(AND(Pricing!$E$23=K123,Pricing!$AE$23="Quoted"),,IF(Pricing!$E$23=K123,$N$38,))</f>
        <v>0</v>
      </c>
      <c r="R123" s="336">
        <f>IF(AND(Pricing!$E$26=K123,Pricing!$AE$26="Quoted"),,IF(Pricing!$E$26=K123,$N$39,))</f>
        <v>0</v>
      </c>
      <c r="S123" s="336">
        <f>IF(AND(Pricing!$E$29=K123,Pricing!$AE$29="Quoted"),,IF(Pricing!$E$29=K123,$N$40,))</f>
        <v>0</v>
      </c>
      <c r="T123" s="336">
        <f>IF(AND(Pricing!$E$32=K123,Pricing!$AE$32="Quoted"),,IF(Pricing!$E$32=K123,$N$41,))</f>
        <v>0</v>
      </c>
      <c r="U123" s="336">
        <f>IF(AND(Pricing!$E$35=K123,Pricing!$AE$35="Quoted"),,IF(Pricing!$E$35=K123,$N$42,))</f>
        <v>0</v>
      </c>
      <c r="V123" s="336">
        <f>IF(AND(Pricing!$E$38=K123,Pricing!$AE$38="Quoted"),,IF(Pricing!$E$38=K123,$N$43,))</f>
        <v>0</v>
      </c>
      <c r="W123" s="336">
        <f>IF(AND(Pricing!$E$41=K123,Pricing!$AE$41="Quoted"),,IF(Pricing!$E$41=K123,$N$44,))</f>
        <v>0</v>
      </c>
      <c r="X123" s="336">
        <f>IF(AND(Pricing!$E$44=K123,Pricing!$AE$44="Quoted"),,IF(Pricing!$E$44=K123,$N$45,))</f>
        <v>0</v>
      </c>
      <c r="Y123" s="336">
        <f>IF(AND(Pricing!$E$47=K123,Pricing!$AE$47="Quoted"),,IF(Pricing!$E$47=K123,$N$46,))</f>
        <v>0</v>
      </c>
      <c r="Z123" s="396">
        <f>IF(AND(Pricing!$E$50=K123,Pricing!$AE$50="Quoted"),,IF(Pricing!$E$50=K123,$N$47,))</f>
        <v>0</v>
      </c>
      <c r="AA123" s="398">
        <f t="shared" si="41"/>
        <v>0</v>
      </c>
    </row>
    <row r="124" spans="11:27">
      <c r="K124" s="27" t="str">
        <f t="shared" si="42"/>
        <v>Java</v>
      </c>
      <c r="L124" s="336">
        <f>IF(AND(Pricing!$E$8=K124,Pricing!$AE$8="Quoted"),,IF(Pricing!$E$8=K124,$N$33,))</f>
        <v>0</v>
      </c>
      <c r="M124" s="336">
        <f>IF(AND(Pricing!$E$11=K124,Pricing!$AE$11="Quoted"),,IF(Pricing!$E$11=K124,$N$34,))</f>
        <v>0</v>
      </c>
      <c r="N124" s="336">
        <f>IF(AND(Pricing!$E$14=K124,Pricing!$AE$14="Quoted"),,IF(Pricing!$E$14=K124,$N$35,))</f>
        <v>0</v>
      </c>
      <c r="O124" s="336">
        <f>IF(AND(Pricing!$E$17=K124,Pricing!$AE$17="Quoted"),,IF(Pricing!$E$17=K124,$N$36,))</f>
        <v>0</v>
      </c>
      <c r="P124" s="336">
        <f>IF(AND(Pricing!$E$20=K124,Pricing!$AE$20="Quoted"),,IF(Pricing!$E$20=K124,$N$37,))</f>
        <v>0</v>
      </c>
      <c r="Q124" s="336">
        <f>IF(AND(Pricing!$E$23=K124,Pricing!$AE$23="Quoted"),,IF(Pricing!$E$23=K124,$N$38,))</f>
        <v>0</v>
      </c>
      <c r="R124" s="336">
        <f>IF(AND(Pricing!$E$26=K124,Pricing!$AE$26="Quoted"),,IF(Pricing!$E$26=K124,$N$39,))</f>
        <v>0</v>
      </c>
      <c r="S124" s="336">
        <f>IF(AND(Pricing!$E$29=K124,Pricing!$AE$29="Quoted"),,IF(Pricing!$E$29=K124,$N$40,))</f>
        <v>0</v>
      </c>
      <c r="T124" s="336">
        <f>IF(AND(Pricing!$E$32=K124,Pricing!$AE$32="Quoted"),,IF(Pricing!$E$32=K124,$N$41,))</f>
        <v>0</v>
      </c>
      <c r="U124" s="336">
        <f>IF(AND(Pricing!$E$35=K124,Pricing!$AE$35="Quoted"),,IF(Pricing!$E$35=K124,$N$42,))</f>
        <v>0</v>
      </c>
      <c r="V124" s="336">
        <f>IF(AND(Pricing!$E$38=K124,Pricing!$AE$38="Quoted"),,IF(Pricing!$E$38=K124,$N$43,))</f>
        <v>0</v>
      </c>
      <c r="W124" s="336">
        <f>IF(AND(Pricing!$E$41=K124,Pricing!$AE$41="Quoted"),,IF(Pricing!$E$41=K124,$N$44,))</f>
        <v>0</v>
      </c>
      <c r="X124" s="336">
        <f>IF(AND(Pricing!$E$44=K124,Pricing!$AE$44="Quoted"),,IF(Pricing!$E$44=K124,$N$45,))</f>
        <v>0</v>
      </c>
      <c r="Y124" s="336">
        <f>IF(AND(Pricing!$E$47=K124,Pricing!$AE$47="Quoted"),,IF(Pricing!$E$47=K124,$N$46,))</f>
        <v>0</v>
      </c>
      <c r="Z124" s="396">
        <f>IF(AND(Pricing!$E$50=K124,Pricing!$AE$50="Quoted"),,IF(Pricing!$E$50=K124,$N$47,))</f>
        <v>0</v>
      </c>
      <c r="AA124" s="398">
        <f t="shared" si="41"/>
        <v>0</v>
      </c>
    </row>
    <row r="125" spans="11:27">
      <c r="K125" s="27" t="str">
        <f t="shared" si="42"/>
        <v>Maui</v>
      </c>
      <c r="L125" s="336">
        <f>IF(AND(Pricing!$E$8=K125,Pricing!$AE$8="Quoted"),,IF(Pricing!$E$8=K125,$N$33,))</f>
        <v>0</v>
      </c>
      <c r="M125" s="336">
        <f>IF(AND(Pricing!$E$11=K125,Pricing!$AE$11="Quoted"),,IF(Pricing!$E$11=K125,$N$34,))</f>
        <v>0</v>
      </c>
      <c r="N125" s="336">
        <f>IF(AND(Pricing!$E$14=K125,Pricing!$AE$14="Quoted"),,IF(Pricing!$E$14=K125,$N$35,))</f>
        <v>0</v>
      </c>
      <c r="O125" s="336">
        <f>IF(AND(Pricing!$E$17=K125,Pricing!$AE$17="Quoted"),,IF(Pricing!$E$17=K125,$N$36,))</f>
        <v>0</v>
      </c>
      <c r="P125" s="336">
        <f>IF(AND(Pricing!$E$20=K125,Pricing!$AE$20="Quoted"),,IF(Pricing!$E$20=K125,$N$37,))</f>
        <v>0</v>
      </c>
      <c r="Q125" s="336">
        <f>IF(AND(Pricing!$E$23=K125,Pricing!$AE$23="Quoted"),,IF(Pricing!$E$23=K125,$N$38,))</f>
        <v>0</v>
      </c>
      <c r="R125" s="336">
        <f>IF(AND(Pricing!$E$26=K125,Pricing!$AE$26="Quoted"),,IF(Pricing!$E$26=K125,$N$39,))</f>
        <v>0</v>
      </c>
      <c r="S125" s="336">
        <f>IF(AND(Pricing!$E$29=K125,Pricing!$AE$29="Quoted"),,IF(Pricing!$E$29=K125,$N$40,))</f>
        <v>0</v>
      </c>
      <c r="T125" s="336">
        <f>IF(AND(Pricing!$E$32=K125,Pricing!$AE$32="Quoted"),,IF(Pricing!$E$32=K125,$N$41,))</f>
        <v>0</v>
      </c>
      <c r="U125" s="336">
        <f>IF(AND(Pricing!$E$35=K125,Pricing!$AE$35="Quoted"),,IF(Pricing!$E$35=K125,$N$42,))</f>
        <v>0</v>
      </c>
      <c r="V125" s="336">
        <f>IF(AND(Pricing!$E$38=K125,Pricing!$AE$38="Quoted"),,IF(Pricing!$E$38=K125,$N$43,))</f>
        <v>0</v>
      </c>
      <c r="W125" s="336">
        <f>IF(AND(Pricing!$E$41=K125,Pricing!$AE$41="Quoted"),,IF(Pricing!$E$41=K125,$N$44,))</f>
        <v>0</v>
      </c>
      <c r="X125" s="336">
        <f>IF(AND(Pricing!$E$44=K125,Pricing!$AE$44="Quoted"),,IF(Pricing!$E$44=K125,$N$45,))</f>
        <v>0</v>
      </c>
      <c r="Y125" s="336">
        <f>IF(AND(Pricing!$E$47=K125,Pricing!$AE$47="Quoted"),,IF(Pricing!$E$47=K125,$N$46,))</f>
        <v>0</v>
      </c>
      <c r="Z125" s="396">
        <f>IF(AND(Pricing!$E$50=K125,Pricing!$AE$50="Quoted"),,IF(Pricing!$E$50=K125,$N$47,))</f>
        <v>0</v>
      </c>
      <c r="AA125" s="398">
        <f t="shared" si="41"/>
        <v>0</v>
      </c>
    </row>
    <row r="126" spans="11:27">
      <c r="K126" s="27" t="str">
        <f t="shared" si="42"/>
        <v>Tahiti</v>
      </c>
      <c r="L126" s="336">
        <f>IF(AND(Pricing!$E$8=K126,Pricing!$AE$8="Quoted"),,IF(Pricing!$E$8=K126,$N$33,))</f>
        <v>0</v>
      </c>
      <c r="M126" s="336">
        <f>IF(AND(Pricing!$E$11=K126,Pricing!$AE$11="Quoted"),,IF(Pricing!$E$11=K126,$N$34,))</f>
        <v>0</v>
      </c>
      <c r="N126" s="336">
        <f>IF(AND(Pricing!$E$14=K126,Pricing!$AE$14="Quoted"),,IF(Pricing!$E$14=K126,$N$35,))</f>
        <v>0</v>
      </c>
      <c r="O126" s="336">
        <f>IF(AND(Pricing!$E$17=K126,Pricing!$AE$17="Quoted"),,IF(Pricing!$E$17=K126,$N$36,))</f>
        <v>0</v>
      </c>
      <c r="P126" s="336">
        <f>IF(AND(Pricing!$E$20=K126,Pricing!$AE$20="Quoted"),,IF(Pricing!$E$20=K126,$N$37,))</f>
        <v>0</v>
      </c>
      <c r="Q126" s="336">
        <f>IF(AND(Pricing!$E$23=K126,Pricing!$AE$23="Quoted"),,IF(Pricing!$E$23=K126,$N$38,))</f>
        <v>0</v>
      </c>
      <c r="R126" s="336">
        <f>IF(AND(Pricing!$E$26=K126,Pricing!$AE$26="Quoted"),,IF(Pricing!$E$26=K126,$N$39,))</f>
        <v>0</v>
      </c>
      <c r="S126" s="336">
        <f>IF(AND(Pricing!$E$29=K126,Pricing!$AE$29="Quoted"),,IF(Pricing!$E$29=K126,$N$40,))</f>
        <v>0</v>
      </c>
      <c r="T126" s="336">
        <f>IF(AND(Pricing!$E$32=K126,Pricing!$AE$32="Quoted"),,IF(Pricing!$E$32=K126,$N$41,))</f>
        <v>0</v>
      </c>
      <c r="U126" s="336">
        <f>IF(AND(Pricing!$E$35=K126,Pricing!$AE$35="Quoted"),,IF(Pricing!$E$35=K126,$N$42,))</f>
        <v>0</v>
      </c>
      <c r="V126" s="336">
        <f>IF(AND(Pricing!$E$38=K126,Pricing!$AE$38="Quoted"),,IF(Pricing!$E$38=K126,$N$43,))</f>
        <v>0</v>
      </c>
      <c r="W126" s="336">
        <f>IF(AND(Pricing!$E$41=K126,Pricing!$AE$41="Quoted"),,IF(Pricing!$E$41=K126,$N$44,))</f>
        <v>0</v>
      </c>
      <c r="X126" s="336">
        <f>IF(AND(Pricing!$E$44=K126,Pricing!$AE$44="Quoted"),,IF(Pricing!$E$44=K126,$N$45,))</f>
        <v>0</v>
      </c>
      <c r="Y126" s="336">
        <f>IF(AND(Pricing!$E$47=K126,Pricing!$AE$47="Quoted"),,IF(Pricing!$E$47=K126,$N$46,))</f>
        <v>0</v>
      </c>
      <c r="Z126" s="396">
        <f>IF(AND(Pricing!$E$50=K126,Pricing!$AE$50="Quoted"),,IF(Pricing!$E$50=K126,$N$47,))</f>
        <v>0</v>
      </c>
      <c r="AA126" s="398">
        <f t="shared" si="41"/>
        <v>0</v>
      </c>
    </row>
    <row r="127" spans="11:27">
      <c r="K127" s="27"/>
    </row>
    <row r="131" spans="11:27" ht="15" thickBot="1">
      <c r="K131" s="981" t="s">
        <v>555</v>
      </c>
      <c r="L131" s="981"/>
      <c r="M131" s="981"/>
      <c r="N131" s="981"/>
      <c r="O131" s="981"/>
      <c r="P131" s="981"/>
      <c r="Q131" s="981"/>
      <c r="R131" s="981"/>
      <c r="S131" s="981"/>
      <c r="T131" s="981"/>
      <c r="U131" s="981"/>
      <c r="V131" s="981"/>
      <c r="W131" s="981"/>
      <c r="X131" s="981"/>
      <c r="Y131" s="981"/>
      <c r="Z131" s="981"/>
      <c r="AA131" s="981"/>
    </row>
    <row r="132" spans="11:27" ht="15" thickTop="1">
      <c r="L132" s="67" t="s">
        <v>331</v>
      </c>
      <c r="M132" s="67" t="s">
        <v>334</v>
      </c>
      <c r="N132" s="67" t="s">
        <v>336</v>
      </c>
      <c r="O132" s="67" t="s">
        <v>338</v>
      </c>
      <c r="P132" s="67" t="s">
        <v>339</v>
      </c>
      <c r="Q132" s="67" t="s">
        <v>341</v>
      </c>
      <c r="R132" s="67" t="s">
        <v>342</v>
      </c>
      <c r="S132" s="67" t="s">
        <v>343</v>
      </c>
      <c r="T132" s="67" t="s">
        <v>344</v>
      </c>
      <c r="U132" s="67" t="s">
        <v>346</v>
      </c>
      <c r="V132" s="67" t="s">
        <v>348</v>
      </c>
      <c r="W132" s="67" t="s">
        <v>350</v>
      </c>
      <c r="X132" s="67" t="s">
        <v>351</v>
      </c>
      <c r="Y132" s="67" t="s">
        <v>353</v>
      </c>
      <c r="Z132" s="68" t="s">
        <v>354</v>
      </c>
      <c r="AA132" s="69" t="s">
        <v>104</v>
      </c>
    </row>
    <row r="133" spans="11:27">
      <c r="K133" s="27" t="s">
        <v>63</v>
      </c>
      <c r="L133" s="336">
        <f>IF(AND(Pricing!$E$8=Matrix2!K133,$N$92&gt;0),$N$92,)</f>
        <v>0</v>
      </c>
      <c r="M133" s="336">
        <f>IF(AND(Pricing!$E$11=Matrix2!K133,$N$93&gt;0),$N$93,)</f>
        <v>0</v>
      </c>
      <c r="N133" s="336">
        <f>IF(AND(Pricing!$E$14=Matrix2!K133,$N$94&gt;0),$N$94,)</f>
        <v>0</v>
      </c>
      <c r="O133" s="336">
        <f>IF(AND(Pricing!$E$17=Matrix2!K133,$N$95&gt;0),$N$95,)</f>
        <v>0</v>
      </c>
      <c r="P133" s="336">
        <f>IF(AND(Pricing!$E$20=Matrix2!K133,$N$96&gt;0),$N$96,)</f>
        <v>0</v>
      </c>
      <c r="Q133" s="336">
        <f>IF(AND(Pricing!$E$23=Matrix2!K133,$N$97&gt;0),$N$97,)</f>
        <v>0</v>
      </c>
      <c r="R133" s="336">
        <f>IF(AND(Pricing!$E$26=Matrix2!K133,$N$98&gt;0),$N$98,)</f>
        <v>0</v>
      </c>
      <c r="S133" s="336">
        <f>IF(AND(Pricing!$E$29=Matrix2!K133,$N$99&gt;0),$N$99,)</f>
        <v>0</v>
      </c>
      <c r="T133" s="336">
        <f>IF(AND(Pricing!$E$32=Matrix2!K133,$N$100&gt;0),$N$100,)</f>
        <v>0</v>
      </c>
      <c r="U133" s="336">
        <f>IF(AND(Pricing!$E$35=Matrix2!K133,$N$101&gt;0),$N$101,)</f>
        <v>0</v>
      </c>
      <c r="V133" s="336">
        <f>IF(AND(Pricing!$E$38=Matrix2!K133,$N$102&gt;0),$N$102,)</f>
        <v>0</v>
      </c>
      <c r="W133" s="336">
        <f>IF(AND(Pricing!$E$41=Matrix2!K133,$N$103&gt;0),$N$103,)</f>
        <v>0</v>
      </c>
      <c r="X133" s="336">
        <f>IF(AND(Pricing!$E$44=Matrix2!K133,$N$104&gt;0),$N$104,)</f>
        <v>0</v>
      </c>
      <c r="Y133" s="336">
        <f>IF(AND(Pricing!$E$47=Matrix2!K133,$N$105&gt;0),$N$105,)</f>
        <v>0</v>
      </c>
      <c r="Z133" s="336">
        <f>IF(AND(Pricing!$E$50=Matrix2!K133,$N$106&gt;0),$N$106,)</f>
        <v>0</v>
      </c>
      <c r="AA133" s="335">
        <f t="shared" ref="AA133:AA143" si="43">SUM(L133:Z133)</f>
        <v>0</v>
      </c>
    </row>
    <row r="134" spans="11:27">
      <c r="K134" s="27" t="s">
        <v>18</v>
      </c>
      <c r="L134" s="336">
        <f>IF(AND(Pricing!$E$8=Matrix2!K134,$N$92&gt;0),$N$92,)</f>
        <v>0</v>
      </c>
      <c r="M134" s="336">
        <f>IF(AND(Pricing!$E$11=Matrix2!K134,$N$93&gt;0),$N$93,)</f>
        <v>0</v>
      </c>
      <c r="N134" s="336">
        <f>IF(AND(Pricing!$E$14=Matrix2!K134,$N$94&gt;0),$N$9,)</f>
        <v>0</v>
      </c>
      <c r="O134" s="336">
        <f>IF(AND(Pricing!$E$17=Matrix2!K134,$N$95&gt;0),$N$95,)</f>
        <v>0</v>
      </c>
      <c r="P134" s="336">
        <f>IF(AND(Pricing!$E$20=Matrix2!K134,$N$96&gt;0),$N$96,)</f>
        <v>0</v>
      </c>
      <c r="Q134" s="336">
        <f>IF(AND(Pricing!$E$23=Matrix2!K134,$N$97&gt;0),$N$97,)</f>
        <v>0</v>
      </c>
      <c r="R134" s="336">
        <f>IF(AND(Pricing!$E$26=Matrix2!K134,$N$98&gt;0),$N$98,)</f>
        <v>0</v>
      </c>
      <c r="S134" s="336">
        <f>IF(AND(Pricing!$E$29=Matrix2!K134,$N$99&gt;0),$N$99,)</f>
        <v>0</v>
      </c>
      <c r="T134" s="336">
        <f>IF(AND(Pricing!$E$32=Matrix2!K134,$N$100&gt;0),$N$100,)</f>
        <v>0</v>
      </c>
      <c r="U134" s="336">
        <f>IF(AND(Pricing!$E$35=Matrix2!K134,$N$101&gt;0),$N$101,)</f>
        <v>0</v>
      </c>
      <c r="V134" s="336">
        <f>IF(AND(Pricing!$E$38=Matrix2!K134,$N$102&gt;0),$N$102,)</f>
        <v>0</v>
      </c>
      <c r="W134" s="336">
        <f>IF(AND(Pricing!$E$41=Matrix2!K134,$N$103&gt;0),$N$103,)</f>
        <v>0</v>
      </c>
      <c r="X134" s="336">
        <f>IF(AND(Pricing!$E$44=Matrix2!K134,$N$104&gt;0),$N$104,)</f>
        <v>0</v>
      </c>
      <c r="Y134" s="336">
        <f>IF(AND(Pricing!$E$47=Matrix2!K134,$N$105&gt;0),$N$105,)</f>
        <v>0</v>
      </c>
      <c r="Z134" s="336">
        <f>IF(AND(Pricing!$E$50=Matrix2!K134,$N$106&gt;0),$N$106,)</f>
        <v>0</v>
      </c>
      <c r="AA134" s="335">
        <f t="shared" si="43"/>
        <v>0</v>
      </c>
    </row>
    <row r="135" spans="11:27">
      <c r="K135" s="27" t="str">
        <f t="shared" ref="K135:K143" si="44">G28</f>
        <v>Aruba Express</v>
      </c>
      <c r="L135" s="336">
        <f>IF(AND(Pricing!$E$8=Matrix2!K135,$N$92&gt;0),$N$92,)</f>
        <v>0</v>
      </c>
      <c r="M135" s="336">
        <f>IF(AND(Pricing!$E$11=Matrix2!K135,$N$93&gt;0),$N$93,)</f>
        <v>0</v>
      </c>
      <c r="N135" s="336">
        <f>IF(AND(Pricing!$E$14=Matrix2!K135,$N$94&gt;0),$N$9,)</f>
        <v>0</v>
      </c>
      <c r="O135" s="336">
        <f>IF(AND(Pricing!$E$17=Matrix2!K135,$N$95&gt;0),$N$95,)</f>
        <v>0</v>
      </c>
      <c r="P135" s="336">
        <f>IF(AND(Pricing!$E$20=Matrix2!K135,$N$96&gt;0),$N$96,)</f>
        <v>0</v>
      </c>
      <c r="Q135" s="336">
        <f>IF(AND(Pricing!$E$23=Matrix2!K135,$N$97&gt;0),$N$97,)</f>
        <v>0</v>
      </c>
      <c r="R135" s="336">
        <f>IF(AND(Pricing!$E$26=Matrix2!K135,$N$98&gt;0),$N$98,)</f>
        <v>0</v>
      </c>
      <c r="S135" s="336">
        <f>IF(AND(Pricing!$E$29=Matrix2!K135,$N$99&gt;0),$N$99,)</f>
        <v>0</v>
      </c>
      <c r="T135" s="336">
        <f>IF(AND(Pricing!$E$32=Matrix2!K135,$N$100&gt;0),$N$100,)</f>
        <v>0</v>
      </c>
      <c r="U135" s="336">
        <f>IF(AND(Pricing!$E$35=Matrix2!K135,$N$101&gt;0),$N$101,)</f>
        <v>0</v>
      </c>
      <c r="V135" s="336">
        <f>IF(AND(Pricing!$E$38=Matrix2!K135,$N$102&gt;0),$N$102,)</f>
        <v>0</v>
      </c>
      <c r="W135" s="336">
        <f>IF(AND(Pricing!$E$41=Matrix2!K135,$N$103&gt;0),$N$103,)</f>
        <v>0</v>
      </c>
      <c r="X135" s="336">
        <f>IF(AND(Pricing!$E$44=Matrix2!K135,$N$104&gt;0),$N$104,)</f>
        <v>0</v>
      </c>
      <c r="Y135" s="336">
        <f>IF(AND(Pricing!$E$47=Matrix2!K135,$N$105&gt;0),$N$105,)</f>
        <v>0</v>
      </c>
      <c r="Z135" s="336">
        <f>IF(AND(Pricing!$E$50=Matrix2!K135,$N$106&gt;0),$N$106,)</f>
        <v>0</v>
      </c>
      <c r="AA135" s="335">
        <f t="shared" si="43"/>
        <v>0</v>
      </c>
    </row>
    <row r="136" spans="11:27">
      <c r="K136" s="27" t="str">
        <f t="shared" si="44"/>
        <v>Antigua</v>
      </c>
      <c r="L136" s="336">
        <f>IF(AND(Pricing!$E$8=Matrix2!K136,$N$92&gt;0),$N$92,)</f>
        <v>0</v>
      </c>
      <c r="M136" s="336">
        <f>IF(AND(Pricing!$E$11=Matrix2!K136,$N$93&gt;0),$N$93,)</f>
        <v>0</v>
      </c>
      <c r="N136" s="336">
        <f>IF(AND(Pricing!$E$14=Matrix2!K136,$N$94&gt;0),$N$9,)</f>
        <v>0</v>
      </c>
      <c r="O136" s="336">
        <f>IF(AND(Pricing!$E$17=Matrix2!K136,$N$95&gt;0),$N$95,)</f>
        <v>0</v>
      </c>
      <c r="P136" s="336">
        <f>IF(AND(Pricing!$E$20=Matrix2!K136,$N$96&gt;0),$N$96,)</f>
        <v>0</v>
      </c>
      <c r="Q136" s="336">
        <f>IF(AND(Pricing!$E$23=Matrix2!K136,$N$97&gt;0),$N$97,)</f>
        <v>0</v>
      </c>
      <c r="R136" s="336">
        <f>IF(AND(Pricing!$E$26=Matrix2!K136,$N$98&gt;0),$N$98,)</f>
        <v>0</v>
      </c>
      <c r="S136" s="336">
        <f>IF(AND(Pricing!$E$29=Matrix2!K136,$N$99&gt;0),$N$99,)</f>
        <v>0</v>
      </c>
      <c r="T136" s="336">
        <f>IF(AND(Pricing!$E$32=Matrix2!K136,$N$100&gt;0),$N$100,)</f>
        <v>0</v>
      </c>
      <c r="U136" s="336">
        <f>IF(AND(Pricing!$E$35=Matrix2!K136,$N$101&gt;0),$N$101,)</f>
        <v>0</v>
      </c>
      <c r="V136" s="336">
        <f>IF(AND(Pricing!$E$38=Matrix2!K136,$N$102&gt;0),$N$102,)</f>
        <v>0</v>
      </c>
      <c r="W136" s="336">
        <f>IF(AND(Pricing!$E$41=Matrix2!K136,$N$103&gt;0),$N$103,)</f>
        <v>0</v>
      </c>
      <c r="X136" s="336">
        <f>IF(AND(Pricing!$E$44=Matrix2!K136,$N$104&gt;0),$N$104,)</f>
        <v>0</v>
      </c>
      <c r="Y136" s="336">
        <f>IF(AND(Pricing!$E$47=Matrix2!K136,$N$105&gt;0),$N$105,)</f>
        <v>0</v>
      </c>
      <c r="Z136" s="336">
        <f>IF(AND(Pricing!$E$50=Matrix2!K136,$N$106&gt;0),$N$106,)</f>
        <v>0</v>
      </c>
      <c r="AA136" s="335">
        <f t="shared" si="43"/>
        <v>0</v>
      </c>
    </row>
    <row r="137" spans="11:27">
      <c r="K137" s="27" t="str">
        <f t="shared" si="44"/>
        <v>Bermuda</v>
      </c>
      <c r="L137" s="336">
        <f>IF(AND(Pricing!$E$8=Matrix2!K137,$N$92&gt;0),$N$92,)</f>
        <v>0</v>
      </c>
      <c r="M137" s="336">
        <f>IF(AND(Pricing!$E$11=Matrix2!K137,$N$93&gt;0),$N$93,)</f>
        <v>0</v>
      </c>
      <c r="N137" s="336">
        <f>IF(AND(Pricing!$E$14=Matrix2!K137,$N$94&gt;0),$N$9,)</f>
        <v>0</v>
      </c>
      <c r="O137" s="336">
        <f>IF(AND(Pricing!$E$17=Matrix2!K137,$N$95&gt;0),$N$95,)</f>
        <v>0</v>
      </c>
      <c r="P137" s="336">
        <f>IF(AND(Pricing!$E$20=Matrix2!K137,$N$96&gt;0),$N$96,)</f>
        <v>0</v>
      </c>
      <c r="Q137" s="336">
        <f>IF(AND(Pricing!$E$23=Matrix2!K137,$N$97&gt;0),$N$97,)</f>
        <v>0</v>
      </c>
      <c r="R137" s="336">
        <f>IF(AND(Pricing!$E$26=Matrix2!K137,$N$98&gt;0),$N$98,)</f>
        <v>0</v>
      </c>
      <c r="S137" s="336">
        <f>IF(AND(Pricing!$E$29=Matrix2!K137,$N$99&gt;0),$N$99,)</f>
        <v>0</v>
      </c>
      <c r="T137" s="336">
        <f>IF(AND(Pricing!$E$32=Matrix2!K137,$N$100&gt;0),$N$100,)</f>
        <v>0</v>
      </c>
      <c r="U137" s="336">
        <f>IF(AND(Pricing!$E$35=Matrix2!K137,$N$101&gt;0),$N$101,)</f>
        <v>0</v>
      </c>
      <c r="V137" s="336">
        <f>IF(AND(Pricing!$E$38=Matrix2!K137,$N$102&gt;0),$N$102,)</f>
        <v>0</v>
      </c>
      <c r="W137" s="336">
        <f>IF(AND(Pricing!$E$41=Matrix2!K137,$N$103&gt;0),$N$103,)</f>
        <v>0</v>
      </c>
      <c r="X137" s="336">
        <f>IF(AND(Pricing!$E$44=Matrix2!K137,$N$104&gt;0),$N$104,)</f>
        <v>0</v>
      </c>
      <c r="Y137" s="336">
        <f>IF(AND(Pricing!$E$47=Matrix2!K137,$N$105&gt;0),$N$105,)</f>
        <v>0</v>
      </c>
      <c r="Z137" s="336">
        <f>IF(AND(Pricing!$E$50=Matrix2!K137,$N$106&gt;0),$N$106,)</f>
        <v>0</v>
      </c>
      <c r="AA137" s="335">
        <f t="shared" si="43"/>
        <v>0</v>
      </c>
    </row>
    <row r="138" spans="11:27">
      <c r="K138" s="27" t="str">
        <f t="shared" si="44"/>
        <v>Capri</v>
      </c>
      <c r="L138" s="336">
        <f>IF(AND(Pricing!$E$8=Matrix2!K138,$N$92&gt;0),$N$92,)</f>
        <v>0</v>
      </c>
      <c r="M138" s="336">
        <f>IF(AND(Pricing!$E$11=Matrix2!K138,$N$93&gt;0),$N$93,)</f>
        <v>0</v>
      </c>
      <c r="N138" s="336">
        <f>IF(AND(Pricing!$E$14=Matrix2!K138,$N$94&gt;0),$N$9,)</f>
        <v>0</v>
      </c>
      <c r="O138" s="336">
        <f>IF(AND(Pricing!$E$17=Matrix2!K138,$N$95&gt;0),$N$95,)</f>
        <v>0</v>
      </c>
      <c r="P138" s="336">
        <f>IF(AND(Pricing!$E$20=Matrix2!K138,$N$96&gt;0),$N$96,)</f>
        <v>0</v>
      </c>
      <c r="Q138" s="336">
        <f>IF(AND(Pricing!$E$23=Matrix2!K138,$N$97&gt;0),$N$97,)</f>
        <v>0</v>
      </c>
      <c r="R138" s="336">
        <f>IF(AND(Pricing!$E$26=Matrix2!K138,$N$98&gt;0),$N$98,)</f>
        <v>0</v>
      </c>
      <c r="S138" s="336">
        <f>IF(AND(Pricing!$E$29=Matrix2!K138,$N$99&gt;0),$N$99,)</f>
        <v>0</v>
      </c>
      <c r="T138" s="336">
        <f>IF(AND(Pricing!$E$32=Matrix2!K138,$N$100&gt;0),$N$100,)</f>
        <v>0</v>
      </c>
      <c r="U138" s="336">
        <f>IF(AND(Pricing!$E$35=Matrix2!K138,$N$101&gt;0),$N$101,)</f>
        <v>0</v>
      </c>
      <c r="V138" s="336">
        <f>IF(AND(Pricing!$E$38=Matrix2!K138,$N$102&gt;0),$N$102,)</f>
        <v>0</v>
      </c>
      <c r="W138" s="336">
        <f>IF(AND(Pricing!$E$41=Matrix2!K138,$N$103&gt;0),$N$103,)</f>
        <v>0</v>
      </c>
      <c r="X138" s="336">
        <f>IF(AND(Pricing!$E$44=Matrix2!K138,$N$104&gt;0),$N$104,)</f>
        <v>0</v>
      </c>
      <c r="Y138" s="336">
        <f>IF(AND(Pricing!$E$47=Matrix2!K138,$N$105&gt;0),$N$105,)</f>
        <v>0</v>
      </c>
      <c r="Z138" s="336">
        <f>IF(AND(Pricing!$E$50=Matrix2!K138,$N$106&gt;0),$N$106,)</f>
        <v>0</v>
      </c>
      <c r="AA138" s="335">
        <f t="shared" si="43"/>
        <v>0</v>
      </c>
    </row>
    <row r="139" spans="11:27">
      <c r="K139" s="27" t="str">
        <f t="shared" si="44"/>
        <v>Cuba</v>
      </c>
      <c r="L139" s="336">
        <f>IF(AND(Pricing!$E$8=Matrix2!K139,$N$92&gt;0),$N$92,)</f>
        <v>0</v>
      </c>
      <c r="M139" s="336">
        <f>IF(AND(Pricing!$E$11=Matrix2!K139,$N$93&gt;0),$N$93,)</f>
        <v>0</v>
      </c>
      <c r="N139" s="336">
        <f>IF(AND(Pricing!$E$14=Matrix2!K139,$N$94&gt;0),$N$9,)</f>
        <v>0</v>
      </c>
      <c r="O139" s="336">
        <f>IF(AND(Pricing!$E$17=Matrix2!K139,$N$95&gt;0),$N$95,)</f>
        <v>0</v>
      </c>
      <c r="P139" s="336">
        <f>IF(AND(Pricing!$E$20=Matrix2!K139,$N$96&gt;0),$N$96,)</f>
        <v>0</v>
      </c>
      <c r="Q139" s="336">
        <f>IF(AND(Pricing!$E$23=Matrix2!K139,$N$97&gt;0),$N$97,)</f>
        <v>0</v>
      </c>
      <c r="R139" s="336">
        <f>IF(AND(Pricing!$E$26=Matrix2!K139,$N$98&gt;0),$N$98,)</f>
        <v>0</v>
      </c>
      <c r="S139" s="336">
        <f>IF(AND(Pricing!$E$29=Matrix2!K139,$N$99&gt;0),$N$99,)</f>
        <v>0</v>
      </c>
      <c r="T139" s="336">
        <f>IF(AND(Pricing!$E$32=Matrix2!K139,$N$100&gt;0),$N$100,)</f>
        <v>0</v>
      </c>
      <c r="U139" s="336">
        <f>IF(AND(Pricing!$E$35=Matrix2!K139,$N$101&gt;0),$N$101,)</f>
        <v>0</v>
      </c>
      <c r="V139" s="336">
        <f>IF(AND(Pricing!$E$38=Matrix2!K139,$N$102&gt;0),$N$102,)</f>
        <v>0</v>
      </c>
      <c r="W139" s="336">
        <f>IF(AND(Pricing!$E$41=Matrix2!K139,$N$103&gt;0),$N$103,)</f>
        <v>0</v>
      </c>
      <c r="X139" s="336">
        <f>IF(AND(Pricing!$E$44=Matrix2!K139,$N$104&gt;0),$N$104,)</f>
        <v>0</v>
      </c>
      <c r="Y139" s="336">
        <f>IF(AND(Pricing!$E$47=Matrix2!K139,$N$105&gt;0),$N$105,)</f>
        <v>0</v>
      </c>
      <c r="Z139" s="336">
        <f>IF(AND(Pricing!$E$50=Matrix2!K139,$N$106&gt;0),$N$106,)</f>
        <v>0</v>
      </c>
      <c r="AA139" s="335">
        <f t="shared" si="43"/>
        <v>0</v>
      </c>
    </row>
    <row r="140" spans="11:27">
      <c r="K140" s="27" t="str">
        <f t="shared" si="44"/>
        <v>Fiji</v>
      </c>
      <c r="L140" s="336">
        <f>IF(AND(Pricing!$E$8=Matrix2!K140,$N$92&gt;0),$N$92,)</f>
        <v>0</v>
      </c>
      <c r="M140" s="336">
        <f>IF(AND(Pricing!$E$11=Matrix2!K140,$N$93&gt;0),$N$93,)</f>
        <v>0</v>
      </c>
      <c r="N140" s="336">
        <f>IF(AND(Pricing!$E$14=Matrix2!K140,$N$94&gt;0),$N$9,)</f>
        <v>0</v>
      </c>
      <c r="O140" s="336">
        <f>IF(AND(Pricing!$E$17=Matrix2!K140,$N$95&gt;0),$N$95,)</f>
        <v>0</v>
      </c>
      <c r="P140" s="336">
        <f>IF(AND(Pricing!$E$20=Matrix2!K140,$N$96&gt;0),$N$96,)</f>
        <v>0</v>
      </c>
      <c r="Q140" s="336">
        <f>IF(AND(Pricing!$E$23=Matrix2!K140,$N$97&gt;0),$N$97,)</f>
        <v>0</v>
      </c>
      <c r="R140" s="336">
        <f>IF(AND(Pricing!$E$26=Matrix2!K140,$N$98&gt;0),$N$98,)</f>
        <v>0</v>
      </c>
      <c r="S140" s="336">
        <f>IF(AND(Pricing!$E$29=Matrix2!K140,$N$99&gt;0),$N$99,)</f>
        <v>0</v>
      </c>
      <c r="T140" s="336">
        <f>IF(AND(Pricing!$E$32=Matrix2!K140,$N$100&gt;0),$N$100,)</f>
        <v>0</v>
      </c>
      <c r="U140" s="336">
        <f>IF(AND(Pricing!$E$35=Matrix2!K140,$N$101&gt;0),$N$101,)</f>
        <v>0</v>
      </c>
      <c r="V140" s="336">
        <f>IF(AND(Pricing!$E$38=Matrix2!K140,$N$102&gt;0),$N$102,)</f>
        <v>0</v>
      </c>
      <c r="W140" s="336">
        <f>IF(AND(Pricing!$E$41=Matrix2!K140,$N$103&gt;0),$N$103,)</f>
        <v>0</v>
      </c>
      <c r="X140" s="336">
        <f>IF(AND(Pricing!$E$44=Matrix2!K140,$N$104&gt;0),$N$104,)</f>
        <v>0</v>
      </c>
      <c r="Y140" s="336">
        <f>IF(AND(Pricing!$E$47=Matrix2!K140,$N$105&gt;0),$N$105,)</f>
        <v>0</v>
      </c>
      <c r="Z140" s="336">
        <f>IF(AND(Pricing!$E$50=Matrix2!K140,$N$106&gt;0),$N$106,)</f>
        <v>0</v>
      </c>
      <c r="AA140" s="335">
        <f t="shared" si="43"/>
        <v>0</v>
      </c>
    </row>
    <row r="141" spans="11:27">
      <c r="K141" s="27" t="str">
        <f t="shared" si="44"/>
        <v>Java</v>
      </c>
      <c r="L141" s="336">
        <f>IF(AND(Pricing!$E$8=Matrix2!K141,$N$92&gt;0),$N$92,)</f>
        <v>0</v>
      </c>
      <c r="M141" s="336">
        <f>IF(AND(Pricing!$E$11=Matrix2!K141,$N$93&gt;0),$N$93,)</f>
        <v>0</v>
      </c>
      <c r="N141" s="336">
        <f>IF(AND(Pricing!$E$14=Matrix2!K141,$N$94&gt;0),$N$9,)</f>
        <v>0</v>
      </c>
      <c r="O141" s="336">
        <f>IF(AND(Pricing!$E$17=Matrix2!K141,$N$95&gt;0),$N$95,)</f>
        <v>0</v>
      </c>
      <c r="P141" s="336">
        <f>IF(AND(Pricing!$E$20=Matrix2!K141,$N$96&gt;0),$N$96,)</f>
        <v>0</v>
      </c>
      <c r="Q141" s="336">
        <f>IF(AND(Pricing!$E$23=Matrix2!K141,$N$97&gt;0),$N$97,)</f>
        <v>0</v>
      </c>
      <c r="R141" s="336">
        <f>IF(AND(Pricing!$E$26=Matrix2!K141,$N$98&gt;0),$N$98,)</f>
        <v>0</v>
      </c>
      <c r="S141" s="336">
        <f>IF(AND(Pricing!$E$29=Matrix2!K141,$N$99&gt;0),$N$99,)</f>
        <v>0</v>
      </c>
      <c r="T141" s="336">
        <f>IF(AND(Pricing!$E$32=Matrix2!K141,$N$100&gt;0),$N$100,)</f>
        <v>0</v>
      </c>
      <c r="U141" s="336">
        <f>IF(AND(Pricing!$E$35=Matrix2!K141,$N$101&gt;0),$N$101,)</f>
        <v>0</v>
      </c>
      <c r="V141" s="336">
        <f>IF(AND(Pricing!$E$38=Matrix2!K141,$N$102&gt;0),$N$102,)</f>
        <v>0</v>
      </c>
      <c r="W141" s="336">
        <f>IF(AND(Pricing!$E$41=Matrix2!K141,$N$103&gt;0),$N$103,)</f>
        <v>0</v>
      </c>
      <c r="X141" s="336">
        <f>IF(AND(Pricing!$E$44=Matrix2!K141,$N$104&gt;0),$N$104,)</f>
        <v>0</v>
      </c>
      <c r="Y141" s="336">
        <f>IF(AND(Pricing!$E$47=Matrix2!K141,$N$105&gt;0),$N$105,)</f>
        <v>0</v>
      </c>
      <c r="Z141" s="336">
        <f>IF(AND(Pricing!$E$50=Matrix2!K141,$N$106&gt;0),$N$106,)</f>
        <v>0</v>
      </c>
      <c r="AA141" s="335">
        <f t="shared" si="43"/>
        <v>0</v>
      </c>
    </row>
    <row r="142" spans="11:27">
      <c r="K142" s="27" t="str">
        <f t="shared" si="44"/>
        <v>Maui</v>
      </c>
      <c r="L142" s="336">
        <f>IF(AND(Pricing!$E$8=Matrix2!K142,$N$92&gt;0),$N$92,)</f>
        <v>0</v>
      </c>
      <c r="M142" s="336">
        <f>IF(AND(Pricing!$E$11=Matrix2!K142,$N$93&gt;0),$N$93,)</f>
        <v>0</v>
      </c>
      <c r="N142" s="336">
        <f>IF(AND(Pricing!$E$14=Matrix2!K142,$N$94&gt;0),$N$9,)</f>
        <v>0</v>
      </c>
      <c r="O142" s="336">
        <f>IF(AND(Pricing!$E$17=Matrix2!K142,$N$95&gt;0),$N$95,)</f>
        <v>0</v>
      </c>
      <c r="P142" s="336">
        <f>IF(AND(Pricing!$E$20=Matrix2!K142,$N$96&gt;0),$N$96,)</f>
        <v>0</v>
      </c>
      <c r="Q142" s="336">
        <f>IF(AND(Pricing!$E$23=Matrix2!K142,$N$97&gt;0),$N$97,)</f>
        <v>0</v>
      </c>
      <c r="R142" s="336">
        <f>IF(AND(Pricing!$E$26=Matrix2!K142,$N$98&gt;0),$N$98,)</f>
        <v>0</v>
      </c>
      <c r="S142" s="336">
        <f>IF(AND(Pricing!$E$29=Matrix2!K142,$N$99&gt;0),$N$99,)</f>
        <v>0</v>
      </c>
      <c r="T142" s="336">
        <f>IF(AND(Pricing!$E$32=Matrix2!K142,$N$100&gt;0),$N$100,)</f>
        <v>0</v>
      </c>
      <c r="U142" s="336">
        <f>IF(AND(Pricing!$E$35=Matrix2!K142,$N$101&gt;0),$N$101,)</f>
        <v>0</v>
      </c>
      <c r="V142" s="336">
        <f>IF(AND(Pricing!$E$38=Matrix2!K142,$N$102&gt;0),$N$102,)</f>
        <v>0</v>
      </c>
      <c r="W142" s="336">
        <f>IF(AND(Pricing!$E$41=Matrix2!K142,$N$103&gt;0),$N$103,)</f>
        <v>0</v>
      </c>
      <c r="X142" s="336">
        <f>IF(AND(Pricing!$E$44=Matrix2!K142,$N$104&gt;0),$N$104,)</f>
        <v>0</v>
      </c>
      <c r="Y142" s="336">
        <f>IF(AND(Pricing!$E$47=Matrix2!K142,$N$105&gt;0),$N$105,)</f>
        <v>0</v>
      </c>
      <c r="Z142" s="336">
        <f>IF(AND(Pricing!$E$50=Matrix2!K142,$N$106&gt;0),$N$106,)</f>
        <v>0</v>
      </c>
      <c r="AA142" s="335">
        <f t="shared" si="43"/>
        <v>0</v>
      </c>
    </row>
    <row r="143" spans="11:27">
      <c r="K143" s="27" t="str">
        <f t="shared" si="44"/>
        <v>Tahiti</v>
      </c>
      <c r="L143" s="336">
        <f>IF(AND(Pricing!$E$8=Matrix2!K143,$N$92&gt;0),$N$92,)</f>
        <v>0</v>
      </c>
      <c r="M143" s="336">
        <f>IF(AND(Pricing!$E$11=Matrix2!K143,$N$93&gt;0),$N$93,)</f>
        <v>0</v>
      </c>
      <c r="N143" s="336">
        <f>IF(AND(Pricing!$E$14=Matrix2!K143,$N$94&gt;0),$N$9,)</f>
        <v>0</v>
      </c>
      <c r="O143" s="336">
        <f>IF(AND(Pricing!$E$17=Matrix2!K143,$N$95&gt;0),$N$95,)</f>
        <v>0</v>
      </c>
      <c r="P143" s="336">
        <f>IF(AND(Pricing!$E$20=Matrix2!K143,$N$96&gt;0),$N$96,)</f>
        <v>0</v>
      </c>
      <c r="Q143" s="336">
        <f>IF(AND(Pricing!$E$23=Matrix2!K143,$N$97&gt;0),$N$97,)</f>
        <v>0</v>
      </c>
      <c r="R143" s="336">
        <f>IF(AND(Pricing!$E$26=Matrix2!K143,$N$98&gt;0),$N$98,)</f>
        <v>0</v>
      </c>
      <c r="S143" s="336">
        <f>IF(AND(Pricing!$E$29=Matrix2!K143,$N$99&gt;0),$N$99,)</f>
        <v>0</v>
      </c>
      <c r="T143" s="336">
        <f>IF(AND(Pricing!$E$32=Matrix2!K143,$N$100&gt;0),$N$100,)</f>
        <v>0</v>
      </c>
      <c r="U143" s="336">
        <f>IF(AND(Pricing!$E$35=Matrix2!K143,$N$101&gt;0),$N$101,)</f>
        <v>0</v>
      </c>
      <c r="V143" s="336">
        <f>IF(AND(Pricing!$E$38=Matrix2!K143,$N$102&gt;0),$N$102,)</f>
        <v>0</v>
      </c>
      <c r="W143" s="336">
        <f>IF(AND(Pricing!$E$41=Matrix2!K143,$N$103&gt;0),$N$103,)</f>
        <v>0</v>
      </c>
      <c r="X143" s="336">
        <f>IF(AND(Pricing!$E$44=Matrix2!K143,$N$104&gt;0),$N$104,)</f>
        <v>0</v>
      </c>
      <c r="Y143" s="336">
        <f>IF(AND(Pricing!$E$47=Matrix2!K143,$N$105&gt;0),$N$105,)</f>
        <v>0</v>
      </c>
      <c r="Z143" s="336">
        <f>IF(AND(Pricing!$E$50=Matrix2!K143,$N$106&gt;0),$N$106,)</f>
        <v>0</v>
      </c>
      <c r="AA143" s="335">
        <f t="shared" si="43"/>
        <v>0</v>
      </c>
    </row>
    <row r="144" spans="11:27">
      <c r="K144" s="27"/>
    </row>
    <row r="147" spans="11:27" ht="15" thickBot="1">
      <c r="K147" s="981" t="s">
        <v>556</v>
      </c>
      <c r="L147" s="981"/>
      <c r="M147" s="981"/>
      <c r="N147" s="981"/>
      <c r="O147" s="981"/>
      <c r="P147" s="981"/>
      <c r="Q147" s="981"/>
      <c r="R147" s="981"/>
      <c r="S147" s="981"/>
      <c r="T147" s="981"/>
      <c r="U147" s="981"/>
      <c r="V147" s="981"/>
      <c r="W147" s="981"/>
      <c r="X147" s="981"/>
      <c r="Y147" s="981"/>
      <c r="Z147" s="981"/>
      <c r="AA147" s="981"/>
    </row>
    <row r="148" spans="11:27" ht="15" thickTop="1">
      <c r="L148" s="67" t="s">
        <v>331</v>
      </c>
      <c r="M148" s="67" t="s">
        <v>334</v>
      </c>
      <c r="N148" s="67" t="s">
        <v>336</v>
      </c>
      <c r="O148" s="67" t="s">
        <v>338</v>
      </c>
      <c r="P148" s="67" t="s">
        <v>339</v>
      </c>
      <c r="Q148" s="67" t="s">
        <v>341</v>
      </c>
      <c r="R148" s="67" t="s">
        <v>342</v>
      </c>
      <c r="S148" s="67" t="s">
        <v>343</v>
      </c>
      <c r="T148" s="67" t="s">
        <v>344</v>
      </c>
      <c r="U148" s="67" t="s">
        <v>346</v>
      </c>
      <c r="V148" s="67" t="s">
        <v>348</v>
      </c>
      <c r="W148" s="67" t="s">
        <v>350</v>
      </c>
      <c r="X148" s="67" t="s">
        <v>351</v>
      </c>
      <c r="Y148" s="67" t="s">
        <v>353</v>
      </c>
      <c r="Z148" s="68" t="s">
        <v>354</v>
      </c>
      <c r="AA148" s="69" t="s">
        <v>104</v>
      </c>
    </row>
    <row r="149" spans="11:27">
      <c r="K149" s="27" t="s">
        <v>63</v>
      </c>
      <c r="L149" s="59">
        <f>IF(Pricing!$AE$8="Quoted",(VLOOKUP(K149,$G$26:$H$36,2,0)*L133)-((VLOOKUP(K149,$G$26:$H$36,2,0)*L133)*VLOOKUP(K149,$B$31:$C$41,2,0)),)</f>
        <v>0</v>
      </c>
      <c r="M149" s="59">
        <f>IF(Pricing!$AE$11="Quoted",(VLOOKUP(K149,$G$26:$H$36,2,0)*M133)-((VLOOKUP(K149,$G$26:$H$36,2,0)*M133)*VLOOKUP(K149,$B$31:$C$41,2,0)),)</f>
        <v>0</v>
      </c>
      <c r="N149" s="59">
        <f>IF(Pricing!$AE$11="Quoted",(VLOOKUP(K149,$G$26:$H$36,2,0)*N133)-((VLOOKUP(K149,$G$26:$H$36,2,0)*N133)*VLOOKUP(K149,$B$31:$C$41,2,0)),)</f>
        <v>0</v>
      </c>
      <c r="O149" s="59">
        <f>IF(Pricing!$AE$11="Quoted",(VLOOKUP(K149,$G$26:$H$36,2,0)*O133)-((VLOOKUP(K149,$G$26:$H$36,2,0)*O133)*VLOOKUP(K149,$B$31:$C$41,2,0)),)</f>
        <v>0</v>
      </c>
      <c r="P149" s="59">
        <f>IF(Pricing!$AE$11="Quoted",(VLOOKUP(K149,$G$26:$H$36,2,0)*P133)-((VLOOKUP(K149,$G$26:$H$36,2,0)*P133)*VLOOKUP(K149,$B$31:$C$41,2,0)),)</f>
        <v>0</v>
      </c>
      <c r="Q149" s="59">
        <f>IF(Pricing!$AE$11="Quoted",(VLOOKUP(K149,$G$26:$H$36,2,0)*Q133)-((VLOOKUP(K149,$G$26:$H$36,2,0)*Q133)*VLOOKUP(K149,$B$31:$C$41,2,0)),)</f>
        <v>0</v>
      </c>
      <c r="R149" s="59">
        <f>IF(Pricing!$AE$11="Quoted",(VLOOKUP(K149,$G$26:$H$36,2,0)*R133)-((VLOOKUP(K149,$G$26:$H$36,2,0)*R133)*VLOOKUP(K149,$B$31:$C$41,2,0)),)</f>
        <v>0</v>
      </c>
      <c r="S149" s="59">
        <f>IF(Pricing!$AE$11="Quoted",(VLOOKUP(K149,$G$26:$H$36,2,0)*S133)-((VLOOKUP(K149,$G$26:$H$36,2,0)*S133)*VLOOKUP(K149,$B$31:$C$41,2,0)),)</f>
        <v>0</v>
      </c>
      <c r="T149" s="59">
        <f>IF(Pricing!$AE$11="Quoted",(VLOOKUP(K149,$G$26:$H$36,2,0)*T133)-((VLOOKUP(K149,$G$26:$H$36,2,0)*T133)*VLOOKUP(K149,$B$31:$C$41,2,0)),)</f>
        <v>0</v>
      </c>
      <c r="U149" s="59">
        <f>IF(Pricing!$AE$11="Quoted",(VLOOKUP(K149,$G$26:$H$36,2,0)*U133)-((VLOOKUP(K149,$G$26:$H$36,2,0)*U133)*VLOOKUP(K149,$B$31:$C$41,2,0)),)</f>
        <v>0</v>
      </c>
      <c r="V149" s="59">
        <f>IF(Pricing!$AE$11="Quoted",(VLOOKUP(K149,$G$26:$H$36,2,0)*V133)-((VLOOKUP(K149,$G$26:$H$36,2,0)*V133)*VLOOKUP(K149,$B$31:$C$41,2,0)),)</f>
        <v>0</v>
      </c>
      <c r="W149" s="59">
        <f>IF(Pricing!$AE$11="Quoted",(VLOOKUP(K149,$G$26:$H$36,2,0)*W133)-((VLOOKUP(K149,$G$26:$H$36,2,0)*W133)*VLOOKUP(K149,$B$31:$C$41,2,0)),)</f>
        <v>0</v>
      </c>
      <c r="X149" s="59">
        <f>IF(Pricing!$AE$11="Quoted",(VLOOKUP(K149,$G$26:$H$36,2,0)*X133)-((VLOOKUP(K149,$G$26:$H$36,2,0)*X133)*VLOOKUP(K149,$B$31:$C$41,2,0)),)</f>
        <v>0</v>
      </c>
      <c r="Y149" s="59">
        <f>IF(Pricing!$AE$11="Quoted",(VLOOKUP(K149,$G$26:$H$36,2,0)*Y133)-((VLOOKUP(K149,$G$26:$H$36,2,0)*Y133)*VLOOKUP(K149,$B$31:$C$41,2,0)),)</f>
        <v>0</v>
      </c>
      <c r="Z149" s="59">
        <f>IF(Pricing!$AE$11="Quoted",(VLOOKUP(K149,$G$26:$H$36,2,0)*Z133)-((VLOOKUP(K149,$G$26:$H$36,2,0)*Z133)*VLOOKUP(K149,$B$31:$C$41,2,0)),)</f>
        <v>0</v>
      </c>
      <c r="AA149" s="337">
        <f t="shared" ref="AA149:AA159" si="45">SUM(L149:Z149)</f>
        <v>0</v>
      </c>
    </row>
    <row r="150" spans="11:27">
      <c r="K150" s="27" t="s">
        <v>18</v>
      </c>
      <c r="L150" s="59">
        <f>IF(Pricing!$AE$8="Quoted",(VLOOKUP(K150,$G$26:$H$36,2,0)*L134)-((VLOOKUP(K150,$G$26:$H$36,2,0)*L134)*VLOOKUP(K150,$B$31:$C$41,2,0)),)</f>
        <v>0</v>
      </c>
      <c r="M150" s="59">
        <f>IF(Pricing!$AE$11="Quoted",(VLOOKUP(K150,$G$26:$H$36,2,0)*M134)-((VLOOKUP(K150,$G$26:$H$36,2,0)*M134)*VLOOKUP(K150,$B$31:$C$41,2,0)),)</f>
        <v>0</v>
      </c>
      <c r="N150" s="59">
        <f>IF(Pricing!$AE$11="Quoted",(VLOOKUP(K150,$G$26:$H$36,2,0)*N134)-((VLOOKUP(K150,$G$26:$H$36,2,0)*N134)*VLOOKUP(K150,$B$31:$C$41,2,0)),)</f>
        <v>0</v>
      </c>
      <c r="O150" s="59">
        <f>IF(Pricing!$AE$11="Quoted",(VLOOKUP(K150,$G$26:$H$36,2,0)*O134)-((VLOOKUP(K150,$G$26:$H$36,2,0)*O134)*VLOOKUP(K150,$B$31:$C$41,2,0)),)</f>
        <v>0</v>
      </c>
      <c r="P150" s="59">
        <f>IF(Pricing!$AE$11="Quoted",(VLOOKUP(K150,$G$26:$H$36,2,0)*P134)-((VLOOKUP(K150,$G$26:$H$36,2,0)*P134)*VLOOKUP(K150,$B$31:$C$41,2,0)),)</f>
        <v>0</v>
      </c>
      <c r="Q150" s="59">
        <f>IF(Pricing!$AE$11="Quoted",(VLOOKUP(K150,$G$26:$H$36,2,0)*Q134)-((VLOOKUP(K150,$G$26:$H$36,2,0)*Q134)*VLOOKUP(K150,$B$31:$C$41,2,0)),)</f>
        <v>0</v>
      </c>
      <c r="R150" s="59">
        <f>IF(Pricing!$AE$11="Quoted",(VLOOKUP(K150,$G$26:$H$36,2,0)*R134)-((VLOOKUP(K150,$G$26:$H$36,2,0)*R134)*VLOOKUP(K150,$B$31:$C$41,2,0)),)</f>
        <v>0</v>
      </c>
      <c r="S150" s="59">
        <f>IF(Pricing!$AE$11="Quoted",(VLOOKUP(K150,$G$26:$H$36,2,0)*S134)-((VLOOKUP(K150,$G$26:$H$36,2,0)*S134)*VLOOKUP(K150,$B$31:$C$41,2,0)),)</f>
        <v>0</v>
      </c>
      <c r="T150" s="59">
        <f>IF(Pricing!$AE$11="Quoted",(VLOOKUP(K150,$G$26:$H$36,2,0)*T134)-((VLOOKUP(K150,$G$26:$H$36,2,0)*T134)*VLOOKUP(K150,$B$31:$C$41,2,0)),)</f>
        <v>0</v>
      </c>
      <c r="U150" s="59">
        <f>IF(Pricing!$AE$11="Quoted",(VLOOKUP(K150,$G$26:$H$36,2,0)*U134)-((VLOOKUP(K150,$G$26:$H$36,2,0)*U134)*VLOOKUP(K150,$B$31:$C$41,2,0)),)</f>
        <v>0</v>
      </c>
      <c r="V150" s="59">
        <f>IF(Pricing!$AE$11="Quoted",(VLOOKUP(K150,$G$26:$H$36,2,0)*V134)-((VLOOKUP(K150,$G$26:$H$36,2,0)*V134)*VLOOKUP(K150,$B$31:$C$41,2,0)),)</f>
        <v>0</v>
      </c>
      <c r="W150" s="59">
        <f>IF(Pricing!$AE$11="Quoted",(VLOOKUP(K150,$G$26:$H$36,2,0)*W134)-((VLOOKUP(K150,$G$26:$H$36,2,0)*W134)*VLOOKUP(K150,$B$31:$C$41,2,0)),)</f>
        <v>0</v>
      </c>
      <c r="X150" s="59">
        <f>IF(Pricing!$AE$11="Quoted",(VLOOKUP(K150,$G$26:$H$36,2,0)*X134)-((VLOOKUP(K150,$G$26:$H$36,2,0)*X134)*VLOOKUP(K150,$B$31:$C$41,2,0)),)</f>
        <v>0</v>
      </c>
      <c r="Y150" s="59">
        <f>IF(Pricing!$AE$11="Quoted",(VLOOKUP(K150,$G$26:$H$36,2,0)*Y134)-((VLOOKUP(K150,$G$26:$H$36,2,0)*Y134)*VLOOKUP(K150,$B$31:$C$41,2,0)),)</f>
        <v>0</v>
      </c>
      <c r="Z150" s="59">
        <f>IF(Pricing!$AE$11="Quoted",(VLOOKUP(K150,$G$26:$H$36,2,0)*Z134)-((VLOOKUP(K150,$G$26:$H$36,2,0)*Z134)*VLOOKUP(K150,$B$31:$C$41,2,0)),)</f>
        <v>0</v>
      </c>
      <c r="AA150" s="337">
        <f t="shared" si="45"/>
        <v>0</v>
      </c>
    </row>
    <row r="151" spans="11:27">
      <c r="K151" s="27" t="str">
        <f t="shared" ref="K151:K159" si="46">G28</f>
        <v>Aruba Express</v>
      </c>
      <c r="L151" s="59">
        <f>IF(Pricing!$AE$8="Quoted",(VLOOKUP(K151,$G$26:$H$36,2,0)*L135)-((VLOOKUP(K151,$G$26:$H$36,2,0)*L135)*VLOOKUP(K151,$B$31:$C$41,2,0)),)</f>
        <v>0</v>
      </c>
      <c r="M151" s="59">
        <f>IF(Pricing!$AE$11="Quoted",(VLOOKUP(K151,$G$26:$H$36,2,0)*M135)-((VLOOKUP(K151,$G$26:$H$36,2,0)*M135)*VLOOKUP(K151,$B$31:$C$41,2,0)),)</f>
        <v>0</v>
      </c>
      <c r="N151" s="59">
        <f>IF(Pricing!$AE$11="Quoted",(VLOOKUP(K151,$G$26:$H$36,2,0)*N135)-((VLOOKUP(K151,$G$26:$H$36,2,0)*N135)*VLOOKUP(K151,$B$31:$C$41,2,0)),)</f>
        <v>0</v>
      </c>
      <c r="O151" s="59">
        <f>IF(Pricing!$AE$11="Quoted",(VLOOKUP(K151,$G$26:$H$36,2,0)*O135)-((VLOOKUP(K151,$G$26:$H$36,2,0)*O135)*VLOOKUP(K151,$B$31:$C$41,2,0)),)</f>
        <v>0</v>
      </c>
      <c r="P151" s="59">
        <f>IF(Pricing!$AE$11="Quoted",(VLOOKUP(K151,$G$26:$H$36,2,0)*P135)-((VLOOKUP(K151,$G$26:$H$36,2,0)*P135)*VLOOKUP(K151,$B$31:$C$41,2,0)),)</f>
        <v>0</v>
      </c>
      <c r="Q151" s="59">
        <f>IF(Pricing!$AE$11="Quoted",(VLOOKUP(K151,$G$26:$H$36,2,0)*Q135)-((VLOOKUP(K151,$G$26:$H$36,2,0)*Q135)*VLOOKUP(K151,$B$31:$C$41,2,0)),)</f>
        <v>0</v>
      </c>
      <c r="R151" s="59">
        <f>IF(Pricing!$AE$11="Quoted",(VLOOKUP(K151,$G$26:$H$36,2,0)*R135)-((VLOOKUP(K151,$G$26:$H$36,2,0)*R135)*VLOOKUP(K151,$B$31:$C$41,2,0)),)</f>
        <v>0</v>
      </c>
      <c r="S151" s="59">
        <f>IF(Pricing!$AE$11="Quoted",(VLOOKUP(K151,$G$26:$H$36,2,0)*S135)-((VLOOKUP(K151,$G$26:$H$36,2,0)*S135)*VLOOKUP(K151,$B$31:$C$41,2,0)),)</f>
        <v>0</v>
      </c>
      <c r="T151" s="59">
        <f>IF(Pricing!$AE$11="Quoted",(VLOOKUP(K151,$G$26:$H$36,2,0)*T135)-((VLOOKUP(K151,$G$26:$H$36,2,0)*T135)*VLOOKUP(K151,$B$31:$C$41,2,0)),)</f>
        <v>0</v>
      </c>
      <c r="U151" s="59">
        <f>IF(Pricing!$AE$11="Quoted",(VLOOKUP(K151,$G$26:$H$36,2,0)*U135)-((VLOOKUP(K151,$G$26:$H$36,2,0)*U135)*VLOOKUP(K151,$B$31:$C$41,2,0)),)</f>
        <v>0</v>
      </c>
      <c r="V151" s="59">
        <f>IF(Pricing!$AE$11="Quoted",(VLOOKUP(K151,$G$26:$H$36,2,0)*V135)-((VLOOKUP(K151,$G$26:$H$36,2,0)*V135)*VLOOKUP(K151,$B$31:$C$41,2,0)),)</f>
        <v>0</v>
      </c>
      <c r="W151" s="59">
        <f>IF(Pricing!$AE$11="Quoted",(VLOOKUP(K151,$G$26:$H$36,2,0)*W135)-((VLOOKUP(K151,$G$26:$H$36,2,0)*W135)*VLOOKUP(K151,$B$31:$C$41,2,0)),)</f>
        <v>0</v>
      </c>
      <c r="X151" s="59">
        <f>IF(Pricing!$AE$11="Quoted",(VLOOKUP(K151,$G$26:$H$36,2,0)*X135)-((VLOOKUP(K151,$G$26:$H$36,2,0)*X135)*VLOOKUP(K151,$B$31:$C$41,2,0)),)</f>
        <v>0</v>
      </c>
      <c r="Y151" s="59">
        <f>IF(Pricing!$AE$11="Quoted",(VLOOKUP(K151,$G$26:$H$36,2,0)*Y135)-((VLOOKUP(K151,$G$26:$H$36,2,0)*Y135)*VLOOKUP(K151,$B$31:$C$41,2,0)),)</f>
        <v>0</v>
      </c>
      <c r="Z151" s="59">
        <f>IF(Pricing!$AE$11="Quoted",(VLOOKUP(K151,$G$26:$H$36,2,0)*Z135)-((VLOOKUP(K151,$G$26:$H$36,2,0)*Z135)*VLOOKUP(K151,$B$31:$C$41,2,0)),)</f>
        <v>0</v>
      </c>
      <c r="AA151" s="337">
        <f t="shared" si="45"/>
        <v>0</v>
      </c>
    </row>
    <row r="152" spans="11:27">
      <c r="K152" s="27" t="str">
        <f t="shared" si="46"/>
        <v>Antigua</v>
      </c>
      <c r="L152" s="59">
        <f>IF(Pricing!$AE$8="Quoted",(VLOOKUP(K152,$G$26:$H$36,2,0)*L136)-((VLOOKUP(K152,$G$26:$H$36,2,0)*L136)*VLOOKUP(K152,$B$31:$C$41,2,0)),)</f>
        <v>0</v>
      </c>
      <c r="M152" s="59">
        <f>IF(Pricing!$AE$11="Quoted",(VLOOKUP(K152,$G$26:$H$36,2,0)*M136)-((VLOOKUP(K152,$G$26:$H$36,2,0)*M136)*VLOOKUP(K152,$B$31:$C$41,2,0)),)</f>
        <v>0</v>
      </c>
      <c r="N152" s="59">
        <f>IF(Pricing!$AE$11="Quoted",(VLOOKUP(K152,$G$26:$H$36,2,0)*N136)-((VLOOKUP(K152,$G$26:$H$36,2,0)*N136)*VLOOKUP(K152,$B$31:$C$41,2,0)),)</f>
        <v>0</v>
      </c>
      <c r="O152" s="59">
        <f>IF(Pricing!$AE$11="Quoted",(VLOOKUP(K152,$G$26:$H$36,2,0)*O136)-((VLOOKUP(K152,$G$26:$H$36,2,0)*O136)*VLOOKUP(K152,$B$31:$C$41,2,0)),)</f>
        <v>0</v>
      </c>
      <c r="P152" s="59">
        <f>IF(Pricing!$AE$11="Quoted",(VLOOKUP(K152,$G$26:$H$36,2,0)*P136)-((VLOOKUP(K152,$G$26:$H$36,2,0)*P136)*VLOOKUP(K152,$B$31:$C$41,2,0)),)</f>
        <v>0</v>
      </c>
      <c r="Q152" s="59">
        <f>IF(Pricing!$AE$11="Quoted",(VLOOKUP(K152,$G$26:$H$36,2,0)*Q136)-((VLOOKUP(K152,$G$26:$H$36,2,0)*Q136)*VLOOKUP(K152,$B$31:$C$41,2,0)),)</f>
        <v>0</v>
      </c>
      <c r="R152" s="59">
        <f>IF(Pricing!$AE$11="Quoted",(VLOOKUP(K152,$G$26:$H$36,2,0)*R136)-((VLOOKUP(K152,$G$26:$H$36,2,0)*R136)*VLOOKUP(K152,$B$31:$C$41,2,0)),)</f>
        <v>0</v>
      </c>
      <c r="S152" s="59">
        <f>IF(Pricing!$AE$11="Quoted",(VLOOKUP(K152,$G$26:$H$36,2,0)*S136)-((VLOOKUP(K152,$G$26:$H$36,2,0)*S136)*VLOOKUP(K152,$B$31:$C$41,2,0)),)</f>
        <v>0</v>
      </c>
      <c r="T152" s="59">
        <f>IF(Pricing!$AE$11="Quoted",(VLOOKUP(K152,$G$26:$H$36,2,0)*T136)-((VLOOKUP(K152,$G$26:$H$36,2,0)*T136)*VLOOKUP(K152,$B$31:$C$41,2,0)),)</f>
        <v>0</v>
      </c>
      <c r="U152" s="59">
        <f>IF(Pricing!$AE$11="Quoted",(VLOOKUP(K152,$G$26:$H$36,2,0)*U136)-((VLOOKUP(K152,$G$26:$H$36,2,0)*U136)*VLOOKUP(K152,$B$31:$C$41,2,0)),)</f>
        <v>0</v>
      </c>
      <c r="V152" s="59">
        <f>IF(Pricing!$AE$11="Quoted",(VLOOKUP(K152,$G$26:$H$36,2,0)*V136)-((VLOOKUP(K152,$G$26:$H$36,2,0)*V136)*VLOOKUP(K152,$B$31:$C$41,2,0)),)</f>
        <v>0</v>
      </c>
      <c r="W152" s="59">
        <f>IF(Pricing!$AE$11="Quoted",(VLOOKUP(K152,$G$26:$H$36,2,0)*W136)-((VLOOKUP(K152,$G$26:$H$36,2,0)*W136)*VLOOKUP(K152,$B$31:$C$41,2,0)),)</f>
        <v>0</v>
      </c>
      <c r="X152" s="59">
        <f>IF(Pricing!$AE$11="Quoted",(VLOOKUP(K152,$G$26:$H$36,2,0)*X136)-((VLOOKUP(K152,$G$26:$H$36,2,0)*X136)*VLOOKUP(K152,$B$31:$C$41,2,0)),)</f>
        <v>0</v>
      </c>
      <c r="Y152" s="59">
        <f>IF(Pricing!$AE$11="Quoted",(VLOOKUP(K152,$G$26:$H$36,2,0)*Y136)-((VLOOKUP(K152,$G$26:$H$36,2,0)*Y136)*VLOOKUP(K152,$B$31:$C$41,2,0)),)</f>
        <v>0</v>
      </c>
      <c r="Z152" s="59">
        <f>IF(Pricing!$AE$11="Quoted",(VLOOKUP(K152,$G$26:$H$36,2,0)*Z136)-((VLOOKUP(K152,$G$26:$H$36,2,0)*Z136)*VLOOKUP(K152,$B$31:$C$41,2,0)),)</f>
        <v>0</v>
      </c>
      <c r="AA152" s="337">
        <f t="shared" si="45"/>
        <v>0</v>
      </c>
    </row>
    <row r="153" spans="11:27">
      <c r="K153" s="27" t="str">
        <f t="shared" si="46"/>
        <v>Bermuda</v>
      </c>
      <c r="L153" s="59">
        <f>IF(Pricing!$AE$8="Quoted",(VLOOKUP(K153,$G$26:$H$36,2,0)*L137)-((VLOOKUP(K153,$G$26:$H$36,2,0)*L137)*VLOOKUP(K153,$B$31:$C$41,2,0)),)</f>
        <v>0</v>
      </c>
      <c r="M153" s="59">
        <f>IF(Pricing!$AE$11="Quoted",(VLOOKUP(K153,$G$26:$H$36,2,0)*M137)-((VLOOKUP(K153,$G$26:$H$36,2,0)*M137)*VLOOKUP(K153,$B$31:$C$41,2,0)),)</f>
        <v>0</v>
      </c>
      <c r="N153" s="59">
        <f>IF(Pricing!$AE$11="Quoted",(VLOOKUP(K153,$G$26:$H$36,2,0)*N137)-((VLOOKUP(K153,$G$26:$H$36,2,0)*N137)*VLOOKUP(K153,$B$31:$C$41,2,0)),)</f>
        <v>0</v>
      </c>
      <c r="O153" s="59">
        <f>IF(Pricing!$AE$11="Quoted",(VLOOKUP(K153,$G$26:$H$36,2,0)*O137)-((VLOOKUP(K153,$G$26:$H$36,2,0)*O137)*VLOOKUP(K153,$B$31:$C$41,2,0)),)</f>
        <v>0</v>
      </c>
      <c r="P153" s="59">
        <f>IF(Pricing!$AE$11="Quoted",(VLOOKUP(K153,$G$26:$H$36,2,0)*P137)-((VLOOKUP(K153,$G$26:$H$36,2,0)*P137)*VLOOKUP(K153,$B$31:$C$41,2,0)),)</f>
        <v>0</v>
      </c>
      <c r="Q153" s="59">
        <f>IF(Pricing!$AE$11="Quoted",(VLOOKUP(K153,$G$26:$H$36,2,0)*Q137)-((VLOOKUP(K153,$G$26:$H$36,2,0)*Q137)*VLOOKUP(K153,$B$31:$C$41,2,0)),)</f>
        <v>0</v>
      </c>
      <c r="R153" s="59">
        <f>IF(Pricing!$AE$11="Quoted",(VLOOKUP(K153,$G$26:$H$36,2,0)*R137)-((VLOOKUP(K153,$G$26:$H$36,2,0)*R137)*VLOOKUP(K153,$B$31:$C$41,2,0)),)</f>
        <v>0</v>
      </c>
      <c r="S153" s="59">
        <f>IF(Pricing!$AE$11="Quoted",(VLOOKUP(K153,$G$26:$H$36,2,0)*S137)-((VLOOKUP(K153,$G$26:$H$36,2,0)*S137)*VLOOKUP(K153,$B$31:$C$41,2,0)),)</f>
        <v>0</v>
      </c>
      <c r="T153" s="59">
        <f>IF(Pricing!$AE$11="Quoted",(VLOOKUP(K153,$G$26:$H$36,2,0)*T137)-((VLOOKUP(K153,$G$26:$H$36,2,0)*T137)*VLOOKUP(K153,$B$31:$C$41,2,0)),)</f>
        <v>0</v>
      </c>
      <c r="U153" s="59">
        <f>IF(Pricing!$AE$11="Quoted",(VLOOKUP(K153,$G$26:$H$36,2,0)*U137)-((VLOOKUP(K153,$G$26:$H$36,2,0)*U137)*VLOOKUP(K153,$B$31:$C$41,2,0)),)</f>
        <v>0</v>
      </c>
      <c r="V153" s="59">
        <f>IF(Pricing!$AE$11="Quoted",(VLOOKUP(K153,$G$26:$H$36,2,0)*V137)-((VLOOKUP(K153,$G$26:$H$36,2,0)*V137)*VLOOKUP(K153,$B$31:$C$41,2,0)),)</f>
        <v>0</v>
      </c>
      <c r="W153" s="59">
        <f>IF(Pricing!$AE$11="Quoted",(VLOOKUP(K153,$G$26:$H$36,2,0)*W137)-((VLOOKUP(K153,$G$26:$H$36,2,0)*W137)*VLOOKUP(K153,$B$31:$C$41,2,0)),)</f>
        <v>0</v>
      </c>
      <c r="X153" s="59">
        <f>IF(Pricing!$AE$11="Quoted",(VLOOKUP(K153,$G$26:$H$36,2,0)*X137)-((VLOOKUP(K153,$G$26:$H$36,2,0)*X137)*VLOOKUP(K153,$B$31:$C$41,2,0)),)</f>
        <v>0</v>
      </c>
      <c r="Y153" s="59">
        <f>IF(Pricing!$AE$11="Quoted",(VLOOKUP(K153,$G$26:$H$36,2,0)*Y137)-((VLOOKUP(K153,$G$26:$H$36,2,0)*Y137)*VLOOKUP(K153,$B$31:$C$41,2,0)),)</f>
        <v>0</v>
      </c>
      <c r="Z153" s="59">
        <f>IF(Pricing!$AE$11="Quoted",(VLOOKUP(K153,$G$26:$H$36,2,0)*Z137)-((VLOOKUP(K153,$G$26:$H$36,2,0)*Z137)*VLOOKUP(K153,$B$31:$C$41,2,0)),)</f>
        <v>0</v>
      </c>
      <c r="AA153" s="337">
        <f t="shared" si="45"/>
        <v>0</v>
      </c>
    </row>
    <row r="154" spans="11:27">
      <c r="K154" s="27" t="str">
        <f t="shared" si="46"/>
        <v>Capri</v>
      </c>
      <c r="L154" s="59">
        <f>IF(Pricing!$AE$8="Quoted",(VLOOKUP(K154,$G$26:$H$36,2,0)*L138)-((VLOOKUP(K154,$G$26:$H$36,2,0)*L138)*VLOOKUP(K154,$B$31:$C$41,2,0)),)</f>
        <v>0</v>
      </c>
      <c r="M154" s="59">
        <f>IF(Pricing!$AE$11="Quoted",(VLOOKUP(K154,$G$26:$H$36,2,0)*M138)-((VLOOKUP(K154,$G$26:$H$36,2,0)*M138)*VLOOKUP(K154,$B$31:$C$41,2,0)),)</f>
        <v>0</v>
      </c>
      <c r="N154" s="59">
        <f>IF(Pricing!$AE$11="Quoted",(VLOOKUP(K154,$G$26:$H$36,2,0)*N138)-((VLOOKUP(K154,$G$26:$H$36,2,0)*N138)*VLOOKUP(K154,$B$31:$C$41,2,0)),)</f>
        <v>0</v>
      </c>
      <c r="O154" s="59">
        <f>IF(Pricing!$AE$11="Quoted",(VLOOKUP(K154,$G$26:$H$36,2,0)*O138)-((VLOOKUP(K154,$G$26:$H$36,2,0)*O138)*VLOOKUP(K154,$B$31:$C$41,2,0)),)</f>
        <v>0</v>
      </c>
      <c r="P154" s="59">
        <f>IF(Pricing!$AE$11="Quoted",(VLOOKUP(K154,$G$26:$H$36,2,0)*P138)-((VLOOKUP(K154,$G$26:$H$36,2,0)*P138)*VLOOKUP(K154,$B$31:$C$41,2,0)),)</f>
        <v>0</v>
      </c>
      <c r="Q154" s="59">
        <f>IF(Pricing!$AE$11="Quoted",(VLOOKUP(K154,$G$26:$H$36,2,0)*Q138)-((VLOOKUP(K154,$G$26:$H$36,2,0)*Q138)*VLOOKUP(K154,$B$31:$C$41,2,0)),)</f>
        <v>0</v>
      </c>
      <c r="R154" s="59">
        <f>IF(Pricing!$AE$11="Quoted",(VLOOKUP(K154,$G$26:$H$36,2,0)*R138)-((VLOOKUP(K154,$G$26:$H$36,2,0)*R138)*VLOOKUP(K154,$B$31:$C$41,2,0)),)</f>
        <v>0</v>
      </c>
      <c r="S154" s="59">
        <f>IF(Pricing!$AE$11="Quoted",(VLOOKUP(K154,$G$26:$H$36,2,0)*S138)-((VLOOKUP(K154,$G$26:$H$36,2,0)*S138)*VLOOKUP(K154,$B$31:$C$41,2,0)),)</f>
        <v>0</v>
      </c>
      <c r="T154" s="59">
        <f>IF(Pricing!$AE$11="Quoted",(VLOOKUP(K154,$G$26:$H$36,2,0)*T138)-((VLOOKUP(K154,$G$26:$H$36,2,0)*T138)*VLOOKUP(K154,$B$31:$C$41,2,0)),)</f>
        <v>0</v>
      </c>
      <c r="U154" s="59">
        <f>IF(Pricing!$AE$11="Quoted",(VLOOKUP(K154,$G$26:$H$36,2,0)*U138)-((VLOOKUP(K154,$G$26:$H$36,2,0)*U138)*VLOOKUP(K154,$B$31:$C$41,2,0)),)</f>
        <v>0</v>
      </c>
      <c r="V154" s="59">
        <f>IF(Pricing!$AE$11="Quoted",(VLOOKUP(K154,$G$26:$H$36,2,0)*V138)-((VLOOKUP(K154,$G$26:$H$36,2,0)*V138)*VLOOKUP(K154,$B$31:$C$41,2,0)),)</f>
        <v>0</v>
      </c>
      <c r="W154" s="59">
        <f>IF(Pricing!$AE$11="Quoted",(VLOOKUP(K154,$G$26:$H$36,2,0)*W138)-((VLOOKUP(K154,$G$26:$H$36,2,0)*W138)*VLOOKUP(K154,$B$31:$C$41,2,0)),)</f>
        <v>0</v>
      </c>
      <c r="X154" s="59">
        <f>IF(Pricing!$AE$11="Quoted",(VLOOKUP(K154,$G$26:$H$36,2,0)*X138)-((VLOOKUP(K154,$G$26:$H$36,2,0)*X138)*VLOOKUP(K154,$B$31:$C$41,2,0)),)</f>
        <v>0</v>
      </c>
      <c r="Y154" s="59">
        <f>IF(Pricing!$AE$11="Quoted",(VLOOKUP(K154,$G$26:$H$36,2,0)*Y138)-((VLOOKUP(K154,$G$26:$H$36,2,0)*Y138)*VLOOKUP(K154,$B$31:$C$41,2,0)),)</f>
        <v>0</v>
      </c>
      <c r="Z154" s="59">
        <f>IF(Pricing!$AE$11="Quoted",(VLOOKUP(K154,$G$26:$H$36,2,0)*Z138)-((VLOOKUP(K154,$G$26:$H$36,2,0)*Z138)*VLOOKUP(K154,$B$31:$C$41,2,0)),)</f>
        <v>0</v>
      </c>
      <c r="AA154" s="337">
        <f t="shared" si="45"/>
        <v>0</v>
      </c>
    </row>
    <row r="155" spans="11:27">
      <c r="K155" s="27" t="str">
        <f t="shared" si="46"/>
        <v>Cuba</v>
      </c>
      <c r="L155" s="59">
        <f>IF(Pricing!$AE$8="Quoted",(VLOOKUP(K155,$G$26:$H$36,2,0)*L139)-((VLOOKUP(K155,$G$26:$H$36,2,0)*L139)*VLOOKUP(K155,$B$31:$C$41,2,0)),)</f>
        <v>0</v>
      </c>
      <c r="M155" s="59">
        <f>IF(Pricing!$AE$11="Quoted",(VLOOKUP(K155,$G$26:$H$36,2,0)*M139)-((VLOOKUP(K155,$G$26:$H$36,2,0)*M139)*VLOOKUP(K155,$B$31:$C$41,2,0)),)</f>
        <v>0</v>
      </c>
      <c r="N155" s="59">
        <f>IF(Pricing!$AE$11="Quoted",(VLOOKUP(K155,$G$26:$H$36,2,0)*N139)-((VLOOKUP(K155,$G$26:$H$36,2,0)*N139)*VLOOKUP(K155,$B$31:$C$41,2,0)),)</f>
        <v>0</v>
      </c>
      <c r="O155" s="59">
        <f>IF(Pricing!$AE$11="Quoted",(VLOOKUP(K155,$G$26:$H$36,2,0)*O139)-((VLOOKUP(K155,$G$26:$H$36,2,0)*O139)*VLOOKUP(K155,$B$31:$C$41,2,0)),)</f>
        <v>0</v>
      </c>
      <c r="P155" s="59">
        <f>IF(Pricing!$AE$11="Quoted",(VLOOKUP(K155,$G$26:$H$36,2,0)*P139)-((VLOOKUP(K155,$G$26:$H$36,2,0)*P139)*VLOOKUP(K155,$B$31:$C$41,2,0)),)</f>
        <v>0</v>
      </c>
      <c r="Q155" s="59">
        <f>IF(Pricing!$AE$11="Quoted",(VLOOKUP(K155,$G$26:$H$36,2,0)*Q139)-((VLOOKUP(K155,$G$26:$H$36,2,0)*Q139)*VLOOKUP(K155,$B$31:$C$41,2,0)),)</f>
        <v>0</v>
      </c>
      <c r="R155" s="59">
        <f>IF(Pricing!$AE$11="Quoted",(VLOOKUP(K155,$G$26:$H$36,2,0)*R139)-((VLOOKUP(K155,$G$26:$H$36,2,0)*R139)*VLOOKUP(K155,$B$31:$C$41,2,0)),)</f>
        <v>0</v>
      </c>
      <c r="S155" s="59">
        <f>IF(Pricing!$AE$11="Quoted",(VLOOKUP(K155,$G$26:$H$36,2,0)*S139)-((VLOOKUP(K155,$G$26:$H$36,2,0)*S139)*VLOOKUP(K155,$B$31:$C$41,2,0)),)</f>
        <v>0</v>
      </c>
      <c r="T155" s="59">
        <f>IF(Pricing!$AE$11="Quoted",(VLOOKUP(K155,$G$26:$H$36,2,0)*T139)-((VLOOKUP(K155,$G$26:$H$36,2,0)*T139)*VLOOKUP(K155,$B$31:$C$41,2,0)),)</f>
        <v>0</v>
      </c>
      <c r="U155" s="59">
        <f>IF(Pricing!$AE$11="Quoted",(VLOOKUP(K155,$G$26:$H$36,2,0)*U139)-((VLOOKUP(K155,$G$26:$H$36,2,0)*U139)*VLOOKUP(K155,$B$31:$C$41,2,0)),)</f>
        <v>0</v>
      </c>
      <c r="V155" s="59">
        <f>IF(Pricing!$AE$11="Quoted",(VLOOKUP(K155,$G$26:$H$36,2,0)*V139)-((VLOOKUP(K155,$G$26:$H$36,2,0)*V139)*VLOOKUP(K155,$B$31:$C$41,2,0)),)</f>
        <v>0</v>
      </c>
      <c r="W155" s="59">
        <f>IF(Pricing!$AE$11="Quoted",(VLOOKUP(K155,$G$26:$H$36,2,0)*W139)-((VLOOKUP(K155,$G$26:$H$36,2,0)*W139)*VLOOKUP(K155,$B$31:$C$41,2,0)),)</f>
        <v>0</v>
      </c>
      <c r="X155" s="59">
        <f>IF(Pricing!$AE$11="Quoted",(VLOOKUP(K155,$G$26:$H$36,2,0)*X139)-((VLOOKUP(K155,$G$26:$H$36,2,0)*X139)*VLOOKUP(K155,$B$31:$C$41,2,0)),)</f>
        <v>0</v>
      </c>
      <c r="Y155" s="59">
        <f>IF(Pricing!$AE$11="Quoted",(VLOOKUP(K155,$G$26:$H$36,2,0)*Y139)-((VLOOKUP(K155,$G$26:$H$36,2,0)*Y139)*VLOOKUP(K155,$B$31:$C$41,2,0)),)</f>
        <v>0</v>
      </c>
      <c r="Z155" s="59">
        <f>IF(Pricing!$AE$11="Quoted",(VLOOKUP(K155,$G$26:$H$36,2,0)*Z139)-((VLOOKUP(K155,$G$26:$H$36,2,0)*Z139)*VLOOKUP(K155,$B$31:$C$41,2,0)),)</f>
        <v>0</v>
      </c>
      <c r="AA155" s="337">
        <f t="shared" si="45"/>
        <v>0</v>
      </c>
    </row>
    <row r="156" spans="11:27">
      <c r="K156" s="27" t="str">
        <f t="shared" si="46"/>
        <v>Fiji</v>
      </c>
      <c r="L156" s="59">
        <f>IF(Pricing!$AE$8="Quoted",(VLOOKUP(K156,$G$26:$H$36,2,0)*L140)-((VLOOKUP(K156,$G$26:$H$36,2,0)*L140)*VLOOKUP(K156,$B$31:$C$41,2,0)),)</f>
        <v>0</v>
      </c>
      <c r="M156" s="59">
        <f>IF(Pricing!$AE$11="Quoted",(VLOOKUP(K156,$G$26:$H$36,2,0)*M140)-((VLOOKUP(K156,$G$26:$H$36,2,0)*M140)*VLOOKUP(K156,$B$31:$C$41,2,0)),)</f>
        <v>0</v>
      </c>
      <c r="N156" s="59">
        <f>IF(Pricing!$AE$11="Quoted",(VLOOKUP(K156,$G$26:$H$36,2,0)*N140)-((VLOOKUP(K156,$G$26:$H$36,2,0)*N140)*VLOOKUP(K156,$B$31:$C$41,2,0)),)</f>
        <v>0</v>
      </c>
      <c r="O156" s="59">
        <f>IF(Pricing!$AE$11="Quoted",(VLOOKUP(K156,$G$26:$H$36,2,0)*O140)-((VLOOKUP(K156,$G$26:$H$36,2,0)*O140)*VLOOKUP(K156,$B$31:$C$41,2,0)),)</f>
        <v>0</v>
      </c>
      <c r="P156" s="59">
        <f>IF(Pricing!$AE$11="Quoted",(VLOOKUP(K156,$G$26:$H$36,2,0)*P140)-((VLOOKUP(K156,$G$26:$H$36,2,0)*P140)*VLOOKUP(K156,$B$31:$C$41,2,0)),)</f>
        <v>0</v>
      </c>
      <c r="Q156" s="59">
        <f>IF(Pricing!$AE$11="Quoted",(VLOOKUP(K156,$G$26:$H$36,2,0)*Q140)-((VLOOKUP(K156,$G$26:$H$36,2,0)*Q140)*VLOOKUP(K156,$B$31:$C$41,2,0)),)</f>
        <v>0</v>
      </c>
      <c r="R156" s="59">
        <f>IF(Pricing!$AE$11="Quoted",(VLOOKUP(K156,$G$26:$H$36,2,0)*R140)-((VLOOKUP(K156,$G$26:$H$36,2,0)*R140)*VLOOKUP(K156,$B$31:$C$41,2,0)),)</f>
        <v>0</v>
      </c>
      <c r="S156" s="59">
        <f>IF(Pricing!$AE$11="Quoted",(VLOOKUP(K156,$G$26:$H$36,2,0)*S140)-((VLOOKUP(K156,$G$26:$H$36,2,0)*S140)*VLOOKUP(K156,$B$31:$C$41,2,0)),)</f>
        <v>0</v>
      </c>
      <c r="T156" s="59">
        <f>IF(Pricing!$AE$11="Quoted",(VLOOKUP(K156,$G$26:$H$36,2,0)*T140)-((VLOOKUP(K156,$G$26:$H$36,2,0)*T140)*VLOOKUP(K156,$B$31:$C$41,2,0)),)</f>
        <v>0</v>
      </c>
      <c r="U156" s="59">
        <f>IF(Pricing!$AE$11="Quoted",(VLOOKUP(K156,$G$26:$H$36,2,0)*U140)-((VLOOKUP(K156,$G$26:$H$36,2,0)*U140)*VLOOKUP(K156,$B$31:$C$41,2,0)),)</f>
        <v>0</v>
      </c>
      <c r="V156" s="59">
        <f>IF(Pricing!$AE$11="Quoted",(VLOOKUP(K156,$G$26:$H$36,2,0)*V140)-((VLOOKUP(K156,$G$26:$H$36,2,0)*V140)*VLOOKUP(K156,$B$31:$C$41,2,0)),)</f>
        <v>0</v>
      </c>
      <c r="W156" s="59">
        <f>IF(Pricing!$AE$11="Quoted",(VLOOKUP(K156,$G$26:$H$36,2,0)*W140)-((VLOOKUP(K156,$G$26:$H$36,2,0)*W140)*VLOOKUP(K156,$B$31:$C$41,2,0)),)</f>
        <v>0</v>
      </c>
      <c r="X156" s="59">
        <f>IF(Pricing!$AE$11="Quoted",(VLOOKUP(K156,$G$26:$H$36,2,0)*X140)-((VLOOKUP(K156,$G$26:$H$36,2,0)*X140)*VLOOKUP(K156,$B$31:$C$41,2,0)),)</f>
        <v>0</v>
      </c>
      <c r="Y156" s="59">
        <f>IF(Pricing!$AE$11="Quoted",(VLOOKUP(K156,$G$26:$H$36,2,0)*Y140)-((VLOOKUP(K156,$G$26:$H$36,2,0)*Y140)*VLOOKUP(K156,$B$31:$C$41,2,0)),)</f>
        <v>0</v>
      </c>
      <c r="Z156" s="59">
        <f>IF(Pricing!$AE$11="Quoted",(VLOOKUP(K156,$G$26:$H$36,2,0)*Z140)-((VLOOKUP(K156,$G$26:$H$36,2,0)*Z140)*VLOOKUP(K156,$B$31:$C$41,2,0)),)</f>
        <v>0</v>
      </c>
      <c r="AA156" s="337">
        <f t="shared" si="45"/>
        <v>0</v>
      </c>
    </row>
    <row r="157" spans="11:27">
      <c r="K157" s="27" t="str">
        <f t="shared" si="46"/>
        <v>Java</v>
      </c>
      <c r="L157" s="59">
        <f>IF(Pricing!$AE$8="Quoted",(VLOOKUP(K157,$G$26:$H$36,2,0)*L141)-((VLOOKUP(K157,$G$26:$H$36,2,0)*L141)*VLOOKUP(K157,$B$31:$C$41,2,0)),)</f>
        <v>0</v>
      </c>
      <c r="M157" s="59">
        <f>IF(Pricing!$AE$11="Quoted",(VLOOKUP(K157,$G$26:$H$36,2,0)*M141)-((VLOOKUP(K157,$G$26:$H$36,2,0)*M141)*VLOOKUP(K157,$B$31:$C$41,2,0)),)</f>
        <v>0</v>
      </c>
      <c r="N157" s="59">
        <f>IF(Pricing!$AE$11="Quoted",(VLOOKUP(K157,$G$26:$H$36,2,0)*N141)-((VLOOKUP(K157,$G$26:$H$36,2,0)*N141)*VLOOKUP(K157,$B$31:$C$41,2,0)),)</f>
        <v>0</v>
      </c>
      <c r="O157" s="59">
        <f>IF(Pricing!$AE$11="Quoted",(VLOOKUP(K157,$G$26:$H$36,2,0)*O141)-((VLOOKUP(K157,$G$26:$H$36,2,0)*O141)*VLOOKUP(K157,$B$31:$C$41,2,0)),)</f>
        <v>0</v>
      </c>
      <c r="P157" s="59">
        <f>IF(Pricing!$AE$11="Quoted",(VLOOKUP(K157,$G$26:$H$36,2,0)*P141)-((VLOOKUP(K157,$G$26:$H$36,2,0)*P141)*VLOOKUP(K157,$B$31:$C$41,2,0)),)</f>
        <v>0</v>
      </c>
      <c r="Q157" s="59">
        <f>IF(Pricing!$AE$11="Quoted",(VLOOKUP(K157,$G$26:$H$36,2,0)*Q141)-((VLOOKUP(K157,$G$26:$H$36,2,0)*Q141)*VLOOKUP(K157,$B$31:$C$41,2,0)),)</f>
        <v>0</v>
      </c>
      <c r="R157" s="59">
        <f>IF(Pricing!$AE$11="Quoted",(VLOOKUP(K157,$G$26:$H$36,2,0)*R141)-((VLOOKUP(K157,$G$26:$H$36,2,0)*R141)*VLOOKUP(K157,$B$31:$C$41,2,0)),)</f>
        <v>0</v>
      </c>
      <c r="S157" s="59">
        <f>IF(Pricing!$AE$11="Quoted",(VLOOKUP(K157,$G$26:$H$36,2,0)*S141)-((VLOOKUP(K157,$G$26:$H$36,2,0)*S141)*VLOOKUP(K157,$B$31:$C$41,2,0)),)</f>
        <v>0</v>
      </c>
      <c r="T157" s="59">
        <f>IF(Pricing!$AE$11="Quoted",(VLOOKUP(K157,$G$26:$H$36,2,0)*T141)-((VLOOKUP(K157,$G$26:$H$36,2,0)*T141)*VLOOKUP(K157,$B$31:$C$41,2,0)),)</f>
        <v>0</v>
      </c>
      <c r="U157" s="59">
        <f>IF(Pricing!$AE$11="Quoted",(VLOOKUP(K157,$G$26:$H$36,2,0)*U141)-((VLOOKUP(K157,$G$26:$H$36,2,0)*U141)*VLOOKUP(K157,$B$31:$C$41,2,0)),)</f>
        <v>0</v>
      </c>
      <c r="V157" s="59">
        <f>IF(Pricing!$AE$11="Quoted",(VLOOKUP(K157,$G$26:$H$36,2,0)*V141)-((VLOOKUP(K157,$G$26:$H$36,2,0)*V141)*VLOOKUP(K157,$B$31:$C$41,2,0)),)</f>
        <v>0</v>
      </c>
      <c r="W157" s="59">
        <f>IF(Pricing!$AE$11="Quoted",(VLOOKUP(K157,$G$26:$H$36,2,0)*W141)-((VLOOKUP(K157,$G$26:$H$36,2,0)*W141)*VLOOKUP(K157,$B$31:$C$41,2,0)),)</f>
        <v>0</v>
      </c>
      <c r="X157" s="59">
        <f>IF(Pricing!$AE$11="Quoted",(VLOOKUP(K157,$G$26:$H$36,2,0)*X141)-((VLOOKUP(K157,$G$26:$H$36,2,0)*X141)*VLOOKUP(K157,$B$31:$C$41,2,0)),)</f>
        <v>0</v>
      </c>
      <c r="Y157" s="59">
        <f>IF(Pricing!$AE$11="Quoted",(VLOOKUP(K157,$G$26:$H$36,2,0)*Y141)-((VLOOKUP(K157,$G$26:$H$36,2,0)*Y141)*VLOOKUP(K157,$B$31:$C$41,2,0)),)</f>
        <v>0</v>
      </c>
      <c r="Z157" s="59">
        <f>IF(Pricing!$AE$11="Quoted",(VLOOKUP(K157,$G$26:$H$36,2,0)*Z141)-((VLOOKUP(K157,$G$26:$H$36,2,0)*Z141)*VLOOKUP(K157,$B$31:$C$41,2,0)),)</f>
        <v>0</v>
      </c>
      <c r="AA157" s="337">
        <f t="shared" si="45"/>
        <v>0</v>
      </c>
    </row>
    <row r="158" spans="11:27">
      <c r="K158" s="27" t="str">
        <f t="shared" si="46"/>
        <v>Maui</v>
      </c>
      <c r="L158" s="59">
        <f>IF(Pricing!$AE$8="Quoted",(VLOOKUP(K158,$G$26:$H$36,2,0)*L142)-((VLOOKUP(K158,$G$26:$H$36,2,0)*L142)*VLOOKUP(K158,$B$31:$C$41,2,0)),)</f>
        <v>0</v>
      </c>
      <c r="M158" s="59">
        <f>IF(Pricing!$AE$11="Quoted",(VLOOKUP(K158,$G$26:$H$36,2,0)*M142)-((VLOOKUP(K158,$G$26:$H$36,2,0)*M142)*VLOOKUP(K158,$B$31:$C$41,2,0)),)</f>
        <v>0</v>
      </c>
      <c r="N158" s="59">
        <f>IF(Pricing!$AE$11="Quoted",(VLOOKUP(K158,$G$26:$H$36,2,0)*N142)-((VLOOKUP(K158,$G$26:$H$36,2,0)*N142)*VLOOKUP(K158,$B$31:$C$41,2,0)),)</f>
        <v>0</v>
      </c>
      <c r="O158" s="59">
        <f>IF(Pricing!$AE$11="Quoted",(VLOOKUP(K158,$G$26:$H$36,2,0)*O142)-((VLOOKUP(K158,$G$26:$H$36,2,0)*O142)*VLOOKUP(K158,$B$31:$C$41,2,0)),)</f>
        <v>0</v>
      </c>
      <c r="P158" s="59">
        <f>IF(Pricing!$AE$11="Quoted",(VLOOKUP(K158,$G$26:$H$36,2,0)*P142)-((VLOOKUP(K158,$G$26:$H$36,2,0)*P142)*VLOOKUP(K158,$B$31:$C$41,2,0)),)</f>
        <v>0</v>
      </c>
      <c r="Q158" s="59">
        <f>IF(Pricing!$AE$11="Quoted",(VLOOKUP(K158,$G$26:$H$36,2,0)*Q142)-((VLOOKUP(K158,$G$26:$H$36,2,0)*Q142)*VLOOKUP(K158,$B$31:$C$41,2,0)),)</f>
        <v>0</v>
      </c>
      <c r="R158" s="59">
        <f>IF(Pricing!$AE$11="Quoted",(VLOOKUP(K158,$G$26:$H$36,2,0)*R142)-((VLOOKUP(K158,$G$26:$H$36,2,0)*R142)*VLOOKUP(K158,$B$31:$C$41,2,0)),)</f>
        <v>0</v>
      </c>
      <c r="S158" s="59">
        <f>IF(Pricing!$AE$11="Quoted",(VLOOKUP(K158,$G$26:$H$36,2,0)*S142)-((VLOOKUP(K158,$G$26:$H$36,2,0)*S142)*VLOOKUP(K158,$B$31:$C$41,2,0)),)</f>
        <v>0</v>
      </c>
      <c r="T158" s="59">
        <f>IF(Pricing!$AE$11="Quoted",(VLOOKUP(K158,$G$26:$H$36,2,0)*T142)-((VLOOKUP(K158,$G$26:$H$36,2,0)*T142)*VLOOKUP(K158,$B$31:$C$41,2,0)),)</f>
        <v>0</v>
      </c>
      <c r="U158" s="59">
        <f>IF(Pricing!$AE$11="Quoted",(VLOOKUP(K158,$G$26:$H$36,2,0)*U142)-((VLOOKUP(K158,$G$26:$H$36,2,0)*U142)*VLOOKUP(K158,$B$31:$C$41,2,0)),)</f>
        <v>0</v>
      </c>
      <c r="V158" s="59">
        <f>IF(Pricing!$AE$11="Quoted",(VLOOKUP(K158,$G$26:$H$36,2,0)*V142)-((VLOOKUP(K158,$G$26:$H$36,2,0)*V142)*VLOOKUP(K158,$B$31:$C$41,2,0)),)</f>
        <v>0</v>
      </c>
      <c r="W158" s="59">
        <f>IF(Pricing!$AE$11="Quoted",(VLOOKUP(K158,$G$26:$H$36,2,0)*W142)-((VLOOKUP(K158,$G$26:$H$36,2,0)*W142)*VLOOKUP(K158,$B$31:$C$41,2,0)),)</f>
        <v>0</v>
      </c>
      <c r="X158" s="59">
        <f>IF(Pricing!$AE$11="Quoted",(VLOOKUP(K158,$G$26:$H$36,2,0)*X142)-((VLOOKUP(K158,$G$26:$H$36,2,0)*X142)*VLOOKUP(K158,$B$31:$C$41,2,0)),)</f>
        <v>0</v>
      </c>
      <c r="Y158" s="59">
        <f>IF(Pricing!$AE$11="Quoted",(VLOOKUP(K158,$G$26:$H$36,2,0)*Y142)-((VLOOKUP(K158,$G$26:$H$36,2,0)*Y142)*VLOOKUP(K158,$B$31:$C$41,2,0)),)</f>
        <v>0</v>
      </c>
      <c r="Z158" s="59">
        <f>IF(Pricing!$AE$11="Quoted",(VLOOKUP(K158,$G$26:$H$36,2,0)*Z142)-((VLOOKUP(K158,$G$26:$H$36,2,0)*Z142)*VLOOKUP(K158,$B$31:$C$41,2,0)),)</f>
        <v>0</v>
      </c>
      <c r="AA158" s="337">
        <f t="shared" si="45"/>
        <v>0</v>
      </c>
    </row>
    <row r="159" spans="11:27">
      <c r="K159" s="27" t="str">
        <f t="shared" si="46"/>
        <v>Tahiti</v>
      </c>
      <c r="L159" s="59">
        <f>IF(Pricing!$AE$8="Quoted",(VLOOKUP(K159,$G$26:$H$36,2,0)*L143)-((VLOOKUP(K159,$G$26:$H$36,2,0)*L143)*VLOOKUP(K159,$B$31:$C$41,2,0)),)</f>
        <v>0</v>
      </c>
      <c r="M159" s="59">
        <f>IF(Pricing!$AE$11="Quoted",(VLOOKUP(K159,$G$26:$H$36,2,0)*M143)-((VLOOKUP(K159,$G$26:$H$36,2,0)*M143)*VLOOKUP(K159,$B$31:$C$41,2,0)),)</f>
        <v>0</v>
      </c>
      <c r="N159" s="59">
        <f>IF(Pricing!$AE$11="Quoted",(VLOOKUP(K159,$G$26:$H$36,2,0)*N143)-((VLOOKUP(K159,$G$26:$H$36,2,0)*N143)*VLOOKUP(K159,$B$31:$C$41,2,0)),)</f>
        <v>0</v>
      </c>
      <c r="O159" s="59">
        <f>IF(Pricing!$AE$11="Quoted",(VLOOKUP(K159,$G$26:$H$36,2,0)*O143)-((VLOOKUP(K159,$G$26:$H$36,2,0)*O143)*VLOOKUP(K159,$B$31:$C$41,2,0)),)</f>
        <v>0</v>
      </c>
      <c r="P159" s="59">
        <f>IF(Pricing!$AE$11="Quoted",(VLOOKUP(K159,$G$26:$H$36,2,0)*P143)-((VLOOKUP(K159,$G$26:$H$36,2,0)*P143)*VLOOKUP(K159,$B$31:$C$41,2,0)),)</f>
        <v>0</v>
      </c>
      <c r="Q159" s="59">
        <f>IF(Pricing!$AE$11="Quoted",(VLOOKUP(K159,$G$26:$H$36,2,0)*Q143)-((VLOOKUP(K159,$G$26:$H$36,2,0)*Q143)*VLOOKUP(K159,$B$31:$C$41,2,0)),)</f>
        <v>0</v>
      </c>
      <c r="R159" s="59">
        <f>IF(Pricing!$AE$11="Quoted",(VLOOKUP(K159,$G$26:$H$36,2,0)*R143)-((VLOOKUP(K159,$G$26:$H$36,2,0)*R143)*VLOOKUP(K159,$B$31:$C$41,2,0)),)</f>
        <v>0</v>
      </c>
      <c r="S159" s="59">
        <f>IF(Pricing!$AE$11="Quoted",(VLOOKUP(K159,$G$26:$H$36,2,0)*S143)-((VLOOKUP(K159,$G$26:$H$36,2,0)*S143)*VLOOKUP(K159,$B$31:$C$41,2,0)),)</f>
        <v>0</v>
      </c>
      <c r="T159" s="59">
        <f>IF(Pricing!$AE$11="Quoted",(VLOOKUP(K159,$G$26:$H$36,2,0)*T143)-((VLOOKUP(K159,$G$26:$H$36,2,0)*T143)*VLOOKUP(K159,$B$31:$C$41,2,0)),)</f>
        <v>0</v>
      </c>
      <c r="U159" s="59">
        <f>IF(Pricing!$AE$11="Quoted",(VLOOKUP(K159,$G$26:$H$36,2,0)*U143)-((VLOOKUP(K159,$G$26:$H$36,2,0)*U143)*VLOOKUP(K159,$B$31:$C$41,2,0)),)</f>
        <v>0</v>
      </c>
      <c r="V159" s="59">
        <f>IF(Pricing!$AE$11="Quoted",(VLOOKUP(K159,$G$26:$H$36,2,0)*V143)-((VLOOKUP(K159,$G$26:$H$36,2,0)*V143)*VLOOKUP(K159,$B$31:$C$41,2,0)),)</f>
        <v>0</v>
      </c>
      <c r="W159" s="59">
        <f>IF(Pricing!$AE$11="Quoted",(VLOOKUP(K159,$G$26:$H$36,2,0)*W143)-((VLOOKUP(K159,$G$26:$H$36,2,0)*W143)*VLOOKUP(K159,$B$31:$C$41,2,0)),)</f>
        <v>0</v>
      </c>
      <c r="X159" s="59">
        <f>IF(Pricing!$AE$11="Quoted",(VLOOKUP(K159,$G$26:$H$36,2,0)*X143)-((VLOOKUP(K159,$G$26:$H$36,2,0)*X143)*VLOOKUP(K159,$B$31:$C$41,2,0)),)</f>
        <v>0</v>
      </c>
      <c r="Y159" s="59">
        <f>IF(Pricing!$AE$11="Quoted",(VLOOKUP(K159,$G$26:$H$36,2,0)*Y143)-((VLOOKUP(K159,$G$26:$H$36,2,0)*Y143)*VLOOKUP(K159,$B$31:$C$41,2,0)),)</f>
        <v>0</v>
      </c>
      <c r="Z159" s="59">
        <f>IF(Pricing!$AE$11="Quoted",(VLOOKUP(K159,$G$26:$H$36,2,0)*Z143)-((VLOOKUP(K159,$G$26:$H$36,2,0)*Z143)*VLOOKUP(K159,$B$31:$C$41,2,0)),)</f>
        <v>0</v>
      </c>
      <c r="AA159" s="337">
        <f t="shared" si="45"/>
        <v>0</v>
      </c>
    </row>
    <row r="160" spans="11:27">
      <c r="K160" s="27"/>
    </row>
    <row r="164" spans="11:27">
      <c r="K164" s="1536" t="s">
        <v>557</v>
      </c>
      <c r="L164" s="1536"/>
      <c r="M164" s="1536"/>
      <c r="N164" s="1536"/>
      <c r="O164" s="1536"/>
      <c r="P164" s="394"/>
      <c r="Q164" s="394"/>
      <c r="R164" s="394"/>
      <c r="S164" s="394"/>
      <c r="T164" s="394"/>
      <c r="U164" s="394"/>
      <c r="V164" s="394"/>
      <c r="W164" s="394"/>
      <c r="X164" s="394"/>
      <c r="Y164" s="394"/>
      <c r="Z164" s="394"/>
      <c r="AA164" s="394"/>
    </row>
    <row r="165" spans="11:27">
      <c r="K165" s="1534" t="str">
        <f>" Base Price -" &amp; C107 &amp; "% Discount + Bay Posts + Std Shapes + Custom Colours + Installation + Buildout"</f>
        <v xml:space="preserve"> Base Price -% Discount + Bay Posts + Std Shapes + Custom Colours + Installation + Buildout</v>
      </c>
      <c r="L165" s="1535"/>
      <c r="M165" s="1535"/>
      <c r="N165" s="1535"/>
      <c r="O165" s="1535"/>
      <c r="P165" s="1535"/>
      <c r="Q165" s="1535"/>
      <c r="R165" s="1535"/>
      <c r="S165" s="1535"/>
      <c r="T165" s="1535"/>
      <c r="U165" s="1535"/>
      <c r="V165" s="1535"/>
      <c r="W165" s="1535"/>
      <c r="X165" s="1535"/>
      <c r="Y165" s="1535"/>
      <c r="Z165" s="1535"/>
      <c r="AA165" s="1535"/>
    </row>
    <row r="166" spans="11:27">
      <c r="K166" s="27"/>
      <c r="L166" s="56" t="s">
        <v>331</v>
      </c>
      <c r="M166" s="56" t="s">
        <v>334</v>
      </c>
      <c r="N166" s="56" t="s">
        <v>336</v>
      </c>
      <c r="O166" s="56" t="s">
        <v>338</v>
      </c>
      <c r="P166" s="56" t="s">
        <v>339</v>
      </c>
      <c r="Q166" s="56" t="s">
        <v>341</v>
      </c>
      <c r="R166" s="56" t="s">
        <v>342</v>
      </c>
      <c r="S166" s="56" t="s">
        <v>343</v>
      </c>
      <c r="T166" s="56" t="s">
        <v>344</v>
      </c>
      <c r="U166" s="56" t="s">
        <v>346</v>
      </c>
      <c r="V166" s="56" t="s">
        <v>348</v>
      </c>
      <c r="W166" s="56" t="s">
        <v>350</v>
      </c>
      <c r="X166" s="56" t="s">
        <v>351</v>
      </c>
      <c r="Y166" s="56" t="s">
        <v>353</v>
      </c>
      <c r="Z166" s="56" t="s">
        <v>354</v>
      </c>
      <c r="AA166" s="56" t="s">
        <v>79</v>
      </c>
    </row>
    <row r="167" spans="11:27">
      <c r="K167" s="27" t="s">
        <v>63</v>
      </c>
      <c r="L167" s="59" t="e">
        <f t="shared" ref="L167:L177" si="47">((VLOOKUP(K167,$G$26:$H$36,2,0)*$N$183)-((VLOOKUP(K167,$G$26:$H$36,2,0)*$N$183)*$C$10))+$AA$183</f>
        <v>#VALUE!</v>
      </c>
      <c r="M167" s="59" t="e">
        <f>((C2*$N$184)-((C2*N184)*$C$10))+AA184</f>
        <v>#VALUE!</v>
      </c>
      <c r="N167" s="59" t="e">
        <f>(($C$2*N185)-(($C$2*N185)*$C$10))+AA185</f>
        <v>#VALUE!</v>
      </c>
      <c r="O167" s="59" t="e">
        <f>(($C$2*N186)-(($C$2*N186)*$C$10))+AA186</f>
        <v>#VALUE!</v>
      </c>
      <c r="P167" s="59">
        <f>(($C$2*N187)-(($C$2*N187)*$C$10))+AA187</f>
        <v>0</v>
      </c>
      <c r="Q167" s="59">
        <f>(($C$2*N188)-(($C$2*N188)*$C$10))+AA188</f>
        <v>0</v>
      </c>
      <c r="R167" s="59">
        <f>(($C$2*$N$98)-(($C$2*$N$98)*$C$10))+$AA$98</f>
        <v>0</v>
      </c>
      <c r="S167" s="59">
        <f>(($C$2*$N$99)-(($C$2*$N$99)*$C$10))+$AA$99</f>
        <v>0</v>
      </c>
      <c r="T167" s="59">
        <f>(($C$2*$N$100)-(($C$2*$N$100)*$C$10))+$AA$100</f>
        <v>0</v>
      </c>
      <c r="U167" s="59">
        <f>(($C$2*$N$101)-(($C$2*$N$101)*$C$10))+$AA$101</f>
        <v>0</v>
      </c>
      <c r="V167" s="59">
        <f>(($C$2*$N$102)-(($C$2*$N$102)*$C$10))+$AA$102</f>
        <v>0</v>
      </c>
      <c r="W167" s="59">
        <f>(($C$2*$N$103)-(($C$2*$N$103)*$C$10))+$AA$103</f>
        <v>0</v>
      </c>
      <c r="X167" s="59">
        <f>(($C$2*$N$104)-(($C$2*$N$104)*$C$10))+$AA$104</f>
        <v>0</v>
      </c>
      <c r="Y167" s="59">
        <f>(($C$2*$N$105)-(($C$2*$N$105)*$C$10))+$AA$105</f>
        <v>0</v>
      </c>
      <c r="Z167" s="59">
        <f>(($C$2*$N$106)-(($C$2*$N$106)*$C$10))+$AA$106</f>
        <v>0</v>
      </c>
      <c r="AA167" s="55" t="e">
        <f t="shared" ref="AA167:AA174" si="48">SUM(L167:Z167)</f>
        <v>#VALUE!</v>
      </c>
    </row>
    <row r="168" spans="11:27">
      <c r="K168" s="27" t="s">
        <v>18</v>
      </c>
      <c r="L168" s="46" t="e">
        <f t="shared" si="47"/>
        <v>#VALUE!</v>
      </c>
      <c r="M168" s="59" t="e">
        <f>M167+(C3*N184)</f>
        <v>#VALUE!</v>
      </c>
      <c r="N168" s="59" t="e">
        <f>N167+(C3*N185)</f>
        <v>#VALUE!</v>
      </c>
      <c r="O168" s="59" t="e">
        <f>$O$167+(C3*$N$186)</f>
        <v>#VALUE!</v>
      </c>
      <c r="P168" s="59">
        <f>$P$167+(C3*$N$187)</f>
        <v>0</v>
      </c>
      <c r="Q168" s="59">
        <f>$Q$167+(C3*$N$188)</f>
        <v>0</v>
      </c>
      <c r="R168" s="59">
        <f>$R167+(C3*$N$189)</f>
        <v>0</v>
      </c>
      <c r="S168" s="59">
        <f>$S$167+(C3*$N$190)</f>
        <v>0</v>
      </c>
      <c r="T168" s="59">
        <f>$T167+(C3*$N$191)</f>
        <v>0</v>
      </c>
      <c r="U168" s="59">
        <f>$U$167+(C3*$N$192)</f>
        <v>0</v>
      </c>
      <c r="V168" s="59">
        <f>$V$167+(C3*$N$193)</f>
        <v>0</v>
      </c>
      <c r="W168" s="59">
        <f>$W$167+(C3*$N$194)</f>
        <v>0</v>
      </c>
      <c r="X168" s="59">
        <f>$X$167+(C3*$N$195)</f>
        <v>0</v>
      </c>
      <c r="Y168" s="59">
        <f>$Y$167+(C3*$N$196)</f>
        <v>0</v>
      </c>
      <c r="Z168" s="59">
        <f>$Z$167+(C3*$N$197)</f>
        <v>0</v>
      </c>
      <c r="AA168" s="55" t="e">
        <f t="shared" si="48"/>
        <v>#VALUE!</v>
      </c>
    </row>
    <row r="169" spans="11:27">
      <c r="K169" s="27" t="str">
        <f t="shared" ref="K169:K177" si="49">G28</f>
        <v>Aruba Express</v>
      </c>
      <c r="L169" s="46" t="e">
        <f t="shared" si="47"/>
        <v>#VALUE!</v>
      </c>
      <c r="M169" s="59" t="e">
        <f>M167+(C4*N184)</f>
        <v>#VALUE!</v>
      </c>
      <c r="N169" s="59" t="e">
        <f>N167+(C4*N185)</f>
        <v>#VALUE!</v>
      </c>
      <c r="O169" s="59" t="e">
        <f>$O$167+(C4*$N$186)</f>
        <v>#VALUE!</v>
      </c>
      <c r="P169" s="59">
        <f>$P$167+(C4*$N$187)</f>
        <v>0</v>
      </c>
      <c r="Q169" s="59">
        <f>$Q$167+(C4*$N$188)</f>
        <v>0</v>
      </c>
      <c r="R169" s="59">
        <f>$R167+(C4*$N$189)</f>
        <v>0</v>
      </c>
      <c r="S169" s="59">
        <f>$S$167+(C4*$N$190)</f>
        <v>0</v>
      </c>
      <c r="T169" s="59">
        <f>$T167+(C4*$N$191)</f>
        <v>0</v>
      </c>
      <c r="U169" s="59">
        <f>$U$167+(C4*$N$192)</f>
        <v>0</v>
      </c>
      <c r="V169" s="59">
        <f>$V$167+(C4*$N$193)</f>
        <v>0</v>
      </c>
      <c r="W169" s="59">
        <f>$W$167+(C4*$N$194)</f>
        <v>0</v>
      </c>
      <c r="X169" s="59">
        <f>$X$167+(C4*$N$195)</f>
        <v>0</v>
      </c>
      <c r="Y169" s="59">
        <f>$Y$167+(C4*$N$196)</f>
        <v>0</v>
      </c>
      <c r="Z169" s="59">
        <f>$Z$167+(C4*$N$197)</f>
        <v>0</v>
      </c>
      <c r="AA169" s="55" t="e">
        <f t="shared" si="48"/>
        <v>#VALUE!</v>
      </c>
    </row>
    <row r="170" spans="11:27">
      <c r="K170" s="27" t="str">
        <f t="shared" si="49"/>
        <v>Antigua</v>
      </c>
      <c r="L170" s="46" t="e">
        <f t="shared" si="47"/>
        <v>#VALUE!</v>
      </c>
      <c r="M170" s="59" t="e">
        <f>M167+(C5*N184)</f>
        <v>#VALUE!</v>
      </c>
      <c r="N170" s="59" t="e">
        <f>N167+(C5*N185)</f>
        <v>#VALUE!</v>
      </c>
      <c r="O170" s="59" t="e">
        <f>$O$167+(C5*$N$186)</f>
        <v>#VALUE!</v>
      </c>
      <c r="P170" s="59">
        <f>$P$167+(C5*$N$187)</f>
        <v>0</v>
      </c>
      <c r="Q170" s="59">
        <f>$Q$167+(C5*$N$188)</f>
        <v>0</v>
      </c>
      <c r="R170" s="59">
        <f>$R167+(C5*$N$189)</f>
        <v>0</v>
      </c>
      <c r="S170" s="59">
        <f>$S$167+(C5*$N$190)</f>
        <v>0</v>
      </c>
      <c r="T170" s="59">
        <f>$T167+(C5*$N$191)</f>
        <v>0</v>
      </c>
      <c r="U170" s="59">
        <f>$U$167+(C5*$N$192)</f>
        <v>0</v>
      </c>
      <c r="V170" s="59">
        <f>$V$167+(C5*$N$193)</f>
        <v>0</v>
      </c>
      <c r="W170" s="59">
        <f>$W$167+(C5*$N$194)</f>
        <v>0</v>
      </c>
      <c r="X170" s="59">
        <f>$X$167+(C5*$N$195)</f>
        <v>0</v>
      </c>
      <c r="Y170" s="59">
        <f>$Y$167+(C5*$N$196)</f>
        <v>0</v>
      </c>
      <c r="Z170" s="59">
        <f>$Z$167+(C5*$N$197)</f>
        <v>0</v>
      </c>
      <c r="AA170" s="55" t="e">
        <f t="shared" si="48"/>
        <v>#VALUE!</v>
      </c>
    </row>
    <row r="171" spans="11:27">
      <c r="K171" s="27" t="str">
        <f t="shared" si="49"/>
        <v>Bermuda</v>
      </c>
      <c r="L171" s="46" t="e">
        <f t="shared" si="47"/>
        <v>#VALUE!</v>
      </c>
      <c r="M171" s="59" t="e">
        <f>M167+(C6*N184)</f>
        <v>#VALUE!</v>
      </c>
      <c r="N171" s="59" t="e">
        <f>N167+(C6*N185)</f>
        <v>#VALUE!</v>
      </c>
      <c r="O171" s="59" t="e">
        <f>$O$167+(C6*$N$186)</f>
        <v>#VALUE!</v>
      </c>
      <c r="P171" s="59">
        <f>$P$167+(C6*$N$187)</f>
        <v>0</v>
      </c>
      <c r="Q171" s="59">
        <f>$Q$167+(C6*$N$188)</f>
        <v>0</v>
      </c>
      <c r="R171" s="59">
        <f>$R167+(C6*$N$189)</f>
        <v>0</v>
      </c>
      <c r="S171" s="59">
        <f>$S$167+(C6*$N$190)</f>
        <v>0</v>
      </c>
      <c r="T171" s="59">
        <f>$T167+(C6*$N$191)</f>
        <v>0</v>
      </c>
      <c r="U171" s="59">
        <f>$U$167+(C6*$N$192)</f>
        <v>0</v>
      </c>
      <c r="V171" s="59">
        <f>$V$167+(C6*$N$193)</f>
        <v>0</v>
      </c>
      <c r="W171" s="59">
        <f>$W$167+(C6*$N$194)</f>
        <v>0</v>
      </c>
      <c r="X171" s="59">
        <f>$X$167+(C6*$N$195)</f>
        <v>0</v>
      </c>
      <c r="Y171" s="59">
        <f>$Y$167+(C6*$N$196)</f>
        <v>0</v>
      </c>
      <c r="Z171" s="59">
        <f>$Z$167+(C6*$N$197)</f>
        <v>0</v>
      </c>
      <c r="AA171" s="55" t="e">
        <f t="shared" si="48"/>
        <v>#VALUE!</v>
      </c>
    </row>
    <row r="172" spans="11:27">
      <c r="K172" s="27" t="str">
        <f t="shared" si="49"/>
        <v>Capri</v>
      </c>
      <c r="L172" s="46" t="e">
        <f t="shared" si="47"/>
        <v>#VALUE!</v>
      </c>
      <c r="M172" s="59" t="e">
        <f>M167+(C7*N184)</f>
        <v>#VALUE!</v>
      </c>
      <c r="N172" s="59" t="e">
        <f>N167+(C7*N185)</f>
        <v>#VALUE!</v>
      </c>
      <c r="O172" s="59" t="e">
        <f>$O$167+(C7*$N$186)</f>
        <v>#VALUE!</v>
      </c>
      <c r="P172" s="59">
        <f>$P$167+(C7*$N$187)</f>
        <v>0</v>
      </c>
      <c r="Q172" s="59">
        <f>$Q$167+(C7*$N$188)</f>
        <v>0</v>
      </c>
      <c r="R172" s="59">
        <f>$R167+(C7*$N$189)</f>
        <v>0</v>
      </c>
      <c r="S172" s="59">
        <f>$S$167+(C7*$N$190)</f>
        <v>0</v>
      </c>
      <c r="T172" s="59">
        <f>$T167+(C7*$N$191)</f>
        <v>0</v>
      </c>
      <c r="U172" s="59">
        <f>$U$167+(C7*$N$192)</f>
        <v>0</v>
      </c>
      <c r="V172" s="59">
        <f>$V$167+(C7*$N$193)</f>
        <v>0</v>
      </c>
      <c r="W172" s="59">
        <f>$W$167+(C7*$N$194)</f>
        <v>0</v>
      </c>
      <c r="X172" s="59">
        <f>$X$167+(C7*$N$195)</f>
        <v>0</v>
      </c>
      <c r="Y172" s="59">
        <f>$Y$167+(C7*$N$196)</f>
        <v>0</v>
      </c>
      <c r="Z172" s="59">
        <f>$Z$167+(C7*$N$197)</f>
        <v>0</v>
      </c>
      <c r="AA172" s="55" t="e">
        <f t="shared" si="48"/>
        <v>#VALUE!</v>
      </c>
    </row>
    <row r="173" spans="11:27">
      <c r="K173" s="27" t="str">
        <f t="shared" si="49"/>
        <v>Cuba</v>
      </c>
      <c r="L173" s="46" t="e">
        <f t="shared" si="47"/>
        <v>#VALUE!</v>
      </c>
      <c r="M173" s="59" t="e">
        <f>M167+(F19*N185)</f>
        <v>#VALUE!</v>
      </c>
      <c r="N173" s="59" t="e">
        <f>N167+(F19*N186)</f>
        <v>#VALUE!</v>
      </c>
      <c r="O173" s="59" t="e">
        <f>$O$167+(F19*$N$186)</f>
        <v>#VALUE!</v>
      </c>
      <c r="P173" s="59">
        <f>$P$167+(F19*$N$187)</f>
        <v>0</v>
      </c>
      <c r="Q173" s="59">
        <f>$Q$167+(F19*$N$188)</f>
        <v>0</v>
      </c>
      <c r="R173" s="59">
        <f>$R167+(F19*$N$189)</f>
        <v>0</v>
      </c>
      <c r="S173" s="59">
        <f>$S$167+(F19*$N$190)</f>
        <v>0</v>
      </c>
      <c r="T173" s="59">
        <f>$T167+(F19*$N$191)</f>
        <v>0</v>
      </c>
      <c r="U173" s="59">
        <f>$U$167+(F19*$N$192)</f>
        <v>0</v>
      </c>
      <c r="V173" s="59">
        <f>$V$167+(F19*$N$193)</f>
        <v>0</v>
      </c>
      <c r="W173" s="59">
        <f>$W$167+(F19*$N$194)</f>
        <v>0</v>
      </c>
      <c r="X173" s="59">
        <f>$X$167+(F19*$N$195)</f>
        <v>0</v>
      </c>
      <c r="Y173" s="59">
        <f>$Y$167+(F19*$N$196)</f>
        <v>0</v>
      </c>
      <c r="Z173" s="59">
        <f>$Z$167+(F19*$N$197)</f>
        <v>0</v>
      </c>
      <c r="AA173" s="55" t="e">
        <f t="shared" si="48"/>
        <v>#VALUE!</v>
      </c>
    </row>
    <row r="174" spans="11:27">
      <c r="K174" s="27" t="str">
        <f t="shared" si="49"/>
        <v>Fiji</v>
      </c>
      <c r="L174" s="46" t="e">
        <f t="shared" si="47"/>
        <v>#VALUE!</v>
      </c>
      <c r="M174" s="59" t="e">
        <f>M167+(#REF!*N186)</f>
        <v>#VALUE!</v>
      </c>
      <c r="N174" s="59" t="e">
        <f>N167+(#REF!*N187)</f>
        <v>#VALUE!</v>
      </c>
      <c r="O174" s="59" t="e">
        <f>$O$167+(#REF!*$N$186)</f>
        <v>#VALUE!</v>
      </c>
      <c r="P174" s="59" t="e">
        <f>$P$167+(#REF!*$N$187)</f>
        <v>#REF!</v>
      </c>
      <c r="Q174" s="59" t="e">
        <f>$Q$167+(#REF!*$N$188)</f>
        <v>#REF!</v>
      </c>
      <c r="R174" s="59" t="e">
        <f>$R167+(#REF!*$N$189)</f>
        <v>#REF!</v>
      </c>
      <c r="S174" s="59" t="e">
        <f>$S$167+(#REF!*$N$190)</f>
        <v>#REF!</v>
      </c>
      <c r="T174" s="59" t="e">
        <f>$T167+(#REF!*$N$191)</f>
        <v>#REF!</v>
      </c>
      <c r="U174" s="59" t="e">
        <f>$U$167+(#REF!*$N$192)</f>
        <v>#REF!</v>
      </c>
      <c r="V174" s="59" t="e">
        <f>$V$167+(#REF!*$N$193)</f>
        <v>#REF!</v>
      </c>
      <c r="W174" s="59" t="e">
        <f>$W$167+(#REF!*$N$194)</f>
        <v>#REF!</v>
      </c>
      <c r="X174" s="59" t="e">
        <f>$X$167+(#REF!*$N$195)</f>
        <v>#REF!</v>
      </c>
      <c r="Y174" s="59" t="e">
        <f>$Y$167+(#REF!*$N$196)</f>
        <v>#REF!</v>
      </c>
      <c r="Z174" s="59" t="e">
        <f>$Z$167+(#REF!*$N$197)</f>
        <v>#REF!</v>
      </c>
      <c r="AA174" s="55" t="e">
        <f t="shared" si="48"/>
        <v>#VALUE!</v>
      </c>
    </row>
    <row r="175" spans="11:27">
      <c r="K175" s="27" t="str">
        <f t="shared" si="49"/>
        <v>Java</v>
      </c>
      <c r="L175" s="46" t="e">
        <f t="shared" si="47"/>
        <v>#VALUE!</v>
      </c>
    </row>
    <row r="176" spans="11:27">
      <c r="K176" s="27" t="str">
        <f t="shared" si="49"/>
        <v>Maui</v>
      </c>
      <c r="L176" s="46" t="e">
        <f t="shared" si="47"/>
        <v>#VALUE!</v>
      </c>
    </row>
    <row r="177" spans="11:27">
      <c r="K177" s="27" t="str">
        <f t="shared" si="49"/>
        <v>Tahiti</v>
      </c>
      <c r="L177" s="46" t="e">
        <f t="shared" si="47"/>
        <v>#VALUE!</v>
      </c>
    </row>
    <row r="178" spans="11:27">
      <c r="K178" s="27"/>
    </row>
    <row r="181" spans="11:27">
      <c r="K181" s="981" t="s">
        <v>558</v>
      </c>
      <c r="L181" s="981"/>
      <c r="M181" s="981"/>
      <c r="N181" s="981"/>
      <c r="O181" s="981"/>
      <c r="P181" s="981"/>
      <c r="Q181" s="981"/>
      <c r="R181" s="981"/>
      <c r="S181" s="981"/>
      <c r="T181" s="981"/>
      <c r="U181" s="981"/>
      <c r="V181" s="981"/>
      <c r="W181" s="981"/>
      <c r="X181" s="981"/>
      <c r="Y181" s="981"/>
      <c r="Z181" s="981"/>
      <c r="AA181" s="981"/>
    </row>
    <row r="182" spans="11:27">
      <c r="L182" s="62" t="s">
        <v>519</v>
      </c>
      <c r="M182" s="4" t="s">
        <v>520</v>
      </c>
      <c r="N182" s="4" t="s">
        <v>14</v>
      </c>
      <c r="O182" s="4" t="s">
        <v>78</v>
      </c>
      <c r="P182" s="4" t="s">
        <v>521</v>
      </c>
      <c r="Q182" s="4" t="s">
        <v>522</v>
      </c>
      <c r="R182" s="4" t="s">
        <v>425</v>
      </c>
      <c r="S182" s="63" t="s">
        <v>465</v>
      </c>
      <c r="T182" s="63" t="s">
        <v>523</v>
      </c>
      <c r="U182" s="4" t="s">
        <v>524</v>
      </c>
      <c r="V182" s="4" t="s">
        <v>525</v>
      </c>
      <c r="W182" s="4" t="s">
        <v>526</v>
      </c>
      <c r="X182" s="4" t="s">
        <v>527</v>
      </c>
      <c r="Y182" s="4" t="s">
        <v>528</v>
      </c>
      <c r="Z182" s="4" t="s">
        <v>529</v>
      </c>
      <c r="AA182" s="4" t="s">
        <v>13</v>
      </c>
    </row>
    <row r="183" spans="11:27">
      <c r="K183" t="s">
        <v>331</v>
      </c>
      <c r="L183" s="64">
        <f>IF('Survey Front'!AD12="Q",,COUNTIFS('Survey Front'!S12:AC12,"(CB)"))</f>
        <v>0</v>
      </c>
      <c r="M183" s="4">
        <f>IF(L183&gt;0,$C$8*ROUND(N183,0),)</f>
        <v>0</v>
      </c>
      <c r="N183" s="65" t="e">
        <f>IF('Survey Front'!AD12="Q",,IF('Survey Front'!E12="",,'Survey Front'!M12*'Survey Front'!N12/1000000))</f>
        <v>#VALUE!</v>
      </c>
      <c r="O183" s="62" t="e">
        <f>IF('Survey Front'!AD12="Q",,IF(OR('Survey Front'!L12 = "Silent",'Survey Front'!L12 = "Split Tilt",'Survey Front'!L12="Silent Split Tilt"),ROUND(N183*$C$9,0.2),0))</f>
        <v>#VALUE!</v>
      </c>
      <c r="P183" s="62" t="e">
        <f>IF('Survey Front'!AD12="Q",,IF('Survey Front'!D12="Tracked",ROUND($C$11+($F$2*Q183),0.2),))</f>
        <v>#VALUE!</v>
      </c>
      <c r="Q183" s="66" t="e">
        <f>IF('Survey Front'!AD12="Quoted",,IF('Survey Front'!D12="Tracked",CONVERT('Survey Front'!M12,"mm","m"),))</f>
        <v>#VALUE!</v>
      </c>
      <c r="R183" s="62">
        <f>IF('Survey Front'!D12="S/Shade",ROUND($F$3*N183,0.2),0)</f>
        <v>0</v>
      </c>
      <c r="S183" s="55" t="e">
        <f>AL107*L168</f>
        <v>#VALUE!</v>
      </c>
      <c r="T183" s="4">
        <f>IF(R183&gt;0,N183,)</f>
        <v>0</v>
      </c>
      <c r="U183" s="65" t="e">
        <f>IF('Survey Front'!AD12="Q",,IF(OR('Survey Front'!L12="Silent",('Survey Front'!L12="Split Tilt"),'Survey Front'!L12="Silent Split Tilt"),'Survey Front'!M12*'Survey Front'!N12/1000000,))</f>
        <v>#VALUE!</v>
      </c>
      <c r="V183" s="55">
        <f>IF('Survey Front'!AD12="Q",,IF('Survey Front'!D12="Shape",IF(AD$19&gt;2,ROUND($C$16+((AD$19-2)*$C$17),0.2),ROUND($C$16,0.2)),))</f>
        <v>0</v>
      </c>
      <c r="W183" s="55">
        <f>IF('Survey Front'!D12="French Door Cutout",ROUND(Matrix2!$F$4,0.2),)</f>
        <v>0</v>
      </c>
      <c r="X183" s="55" t="b">
        <f>IF('Survey Front'!AD12="Q",,IF(OR('Survey Front'!F12="Custom Colour",ISNUMBER(SEARCH("Classic Black (S/Chg)",'Survey Front'!F12)),ISNUMBER(SEARCH("Matte Black (S/Chg)",'Survey Front'!F12))),1))</f>
        <v>0</v>
      </c>
      <c r="Y183" s="55">
        <f>IF(OR(AND('Survey Front'!E12&lt;&gt;"Java",'Survey Front'!G14="Stainless Steel"),'Survey Front'!G14="Brushed Nickel Plated"),ROUND(Matrix2!$F$12*Matrix2!N183,0.2),)</f>
        <v>0</v>
      </c>
      <c r="Z183" s="55" t="e">
        <f t="shared" ref="Z183:Z194" si="50">IF(AND(N183&lt;1,N183&gt;0),ROUND(1*$C$19,0.2),ROUND(N183*$C$19,0.2))</f>
        <v>#VALUE!</v>
      </c>
      <c r="AA183" s="55">
        <f>IF('Survey Front'!AD12="Q","",IF('Survey Front'!AD14&lt;&gt; "",ROUND(CONVERT('Survey Front'!M12,"mm","m")*$F$14,0.2),))</f>
        <v>0</v>
      </c>
    </row>
    <row r="184" spans="11:27">
      <c r="K184" t="s">
        <v>334</v>
      </c>
      <c r="L184" s="64">
        <f>IF('Survey Front'!AD15="Q",,COUNTIFS('Survey Front'!S15:AC15,"(CB)"))</f>
        <v>0</v>
      </c>
      <c r="M184" s="4">
        <f t="shared" ref="M184:M197" si="51">IF(L184&gt;0,$C$8*ROUND(N184,0),)</f>
        <v>0</v>
      </c>
      <c r="N184" s="65" t="e">
        <f>IF('Survey Front'!AD15="Q",,IF('Survey Front'!E15="",,'Survey Front'!M15*'Survey Front'!N15/1000000))</f>
        <v>#VALUE!</v>
      </c>
      <c r="O184" s="62" t="e">
        <f>IF('Survey Front'!AD15="Q",,IF(OR('Survey Front'!L15 = "Silent",'Survey Front'!L15 = "Split Tilt",'Survey Front'!L15="Silent Split Tilt"),ROUND(N184*$C$9,0.2),0))</f>
        <v>#VALUE!</v>
      </c>
      <c r="P184" s="62">
        <f>IF('Survey Front'!AD15="Q",,IF('Survey Front'!D15="Tracked",ROUND($C$11+($F$2*Q184),0.2),))</f>
        <v>0</v>
      </c>
      <c r="Q184" s="66">
        <f>IF('Survey Front'!AD15="Quoted",,IF('Survey Front'!D15="Tracked",CONVERT('Survey Front'!M15,"mm","m"),))</f>
        <v>0</v>
      </c>
      <c r="R184" s="62">
        <f>IF('Survey Front'!D15="S/Shade",ROUND($F$3*N184,0.2),0)</f>
        <v>0</v>
      </c>
      <c r="T184" s="4">
        <f t="shared" ref="T184:T197" si="52">IF(R184&gt;0,N184,)</f>
        <v>0</v>
      </c>
      <c r="U184" s="65" t="e">
        <f>IF('Survey Front'!AD15="Q",,IF(OR('Survey Front'!L15="Silent",('Survey Front'!L15="Split Tilt"),'Survey Front'!L15="Silent Split Tilt"),'Survey Front'!M15*'Survey Front'!N15/1000000,))</f>
        <v>#VALUE!</v>
      </c>
      <c r="V184" s="55">
        <f>IF('Survey Front'!AD15="Q",,IF('Survey Front'!D15="Shape",IF(AE$19&gt;2,ROUND($C$16+((AE$19-2)*$C$17),0.2),ROUND($C$16,0.2)),))</f>
        <v>0</v>
      </c>
      <c r="W184" s="55">
        <f>IF('Survey Front'!D15="French Door Cutout",ROUND(Matrix2!$F$4,0.2),)</f>
        <v>0</v>
      </c>
      <c r="X184" s="55" t="b">
        <f>IF('Survey Front'!AD15="Q",,IF(OR('Survey Front'!F15="Custom Colour",ISNUMBER(SEARCH("Classic Black (S/Chg)",'Survey Front'!F15)),ISNUMBER(SEARCH("Matte Black (S/Chg)",'Survey Front'!F15))),1))</f>
        <v>0</v>
      </c>
      <c r="Y184" s="55">
        <f>IF(OR(AND('Survey Front'!E15&lt;&gt;"Java",'Survey Front'!G17="Stainless Steel"),'Survey Front'!G17="Brushed Nickel Plated"),ROUND(Matrix2!$F$12*Matrix2!N184,0.2),)</f>
        <v>0</v>
      </c>
      <c r="Z184" s="55" t="e">
        <f t="shared" si="50"/>
        <v>#VALUE!</v>
      </c>
      <c r="AA184" s="55">
        <f>IF('Survey Front'!AD15="Q","",IF('Survey Front'!AD17&lt;&gt; "",ROUND(CONVERT('Survey Front'!M15,"mm","m")*$F$14,0.2),))</f>
        <v>0</v>
      </c>
    </row>
    <row r="185" spans="11:27">
      <c r="K185" t="s">
        <v>336</v>
      </c>
      <c r="L185" s="64">
        <f>IF('Survey Front'!AD18="Q",,COUNTIFS('Survey Front'!S18:AC18,"(CB)"))</f>
        <v>0</v>
      </c>
      <c r="M185" s="4">
        <f t="shared" si="51"/>
        <v>0</v>
      </c>
      <c r="N185" s="65" t="e">
        <f>IF('Survey Front'!AD18="Q",,IF('Survey Front'!E18="",,'Survey Front'!M18*'Survey Front'!N18/1000000))</f>
        <v>#VALUE!</v>
      </c>
      <c r="O185" s="62" t="e">
        <f>IF('Survey Front'!AD18="Q",,IF(OR('Survey Front'!L18 = "Silent",'Survey Front'!L18 = "Split Tilt",'Survey Front'!L18="Silent Split Tilt"),ROUND(N185*$C$9,0.2),0))</f>
        <v>#VALUE!</v>
      </c>
      <c r="P185" s="62">
        <f>IF('Survey Front'!AD18="Q",,IF('Survey Front'!D18="Tracked",ROUND($C$11+($F$2*Q185),0.2),))</f>
        <v>0</v>
      </c>
      <c r="Q185" s="66">
        <f>IF('Survey Front'!AD18="Quoted",,IF('Survey Front'!D18="Tracked",CONVERT('Survey Front'!M18,"mm","m"),))</f>
        <v>0</v>
      </c>
      <c r="R185" s="62">
        <f>IF('Survey Front'!D18="S/Shade",ROUND($F$3*N185,0.2),0)</f>
        <v>0</v>
      </c>
      <c r="T185" s="4">
        <f t="shared" si="52"/>
        <v>0</v>
      </c>
      <c r="U185" s="65" t="e">
        <f>IF('Survey Front'!AD18="Q",,IF(OR('Survey Front'!L18="Silent",('Survey Front'!L18="Split Tilt"),'Survey Front'!L18="Silent Split Tilt"),'Survey Front'!M18*'Survey Front'!N18/1000000,))</f>
        <v>#VALUE!</v>
      </c>
      <c r="V185" s="55">
        <f>IF('Survey Front'!AD18="Q",,IF('Survey Front'!D18="Shape",IF(AF$19&gt;2,ROUND($C$16+((AF$19-2)*$C$17),0.2),ROUND($C$16,0.2)),))</f>
        <v>0</v>
      </c>
      <c r="W185" s="55">
        <f>IF('Survey Front'!D18="French Door Cutout",ROUND(Matrix2!$F$4,0.2),)</f>
        <v>0</v>
      </c>
      <c r="X185" s="55" t="b">
        <f>IF('Survey Front'!AD18="Q",,IF(OR('Survey Front'!F18="Custom Colour",ISNUMBER(SEARCH("Classic Black (S/Chg)",'Survey Front'!F18)),ISNUMBER(SEARCH("Matte Black (S/Chg)",'Survey Front'!F18))),1))</f>
        <v>0</v>
      </c>
      <c r="Y185" s="55">
        <f>IF(OR(AND('Survey Front'!E18&lt;&gt;"Java",'Survey Front'!G20="Stainless Steel"),'Survey Front'!G20="Brushed Nickel Plated"),ROUND(Matrix2!$F$12*Matrix2!N185,0.2),)</f>
        <v>0</v>
      </c>
      <c r="Z185" s="55" t="e">
        <f t="shared" si="50"/>
        <v>#VALUE!</v>
      </c>
      <c r="AA185" s="55">
        <f>IF('Survey Front'!AD18="Q","",IF('Survey Front'!AD20&lt;&gt; "",ROUND(CONVERT('Survey Front'!M18,"mm","m")*$F$14,0.2),))</f>
        <v>0</v>
      </c>
    </row>
    <row r="186" spans="11:27">
      <c r="K186" t="s">
        <v>338</v>
      </c>
      <c r="L186" s="64">
        <f>IF('Survey Front'!AD21="Q",,COUNTIFS('Survey Front'!S21:AC21,"(CB)"))</f>
        <v>0</v>
      </c>
      <c r="M186" s="4">
        <f t="shared" si="51"/>
        <v>0</v>
      </c>
      <c r="N186" s="65" t="e">
        <f>IF('Survey Front'!AD21="Q",,IF('Survey Front'!E21="",,'Survey Front'!M21*'Survey Front'!N21/1000000))</f>
        <v>#VALUE!</v>
      </c>
      <c r="O186" s="62" t="e">
        <f>IF('Survey Front'!AD21="Q",,IF(OR('Survey Front'!L21 = "Silent",'Survey Front'!L21 = "Split Tilt",'Survey Front'!L21="Silent Split Tilt"),ROUND(N186*$C$9,0.2),0))</f>
        <v>#VALUE!</v>
      </c>
      <c r="P186" s="62">
        <f>IF('Survey Front'!AD21="Q",,IF('Survey Front'!D21="Tracked",ROUND($C$11+($F$2*Q186),0.2),))</f>
        <v>0</v>
      </c>
      <c r="Q186" s="66">
        <f>IF('Survey Front'!AD21="Quoted",,IF('Survey Front'!D21="Tracked",CONVERT('Survey Front'!M21,"mm","m"),))</f>
        <v>0</v>
      </c>
      <c r="R186" s="62">
        <f>IF('Survey Front'!D21="S/Shade",ROUND($F$3*N186,0.2),0)</f>
        <v>0</v>
      </c>
      <c r="T186" s="4">
        <f t="shared" si="52"/>
        <v>0</v>
      </c>
      <c r="U186" s="65" t="e">
        <f>IF('Survey Front'!AD21="Q",,IF(OR('Survey Front'!L21="Silent",('Survey Front'!L21="Split Tilt"),'Survey Front'!L21="Silent Split Tilt"),'Survey Front'!M21*'Survey Front'!N21/1000000,))</f>
        <v>#VALUE!</v>
      </c>
      <c r="V186" s="55">
        <f>IF('Survey Front'!AD21="Q",,IF('Survey Front'!D21="Shape",IF(AG$19&gt;2,ROUND($C$16+((AG$19-2)*$C$17),0.2),ROUND($C$16,0.2)),))</f>
        <v>0</v>
      </c>
      <c r="W186" s="55">
        <f>IF('Survey Front'!D21="French Door Cutout",ROUND(Matrix2!$F$4,0.2),)</f>
        <v>0</v>
      </c>
      <c r="X186" s="55" t="b">
        <f>IF('Survey Front'!AD21="Q",,IF(OR('Survey Front'!F21="Custom Colour",ISNUMBER(SEARCH("Classic Black (S/Chg)",'Survey Front'!F21)),ISNUMBER(SEARCH("Matte Black (S/Chg)",'Survey Front'!F21))),1))</f>
        <v>0</v>
      </c>
      <c r="Y186" s="55">
        <f>IF(OR(AND('Survey Front'!E21&lt;&gt;"Java",'Survey Front'!G23="Stainless Steel"),'Survey Front'!G23="Brushed Nickel Plated"),ROUND(Matrix2!$F$12*Matrix2!N186,0.2),)</f>
        <v>0</v>
      </c>
      <c r="Z186" s="55" t="e">
        <f t="shared" si="50"/>
        <v>#VALUE!</v>
      </c>
      <c r="AA186" s="55">
        <f>IF('Survey Front'!AD21="Q","",IF('Survey Front'!AD23&lt;&gt; "",ROUND(CONVERT('Survey Front'!M21,"mm","m")*$F$14,0.2),))</f>
        <v>0</v>
      </c>
    </row>
    <row r="187" spans="11:27">
      <c r="K187" t="s">
        <v>339</v>
      </c>
      <c r="L187" s="64">
        <f>IF('Survey Front'!AD24="Q",,COUNTIFS('Survey Front'!S24:AC24,"(CB)"))</f>
        <v>0</v>
      </c>
      <c r="M187" s="4">
        <f t="shared" si="51"/>
        <v>0</v>
      </c>
      <c r="N187" s="65">
        <f>IF('Survey Front'!AD24="Q",,IF('Survey Front'!E24="",,'Survey Front'!M24*'Survey Front'!N24/1000000))</f>
        <v>0</v>
      </c>
      <c r="O187" s="62">
        <f>IF('Survey Front'!AD24="Q",,IF(OR('Survey Front'!L24 = "Silent",'Survey Front'!L24 = "Split Tilt",'Survey Front'!L24="Silent Split Tilt"),ROUND(N187*$C$9,0.2),0))</f>
        <v>0</v>
      </c>
      <c r="P187" s="62">
        <f>IF('Survey Front'!AD24="Q",,IF('Survey Front'!D24="Tracked",ROUND($C$11+($F$2*Q187),0.2),))</f>
        <v>0</v>
      </c>
      <c r="Q187" s="66">
        <f>IF('Survey Front'!AD24="Quoted",,IF('Survey Front'!D24="Tracked",CONVERT('Survey Front'!M24,"mm","m"),))</f>
        <v>0</v>
      </c>
      <c r="R187" s="62">
        <f>IF('Survey Front'!D24="S/Shade",ROUND($F$3*N187,0.2),0)</f>
        <v>0</v>
      </c>
      <c r="T187" s="4">
        <f t="shared" si="52"/>
        <v>0</v>
      </c>
      <c r="U187" s="65">
        <f>IF('Survey Front'!AD24="Q",,IF(OR('Survey Front'!L24="Silent",('Survey Front'!L24="Split Tilt"),'Survey Front'!L24="Silent Split Tilt"),'Survey Front'!M24*'Survey Front'!N24/1000000,))</f>
        <v>0</v>
      </c>
      <c r="V187" s="55">
        <f>IF('Survey Front'!AD24="Q",,IF('Survey Front'!D24="Shape",IF(AH$19&gt;2,ROUND($C$16+((AH$19-2)*$C$17),0.2),ROUND($C$16,0.2)),))</f>
        <v>0</v>
      </c>
      <c r="W187" s="55">
        <f>IF('Survey Front'!D24="French Door Cutout",ROUND(Matrix2!$F$4,0.2),)</f>
        <v>0</v>
      </c>
      <c r="X187" s="55" t="b">
        <f>IF('Survey Front'!AD24="Q",,IF(OR('Survey Front'!F24="Custom Colour",ISNUMBER(SEARCH("Classic Black (S/Chg)",'Survey Front'!F24)),ISNUMBER(SEARCH("Matte Black (S/Chg)",'Survey Front'!F24))),1))</f>
        <v>0</v>
      </c>
      <c r="Y187" s="55">
        <f>IF(OR(AND('Survey Front'!E24&lt;&gt;"Java",'Survey Front'!G26="Stainless Steel"),'Survey Front'!G26="Brushed Nickel Plated"),ROUND(Matrix2!$F$12*Matrix2!N187,0.2),)</f>
        <v>0</v>
      </c>
      <c r="Z187" s="55">
        <f t="shared" si="50"/>
        <v>0</v>
      </c>
      <c r="AA187" s="55">
        <f>IF('Survey Front'!AD24="Q","",IF('Survey Front'!AD26&lt;&gt; "",ROUND(CONVERT('Survey Front'!M24,"mm","m")*$F$14,0.2),))</f>
        <v>0</v>
      </c>
    </row>
    <row r="188" spans="11:27">
      <c r="K188" t="s">
        <v>341</v>
      </c>
      <c r="L188" s="64">
        <f>IF('Survey Front'!AD27="Q",,COUNTIFS('Survey Front'!S27:AC27,"(CB)"))</f>
        <v>0</v>
      </c>
      <c r="M188" s="4">
        <f t="shared" si="51"/>
        <v>0</v>
      </c>
      <c r="N188" s="65">
        <f>IF('Survey Front'!AD27="Q",,IF('Survey Front'!E27="",,'Survey Front'!M27*'Survey Front'!N27/1000000))</f>
        <v>0</v>
      </c>
      <c r="O188" s="62">
        <f>IF('Survey Front'!AD27="Q",,IF(OR('Survey Front'!L27 = "Silent",'Survey Front'!L27 = "Split Tilt",'Survey Front'!L27="Silent Split Tilt"),ROUND(N188*$C$9,0.2),0))</f>
        <v>0</v>
      </c>
      <c r="P188" s="62">
        <f>IF('Survey Front'!AD27="Q",,IF('Survey Front'!D27="Tracked",ROUND($C$11+($F$2*Q188),0.2),))</f>
        <v>0</v>
      </c>
      <c r="Q188" s="66">
        <f>IF('Survey Front'!AD27="Quoted",,IF('Survey Front'!D27="Tracked",CONVERT('Survey Front'!M27,"mm","m"),))</f>
        <v>0</v>
      </c>
      <c r="R188" s="62">
        <f>IF('Survey Front'!D27="S/Shade",ROUND($F$3*N188,0.2),0)</f>
        <v>0</v>
      </c>
      <c r="T188" s="4">
        <f t="shared" si="52"/>
        <v>0</v>
      </c>
      <c r="U188" s="65">
        <f>IF('Survey Front'!AD27="Q",,IF(OR('Survey Front'!L27="Silent",('Survey Front'!L27="Split Tilt"),'Survey Front'!L27="Silent Split Tilt"),'Survey Front'!M27*'Survey Front'!N27/1000000,))</f>
        <v>0</v>
      </c>
      <c r="V188" s="55">
        <f>IF('Survey Front'!AD27="Q",,IF('Survey Front'!D27="Shape",IF(AI$19&gt;2,ROUND($C$16+((AI$19-2)*$C$17),0.2),ROUND($C$16,0.2)),))</f>
        <v>0</v>
      </c>
      <c r="W188" s="55">
        <f>IF('Survey Front'!D27="French Door Cutout",ROUND(Matrix2!$F$4,0.2),)</f>
        <v>0</v>
      </c>
      <c r="X188" s="55" t="b">
        <f>IF('Survey Front'!AD27="Q",,IF(OR('Survey Front'!F27="Custom Colour",ISNUMBER(SEARCH("Classic Black (S/Chg)",'Survey Front'!F27)),ISNUMBER(SEARCH("Matte Black (S/Chg)",'Survey Front'!F27))),1))</f>
        <v>0</v>
      </c>
      <c r="Y188" s="55">
        <f>IF(OR(AND('Survey Front'!E27&lt;&gt;"Java",'Survey Front'!G29="Stainless Steel"),'Survey Front'!G29="Brushed Nickel Plated"),ROUND(Matrix2!$F$12*Matrix2!N188,0.2),)</f>
        <v>0</v>
      </c>
      <c r="Z188" s="55">
        <f>IF(AND(N188&lt;1,N188&gt;0),ROUND(1*$C$19,0.2),ROUND(N188*$C$19,0.2))</f>
        <v>0</v>
      </c>
      <c r="AA188" s="55">
        <f>IF('Survey Front'!AD27="Q","",IF('Survey Front'!AD29&lt;&gt; "",ROUND(CONVERT('Survey Front'!M27,"mm","m")*$F$14,0.2),))</f>
        <v>0</v>
      </c>
    </row>
    <row r="189" spans="11:27">
      <c r="K189" t="s">
        <v>342</v>
      </c>
      <c r="L189" s="64">
        <f>IF('Survey Front'!AD30="Q",,COUNTIFS('Survey Front'!S30:AC30,"(CB)"))</f>
        <v>0</v>
      </c>
      <c r="M189" s="4">
        <f t="shared" si="51"/>
        <v>0</v>
      </c>
      <c r="N189" s="65">
        <f>IF('Survey Front'!AD30="Q",,IF('Survey Front'!E30="",,'Survey Front'!M30*'Survey Front'!N30/1000000))</f>
        <v>0</v>
      </c>
      <c r="O189" s="62">
        <f>IF('Survey Front'!AD30="Q",,IF(OR('Survey Front'!L30 = "Silent",'Survey Front'!L30 = "Split Tilt",'Survey Front'!L30="Silent Split Tilt"),ROUND(N189*$C$9,0.2),0))</f>
        <v>0</v>
      </c>
      <c r="P189" s="62">
        <f>IF('Survey Front'!AD30="Q",,IF('Survey Front'!D30="Tracked",ROUND($C$11+($F$2*Q189),0.2),))</f>
        <v>0</v>
      </c>
      <c r="Q189" s="66">
        <f>IF('Survey Front'!AD30="Quoted",,IF('Survey Front'!D30="Tracked",CONVERT('Survey Front'!M30,"mm","m"),))</f>
        <v>0</v>
      </c>
      <c r="R189" s="62">
        <f>IF('Survey Front'!D30="S/Shade",ROUND($F$3*N189,0.2),0)</f>
        <v>0</v>
      </c>
      <c r="T189" s="4">
        <f t="shared" si="52"/>
        <v>0</v>
      </c>
      <c r="U189" s="65">
        <f>IF('Survey Front'!AD30="Q",,IF(OR('Survey Front'!L30="Silent",('Survey Front'!L30="Split Tilt"),'Survey Front'!L30="Silent Split Tilt"),'Survey Front'!M30*'Survey Front'!N30/1000000,))</f>
        <v>0</v>
      </c>
      <c r="V189" s="55">
        <f>IF('Survey Front'!AD30="Q",,IF('Survey Front'!D30="Shape",IF(AJ$19&gt;2,ROUND($C$16+((AJ$19-2)*$C$17),0.2),ROUND($C$16,0.2)),))</f>
        <v>0</v>
      </c>
      <c r="W189" s="55">
        <f>IF('Survey Front'!D30="French Door Cutout",ROUND(Matrix2!$F$4,0.2),)</f>
        <v>0</v>
      </c>
      <c r="X189" s="55" t="b">
        <f>IF('Survey Front'!AD30="Q",,IF(OR('Survey Front'!F30="Custom Colour",ISNUMBER(SEARCH("Classic Black (S/Chg)",'Survey Front'!F30)),ISNUMBER(SEARCH("Matte Black (S/Chg)",'Survey Front'!F30))),1))</f>
        <v>0</v>
      </c>
      <c r="Y189" s="55">
        <f>IF(OR(AND('Survey Front'!E30&lt;&gt;"Java",'Survey Front'!G32="Stainless Steel"),'Survey Front'!G32="Brushed Nickel Plated"),ROUND(Matrix2!$F$12*Matrix2!N189,0.2),)</f>
        <v>0</v>
      </c>
      <c r="Z189" s="55">
        <f t="shared" si="50"/>
        <v>0</v>
      </c>
      <c r="AA189" s="55">
        <f>IF('Survey Front'!AD30="Q","",IF('Survey Front'!AD32&lt;&gt; "",ROUND(CONVERT('Survey Front'!M30,"mm","m")*$F$14,0.2),))</f>
        <v>0</v>
      </c>
    </row>
    <row r="190" spans="11:27">
      <c r="K190" t="s">
        <v>343</v>
      </c>
      <c r="L190" s="64">
        <f>IF('Survey Front'!AD33="Q",,COUNTIFS('Survey Front'!S33:AC33,"(CB)"))</f>
        <v>0</v>
      </c>
      <c r="M190" s="4">
        <f t="shared" si="51"/>
        <v>0</v>
      </c>
      <c r="N190" s="65">
        <f>IF('Survey Front'!AD33="Q",,IF('Survey Front'!E33="",,'Survey Front'!M33*'Survey Front'!N33/1000000))</f>
        <v>0</v>
      </c>
      <c r="O190" s="62">
        <f>IF('Survey Front'!AD33="Q",,IF(OR('Survey Front'!L33 = "Silent",'Survey Front'!L33 = "Split Tilt",'Survey Front'!L33="Silent Split Tilt"),ROUND(N190*$C$9,0.2),0))</f>
        <v>0</v>
      </c>
      <c r="P190" s="62">
        <f>IF('Survey Front'!AD33="Q",,IF('Survey Front'!D33="Tracked",ROUND($C$11+($F$2*Q190),0.2),))</f>
        <v>0</v>
      </c>
      <c r="Q190" s="66">
        <f>IF('Survey Front'!AD33="Quoted",,IF('Survey Front'!D33="Tracked",CONVERT('Survey Front'!M33,"mm","m"),))</f>
        <v>0</v>
      </c>
      <c r="R190" s="62">
        <f>IF('Survey Front'!D33="S/Shade",ROUND($F$3*N190,0.2),0)</f>
        <v>0</v>
      </c>
      <c r="T190" s="4">
        <f t="shared" si="52"/>
        <v>0</v>
      </c>
      <c r="U190" s="65">
        <f>IF('Survey Front'!AD33="Q",,IF(OR('Survey Front'!L33="Silent",('Survey Front'!L33="Split Tilt"),'Survey Front'!L33="Silent Split Tilt"),'Survey Front'!M33*'Survey Front'!N33/1000000,))</f>
        <v>0</v>
      </c>
      <c r="V190" s="55">
        <f>IF('Survey Front'!AD33="Q",,IF('Survey Front'!D33="Shape",IF(AK$19&gt;2,ROUND($C$16+((AK$19-2)*$C$17),0.2),ROUND($C$16,0.2)),))</f>
        <v>0</v>
      </c>
      <c r="W190" s="55">
        <f>IF('Survey Front'!D33="French Door Cutout",ROUND(Matrix2!$F$4,0.2),)</f>
        <v>0</v>
      </c>
      <c r="X190" s="55" t="b">
        <f>IF('Survey Front'!AD33="Q",,IF(OR('Survey Front'!F33="Custom Colour",ISNUMBER(SEARCH("Classic Black (S/Chg)",'Survey Front'!F33)),ISNUMBER(SEARCH("Matte Black (S/Chg)",'Survey Front'!F33))),1))</f>
        <v>0</v>
      </c>
      <c r="Y190" s="55">
        <f>IF(OR(AND('Survey Front'!E33&lt;&gt;"Java",'Survey Front'!G35="Stainless Steel"),'Survey Front'!G35="Brushed Nickel Plated"),ROUND(Matrix2!$F$12*Matrix2!N190,0.2),)</f>
        <v>0</v>
      </c>
      <c r="Z190" s="55">
        <f t="shared" si="50"/>
        <v>0</v>
      </c>
      <c r="AA190" s="55">
        <f>IF('Survey Front'!AD33="Q","",IF('Survey Front'!AD35&lt;&gt; "",ROUND(CONVERT('Survey Front'!M33,"mm","m")*$F$14,0.2),))</f>
        <v>0</v>
      </c>
    </row>
    <row r="191" spans="11:27">
      <c r="K191" t="s">
        <v>344</v>
      </c>
      <c r="L191" s="64">
        <f>IF('Survey Front'!AD36="Q",,COUNTIFS('Survey Front'!S36:AC36,"(CB)"))</f>
        <v>0</v>
      </c>
      <c r="M191" s="4">
        <f t="shared" si="51"/>
        <v>0</v>
      </c>
      <c r="N191" s="65">
        <f>IF('Survey Front'!AD36="Q",,IF('Survey Front'!E36="",,'Survey Front'!M36*'Survey Front'!N36/1000000))</f>
        <v>0</v>
      </c>
      <c r="O191" s="62">
        <f>IF('Survey Front'!AD36="Q",,IF(OR('Survey Front'!L36 = "Silent",'Survey Front'!L36 = "Split Tilt",'Survey Front'!L36="Silent Split Tilt"),ROUND(N191*$C$9,0.2),0))</f>
        <v>0</v>
      </c>
      <c r="P191" s="62">
        <f>IF('Survey Front'!AD36="Q",,IF('Survey Front'!D36="Tracked",ROUND($C$11+($F$2*Q191),0.2),))</f>
        <v>0</v>
      </c>
      <c r="Q191" s="66">
        <f>IF('Survey Front'!AD36="Quoted",,IF('Survey Front'!D36="Tracked",CONVERT('Survey Front'!M36,"mm","m"),))</f>
        <v>0</v>
      </c>
      <c r="R191" s="62">
        <f>IF('Survey Front'!D36="S/Shade",ROUND($F$3*N191,0.2),0)</f>
        <v>0</v>
      </c>
      <c r="T191" s="4">
        <f t="shared" si="52"/>
        <v>0</v>
      </c>
      <c r="U191" s="65">
        <f>IF('Survey Front'!AD36="Q",,IF(OR('Survey Front'!L36="Silent",('Survey Front'!L36="Split Tilt"),'Survey Front'!L36="Silent Split Tilt"),'Survey Front'!M36*'Survey Front'!N36/1000000,))</f>
        <v>0</v>
      </c>
      <c r="V191" s="55">
        <f>IF('Survey Front'!AD36="Q",,IF('Survey Front'!D36="Shape",IF(AL$19&gt;2,ROUND($C$16+((AL$19-2)*$C$17),0.2),ROUND($C$16,0.2)),))</f>
        <v>0</v>
      </c>
      <c r="W191" s="55">
        <f>IF('Survey Front'!D36="French Door Cutout",ROUND(Matrix2!$F$4,0.2),)</f>
        <v>0</v>
      </c>
      <c r="X191" s="55" t="b">
        <f>IF('Survey Front'!AD36="Q",,IF(OR('Survey Front'!F36="Custom Colour",ISNUMBER(SEARCH("Classic Black (S/Chg)",'Survey Front'!F36)),ISNUMBER(SEARCH("Matte Black (S/Chg)",'Survey Front'!F36))),1))</f>
        <v>0</v>
      </c>
      <c r="Y191" s="55">
        <f>IF(OR(AND('Survey Front'!E36&lt;&gt;"Java",'Survey Front'!G38="Stainless Steel"),'Survey Front'!G38="Brushed Nickel Plated"),ROUND(Matrix2!$F$12*Matrix2!N191,0.2),)</f>
        <v>0</v>
      </c>
      <c r="Z191" s="55">
        <f t="shared" si="50"/>
        <v>0</v>
      </c>
      <c r="AA191" s="55">
        <f>IF('Survey Front'!AD36="Q","",IF('Survey Front'!AD38&lt;&gt; "",ROUND(CONVERT('Survey Front'!M36,"mm","m")*$F$14,0.2),))</f>
        <v>0</v>
      </c>
    </row>
    <row r="192" spans="11:27">
      <c r="K192" t="s">
        <v>346</v>
      </c>
      <c r="L192" s="64">
        <f>IF('Survey Front'!AD39="Q",,COUNTIFS('Survey Front'!S36:AC39,"(CB)"))</f>
        <v>0</v>
      </c>
      <c r="M192" s="4">
        <f t="shared" si="51"/>
        <v>0</v>
      </c>
      <c r="N192" s="65">
        <f>IF('Survey Front'!AD39="Q",,IF('Survey Front'!E39="",,'Survey Front'!M39*'Survey Front'!N39/1000000))</f>
        <v>0</v>
      </c>
      <c r="O192" s="62">
        <f>IF('Survey Front'!AD39="Q",,IF(OR('Survey Front'!L39 = "Silent",'Survey Front'!L39 = "Split Tilt",'Survey Front'!L39="Silent Split Tilt"),ROUND(N192*$C$9,0.2),0))</f>
        <v>0</v>
      </c>
      <c r="P192" s="62">
        <f>IF('Survey Front'!AD39="Q",,IF('Survey Front'!D39="Tracked",ROUND($C$11+($F$2*Q192),0.2),))</f>
        <v>0</v>
      </c>
      <c r="Q192" s="66">
        <f>IF('Survey Front'!AD39="Quoted",,IF('Survey Front'!D39="Tracked",CONVERT('Survey Front'!M39,"mm","m"),))</f>
        <v>0</v>
      </c>
      <c r="R192" s="62">
        <f>IF('Survey Front'!D39="S/Shade",ROUND($F$3*N192,0.2),0)</f>
        <v>0</v>
      </c>
      <c r="T192" s="4">
        <f t="shared" si="52"/>
        <v>0</v>
      </c>
      <c r="U192" s="65">
        <f>IF('Survey Front'!AD39="Q",,IF(OR('Survey Front'!L39="Silent",('Survey Front'!L39="Split Tilt"),'Survey Front'!L39="Silent Split Tilt"),'Survey Front'!M39*'Survey Front'!N39/1000000,))</f>
        <v>0</v>
      </c>
      <c r="V192" s="55">
        <f>IF('Survey Front'!AD39="Q",,IF('Survey Front'!D39="Shape",IF(AM$19&gt;2,ROUND($C$16+((AM$19-2)*$C$17),0.2),ROUND($C$16,0.2)),))</f>
        <v>0</v>
      </c>
      <c r="W192" s="55">
        <f>IF('Survey Front'!D39="French Door Cutout",ROUND(Matrix2!$F$4,0.2),)</f>
        <v>0</v>
      </c>
      <c r="X192" s="55" t="b">
        <f>IF('Survey Front'!AD39="Q",,IF(OR('Survey Front'!F39="Custom Colour",ISNUMBER(SEARCH("Classic Black (S/Chg)",'Survey Front'!F39)),ISNUMBER(SEARCH("Matte Black (S/Chg)",'Survey Front'!F39))),1))</f>
        <v>0</v>
      </c>
      <c r="Y192" s="55">
        <f>IF(OR(AND('Survey Front'!E39&lt;&gt;"Java",'Survey Front'!G41="Stainless Steel"),'Survey Front'!G41="Brushed Nickel Plated"),ROUND(Matrix2!$F$12*Matrix2!N192,0.2),)</f>
        <v>0</v>
      </c>
      <c r="Z192" s="55">
        <f t="shared" si="50"/>
        <v>0</v>
      </c>
      <c r="AA192" s="55">
        <f>IF('Survey Front'!AD39="Q","",IF('Survey Front'!AD41&lt;&gt; "",ROUND(CONVERT('Survey Front'!M39,"mm","m")*$F$14,0.2),))</f>
        <v>0</v>
      </c>
    </row>
    <row r="193" spans="11:27">
      <c r="K193" t="s">
        <v>348</v>
      </c>
      <c r="L193" s="64">
        <f>IF('Survey Front'!AD42="Q",,COUNTIFS('Survey Front'!S42:AC42,"(CB)"))</f>
        <v>0</v>
      </c>
      <c r="M193" s="4">
        <f t="shared" si="51"/>
        <v>0</v>
      </c>
      <c r="N193" s="65">
        <f>IF('Survey Front'!AD42="Q",,IF('Survey Front'!E42="",,'Survey Front'!M42*'Survey Front'!N42/1000000))</f>
        <v>0</v>
      </c>
      <c r="O193" s="62">
        <f>IF('Survey Front'!AD42="Q",,IF(OR('Survey Front'!L42 = "Silent",'Survey Front'!L42 = "Split Tilt",'Survey Front'!L42="Silent Split Tilt"),ROUND(N193*$C$9,0.2),0))</f>
        <v>0</v>
      </c>
      <c r="P193" s="62">
        <f>IF('Survey Front'!AD42="Q",,IF('Survey Front'!D42="Tracked",ROUND($C$11+($F$2*Q193),0.2),))</f>
        <v>0</v>
      </c>
      <c r="Q193" s="66">
        <f>IF('Survey Front'!AD42="Quoted",,IF('Survey Front'!D42="Tracked",CONVERT('Survey Front'!M42,"mm","m"),))</f>
        <v>0</v>
      </c>
      <c r="R193" s="62">
        <f>IF('Survey Front'!D42="S/Shade",ROUND($F$3*N193,0.2),0)</f>
        <v>0</v>
      </c>
      <c r="T193" s="4">
        <f t="shared" si="52"/>
        <v>0</v>
      </c>
      <c r="U193" s="65">
        <f>IF('Survey Front'!AD42="Q",,IF(OR('Survey Front'!L42="Silent",('Survey Front'!L42="Split Tilt"),'Survey Front'!L42="Silent Split Tilt"),'Survey Front'!M42*'Survey Front'!N42/1000000,))</f>
        <v>0</v>
      </c>
      <c r="V193" s="55">
        <f>IF('Survey Front'!AD42="Q",,IF('Survey Front'!D42="Shape",IF(AN$19&gt;2,ROUND($C$16+((AN$19-2)*$C$17),0.2),ROUND($C$16,0.2)),))</f>
        <v>0</v>
      </c>
      <c r="W193" s="55">
        <f>IF('Survey Front'!D42="French Door Cutout",ROUND(Matrix2!$F$4,0.2),)</f>
        <v>0</v>
      </c>
      <c r="X193" s="55" t="b">
        <f>IF('Survey Front'!AD42="Q",,IF(OR('Survey Front'!F42="Custom Colour",ISNUMBER(SEARCH("Classic Black (S/Chg)",'Survey Front'!F42)),ISNUMBER(SEARCH("Matte Black (S/Chg)",'Survey Front'!F42))),1))</f>
        <v>0</v>
      </c>
      <c r="Y193" s="55">
        <f>IF(OR(AND('Survey Front'!E42&lt;&gt;"Java",'Survey Front'!G44="Stainless Steel"),'Survey Front'!G44="Brushed Nickel Plated"),ROUND(Matrix2!$F$12*Matrix2!N193,0.2),)</f>
        <v>0</v>
      </c>
      <c r="Z193" s="55">
        <f t="shared" si="50"/>
        <v>0</v>
      </c>
      <c r="AA193" s="55">
        <f>IF('Survey Front'!AD42="Q","",IF('Survey Front'!AD44&lt;&gt; "",ROUND(CONVERT('Survey Front'!M42,"mm","m")*$F$14,0.2),))</f>
        <v>0</v>
      </c>
    </row>
    <row r="194" spans="11:27">
      <c r="K194" t="s">
        <v>350</v>
      </c>
      <c r="L194" s="64">
        <f>IF('Survey Front'!AD45="Q",,COUNTIFS('Survey Front'!S45:AC45,"(CB)"))</f>
        <v>0</v>
      </c>
      <c r="M194" s="4">
        <f t="shared" si="51"/>
        <v>0</v>
      </c>
      <c r="N194" s="65">
        <f>IF('Survey Front'!AD45="Q",,IF('Survey Front'!E45="",,'Survey Front'!M45*'Survey Front'!N45/1000000))</f>
        <v>0</v>
      </c>
      <c r="O194" s="62">
        <f>IF('Survey Front'!AD45="Q",,IF(OR('Survey Front'!L45 = "Silent",'Survey Front'!L45 = "Split Tilt",'Survey Front'!L45="Silent Split Tilt"),ROUND(N194*$C$9,0.2),0))</f>
        <v>0</v>
      </c>
      <c r="P194" s="62">
        <f>IF('Survey Front'!AD45="Q",,IF('Survey Front'!D45="Tracked",ROUND($C$11+($F$2*Q194),0.2),))</f>
        <v>0</v>
      </c>
      <c r="Q194" s="66">
        <f>IF('Survey Front'!AD45="Quoted",,IF('Survey Front'!D45="Tracked",CONVERT('Survey Front'!M45,"mm","m"),))</f>
        <v>0</v>
      </c>
      <c r="R194" s="62">
        <f>IF('Survey Front'!D45="S/Shade",ROUND($F$3*N194,0.2),0)</f>
        <v>0</v>
      </c>
      <c r="T194" s="4">
        <f t="shared" si="52"/>
        <v>0</v>
      </c>
      <c r="U194" s="65">
        <f>IF('Survey Front'!AD45="Q",,IF(OR('Survey Front'!L45="Silent",('Survey Front'!L45="Split Tilt"),'Survey Front'!L45="Silent Split Tilt"),'Survey Front'!M45*'Survey Front'!N45/1000000,))</f>
        <v>0</v>
      </c>
      <c r="V194" s="55">
        <f>IF('Survey Front'!AD45="Q",,IF('Survey Front'!D45="Shape",IF(AO$19&gt;2,ROUND($C$16+((AO$19-2)*$C$17),0.2),ROUND($C$16,0.2)),))</f>
        <v>0</v>
      </c>
      <c r="W194" s="55">
        <f>IF('Survey Front'!D45="French Door Cutout",ROUND(Matrix2!$F$4,0.2),)</f>
        <v>0</v>
      </c>
      <c r="X194" s="55" t="b">
        <f>IF('Survey Front'!AD45="Q",,IF(OR('Survey Front'!F45="Custom Colour",ISNUMBER(SEARCH("Classic Black (S/Chg)",'Survey Front'!F45)),ISNUMBER(SEARCH("Matte Black (S/Chg)",'Survey Front'!F45))),1))</f>
        <v>0</v>
      </c>
      <c r="Y194" s="55">
        <f>IF(OR(AND('Survey Front'!E45&lt;&gt;"Java",'Survey Front'!G47="Stainless Steel"),'Survey Front'!G47="Brushed Nickel Plated"),ROUND(Matrix2!$F$12*Matrix2!N194,0.2),)</f>
        <v>0</v>
      </c>
      <c r="Z194" s="55">
        <f t="shared" si="50"/>
        <v>0</v>
      </c>
      <c r="AA194" s="55">
        <f>IF('Survey Front'!AD45="Q","",IF('Survey Front'!AD47&lt;&gt; "",ROUND(CONVERT('Survey Front'!M45,"mm","m")*$F$14,0.2),))</f>
        <v>0</v>
      </c>
    </row>
    <row r="195" spans="11:27">
      <c r="K195" t="s">
        <v>351</v>
      </c>
      <c r="L195" s="64">
        <f>IF('Survey Front'!AD48="Q",,COUNTIFS('Survey Front'!S48:AC48,"(CB)"))</f>
        <v>0</v>
      </c>
      <c r="M195" s="4">
        <f t="shared" si="51"/>
        <v>0</v>
      </c>
      <c r="N195" s="65">
        <f>IF('Survey Front'!AD48="Q",,IF('Survey Front'!E48="",,'Survey Front'!M48*'Survey Front'!N48/1000000))</f>
        <v>0</v>
      </c>
      <c r="O195" s="62">
        <f>IF('Survey Front'!AD48="Q",,IF(OR('Survey Front'!L48 = "Silent",'Survey Front'!L48 = "Split Tilt",'Survey Front'!L48="Silent Split Tilt"),ROUND(N195*$C$9,0.2),0))</f>
        <v>0</v>
      </c>
      <c r="P195" s="62">
        <f>IF('Survey Front'!AD48="Q",,IF('Survey Front'!D48="Tracked",ROUND($C$11+($F$2*Q195),0.2),))</f>
        <v>0</v>
      </c>
      <c r="Q195" s="66">
        <f>IF('Survey Front'!AD48="Quoted",,IF('Survey Front'!D48="Tracked",CONVERT('Survey Front'!M48,"mm","m"),))</f>
        <v>0</v>
      </c>
      <c r="R195" s="62">
        <f>IF('Survey Front'!D48="S/Shade",ROUND($F$3*N195,0.2),0)</f>
        <v>0</v>
      </c>
      <c r="T195" s="4">
        <f t="shared" si="52"/>
        <v>0</v>
      </c>
      <c r="U195" s="65">
        <f>IF('Survey Front'!AD48="Q",,IF(OR('Survey Front'!L48="Silent",('Survey Front'!L48="Split Tilt"),'Survey Front'!L48="Silent Split Tilt"),'Survey Front'!M48*'Survey Front'!N48/1000000,))</f>
        <v>0</v>
      </c>
      <c r="V195" s="55">
        <f>IF('Survey Front'!AD48="Q",,IF('Survey Front'!D48="Shape",IF(AP$19&gt;2,ROUND($C$16+((AP$19-2)*$C$17),0.2),ROUND($C$16,0.2)),))</f>
        <v>0</v>
      </c>
      <c r="W195" s="55">
        <f>IF('Survey Front'!D48="French Door Cutout",ROUND(Matrix2!$F$4,0.2),)</f>
        <v>0</v>
      </c>
      <c r="X195" s="55" t="b">
        <f>IF('Survey Front'!AD48="Q",,IF(OR('Survey Front'!F48="Custom Colour",ISNUMBER(SEARCH("Classic Black (S/Chg)",'Survey Front'!F48)),ISNUMBER(SEARCH("Matte Black (S/Chg)",'Survey Front'!F48))),1))</f>
        <v>0</v>
      </c>
      <c r="Y195" s="55">
        <f>IF(OR(AND('Survey Front'!E48&lt;&gt;"Java",'Survey Front'!G50="Stainless Steel"),'Survey Front'!G50="Brushed Nickel Plated"),ROUND(Matrix2!$F$12*Matrix2!N195,0.2),)</f>
        <v>0</v>
      </c>
      <c r="Z195" s="55">
        <f>IF(AND(N195&lt;1,N195&gt;0),ROUND(1*$C$19,0.2),ROUND(N195*$C$19,0.2))</f>
        <v>0</v>
      </c>
      <c r="AA195" s="55">
        <f>IF('Survey Front'!AD48="Q","",IF('Survey Front'!AD50&lt;&gt; "",ROUND(CONVERT('Survey Front'!M48,"mm","m")*$F$14,0.2),))</f>
        <v>0</v>
      </c>
    </row>
    <row r="196" spans="11:27">
      <c r="K196" t="s">
        <v>353</v>
      </c>
      <c r="L196" s="64">
        <f>IF('Survey Front'!AD51="Q",,COUNTIFS('Survey Front'!S51:AC51,"(CB)"))</f>
        <v>0</v>
      </c>
      <c r="M196" s="4">
        <f t="shared" si="51"/>
        <v>0</v>
      </c>
      <c r="N196" s="65">
        <f>IF('Survey Front'!AD51="Q",,IF('Survey Front'!E51="",,'Survey Front'!M51*'Survey Front'!N51/1000000))</f>
        <v>0</v>
      </c>
      <c r="O196" s="62">
        <f>IF('Survey Front'!AD51="Q",,IF(OR('Survey Front'!L51 = "Silent",'Survey Front'!L51 = "Split Tilt",'Survey Front'!L51="Silent Split Tilt"),ROUND(N196*$C$9,0.2),0))</f>
        <v>0</v>
      </c>
      <c r="P196" s="62">
        <f>IF('Survey Front'!AD51="Q",,IF('Survey Front'!D51="Tracked",ROUND($C$11+($F$2*Q196),0.2),))</f>
        <v>0</v>
      </c>
      <c r="Q196" s="66">
        <f>IF('Survey Front'!AD51="Quoted",,IF('Survey Front'!D51="Tracked",CONVERT('Survey Front'!M51,"mm","m"),))</f>
        <v>0</v>
      </c>
      <c r="R196" s="62">
        <f>IF('Survey Front'!D51="S/Shade",ROUND($F$3*N196,0.2),0)</f>
        <v>0</v>
      </c>
      <c r="T196" s="4">
        <f t="shared" si="52"/>
        <v>0</v>
      </c>
      <c r="U196" s="65">
        <f>IF('Survey Front'!AD51="Q",,IF(OR('Survey Front'!L51="Silent",('Survey Front'!L51="Split Tilt"),'Survey Front'!L51="Silent Split Tilt"),'Survey Front'!M51*'Survey Front'!N51/1000000,))</f>
        <v>0</v>
      </c>
      <c r="V196" s="55">
        <f>IF('Survey Front'!AD51="Q",,IF('Survey Front'!D51="Shape",IF(AQ$19&gt;2,ROUND($C$16+((AQ$19-2)*$C$17),0.2),ROUND($C$16,0.2)),))</f>
        <v>0</v>
      </c>
      <c r="W196" s="55">
        <f>IF('Survey Front'!D51="French Door Cutout",ROUND(Matrix2!$F$4,0.2),)</f>
        <v>0</v>
      </c>
      <c r="X196" s="55" t="b">
        <f>IF('Survey Front'!AD51="Q",,IF(OR('Survey Front'!F51="Custom Colour",ISNUMBER(SEARCH("Classic Black (S/Chg)",'Survey Front'!F51)),ISNUMBER(SEARCH("Matte Black (S/Chg)",'Survey Front'!F51))),1))</f>
        <v>0</v>
      </c>
      <c r="Y196" s="55">
        <f>IF(OR(AND('Survey Front'!E51&lt;&gt;"Java",'Survey Front'!G53="Stainless Steel"),'Survey Front'!G53="Brushed Nickel Plated"),ROUND(Matrix2!$F$12*Matrix2!N196,0.2),)</f>
        <v>0</v>
      </c>
      <c r="Z196" s="55">
        <f>IF(AND(N196&lt;1,N196&gt;0),ROUND(1*$C$19,0.2),ROUND(N196*$C$19,0.2))</f>
        <v>0</v>
      </c>
      <c r="AA196" s="55">
        <f>IF('Survey Front'!AD51="Q","",IF('Survey Front'!AD53&lt;&gt; "",ROUND(CONVERT('Survey Front'!M51,"mm","m")*$F$14,0.2),))</f>
        <v>0</v>
      </c>
    </row>
    <row r="197" spans="11:27">
      <c r="K197" t="s">
        <v>354</v>
      </c>
      <c r="L197" s="64">
        <f>IF('Survey Front'!AD54="Q",,COUNTIFS('Survey Front'!S54:AC54,"(CB)"))</f>
        <v>0</v>
      </c>
      <c r="M197" s="4">
        <f t="shared" si="51"/>
        <v>0</v>
      </c>
      <c r="N197" s="65">
        <f>IF('Survey Front'!AD54="Q",,IF('Survey Front'!E54="",,'Survey Front'!M54*'Survey Front'!N54/1000000))</f>
        <v>0</v>
      </c>
      <c r="O197" s="62">
        <f>IF('Survey Front'!AD54="Q",,IF(OR('Survey Front'!L54 = "Silent",'Survey Front'!L54 = "Split Tilt",'Survey Front'!L54="Silent Split Tilt"),ROUND(N197*$C$9,0.2),0))</f>
        <v>0</v>
      </c>
      <c r="P197" s="62">
        <f>IF('Survey Front'!AD54="Q",,IF('Survey Front'!D54="Tracked",ROUND($C$11+($F$2*Q197),0.2),))</f>
        <v>0</v>
      </c>
      <c r="Q197" s="66">
        <f>IF('Survey Front'!AD54="Quoted",,IF('Survey Front'!D54="Tracked",CONVERT('Survey Front'!M54,"mm","m"),))</f>
        <v>0</v>
      </c>
      <c r="R197" s="62">
        <f>IF('Survey Front'!D54="S/Shade",ROUND($F$3*N197,0.2),0)</f>
        <v>0</v>
      </c>
      <c r="T197" s="4">
        <f t="shared" si="52"/>
        <v>0</v>
      </c>
      <c r="U197" s="65">
        <f>IF('Survey Front'!AD54="Q",,IF(OR('Survey Front'!L54="Silent",('Survey Front'!L54="Split Tilt"),'Survey Front'!L54="Silent Split Tilt"),'Survey Front'!M54*'Survey Front'!N54/1000000,))</f>
        <v>0</v>
      </c>
      <c r="V197" s="55">
        <f>IF('Survey Front'!AD54="Q",,IF('Survey Front'!D54="Shape",IF(AR$19&gt;2,ROUND($C$16+((AR$19-2)*$C$17),0.2),ROUND($C$16,0.2)),))</f>
        <v>0</v>
      </c>
      <c r="W197" s="55">
        <f>IF('Survey Front'!D54="French Door Cutout",ROUND(Matrix2!$F$4,0.2),)</f>
        <v>0</v>
      </c>
      <c r="X197" s="55" t="b">
        <f>IF('Survey Front'!AD54="Q",,IF(OR('Survey Front'!F54="Custom Colour",ISNUMBER(SEARCH("Classic Black (S/Chg)",'Survey Front'!F54)),ISNUMBER(SEARCH("Matte Black (S/Chg)",'Survey Front'!F54))),1))</f>
        <v>0</v>
      </c>
      <c r="Y197" s="55">
        <f>IF(OR(AND('Survey Front'!E54&lt;&gt;"Java",'Survey Front'!G56="Stainless Steel"),'Survey Front'!G56="Brushed Nickel Plated"),ROUND(Matrix2!$F$12*Matrix2!N197,0.2),)</f>
        <v>0</v>
      </c>
      <c r="Z197" s="55">
        <f>IF(AND(N197&lt;1,N197&gt;0),ROUND(1*$C$19,0.2),ROUND(N197*$C$19,0.2))</f>
        <v>0</v>
      </c>
      <c r="AA197" s="55">
        <f>IF('Survey Front'!AD54="Q","",IF('Survey Front'!AD56&lt;&gt; "",ROUND(CONVERT('Survey Front'!M54,"mm","m")*$F$14,0.2),))</f>
        <v>0</v>
      </c>
    </row>
    <row r="203" spans="11:27">
      <c r="K203" s="981" t="s">
        <v>559</v>
      </c>
      <c r="L203" s="981"/>
      <c r="M203" s="981"/>
      <c r="N203" s="981"/>
      <c r="O203" s="981"/>
      <c r="P203" s="981"/>
      <c r="Q203" s="981"/>
      <c r="R203" s="981"/>
      <c r="S203" s="981"/>
      <c r="T203" s="981"/>
      <c r="U203" s="981"/>
      <c r="V203" s="981"/>
      <c r="W203" s="981"/>
      <c r="X203" s="981"/>
      <c r="Y203" s="981"/>
      <c r="Z203" s="981"/>
      <c r="AA203" s="981"/>
    </row>
    <row r="204" spans="11:27">
      <c r="L204" s="91" t="s">
        <v>331</v>
      </c>
      <c r="M204" s="91" t="s">
        <v>334</v>
      </c>
      <c r="N204" s="91" t="s">
        <v>336</v>
      </c>
      <c r="O204" s="91" t="s">
        <v>338</v>
      </c>
      <c r="P204" s="91" t="s">
        <v>339</v>
      </c>
      <c r="Q204" s="91" t="s">
        <v>341</v>
      </c>
      <c r="R204" s="91" t="s">
        <v>342</v>
      </c>
      <c r="S204" s="91" t="s">
        <v>343</v>
      </c>
      <c r="T204" s="91" t="s">
        <v>344</v>
      </c>
      <c r="U204" s="91" t="s">
        <v>346</v>
      </c>
      <c r="V204" s="91" t="s">
        <v>348</v>
      </c>
      <c r="W204" s="91" t="s">
        <v>350</v>
      </c>
      <c r="X204" s="91" t="s">
        <v>351</v>
      </c>
      <c r="Y204" s="91" t="s">
        <v>353</v>
      </c>
      <c r="Z204" s="91" t="s">
        <v>354</v>
      </c>
      <c r="AA204" s="91" t="s">
        <v>79</v>
      </c>
    </row>
    <row r="205" spans="11:27">
      <c r="K205" s="340" t="s">
        <v>63</v>
      </c>
      <c r="L205" s="59">
        <f t="shared" ref="L205:L215" si="53">((VLOOKUP(K205,$G$26:$H$36,2,0)*$N$33)-((VLOOKUP(K205,$G$26:$H$36,2,0)*$N$33)*$C$10))+$W$33+$AA$33</f>
        <v>1569.33987</v>
      </c>
      <c r="M205" s="59">
        <f t="shared" ref="M205:M215" si="54">((VLOOKUP(K205,$G$26:$H$36,2,0)*$N$34)-((VLOOKUP(K205,$G$26:$H$36,2,0)*$N$34)*$C$10))+$AA$34+$W$34</f>
        <v>157.97565</v>
      </c>
      <c r="N205" s="59">
        <f t="shared" ref="N205:N215" si="55">((VLOOKUP(K205,$G$26:$H$36,2,0)*$N$35)-((VLOOKUP(K205,$G$26:$H$36,2,0)*$N$35)*$C$10))+$AA$35+$W$35</f>
        <v>809.79948000000002</v>
      </c>
      <c r="O205" s="59">
        <f t="shared" ref="O205:O215" si="56">((VLOOKUP(K205,$G$26:$H$36,2,0)*$N$36)-((VLOOKUP(K205,$G$26:$H$36,2,0)*$N$36)*$C$10))+$AA$36+$W$36</f>
        <v>487.93940999999995</v>
      </c>
      <c r="P205" s="59">
        <f t="shared" ref="P205:P215" si="57">((VLOOKUP(K205,$G$26:$H$36,2,0)*$N$37)-((VLOOKUP(K205,$G$26:$H$36,2,0)*$N$37)*$C$10))+$AA$37+$W$37</f>
        <v>0</v>
      </c>
      <c r="Q205" s="59">
        <f t="shared" ref="Q205:Q215" si="58">((VLOOKUP(K205,$G$26:$H$36,2,0)*$N$38)-((VLOOKUP(K205,$G$26:$H$36,2,0)*$N$38)*$C$10))+$AA$38+$W$38</f>
        <v>0</v>
      </c>
      <c r="R205" s="59">
        <f t="shared" ref="R205:R215" si="59">((VLOOKUP(K205,$G$26:$H$36,2,0)*$N$39)-((VLOOKUP(K205,$G$26:$H$36,2,0)*$N$39)*$C$10))+$AA$39+$W$39</f>
        <v>0</v>
      </c>
      <c r="S205" s="59">
        <f t="shared" ref="S205:S215" si="60">((VLOOKUP(K205,$G$26:$H$36,2,0)*$N$40)-((VLOOKUP(K205,$G$26:$H$36,2,0)*$N$40)*$C$10))+$AA$40+$W$40</f>
        <v>0</v>
      </c>
      <c r="T205" s="59">
        <f t="shared" ref="T205:T215" si="61">((VLOOKUP(K205,$G$26:$H$36,2,0)*$N$41)-((VLOOKUP(K205,$G$26:$H$36,2,0)*$N$41)*$C$10))+$AA$41+$W$41</f>
        <v>0</v>
      </c>
      <c r="U205" s="59">
        <f t="shared" ref="U205:U215" si="62">((VLOOKUP(K205,$G$26:$H$36,2,0)*$N$42)-((VLOOKUP(K205,$G$26:$H$36,2,0)*$N$42)*$C$10))+$AA$42+$W$42</f>
        <v>0</v>
      </c>
      <c r="V205" s="59">
        <f t="shared" ref="V205:V215" si="63">((VLOOKUP(K205,$G$26:$H$36,2,0)*$N$43)-((VLOOKUP(K205,$G$26:$H$36,2,0)*$N$43)*$C$10))+$AA$43+$W$43</f>
        <v>0</v>
      </c>
      <c r="W205" s="59">
        <f t="shared" ref="W205:W215" si="64">((VLOOKUP(K205,$G$26:$H$36,2,0)*$N$44)-((VLOOKUP(K205,$G$26:$H$36,2,0)*$N$44)*$C$10))+$AA$44+$W$44</f>
        <v>0</v>
      </c>
      <c r="X205" s="59">
        <f t="shared" ref="X205:X215" si="65">((VLOOKUP(K205,$G$26:$H$36,2,0)*$N$45)-((VLOOKUP(K205,$G$26:$H$36,2,0)*$N$45)*$C$10))+$AA$45+$W$45</f>
        <v>0</v>
      </c>
      <c r="Y205" s="59">
        <f t="shared" ref="Y205:Y215" si="66">((VLOOKUP(K205,$G$26:$H$36,2,0)*$N$46)-((VLOOKUP(K205,$G$26:$H$36,2,0)*$N$46)*$C$10))+$AA$46+$W$46</f>
        <v>0</v>
      </c>
      <c r="Z205" s="59">
        <f t="shared" ref="Z205:Z215" si="67">((VLOOKUP(K205,$G$26:$H$36,2,0)*$N$47)-((VLOOKUP(K205,$G$26:$H$36,2,0)*$N$47)*$C$10))+$AA$47+$W$47</f>
        <v>0</v>
      </c>
      <c r="AA205" s="341">
        <f t="shared" ref="AA205:AA215" si="68">SUM(L205:Z205)</f>
        <v>3025.0544100000002</v>
      </c>
    </row>
    <row r="206" spans="11:27">
      <c r="K206" s="340" t="s">
        <v>18</v>
      </c>
      <c r="L206" s="59">
        <f t="shared" si="53"/>
        <v>336.28711499999997</v>
      </c>
      <c r="M206" s="59">
        <f t="shared" si="54"/>
        <v>33.851924999999994</v>
      </c>
      <c r="N206" s="59">
        <f t="shared" si="55"/>
        <v>173.52846</v>
      </c>
      <c r="O206" s="59">
        <f t="shared" si="56"/>
        <v>104.55844499999999</v>
      </c>
      <c r="P206" s="59">
        <f t="shared" si="57"/>
        <v>0</v>
      </c>
      <c r="Q206" s="59">
        <f t="shared" si="58"/>
        <v>0</v>
      </c>
      <c r="R206" s="59">
        <f t="shared" si="59"/>
        <v>0</v>
      </c>
      <c r="S206" s="59">
        <f t="shared" si="60"/>
        <v>0</v>
      </c>
      <c r="T206" s="59">
        <f t="shared" si="61"/>
        <v>0</v>
      </c>
      <c r="U206" s="59">
        <f t="shared" si="62"/>
        <v>0</v>
      </c>
      <c r="V206" s="59">
        <f t="shared" si="63"/>
        <v>0</v>
      </c>
      <c r="W206" s="59">
        <f t="shared" si="64"/>
        <v>0</v>
      </c>
      <c r="X206" s="59">
        <f t="shared" si="65"/>
        <v>0</v>
      </c>
      <c r="Y206" s="59">
        <f t="shared" si="66"/>
        <v>0</v>
      </c>
      <c r="Z206" s="59">
        <f t="shared" si="67"/>
        <v>0</v>
      </c>
      <c r="AA206" s="341">
        <f t="shared" si="68"/>
        <v>648.22594500000002</v>
      </c>
    </row>
    <row r="207" spans="11:27">
      <c r="K207" s="340" t="str">
        <f t="shared" ref="K207:K215" si="69">G28</f>
        <v>Aruba Express</v>
      </c>
      <c r="L207" s="59">
        <f t="shared" si="53"/>
        <v>358.70625599999994</v>
      </c>
      <c r="M207" s="59">
        <f t="shared" si="54"/>
        <v>36.108719999999998</v>
      </c>
      <c r="N207" s="59">
        <f t="shared" si="55"/>
        <v>185.097024</v>
      </c>
      <c r="O207" s="59">
        <f t="shared" si="56"/>
        <v>111.52900799999999</v>
      </c>
      <c r="P207" s="59">
        <f t="shared" si="57"/>
        <v>0</v>
      </c>
      <c r="Q207" s="59">
        <f t="shared" si="58"/>
        <v>0</v>
      </c>
      <c r="R207" s="59">
        <f t="shared" si="59"/>
        <v>0</v>
      </c>
      <c r="S207" s="59">
        <f t="shared" si="60"/>
        <v>0</v>
      </c>
      <c r="T207" s="59">
        <f t="shared" si="61"/>
        <v>0</v>
      </c>
      <c r="U207" s="59">
        <f t="shared" si="62"/>
        <v>0</v>
      </c>
      <c r="V207" s="59">
        <f t="shared" si="63"/>
        <v>0</v>
      </c>
      <c r="W207" s="59">
        <f t="shared" si="64"/>
        <v>0</v>
      </c>
      <c r="X207" s="59">
        <f t="shared" si="65"/>
        <v>0</v>
      </c>
      <c r="Y207" s="59">
        <f t="shared" si="66"/>
        <v>0</v>
      </c>
      <c r="Z207" s="59">
        <f t="shared" si="67"/>
        <v>0</v>
      </c>
      <c r="AA207" s="341">
        <f t="shared" si="68"/>
        <v>691.4410079999999</v>
      </c>
    </row>
    <row r="208" spans="11:27">
      <c r="K208" s="340" t="str">
        <f t="shared" si="69"/>
        <v>Antigua</v>
      </c>
      <c r="L208" s="59">
        <f t="shared" si="53"/>
        <v>336.28711499999997</v>
      </c>
      <c r="M208" s="59">
        <f t="shared" si="54"/>
        <v>33.851924999999994</v>
      </c>
      <c r="N208" s="59">
        <f t="shared" si="55"/>
        <v>173.52846</v>
      </c>
      <c r="O208" s="59">
        <f t="shared" si="56"/>
        <v>104.55844499999999</v>
      </c>
      <c r="P208" s="59">
        <f t="shared" si="57"/>
        <v>0</v>
      </c>
      <c r="Q208" s="59">
        <f t="shared" si="58"/>
        <v>0</v>
      </c>
      <c r="R208" s="59">
        <f t="shared" si="59"/>
        <v>0</v>
      </c>
      <c r="S208" s="59">
        <f t="shared" si="60"/>
        <v>0</v>
      </c>
      <c r="T208" s="59">
        <f t="shared" si="61"/>
        <v>0</v>
      </c>
      <c r="U208" s="59">
        <f t="shared" si="62"/>
        <v>0</v>
      </c>
      <c r="V208" s="59">
        <f t="shared" si="63"/>
        <v>0</v>
      </c>
      <c r="W208" s="59">
        <f t="shared" si="64"/>
        <v>0</v>
      </c>
      <c r="X208" s="59">
        <f t="shared" si="65"/>
        <v>0</v>
      </c>
      <c r="Y208" s="59">
        <f t="shared" si="66"/>
        <v>0</v>
      </c>
      <c r="Z208" s="59">
        <f t="shared" si="67"/>
        <v>0</v>
      </c>
      <c r="AA208" s="341">
        <f t="shared" si="68"/>
        <v>648.22594500000002</v>
      </c>
    </row>
    <row r="209" spans="11:27">
      <c r="K209" s="340" t="str">
        <f t="shared" si="69"/>
        <v>Bermuda</v>
      </c>
      <c r="L209" s="59">
        <f t="shared" si="53"/>
        <v>313.867974</v>
      </c>
      <c r="M209" s="59">
        <f t="shared" si="54"/>
        <v>31.595129999999997</v>
      </c>
      <c r="N209" s="59">
        <f t="shared" si="55"/>
        <v>161.95989599999999</v>
      </c>
      <c r="O209" s="59">
        <f t="shared" si="56"/>
        <v>97.587881999999993</v>
      </c>
      <c r="P209" s="59">
        <f t="shared" si="57"/>
        <v>0</v>
      </c>
      <c r="Q209" s="59">
        <f t="shared" si="58"/>
        <v>0</v>
      </c>
      <c r="R209" s="59">
        <f t="shared" si="59"/>
        <v>0</v>
      </c>
      <c r="S209" s="59">
        <f t="shared" si="60"/>
        <v>0</v>
      </c>
      <c r="T209" s="59">
        <f t="shared" si="61"/>
        <v>0</v>
      </c>
      <c r="U209" s="59">
        <f t="shared" si="62"/>
        <v>0</v>
      </c>
      <c r="V209" s="59">
        <f t="shared" si="63"/>
        <v>0</v>
      </c>
      <c r="W209" s="59">
        <f t="shared" si="64"/>
        <v>0</v>
      </c>
      <c r="X209" s="59">
        <f t="shared" si="65"/>
        <v>0</v>
      </c>
      <c r="Y209" s="59">
        <f t="shared" si="66"/>
        <v>0</v>
      </c>
      <c r="Z209" s="59">
        <f t="shared" si="67"/>
        <v>0</v>
      </c>
      <c r="AA209" s="341">
        <f t="shared" si="68"/>
        <v>605.01088200000004</v>
      </c>
    </row>
    <row r="210" spans="11:27">
      <c r="K210" s="340" t="str">
        <f t="shared" si="69"/>
        <v>Capri</v>
      </c>
      <c r="L210" s="59">
        <f t="shared" si="53"/>
        <v>448.38281999999998</v>
      </c>
      <c r="M210" s="59">
        <f t="shared" si="54"/>
        <v>45.135899999999999</v>
      </c>
      <c r="N210" s="59">
        <f t="shared" si="55"/>
        <v>231.37128000000001</v>
      </c>
      <c r="O210" s="59">
        <f t="shared" si="56"/>
        <v>139.41126</v>
      </c>
      <c r="P210" s="59">
        <f t="shared" si="57"/>
        <v>0</v>
      </c>
      <c r="Q210" s="59">
        <f t="shared" si="58"/>
        <v>0</v>
      </c>
      <c r="R210" s="59">
        <f t="shared" si="59"/>
        <v>0</v>
      </c>
      <c r="S210" s="59">
        <f t="shared" si="60"/>
        <v>0</v>
      </c>
      <c r="T210" s="59">
        <f t="shared" si="61"/>
        <v>0</v>
      </c>
      <c r="U210" s="59">
        <f t="shared" si="62"/>
        <v>0</v>
      </c>
      <c r="V210" s="59">
        <f t="shared" si="63"/>
        <v>0</v>
      </c>
      <c r="W210" s="59">
        <f t="shared" si="64"/>
        <v>0</v>
      </c>
      <c r="X210" s="59">
        <f t="shared" si="65"/>
        <v>0</v>
      </c>
      <c r="Y210" s="59">
        <f t="shared" si="66"/>
        <v>0</v>
      </c>
      <c r="Z210" s="59">
        <f t="shared" si="67"/>
        <v>0</v>
      </c>
      <c r="AA210" s="341">
        <f t="shared" si="68"/>
        <v>864.30125999999996</v>
      </c>
    </row>
    <row r="211" spans="11:27">
      <c r="K211" s="340" t="str">
        <f t="shared" si="69"/>
        <v>Cuba</v>
      </c>
      <c r="L211" s="59">
        <f t="shared" si="53"/>
        <v>448.38281999999998</v>
      </c>
      <c r="M211" s="59">
        <f t="shared" si="54"/>
        <v>45.135899999999999</v>
      </c>
      <c r="N211" s="59">
        <f t="shared" si="55"/>
        <v>231.37128000000001</v>
      </c>
      <c r="O211" s="59">
        <f t="shared" si="56"/>
        <v>139.41126</v>
      </c>
      <c r="P211" s="59">
        <f t="shared" si="57"/>
        <v>0</v>
      </c>
      <c r="Q211" s="59">
        <f t="shared" si="58"/>
        <v>0</v>
      </c>
      <c r="R211" s="59">
        <f t="shared" si="59"/>
        <v>0</v>
      </c>
      <c r="S211" s="59">
        <f t="shared" si="60"/>
        <v>0</v>
      </c>
      <c r="T211" s="59">
        <f t="shared" si="61"/>
        <v>0</v>
      </c>
      <c r="U211" s="59">
        <f t="shared" si="62"/>
        <v>0</v>
      </c>
      <c r="V211" s="59">
        <f t="shared" si="63"/>
        <v>0</v>
      </c>
      <c r="W211" s="59">
        <f t="shared" si="64"/>
        <v>0</v>
      </c>
      <c r="X211" s="59">
        <f t="shared" si="65"/>
        <v>0</v>
      </c>
      <c r="Y211" s="59">
        <f t="shared" si="66"/>
        <v>0</v>
      </c>
      <c r="Z211" s="59">
        <f t="shared" si="67"/>
        <v>0</v>
      </c>
      <c r="AA211" s="341">
        <f t="shared" si="68"/>
        <v>864.30125999999996</v>
      </c>
    </row>
    <row r="212" spans="11:27">
      <c r="K212" s="340" t="str">
        <f t="shared" si="69"/>
        <v>Fiji</v>
      </c>
      <c r="L212" s="59">
        <f t="shared" si="53"/>
        <v>739.83165299999996</v>
      </c>
      <c r="M212" s="59">
        <f t="shared" si="54"/>
        <v>74.474234999999993</v>
      </c>
      <c r="N212" s="59">
        <f t="shared" si="55"/>
        <v>381.76261199999999</v>
      </c>
      <c r="O212" s="59">
        <f t="shared" si="56"/>
        <v>230.02857900000001</v>
      </c>
      <c r="P212" s="59">
        <f t="shared" si="57"/>
        <v>0</v>
      </c>
      <c r="Q212" s="59">
        <f t="shared" si="58"/>
        <v>0</v>
      </c>
      <c r="R212" s="59">
        <f t="shared" si="59"/>
        <v>0</v>
      </c>
      <c r="S212" s="59">
        <f t="shared" si="60"/>
        <v>0</v>
      </c>
      <c r="T212" s="59">
        <f t="shared" si="61"/>
        <v>0</v>
      </c>
      <c r="U212" s="59">
        <f t="shared" si="62"/>
        <v>0</v>
      </c>
      <c r="V212" s="59">
        <f t="shared" si="63"/>
        <v>0</v>
      </c>
      <c r="W212" s="59">
        <f t="shared" si="64"/>
        <v>0</v>
      </c>
      <c r="X212" s="59">
        <f t="shared" si="65"/>
        <v>0</v>
      </c>
      <c r="Y212" s="59">
        <f t="shared" si="66"/>
        <v>0</v>
      </c>
      <c r="Z212" s="59">
        <f t="shared" si="67"/>
        <v>0</v>
      </c>
      <c r="AA212" s="341">
        <f t="shared" si="68"/>
        <v>1426.0970789999999</v>
      </c>
    </row>
    <row r="213" spans="11:27">
      <c r="K213" s="340" t="str">
        <f t="shared" si="69"/>
        <v>Java</v>
      </c>
      <c r="L213" s="59">
        <f t="shared" si="53"/>
        <v>851.92735800000003</v>
      </c>
      <c r="M213" s="59">
        <f t="shared" si="54"/>
        <v>85.758209999999991</v>
      </c>
      <c r="N213" s="59">
        <f t="shared" si="55"/>
        <v>439.60543199999995</v>
      </c>
      <c r="O213" s="59">
        <f t="shared" si="56"/>
        <v>264.881394</v>
      </c>
      <c r="P213" s="59">
        <f t="shared" si="57"/>
        <v>0</v>
      </c>
      <c r="Q213" s="59">
        <f t="shared" si="58"/>
        <v>0</v>
      </c>
      <c r="R213" s="59">
        <f t="shared" si="59"/>
        <v>0</v>
      </c>
      <c r="S213" s="59">
        <f t="shared" si="60"/>
        <v>0</v>
      </c>
      <c r="T213" s="59">
        <f t="shared" si="61"/>
        <v>0</v>
      </c>
      <c r="U213" s="59">
        <f t="shared" si="62"/>
        <v>0</v>
      </c>
      <c r="V213" s="59">
        <f t="shared" si="63"/>
        <v>0</v>
      </c>
      <c r="W213" s="59">
        <f t="shared" si="64"/>
        <v>0</v>
      </c>
      <c r="X213" s="59">
        <f t="shared" si="65"/>
        <v>0</v>
      </c>
      <c r="Y213" s="59">
        <f t="shared" si="66"/>
        <v>0</v>
      </c>
      <c r="Z213" s="59">
        <f t="shared" si="67"/>
        <v>0</v>
      </c>
      <c r="AA213" s="341">
        <f t="shared" si="68"/>
        <v>1642.1723939999999</v>
      </c>
    </row>
    <row r="214" spans="11:27">
      <c r="K214" s="340" t="str">
        <f t="shared" si="69"/>
        <v>Maui</v>
      </c>
      <c r="L214" s="59">
        <f t="shared" si="53"/>
        <v>807.08907600000009</v>
      </c>
      <c r="M214" s="59">
        <f t="shared" si="54"/>
        <v>81.244619999999998</v>
      </c>
      <c r="N214" s="59">
        <f t="shared" si="55"/>
        <v>416.46830399999999</v>
      </c>
      <c r="O214" s="59">
        <f t="shared" si="56"/>
        <v>250.94026799999997</v>
      </c>
      <c r="P214" s="59">
        <f t="shared" si="57"/>
        <v>0</v>
      </c>
      <c r="Q214" s="59">
        <f t="shared" si="58"/>
        <v>0</v>
      </c>
      <c r="R214" s="59">
        <f t="shared" si="59"/>
        <v>0</v>
      </c>
      <c r="S214" s="59">
        <f t="shared" si="60"/>
        <v>0</v>
      </c>
      <c r="T214" s="59">
        <f t="shared" si="61"/>
        <v>0</v>
      </c>
      <c r="U214" s="59">
        <f t="shared" si="62"/>
        <v>0</v>
      </c>
      <c r="V214" s="59">
        <f t="shared" si="63"/>
        <v>0</v>
      </c>
      <c r="W214" s="59">
        <f t="shared" si="64"/>
        <v>0</v>
      </c>
      <c r="X214" s="59">
        <f t="shared" si="65"/>
        <v>0</v>
      </c>
      <c r="Y214" s="59">
        <f t="shared" si="66"/>
        <v>0</v>
      </c>
      <c r="Z214" s="59">
        <f t="shared" si="67"/>
        <v>0</v>
      </c>
      <c r="AA214" s="341">
        <f t="shared" si="68"/>
        <v>1555.7422680000002</v>
      </c>
    </row>
    <row r="215" spans="11:27">
      <c r="K215" s="340" t="str">
        <f t="shared" si="69"/>
        <v>Tahiti</v>
      </c>
      <c r="L215" s="59">
        <f t="shared" si="53"/>
        <v>672.57422999999994</v>
      </c>
      <c r="M215" s="59">
        <f t="shared" si="54"/>
        <v>67.703849999999989</v>
      </c>
      <c r="N215" s="59">
        <f t="shared" si="55"/>
        <v>347.05691999999999</v>
      </c>
      <c r="O215" s="59">
        <f t="shared" si="56"/>
        <v>209.11688999999998</v>
      </c>
      <c r="P215" s="59">
        <f t="shared" si="57"/>
        <v>0</v>
      </c>
      <c r="Q215" s="59">
        <f t="shared" si="58"/>
        <v>0</v>
      </c>
      <c r="R215" s="59">
        <f t="shared" si="59"/>
        <v>0</v>
      </c>
      <c r="S215" s="59">
        <f t="shared" si="60"/>
        <v>0</v>
      </c>
      <c r="T215" s="59">
        <f t="shared" si="61"/>
        <v>0</v>
      </c>
      <c r="U215" s="59">
        <f t="shared" si="62"/>
        <v>0</v>
      </c>
      <c r="V215" s="59">
        <f t="shared" si="63"/>
        <v>0</v>
      </c>
      <c r="W215" s="59">
        <f t="shared" si="64"/>
        <v>0</v>
      </c>
      <c r="X215" s="59">
        <f t="shared" si="65"/>
        <v>0</v>
      </c>
      <c r="Y215" s="59">
        <f t="shared" si="66"/>
        <v>0</v>
      </c>
      <c r="Z215" s="59">
        <f t="shared" si="67"/>
        <v>0</v>
      </c>
      <c r="AA215" s="341">
        <f t="shared" si="68"/>
        <v>1296.45189</v>
      </c>
    </row>
    <row r="224" spans="11:27">
      <c r="K224" s="981" t="s">
        <v>560</v>
      </c>
      <c r="L224" s="981"/>
      <c r="M224" s="981"/>
      <c r="N224" s="981"/>
      <c r="O224" s="981"/>
      <c r="P224" s="981"/>
      <c r="Q224" s="981"/>
      <c r="R224" s="981"/>
      <c r="S224" s="981"/>
      <c r="T224" s="981"/>
      <c r="U224" s="981"/>
      <c r="V224" s="981"/>
      <c r="W224" s="981"/>
      <c r="X224" s="981"/>
      <c r="Y224" s="981"/>
      <c r="Z224" s="981"/>
      <c r="AA224" s="981"/>
    </row>
    <row r="225" spans="11:27">
      <c r="L225" s="91" t="s">
        <v>331</v>
      </c>
      <c r="M225" s="91" t="s">
        <v>334</v>
      </c>
      <c r="N225" s="91" t="s">
        <v>336</v>
      </c>
      <c r="O225" s="91" t="s">
        <v>338</v>
      </c>
      <c r="P225" s="91" t="s">
        <v>339</v>
      </c>
      <c r="Q225" s="91" t="s">
        <v>341</v>
      </c>
      <c r="R225" s="91" t="s">
        <v>342</v>
      </c>
      <c r="S225" s="91" t="s">
        <v>343</v>
      </c>
      <c r="T225" s="91" t="s">
        <v>344</v>
      </c>
      <c r="U225" s="91" t="s">
        <v>346</v>
      </c>
      <c r="V225" s="91" t="s">
        <v>348</v>
      </c>
      <c r="W225" s="91" t="s">
        <v>350</v>
      </c>
      <c r="X225" s="91" t="s">
        <v>351</v>
      </c>
      <c r="Y225" s="91" t="s">
        <v>353</v>
      </c>
      <c r="Z225" s="91" t="s">
        <v>354</v>
      </c>
      <c r="AA225" s="91" t="s">
        <v>79</v>
      </c>
    </row>
    <row r="226" spans="11:27">
      <c r="K226" s="340" t="s">
        <v>63</v>
      </c>
      <c r="L226" s="59">
        <f t="shared" ref="L226:L236" si="70">$N$33*VLOOKUP(K226,$G$26:$H$36,2,0)</f>
        <v>2615.5664500000003</v>
      </c>
      <c r="M226" s="59">
        <f t="shared" ref="M226:M236" si="71">$N$34*VLOOKUP(K226,$G$26:$H$36,2,0)</f>
        <v>263.29275000000001</v>
      </c>
      <c r="N226" s="59">
        <f t="shared" ref="N226:N236" si="72">$N$35*VLOOKUP(K226,$G$26:$H$36,2,0)</f>
        <v>1349.6658</v>
      </c>
      <c r="O226" s="59">
        <f t="shared" ref="O226:O236" si="73">$N$36*VLOOKUP(K226,$G$26:$H$36,2,0)</f>
        <v>813.23235</v>
      </c>
      <c r="P226" s="59">
        <f t="shared" ref="P226:P236" si="74">$N$37*VLOOKUP(K226,$G$26:$H$36,2,0)</f>
        <v>0</v>
      </c>
      <c r="Q226" s="59">
        <f t="shared" ref="Q226:Q236" si="75">$N$38*VLOOKUP(K226,$G$26:$H$36,2,0)</f>
        <v>0</v>
      </c>
      <c r="R226" s="59">
        <f t="shared" ref="R226:R236" si="76">$N$39*VLOOKUP(K226,$G$26:$H$36,2,0)</f>
        <v>0</v>
      </c>
      <c r="S226" s="59">
        <f t="shared" ref="S226:S236" si="77">$N$40*VLOOKUP(K226,$G$26:$H$36,2,0)</f>
        <v>0</v>
      </c>
      <c r="T226" s="59">
        <f t="shared" ref="T226:T236" si="78">$N$41*VLOOKUP(K226,$G$26:$H$36,2,0)</f>
        <v>0</v>
      </c>
      <c r="U226" s="59">
        <f t="shared" ref="U226:U236" si="79">$N$42*VLOOKUP(K226,$G$26:$H$36,2,0)</f>
        <v>0</v>
      </c>
      <c r="V226" s="59">
        <f t="shared" ref="V226:V236" si="80">$N$43*VLOOKUP(K226,$G$26:$H$36,2,0)</f>
        <v>0</v>
      </c>
      <c r="W226" s="59">
        <f t="shared" ref="W226:W236" si="81">$N$44*VLOOKUP(K226,$G$26:$H$36,2,0)</f>
        <v>0</v>
      </c>
      <c r="X226" s="59">
        <f t="shared" ref="X226:X236" si="82">$N$45*VLOOKUP(K226,$G$26:$H$36,2,0)</f>
        <v>0</v>
      </c>
      <c r="Y226" s="59">
        <f t="shared" ref="Y226:Y236" si="83">$N$46*VLOOKUP(K226,$G$26:$H$36,2,0)</f>
        <v>0</v>
      </c>
      <c r="Z226" s="59">
        <f t="shared" ref="Z226:Z236" si="84">$N$47*VLOOKUP(K226,$G$26:$H$36,2,0)</f>
        <v>0</v>
      </c>
      <c r="AA226" s="59">
        <f t="shared" ref="AA226:AA236" si="85">SUM(L226:Z226)</f>
        <v>5041.7573500000008</v>
      </c>
    </row>
    <row r="227" spans="11:27">
      <c r="K227" s="340" t="s">
        <v>18</v>
      </c>
      <c r="L227" s="59">
        <f t="shared" si="70"/>
        <v>560.47852499999999</v>
      </c>
      <c r="M227" s="59">
        <f t="shared" si="71"/>
        <v>56.419874999999998</v>
      </c>
      <c r="N227" s="59">
        <f t="shared" si="72"/>
        <v>289.21409999999997</v>
      </c>
      <c r="O227" s="59">
        <f t="shared" si="73"/>
        <v>174.26407499999999</v>
      </c>
      <c r="P227" s="59">
        <f t="shared" si="74"/>
        <v>0</v>
      </c>
      <c r="Q227" s="59">
        <f t="shared" si="75"/>
        <v>0</v>
      </c>
      <c r="R227" s="59">
        <f t="shared" si="76"/>
        <v>0</v>
      </c>
      <c r="S227" s="59">
        <f t="shared" si="77"/>
        <v>0</v>
      </c>
      <c r="T227" s="59">
        <f t="shared" si="78"/>
        <v>0</v>
      </c>
      <c r="U227" s="59">
        <f t="shared" si="79"/>
        <v>0</v>
      </c>
      <c r="V227" s="59">
        <f t="shared" si="80"/>
        <v>0</v>
      </c>
      <c r="W227" s="59">
        <f t="shared" si="81"/>
        <v>0</v>
      </c>
      <c r="X227" s="59">
        <f t="shared" si="82"/>
        <v>0</v>
      </c>
      <c r="Y227" s="59">
        <f t="shared" si="83"/>
        <v>0</v>
      </c>
      <c r="Z227" s="59">
        <f t="shared" si="84"/>
        <v>0</v>
      </c>
      <c r="AA227" s="59">
        <f t="shared" si="85"/>
        <v>1080.376575</v>
      </c>
    </row>
    <row r="228" spans="11:27">
      <c r="K228" s="340" t="str">
        <f t="shared" ref="K228:K236" si="86">G28</f>
        <v>Aruba Express</v>
      </c>
      <c r="L228" s="59">
        <f t="shared" si="70"/>
        <v>597.84375999999997</v>
      </c>
      <c r="M228" s="59">
        <f t="shared" si="71"/>
        <v>60.181199999999997</v>
      </c>
      <c r="N228" s="59">
        <f t="shared" si="72"/>
        <v>308.49504000000002</v>
      </c>
      <c r="O228" s="59">
        <f t="shared" si="73"/>
        <v>185.88167999999999</v>
      </c>
      <c r="P228" s="59">
        <f t="shared" si="74"/>
        <v>0</v>
      </c>
      <c r="Q228" s="59">
        <f t="shared" si="75"/>
        <v>0</v>
      </c>
      <c r="R228" s="59">
        <f t="shared" si="76"/>
        <v>0</v>
      </c>
      <c r="S228" s="59">
        <f t="shared" si="77"/>
        <v>0</v>
      </c>
      <c r="T228" s="59">
        <f t="shared" si="78"/>
        <v>0</v>
      </c>
      <c r="U228" s="59">
        <f t="shared" si="79"/>
        <v>0</v>
      </c>
      <c r="V228" s="59">
        <f t="shared" si="80"/>
        <v>0</v>
      </c>
      <c r="W228" s="59">
        <f t="shared" si="81"/>
        <v>0</v>
      </c>
      <c r="X228" s="59">
        <f t="shared" si="82"/>
        <v>0</v>
      </c>
      <c r="Y228" s="59">
        <f t="shared" si="83"/>
        <v>0</v>
      </c>
      <c r="Z228" s="59">
        <f t="shared" si="84"/>
        <v>0</v>
      </c>
      <c r="AA228" s="59">
        <f t="shared" si="85"/>
        <v>1152.4016799999999</v>
      </c>
    </row>
    <row r="229" spans="11:27">
      <c r="K229" s="340" t="str">
        <f t="shared" si="86"/>
        <v>Antigua</v>
      </c>
      <c r="L229" s="59">
        <f t="shared" si="70"/>
        <v>560.47852499999999</v>
      </c>
      <c r="M229" s="59">
        <f t="shared" si="71"/>
        <v>56.419874999999998</v>
      </c>
      <c r="N229" s="59">
        <f t="shared" si="72"/>
        <v>289.21409999999997</v>
      </c>
      <c r="O229" s="59">
        <f t="shared" si="73"/>
        <v>174.26407499999999</v>
      </c>
      <c r="P229" s="59">
        <f t="shared" si="74"/>
        <v>0</v>
      </c>
      <c r="Q229" s="59">
        <f t="shared" si="75"/>
        <v>0</v>
      </c>
      <c r="R229" s="59">
        <f t="shared" si="76"/>
        <v>0</v>
      </c>
      <c r="S229" s="59">
        <f t="shared" si="77"/>
        <v>0</v>
      </c>
      <c r="T229" s="59">
        <f t="shared" si="78"/>
        <v>0</v>
      </c>
      <c r="U229" s="59">
        <f t="shared" si="79"/>
        <v>0</v>
      </c>
      <c r="V229" s="59">
        <f t="shared" si="80"/>
        <v>0</v>
      </c>
      <c r="W229" s="59">
        <f t="shared" si="81"/>
        <v>0</v>
      </c>
      <c r="X229" s="59">
        <f t="shared" si="82"/>
        <v>0</v>
      </c>
      <c r="Y229" s="59">
        <f t="shared" si="83"/>
        <v>0</v>
      </c>
      <c r="Z229" s="59">
        <f t="shared" si="84"/>
        <v>0</v>
      </c>
      <c r="AA229" s="59">
        <f t="shared" si="85"/>
        <v>1080.376575</v>
      </c>
    </row>
    <row r="230" spans="11:27">
      <c r="K230" s="340" t="str">
        <f t="shared" si="86"/>
        <v>Bermuda</v>
      </c>
      <c r="L230" s="59">
        <f t="shared" si="70"/>
        <v>523.11329000000001</v>
      </c>
      <c r="M230" s="59">
        <f t="shared" si="71"/>
        <v>52.658549999999998</v>
      </c>
      <c r="N230" s="59">
        <f t="shared" si="72"/>
        <v>269.93315999999999</v>
      </c>
      <c r="O230" s="59">
        <f t="shared" si="73"/>
        <v>162.64646999999999</v>
      </c>
      <c r="P230" s="59">
        <f t="shared" si="74"/>
        <v>0</v>
      </c>
      <c r="Q230" s="59">
        <f t="shared" si="75"/>
        <v>0</v>
      </c>
      <c r="R230" s="59">
        <f t="shared" si="76"/>
        <v>0</v>
      </c>
      <c r="S230" s="59">
        <f t="shared" si="77"/>
        <v>0</v>
      </c>
      <c r="T230" s="59">
        <f t="shared" si="78"/>
        <v>0</v>
      </c>
      <c r="U230" s="59">
        <f t="shared" si="79"/>
        <v>0</v>
      </c>
      <c r="V230" s="59">
        <f t="shared" si="80"/>
        <v>0</v>
      </c>
      <c r="W230" s="59">
        <f t="shared" si="81"/>
        <v>0</v>
      </c>
      <c r="X230" s="59">
        <f t="shared" si="82"/>
        <v>0</v>
      </c>
      <c r="Y230" s="59">
        <f t="shared" si="83"/>
        <v>0</v>
      </c>
      <c r="Z230" s="59">
        <f t="shared" si="84"/>
        <v>0</v>
      </c>
      <c r="AA230" s="59">
        <f t="shared" si="85"/>
        <v>1008.3514699999999</v>
      </c>
    </row>
    <row r="231" spans="11:27">
      <c r="K231" s="340" t="str">
        <f t="shared" si="86"/>
        <v>Capri</v>
      </c>
      <c r="L231" s="59">
        <f t="shared" si="70"/>
        <v>747.30470000000003</v>
      </c>
      <c r="M231" s="59">
        <f t="shared" si="71"/>
        <v>75.226500000000001</v>
      </c>
      <c r="N231" s="59">
        <f t="shared" si="72"/>
        <v>385.61880000000002</v>
      </c>
      <c r="O231" s="59">
        <f t="shared" si="73"/>
        <v>232.35210000000001</v>
      </c>
      <c r="P231" s="59">
        <f t="shared" si="74"/>
        <v>0</v>
      </c>
      <c r="Q231" s="59">
        <f t="shared" si="75"/>
        <v>0</v>
      </c>
      <c r="R231" s="59">
        <f t="shared" si="76"/>
        <v>0</v>
      </c>
      <c r="S231" s="59">
        <f t="shared" si="77"/>
        <v>0</v>
      </c>
      <c r="T231" s="59">
        <f t="shared" si="78"/>
        <v>0</v>
      </c>
      <c r="U231" s="59">
        <f t="shared" si="79"/>
        <v>0</v>
      </c>
      <c r="V231" s="59">
        <f t="shared" si="80"/>
        <v>0</v>
      </c>
      <c r="W231" s="59">
        <f t="shared" si="81"/>
        <v>0</v>
      </c>
      <c r="X231" s="59">
        <f t="shared" si="82"/>
        <v>0</v>
      </c>
      <c r="Y231" s="59">
        <f t="shared" si="83"/>
        <v>0</v>
      </c>
      <c r="Z231" s="59">
        <f t="shared" si="84"/>
        <v>0</v>
      </c>
      <c r="AA231" s="59">
        <f t="shared" si="85"/>
        <v>1440.5021000000002</v>
      </c>
    </row>
    <row r="232" spans="11:27">
      <c r="K232" s="340" t="str">
        <f t="shared" si="86"/>
        <v>Cuba</v>
      </c>
      <c r="L232" s="59">
        <f t="shared" si="70"/>
        <v>747.30470000000003</v>
      </c>
      <c r="M232" s="59">
        <f t="shared" si="71"/>
        <v>75.226500000000001</v>
      </c>
      <c r="N232" s="59">
        <f t="shared" si="72"/>
        <v>385.61880000000002</v>
      </c>
      <c r="O232" s="59">
        <f t="shared" si="73"/>
        <v>232.35210000000001</v>
      </c>
      <c r="P232" s="59">
        <f t="shared" si="74"/>
        <v>0</v>
      </c>
      <c r="Q232" s="59">
        <f t="shared" si="75"/>
        <v>0</v>
      </c>
      <c r="R232" s="59">
        <f t="shared" si="76"/>
        <v>0</v>
      </c>
      <c r="S232" s="59">
        <f t="shared" si="77"/>
        <v>0</v>
      </c>
      <c r="T232" s="59">
        <f t="shared" si="78"/>
        <v>0</v>
      </c>
      <c r="U232" s="59">
        <f t="shared" si="79"/>
        <v>0</v>
      </c>
      <c r="V232" s="59">
        <f t="shared" si="80"/>
        <v>0</v>
      </c>
      <c r="W232" s="59">
        <f t="shared" si="81"/>
        <v>0</v>
      </c>
      <c r="X232" s="59">
        <f t="shared" si="82"/>
        <v>0</v>
      </c>
      <c r="Y232" s="59">
        <f t="shared" si="83"/>
        <v>0</v>
      </c>
      <c r="Z232" s="59">
        <f t="shared" si="84"/>
        <v>0</v>
      </c>
      <c r="AA232" s="59">
        <f t="shared" si="85"/>
        <v>1440.5021000000002</v>
      </c>
    </row>
    <row r="233" spans="11:27">
      <c r="K233" s="340" t="str">
        <f t="shared" si="86"/>
        <v>Fiji</v>
      </c>
      <c r="L233" s="59">
        <f t="shared" si="70"/>
        <v>1233.0527549999999</v>
      </c>
      <c r="M233" s="59">
        <f t="shared" si="71"/>
        <v>124.12372499999999</v>
      </c>
      <c r="N233" s="59">
        <f t="shared" si="72"/>
        <v>636.27102000000002</v>
      </c>
      <c r="O233" s="59">
        <f t="shared" si="73"/>
        <v>383.380965</v>
      </c>
      <c r="P233" s="59">
        <f t="shared" si="74"/>
        <v>0</v>
      </c>
      <c r="Q233" s="59">
        <f t="shared" si="75"/>
        <v>0</v>
      </c>
      <c r="R233" s="59">
        <f t="shared" si="76"/>
        <v>0</v>
      </c>
      <c r="S233" s="59">
        <f t="shared" si="77"/>
        <v>0</v>
      </c>
      <c r="T233" s="59">
        <f t="shared" si="78"/>
        <v>0</v>
      </c>
      <c r="U233" s="59">
        <f t="shared" si="79"/>
        <v>0</v>
      </c>
      <c r="V233" s="59">
        <f t="shared" si="80"/>
        <v>0</v>
      </c>
      <c r="W233" s="59">
        <f t="shared" si="81"/>
        <v>0</v>
      </c>
      <c r="X233" s="59">
        <f t="shared" si="82"/>
        <v>0</v>
      </c>
      <c r="Y233" s="59">
        <f t="shared" si="83"/>
        <v>0</v>
      </c>
      <c r="Z233" s="59">
        <f t="shared" si="84"/>
        <v>0</v>
      </c>
      <c r="AA233" s="59">
        <f t="shared" si="85"/>
        <v>2376.8284649999996</v>
      </c>
    </row>
    <row r="234" spans="11:27">
      <c r="K234" s="340" t="str">
        <f t="shared" si="86"/>
        <v>Java</v>
      </c>
      <c r="L234" s="59">
        <f t="shared" si="70"/>
        <v>1419.8789300000001</v>
      </c>
      <c r="M234" s="59">
        <f t="shared" si="71"/>
        <v>142.93035</v>
      </c>
      <c r="N234" s="59">
        <f t="shared" si="72"/>
        <v>732.67571999999996</v>
      </c>
      <c r="O234" s="59">
        <f t="shared" si="73"/>
        <v>441.46898999999996</v>
      </c>
      <c r="P234" s="59">
        <f t="shared" si="74"/>
        <v>0</v>
      </c>
      <c r="Q234" s="59">
        <f t="shared" si="75"/>
        <v>0</v>
      </c>
      <c r="R234" s="59">
        <f t="shared" si="76"/>
        <v>0</v>
      </c>
      <c r="S234" s="59">
        <f t="shared" si="77"/>
        <v>0</v>
      </c>
      <c r="T234" s="59">
        <f t="shared" si="78"/>
        <v>0</v>
      </c>
      <c r="U234" s="59">
        <f t="shared" si="79"/>
        <v>0</v>
      </c>
      <c r="V234" s="59">
        <f t="shared" si="80"/>
        <v>0</v>
      </c>
      <c r="W234" s="59">
        <f t="shared" si="81"/>
        <v>0</v>
      </c>
      <c r="X234" s="59">
        <f t="shared" si="82"/>
        <v>0</v>
      </c>
      <c r="Y234" s="59">
        <f t="shared" si="83"/>
        <v>0</v>
      </c>
      <c r="Z234" s="59">
        <f t="shared" si="84"/>
        <v>0</v>
      </c>
      <c r="AA234" s="59">
        <f t="shared" si="85"/>
        <v>2736.95399</v>
      </c>
    </row>
    <row r="235" spans="11:27">
      <c r="K235" s="340" t="str">
        <f t="shared" si="86"/>
        <v>Maui</v>
      </c>
      <c r="L235" s="59">
        <f t="shared" si="70"/>
        <v>1345.1484600000001</v>
      </c>
      <c r="M235" s="59">
        <f t="shared" si="71"/>
        <v>135.40770000000001</v>
      </c>
      <c r="N235" s="59">
        <f t="shared" si="72"/>
        <v>694.11383999999998</v>
      </c>
      <c r="O235" s="59">
        <f t="shared" si="73"/>
        <v>418.23377999999997</v>
      </c>
      <c r="P235" s="59">
        <f t="shared" si="74"/>
        <v>0</v>
      </c>
      <c r="Q235" s="59">
        <f t="shared" si="75"/>
        <v>0</v>
      </c>
      <c r="R235" s="59">
        <f t="shared" si="76"/>
        <v>0</v>
      </c>
      <c r="S235" s="59">
        <f t="shared" si="77"/>
        <v>0</v>
      </c>
      <c r="T235" s="59">
        <f t="shared" si="78"/>
        <v>0</v>
      </c>
      <c r="U235" s="59">
        <f t="shared" si="79"/>
        <v>0</v>
      </c>
      <c r="V235" s="59">
        <f t="shared" si="80"/>
        <v>0</v>
      </c>
      <c r="W235" s="59">
        <f t="shared" si="81"/>
        <v>0</v>
      </c>
      <c r="X235" s="59">
        <f t="shared" si="82"/>
        <v>0</v>
      </c>
      <c r="Y235" s="59">
        <f t="shared" si="83"/>
        <v>0</v>
      </c>
      <c r="Z235" s="59">
        <f t="shared" si="84"/>
        <v>0</v>
      </c>
      <c r="AA235" s="59">
        <f t="shared" si="85"/>
        <v>2592.9037800000001</v>
      </c>
    </row>
    <row r="236" spans="11:27">
      <c r="K236" s="340" t="str">
        <f t="shared" si="86"/>
        <v>Tahiti</v>
      </c>
      <c r="L236" s="59">
        <f t="shared" si="70"/>
        <v>1120.95705</v>
      </c>
      <c r="M236" s="59">
        <f t="shared" si="71"/>
        <v>112.83975</v>
      </c>
      <c r="N236" s="59">
        <f t="shared" si="72"/>
        <v>578.42819999999995</v>
      </c>
      <c r="O236" s="59">
        <f t="shared" si="73"/>
        <v>348.52814999999998</v>
      </c>
      <c r="P236" s="59">
        <f t="shared" si="74"/>
        <v>0</v>
      </c>
      <c r="Q236" s="59">
        <f t="shared" si="75"/>
        <v>0</v>
      </c>
      <c r="R236" s="59">
        <f t="shared" si="76"/>
        <v>0</v>
      </c>
      <c r="S236" s="59">
        <f t="shared" si="77"/>
        <v>0</v>
      </c>
      <c r="T236" s="59">
        <f t="shared" si="78"/>
        <v>0</v>
      </c>
      <c r="U236" s="59">
        <f t="shared" si="79"/>
        <v>0</v>
      </c>
      <c r="V236" s="59">
        <f t="shared" si="80"/>
        <v>0</v>
      </c>
      <c r="W236" s="59">
        <f t="shared" si="81"/>
        <v>0</v>
      </c>
      <c r="X236" s="59">
        <f t="shared" si="82"/>
        <v>0</v>
      </c>
      <c r="Y236" s="59">
        <f t="shared" si="83"/>
        <v>0</v>
      </c>
      <c r="Z236" s="59">
        <f t="shared" si="84"/>
        <v>0</v>
      </c>
      <c r="AA236" s="59">
        <f t="shared" si="85"/>
        <v>2160.75315</v>
      </c>
    </row>
    <row r="242" spans="11:27">
      <c r="K242" s="981" t="s">
        <v>561</v>
      </c>
      <c r="L242" s="981"/>
      <c r="M242" s="981"/>
      <c r="N242" s="981"/>
      <c r="O242" s="981"/>
      <c r="P242" s="981"/>
      <c r="Q242" s="981"/>
      <c r="R242" s="981"/>
      <c r="S242" s="981"/>
      <c r="T242" s="981"/>
      <c r="U242" s="981"/>
      <c r="V242" s="981"/>
      <c r="W242" s="981"/>
      <c r="X242" s="981"/>
      <c r="Y242" s="981"/>
      <c r="Z242" s="981"/>
      <c r="AA242" s="981"/>
    </row>
    <row r="243" spans="11:27">
      <c r="L243" s="91" t="s">
        <v>331</v>
      </c>
      <c r="M243" s="91" t="s">
        <v>334</v>
      </c>
      <c r="N243" s="91" t="s">
        <v>336</v>
      </c>
      <c r="O243" s="91" t="s">
        <v>338</v>
      </c>
      <c r="P243" s="91" t="s">
        <v>339</v>
      </c>
      <c r="Q243" s="91" t="s">
        <v>341</v>
      </c>
      <c r="R243" s="91" t="s">
        <v>342</v>
      </c>
      <c r="S243" s="91" t="s">
        <v>343</v>
      </c>
      <c r="T243" s="91" t="s">
        <v>344</v>
      </c>
      <c r="U243" s="91" t="s">
        <v>346</v>
      </c>
      <c r="V243" s="91" t="s">
        <v>348</v>
      </c>
      <c r="W243" s="91" t="s">
        <v>350</v>
      </c>
      <c r="X243" s="91" t="s">
        <v>351</v>
      </c>
      <c r="Y243" s="91" t="s">
        <v>353</v>
      </c>
      <c r="Z243" s="91" t="s">
        <v>354</v>
      </c>
      <c r="AA243" s="91" t="s">
        <v>79</v>
      </c>
    </row>
    <row r="244" spans="11:27">
      <c r="K244" s="340" t="s">
        <v>63</v>
      </c>
      <c r="L244" s="59">
        <f>IF($K244=Pricing!$E$8,,((VLOOKUP(K244,$G$26:$H$36,2,0)*$N$33)-((VLOOKUP(K244,$G$26:$H$36,2,0)*$N$33)*VLOOKUP(K244,$B$31:$C$41,2,0)))+$AA$33+$W$33)</f>
        <v>1961.6748375000002</v>
      </c>
      <c r="M244" s="59">
        <f>IF($K244=Pricing!$E$11,,((VLOOKUP(K244,$G$26:$H$36,2,0)*$N$34)-((VLOOKUP(K244,$G$26:$H$36,2,0)*N34)*VLOOKUP(K244,$B$31:$C$41,2,0)))+$AA$34+$W$34)</f>
        <v>197.46956249999999</v>
      </c>
      <c r="N244" s="59">
        <f>IF($K244=Pricing!$E$14,,((VLOOKUP(K244,$G$26:$H$36,2,0)*$N$35)-((VLOOKUP(K244,$G$26:$H$36,2,0)*N35)*VLOOKUP(K244,$B$31:$C$41,2,0)))+$AA$35+$W$35)</f>
        <v>1012.24935</v>
      </c>
      <c r="O244" s="59">
        <f>IF($K244=Pricing!$E$17,,((VLOOKUP(K244,$G$26:$H$36,2,0)*$N$36)-((VLOOKUP(K244,$G$26:$H$36,2,0)*$N$36)*VLOOKUP(K244,$B$31:$C$41,2,0)))+$AA$36+$W$36)</f>
        <v>609.92426249999994</v>
      </c>
      <c r="P244" s="59">
        <f>IF($K244=Pricing!$E$20,,((VLOOKUP(K244,$G$26:$H$36,2,0)*$N$37)-((VLOOKUP(K244,$G$26:$H$36,2,0)*$N$37)*VLOOKUP(K244,$B$31:$C$41,2,0)))+$AA$37+$W$37)</f>
        <v>0</v>
      </c>
      <c r="Q244" s="59">
        <f>IF($K244=Pricing!$E$23,,((VLOOKUP(K244,$G$26:$H$36,2,0)*$N$38)-((VLOOKUP(K244,$G$26:$H$36,2,0)*$N$38)*VLOOKUP(K244,$B$31:$C$41,2,0)))+$AA$38+$W$38)</f>
        <v>0</v>
      </c>
      <c r="R244" s="59">
        <f>IF($K244=Pricing!$E$23,,((VLOOKUP(K244,$G$26:$H$36,2,0)*$N$39)-((VLOOKUP(K244,$G$26:$H$36,2,0)*$N$39)*VLOOKUP(K244,$B$31:$C$41,2,0)))+$AA$39+$W$39)</f>
        <v>0</v>
      </c>
      <c r="S244" s="59">
        <f>IF($K244=Pricing!$E$23,,((VLOOKUP(K244,$G$26:$H$36,2,0)*$N$40)-((VLOOKUP(K244,$G$26:$H$36,2,0)*$N$40)*VLOOKUP(K244,$B$31:$C$41,2,0)))+$AA$40+$W$40)</f>
        <v>0</v>
      </c>
      <c r="T244" s="59">
        <f>IF($K244=Pricing!$E$23,,((VLOOKUP(K244,$G$26:$H$36,2,0)*$N$41)-((VLOOKUP(K244,$G$26:$H$36,2,0)*$N$41)*VLOOKUP(K244,$B$31:$C$41,2,0)))+$AA$41+$W$41)</f>
        <v>0</v>
      </c>
      <c r="U244" s="59">
        <f>IF($K244=Pricing!$E$23,,((VLOOKUP(K244,$G$26:$H$36,2,0)*$N$42)-((VLOOKUP(K244,$G$26:$H$36,2,0)*$N$42)*VLOOKUP(K244,$B$31:$C$41,2,0)))+$AA$42+$W$42)</f>
        <v>0</v>
      </c>
      <c r="V244" s="59">
        <f>IF($K244=Pricing!$E$23,,((VLOOKUP(K244,$G$26:$H$36,2,0)*$N$43)-((VLOOKUP(K244,$G$26:$H$36,2,0)*$N$43)*VLOOKUP(K244,$B$31:$C$41,2,0)))+$AA$43+$W$43)</f>
        <v>0</v>
      </c>
      <c r="W244" s="59">
        <f>IF($K244=Pricing!$E$23,,((VLOOKUP(K244,$G$26:$H$36,2,0)*$N$44)-((VLOOKUP(K244,$G$26:$H$36,2,0)*$N$44)*VLOOKUP(K244,$B$31:$C$41,2,0)))+$AA$44+$W$44)</f>
        <v>0</v>
      </c>
      <c r="X244" s="59">
        <f>IF($K244=Pricing!$E$23,,((VLOOKUP(K244,$G$26:$H$36,2,0)*$N$45)-((VLOOKUP(K244,$G$26:$H$36,2,0)*$N$45)*VLOOKUP(K244,$B$31:$C$41,2,0)))+$AA$45+$W$45)</f>
        <v>0</v>
      </c>
      <c r="Y244" s="59">
        <f>IF($K244=Pricing!$E$23,,((VLOOKUP(K244,$G$26:$H$36,2,0)*$N$46)-((VLOOKUP(K244,$G$26:$H$36,2,0)*$N$46)*VLOOKUP(K244,$B$31:$C$41,2,0)))+$AA$46+$W$46)</f>
        <v>0</v>
      </c>
      <c r="Z244" s="59">
        <f>IF($K244=Pricing!$E$23,,((VLOOKUP(K244,$G$26:$H$36,2,0)*$N$47)-((VLOOKUP(K244,$G$26:$H$36,2,0)*$N$47)*VLOOKUP(K244,$B$31:$C$41,2,0)))+$AA$47+$W$47)</f>
        <v>0</v>
      </c>
      <c r="AA244" s="59">
        <f t="shared" ref="AA244:AA254" si="87">SUM(L244:Z244)</f>
        <v>3781.3180124999999</v>
      </c>
    </row>
    <row r="245" spans="11:27">
      <c r="K245" s="340" t="s">
        <v>18</v>
      </c>
      <c r="L245" s="59">
        <f>IF($K245=Pricing!$E$8,,((VLOOKUP(K245,$G$26:$H$36,2,0)*$N$33)-((VLOOKUP(K245,$G$26:$H$36,2,0)*$N$33)*VLOOKUP(K245,$B$31:$C$41,2,0)))+$AA$33+$W$33)</f>
        <v>0</v>
      </c>
      <c r="M245" s="59">
        <f>IF($K245=Pricing!$E$11,,((VLOOKUP(K245,$G$26:$H$36,2,0)*$N$34)-((VLOOKUP(K245,$G$26:$H$36,2,0)*N35)*VLOOKUP(K245,$B$31:$C$41,2,0)))+$AA$34+$W$34)</f>
        <v>0</v>
      </c>
      <c r="N245" s="59">
        <f>IF($K245=Pricing!$E$14,,((VLOOKUP(K245,$G$26:$H$36,2,0)*$N$35)-((VLOOKUP(K245,$G$26:$H$36,2,0)*N36)*VLOOKUP(K245,$B$31:$C$41,2,0)))+$AA$35+$W$35)</f>
        <v>0</v>
      </c>
      <c r="O245" s="59">
        <f>IF($K245=Pricing!$E$17,,((VLOOKUP(K245,$G$26:$H$36,2,0)*$N$36)-((VLOOKUP(K245,$G$26:$H$36,2,0)*$N$36)*VLOOKUP(K245,$B$31:$C$41,2,0)))+$AA$36+$W$36)</f>
        <v>0</v>
      </c>
      <c r="P245" s="59">
        <f>IF($K245=Pricing!$E$20,,((VLOOKUP(K245,$G$26:$H$36,2,0)*$N$37)-((VLOOKUP(K245,$G$26:$H$36,2,0)*$N$37)*VLOOKUP(K245,$B$31:$C$41,2,0)))+$AA$37+$W$37)</f>
        <v>0</v>
      </c>
      <c r="Q245" s="59">
        <f>IF($K245=Pricing!$E$23,,((VLOOKUP(K245,$G$26:$H$36,2,0)*$N$38)-((VLOOKUP(K245,$G$26:$H$36,2,0)*$N$38)*VLOOKUP(K245,$B$31:$C$41,2,0)))+$AA$38+$W$38)</f>
        <v>0</v>
      </c>
      <c r="R245" s="59">
        <f>IF($K245=Pricing!$E$23,,((VLOOKUP(K245,$G$26:$H$36,2,0)*$N$39)-((VLOOKUP(K245,$G$26:$H$36,2,0)*$N$39)*VLOOKUP(K245,$B$31:$C$41,2,0)))+$AA$39+$W$39)</f>
        <v>0</v>
      </c>
      <c r="S245" s="59">
        <f>IF($K245=Pricing!$E$23,,((VLOOKUP(K245,$G$26:$H$36,2,0)*$N$40)-((VLOOKUP(K245,$G$26:$H$36,2,0)*$N$40)*VLOOKUP(K245,$B$31:$C$41,2,0)))+$AA$40+$W$40)</f>
        <v>0</v>
      </c>
      <c r="T245" s="59">
        <f>IF($K245=Pricing!$E$23,,((VLOOKUP(K245,$G$26:$H$36,2,0)*$N$41)-((VLOOKUP(K245,$G$26:$H$36,2,0)*$N$41)*VLOOKUP(K245,$B$31:$C$41,2,0)))+$AA$41+$W$41)</f>
        <v>0</v>
      </c>
      <c r="U245" s="59">
        <f>IF($K245=Pricing!$E$23,,((VLOOKUP(K245,$G$26:$H$36,2,0)*$N$42)-((VLOOKUP(K245,$G$26:$H$36,2,0)*$N$42)*VLOOKUP(K245,$B$31:$C$41,2,0)))+$AA$42+$W$42)</f>
        <v>0</v>
      </c>
      <c r="V245" s="59">
        <f>IF($K245=Pricing!$E$23,,((VLOOKUP(K245,$G$26:$H$36,2,0)*$N$43)-((VLOOKUP(K245,$G$26:$H$36,2,0)*$N$43)*VLOOKUP(K245,$B$31:$C$41,2,0)))+$AA$43+$W$43)</f>
        <v>0</v>
      </c>
      <c r="W245" s="59">
        <f>IF($K245=Pricing!$E$23,,((VLOOKUP(K245,$G$26:$H$36,2,0)*$N$44)-((VLOOKUP(K245,$G$26:$H$36,2,0)*$N$44)*VLOOKUP(K245,$B$31:$C$41,2,0)))+$AA$44+$W$44)</f>
        <v>0</v>
      </c>
      <c r="X245" s="59">
        <f>IF($K245=Pricing!$E$23,,((VLOOKUP(K245,$G$26:$H$36,2,0)*$N$45)-((VLOOKUP(K245,$G$26:$H$36,2,0)*$N$45)*VLOOKUP(K245,$B$31:$C$41,2,0)))+$AA$45+$W$45)</f>
        <v>0</v>
      </c>
      <c r="Y245" s="59">
        <f>IF($K245=Pricing!$E$23,,((VLOOKUP(K245,$G$26:$H$36,2,0)*$N$46)-((VLOOKUP(K245,$G$26:$H$36,2,0)*$N$46)*VLOOKUP(K245,$B$31:$C$41,2,0)))+$AA$46+$W$46)</f>
        <v>0</v>
      </c>
      <c r="Z245" s="59">
        <f>IF($K245=Pricing!$E$23,,((VLOOKUP(K245,$G$26:$H$36,2,0)*$N$47)-((VLOOKUP(K245,$G$26:$H$36,2,0)*$N$47)*VLOOKUP(K245,$B$31:$C$41,2,0)))+$AA$47+$W$47)</f>
        <v>0</v>
      </c>
      <c r="AA245" s="342">
        <f t="shared" si="87"/>
        <v>0</v>
      </c>
    </row>
    <row r="246" spans="11:27">
      <c r="K246" s="340" t="str">
        <f t="shared" ref="K246:K254" si="88">G28</f>
        <v>Aruba Express</v>
      </c>
      <c r="L246" s="59">
        <f>IF($K246=Pricing!$E$8,,((VLOOKUP(K246,$G$26:$H$36,2,0)*$N$33)-((VLOOKUP(K246,$G$26:$H$36,2,0)*$N$33)*VLOOKUP(K246,$B$31:$C$41,2,0)))+$AA$33+$W$33)</f>
        <v>418.49063200000001</v>
      </c>
      <c r="M246" s="59">
        <f>IF($K246=Pricing!$E$11,,((VLOOKUP(K246,$G$26:$H$36,2,0)*$N$34)-((VLOOKUP(K246,$G$26:$H$36,2,0)*N36)*VLOOKUP(K246,$B$31:$C$41,2,0)))+$AA$34+$W$34)</f>
        <v>4.4166960000000017</v>
      </c>
      <c r="N246" s="59">
        <f>IF($K246=Pricing!$E$14,,((VLOOKUP(K246,$G$26:$H$36,2,0)*$N$35)-((VLOOKUP(K246,$G$26:$H$36,2,0)*N37)*VLOOKUP(K246,$B$31:$C$41,2,0)))+$AA$35+$W$35)</f>
        <v>308.49504000000002</v>
      </c>
      <c r="O246" s="59">
        <f>IF($K246=Pricing!$E$17,,((VLOOKUP(K246,$G$26:$H$36,2,0)*$N$36)-((VLOOKUP(K246,$G$26:$H$36,2,0)*$N$36)*VLOOKUP(K246,$B$31:$C$41,2,0)))+$AA$36+$W$36)</f>
        <v>130.117176</v>
      </c>
      <c r="P246" s="59">
        <f>IF($K246=Pricing!$E$20,,((VLOOKUP(K246,$G$26:$H$36,2,0)*$N$37)-((VLOOKUP(K246,$G$26:$H$36,2,0)*$N$37)*VLOOKUP(K246,$B$31:$C$41,2,0)))+$AA$37+$W$37)</f>
        <v>0</v>
      </c>
      <c r="Q246" s="59">
        <f>IF($K246=Pricing!$E$23,,((VLOOKUP(K246,$G$26:$H$36,2,0)*$N$38)-((VLOOKUP(K246,$G$26:$H$36,2,0)*$N$38)*VLOOKUP(K246,$B$31:$C$41,2,0)))+$AA$38+$W$38)</f>
        <v>0</v>
      </c>
      <c r="R246" s="59">
        <f>IF($K246=Pricing!$E$23,,((VLOOKUP(K246,$G$26:$H$36,2,0)*$N$39)-((VLOOKUP(K246,$G$26:$H$36,2,0)*$N$39)*VLOOKUP(K246,$B$31:$C$41,2,0)))+$AA$39+$W$39)</f>
        <v>0</v>
      </c>
      <c r="S246" s="59">
        <f>IF($K246=Pricing!$E$23,,((VLOOKUP(K246,$G$26:$H$36,2,0)*$N$40)-((VLOOKUP(K246,$G$26:$H$36,2,0)*$N$40)*VLOOKUP(K246,$B$31:$C$41,2,0)))+$AA$40+$W$40)</f>
        <v>0</v>
      </c>
      <c r="T246" s="59">
        <f>IF($K246=Pricing!$E$23,,((VLOOKUP(K246,$G$26:$H$36,2,0)*$N$41)-((VLOOKUP(K246,$G$26:$H$36,2,0)*$N$41)*VLOOKUP(K246,$B$31:$C$41,2,0)))+$AA$41+$W$41)</f>
        <v>0</v>
      </c>
      <c r="U246" s="59">
        <f>IF($K246=Pricing!$E$23,,((VLOOKUP(K246,$G$26:$H$36,2,0)*$N$42)-((VLOOKUP(K246,$G$26:$H$36,2,0)*$N$42)*VLOOKUP(K246,$B$31:$C$41,2,0)))+$AA$42+$W$42)</f>
        <v>0</v>
      </c>
      <c r="V246" s="59">
        <f>IF($K246=Pricing!$E$23,,((VLOOKUP(K246,$G$26:$H$36,2,0)*$N$43)-((VLOOKUP(K246,$G$26:$H$36,2,0)*$N$43)*VLOOKUP(K246,$B$31:$C$41,2,0)))+$AA$43+$W$43)</f>
        <v>0</v>
      </c>
      <c r="W246" s="59">
        <f>IF($K246=Pricing!$E$23,,((VLOOKUP(K246,$G$26:$H$36,2,0)*$N$44)-((VLOOKUP(K246,$G$26:$H$36,2,0)*$N$44)*VLOOKUP(K246,$B$31:$C$41,2,0)))+$AA$44+$W$44)</f>
        <v>0</v>
      </c>
      <c r="X246" s="59">
        <f>IF($K246=Pricing!$E$23,,((VLOOKUP(K246,$G$26:$H$36,2,0)*$N$45)-((VLOOKUP(K246,$G$26:$H$36,2,0)*$N$45)*VLOOKUP(K246,$B$31:$C$41,2,0)))+$AA$45+$W$45)</f>
        <v>0</v>
      </c>
      <c r="Y246" s="59">
        <f>IF($K246=Pricing!$E$23,,((VLOOKUP(K246,$G$26:$H$36,2,0)*$N$46)-((VLOOKUP(K246,$G$26:$H$36,2,0)*$N$46)*VLOOKUP(K246,$B$31:$C$41,2,0)))+$AA$46+$W$46)</f>
        <v>0</v>
      </c>
      <c r="Z246" s="59">
        <f>IF($K246=Pricing!$E$23,,((VLOOKUP(K246,$G$26:$H$36,2,0)*$N$47)-((VLOOKUP(K246,$G$26:$H$36,2,0)*$N$47)*VLOOKUP(K246,$B$31:$C$41,2,0)))+$AA$47+$W$47)</f>
        <v>0</v>
      </c>
      <c r="AA246" s="342">
        <f t="shared" si="87"/>
        <v>861.519544</v>
      </c>
    </row>
    <row r="247" spans="11:27">
      <c r="K247" s="340" t="str">
        <f t="shared" si="88"/>
        <v>Antigua</v>
      </c>
      <c r="L247" s="59" t="e">
        <f>IF(K247="-",0,IF($K247=Pricing!$E$8,,((VLOOKUP(K247,$G$26:$H$36,2,0)*$N$33)-((VLOOKUP(K247,$G$26:$H$36,2,0)*$N$33)*VLOOKUP(K247,$B$31:$C$41,2,0)))+$AA$33+$W$33))</f>
        <v>#N/A</v>
      </c>
      <c r="M247" s="59" t="e">
        <f>IF(K247="-",0,IF($K247=Pricing!$E$11,,((VLOOKUP(K247,$G$26:$H$36,2,0)*$N$34)-((VLOOKUP(K247,$G$26:$H$36,2,0)*N37)*VLOOKUP(K247,$B$31:$C$41,2,0)))+$AA$34+$W$34))</f>
        <v>#N/A</v>
      </c>
      <c r="N247" s="59" t="e">
        <f>IF(K247="-",0,IF($K247=Pricing!$E$14,,((VLOOKUP(K247,$G$26:$H$36,2,0)*$N$35)-((VLOOKUP(K247,$G$26:$H$36,2,0)*N38)*VLOOKUP(K247,$B$31:$C$41,2,0)))+$AA$35+$W$35))</f>
        <v>#N/A</v>
      </c>
      <c r="O247" s="59" t="e">
        <f>IF(K247="-",0,IF($K247=Pricing!$E$17,,((VLOOKUP(K247,$G$26:$H$36,2,0)*$N$36)-((VLOOKUP(K247,$G$26:$H$36,2,0)*$N$36)*VLOOKUP(K247,$B$31:$C$41,2,0)))+$AA$36+$W$36))</f>
        <v>#N/A</v>
      </c>
      <c r="P247" s="59" t="e">
        <f>IF(K247="-",0,IF($K247=Pricing!$E$20,,((VLOOKUP(K247,$G$26:$H$36,2,0)*$N$37)-((VLOOKUP(K247,$G$26:$H$36,2,0)*$N$37)*VLOOKUP(K247,$B$31:$C$41,2,0)))+$AA$37+$W$37))</f>
        <v>#N/A</v>
      </c>
      <c r="Q247" s="59" t="e">
        <f>IF(K247="-",0,IF($K247=Pricing!$E$23,,((VLOOKUP(K247,$G$26:$H$36,2,0)*$N$38)-((VLOOKUP(K247,$G$26:$H$36,2,0)*$N$38)*VLOOKUP(K247,$B$31:$C$41,2,0)))+$AA$38+$W$38))</f>
        <v>#N/A</v>
      </c>
      <c r="R247" s="59" t="e">
        <f>IF(K247="-",0,IF($K247=Pricing!$E$23,,((VLOOKUP(K247,$G$26:$H$36,2,0)*$N$39)-((VLOOKUP(K247,$G$26:$H$36,2,0)*$N$39)*VLOOKUP(K247,$B$31:$C$41,2,0)))+$AA$39+$W$39))</f>
        <v>#N/A</v>
      </c>
      <c r="S247" s="59" t="e">
        <f>IF(K247="-",0,IF($K247=Pricing!$E$23,,((VLOOKUP(K247,$G$26:$H$36,2,0)*$N$40)-((VLOOKUP(K247,$G$26:$H$36,2,0)*$N$40)*VLOOKUP(K247,$B$31:$C$41,2,0)))+$AA$40+$W$40))</f>
        <v>#N/A</v>
      </c>
      <c r="T247" s="59" t="e">
        <f>IF(K247="-",0,IF($K247=Pricing!$E$23,,((VLOOKUP(K247,$G$26:$H$36,2,0)*$N$41)-((VLOOKUP(K247,$G$26:$H$36,2,0)*$N$41)*VLOOKUP(K247,$B$31:$C$41,2,0)))+$AA$41+$W$41))</f>
        <v>#N/A</v>
      </c>
      <c r="U247" s="59" t="e">
        <f>IF(K247="-",0,IF($K247=Pricing!$E$23,,((VLOOKUP(K247,$G$26:$H$36,2,0)*$N$42)-((VLOOKUP(K247,$G$26:$H$36,2,0)*$N$42)*VLOOKUP(K247,$B$31:$C$41,2,0)))+$AA$42+$W$42))</f>
        <v>#N/A</v>
      </c>
      <c r="V247" s="59" t="e">
        <f>IF(K247="-",0,IF($K247=Pricing!$E$23,,((VLOOKUP(K247,$G$26:$H$36,2,0)*$N$43)-((VLOOKUP(K247,$G$26:$H$36,2,0)*$N$43)*VLOOKUP(K247,$B$31:$C$41,2,0)))+$AA$43+$W$43))</f>
        <v>#N/A</v>
      </c>
      <c r="W247" s="59" t="e">
        <f>IF(K247="-",0,IF($K247=Pricing!$E$23,,((VLOOKUP(K247,$G$26:$H$36,2,0)*$N$44)-((VLOOKUP(K247,$G$26:$H$36,2,0)*$N$44)*VLOOKUP(K247,$B$31:$C$41,2,0)))+$AA$44+$W$44))</f>
        <v>#N/A</v>
      </c>
      <c r="X247" s="59" t="e">
        <f>IF(K247="-",0,IF($K247=Pricing!$E$23,,((VLOOKUP(K247,$G$26:$H$36,2,0)*$N$45)-((VLOOKUP(K247,$G$26:$H$36,2,0)*$N$45)*VLOOKUP(K247,$B$31:$C$41,2,0)))+$AA$45+$W$45))</f>
        <v>#N/A</v>
      </c>
      <c r="Y247" s="59" t="e">
        <f>IF(K247="-",0,IF($K247=Pricing!$E$23,,((VLOOKUP(K247,$G$26:$H$36,2,0)*$N$46)-((VLOOKUP(K247,$G$26:$H$36,2,0)*$N$46)*VLOOKUP(K247,$B$31:$C$41,2,0)))+$AA$46+$W$46))</f>
        <v>#N/A</v>
      </c>
      <c r="Z247" s="59" t="e">
        <f>IF(K247="-",0,IF($K247=Pricing!$E$23,,((VLOOKUP(K247,$G$26:$H$36,2,0)*$N$47)-((VLOOKUP(K247,$G$26:$H$36,2,0)*$N$47)*VLOOKUP(K247,$B$31:$C$41,2,0)))+$AA$47+$W$47))</f>
        <v>#N/A</v>
      </c>
      <c r="AA247" s="342" t="e">
        <f t="shared" si="87"/>
        <v>#N/A</v>
      </c>
    </row>
    <row r="248" spans="11:27">
      <c r="K248" s="340" t="str">
        <f t="shared" si="88"/>
        <v>Bermuda</v>
      </c>
      <c r="L248" s="59">
        <f>IF($K248=Pricing!$E$8,,((VLOOKUP(K248,$G$26:$H$36,2,0)*$N$33)-((VLOOKUP(K248,$G$26:$H$36,2,0)*$N$33)*VLOOKUP(K248,$B$31:$C$41,2,0)))+$AA$33+$W$33)</f>
        <v>313.867974</v>
      </c>
      <c r="M248" s="59">
        <f>IF($K248=Pricing!$E$11,,((VLOOKUP(K248,$G$26:$H$36,2,0)*$N$34)-((VLOOKUP(K248,$G$26:$H$36,2,0)*N38)*VLOOKUP(K248,$B$31:$C$41,2,0)))+$AA$34+$W$34)</f>
        <v>52.658549999999998</v>
      </c>
      <c r="N248" s="59">
        <f>IF($K248=Pricing!$E$14,,((VLOOKUP(K248,$G$26:$H$36,2,0)*$N$35)-((VLOOKUP(K248,$G$26:$H$36,2,0)*N39)*VLOOKUP(K248,$B$31:$C$41,2,0)))+$AA$35+$W$35)</f>
        <v>269.93315999999999</v>
      </c>
      <c r="O248" s="59">
        <f>IF($K248=Pricing!$E$17,,((VLOOKUP(K248,$G$26:$H$36,2,0)*$N$36)-((VLOOKUP(K248,$G$26:$H$36,2,0)*$N$36)*VLOOKUP(K248,$B$31:$C$41,2,0)))+$AA$36+$W$36)</f>
        <v>97.587881999999993</v>
      </c>
      <c r="P248" s="59">
        <f>IF($K248=Pricing!$E$20,,((VLOOKUP(K248,$G$26:$H$36,2,0)*$N$37)-((VLOOKUP(K248,$G$26:$H$36,2,0)*$N$37)*VLOOKUP(K248,$B$31:$C$41,2,0)))+$AA$37+$W$37)</f>
        <v>0</v>
      </c>
      <c r="Q248" s="59">
        <f>IF($K248=Pricing!$E$23,,((VLOOKUP(K248,$G$26:$H$36,2,0)*$N$38)-((VLOOKUP(K248,$G$26:$H$36,2,0)*$N$38)*VLOOKUP(K248,$B$31:$C$41,2,0)))+$AA$38+$W$38)</f>
        <v>0</v>
      </c>
      <c r="R248" s="59">
        <f>IF($K248=Pricing!$E$23,,((VLOOKUP(K248,$G$26:$H$36,2,0)*$N$39)-((VLOOKUP(K248,$G$26:$H$36,2,0)*$N$39)*VLOOKUP(K248,$B$31:$C$41,2,0)))+$AA$39+$W$39)</f>
        <v>0</v>
      </c>
      <c r="S248" s="59">
        <f>IF($K248=Pricing!$E$23,,((VLOOKUP(K248,$G$26:$H$36,2,0)*$N$40)-((VLOOKUP(K248,$G$26:$H$36,2,0)*$N$40)*VLOOKUP(K248,$B$31:$C$41,2,0)))+$AA$40+$W$40)</f>
        <v>0</v>
      </c>
      <c r="T248" s="59">
        <f>IF($K248=Pricing!$E$23,,((VLOOKUP(K248,$G$26:$H$36,2,0)*$N$41)-((VLOOKUP(K248,$G$26:$H$36,2,0)*$N$41)*VLOOKUP(K248,$B$31:$C$41,2,0)))+$AA$41+$W$41)</f>
        <v>0</v>
      </c>
      <c r="U248" s="59">
        <f>IF($K248=Pricing!$E$23,,((VLOOKUP(K248,$G$26:$H$36,2,0)*$N$42)-((VLOOKUP(K248,$G$26:$H$36,2,0)*$N$42)*VLOOKUP(K248,$B$31:$C$41,2,0)))+$AA$42+$W$42)</f>
        <v>0</v>
      </c>
      <c r="V248" s="59">
        <f>IF($K248=Pricing!$E$23,,((VLOOKUP(K248,$G$26:$H$36,2,0)*$N$43)-((VLOOKUP(K248,$G$26:$H$36,2,0)*$N$43)*VLOOKUP(K248,$B$31:$C$41,2,0)))+$AA$43+$W$43)</f>
        <v>0</v>
      </c>
      <c r="W248" s="59">
        <f>IF($K248=Pricing!$E$23,,((VLOOKUP(K248,$G$26:$H$36,2,0)*$N$44)-((VLOOKUP(K248,$G$26:$H$36,2,0)*$N$44)*VLOOKUP(K248,$B$31:$C$41,2,0)))+$AA$44+$W$44)</f>
        <v>0</v>
      </c>
      <c r="X248" s="59">
        <f>IF($K248=Pricing!$E$23,,((VLOOKUP(K248,$G$26:$H$36,2,0)*$N$45)-((VLOOKUP(K248,$G$26:$H$36,2,0)*$N$45)*VLOOKUP(K248,$B$31:$C$41,2,0)))+$AA$45+$W$45)</f>
        <v>0</v>
      </c>
      <c r="Y248" s="59">
        <f>IF($K248=Pricing!$E$23,,((VLOOKUP(K248,$G$26:$H$36,2,0)*$N$46)-((VLOOKUP(K248,$G$26:$H$36,2,0)*$N$46)*VLOOKUP(K248,$B$31:$C$41,2,0)))+$AA$46+$W$46)</f>
        <v>0</v>
      </c>
      <c r="Z248" s="59">
        <f>IF($K248=Pricing!$E$23,,((VLOOKUP(K248,$G$26:$H$36,2,0)*$N$47)-((VLOOKUP(K248,$G$26:$H$36,2,0)*$N$47)*VLOOKUP(K248,$B$31:$C$41,2,0)))+$AA$47+$W$47)</f>
        <v>0</v>
      </c>
      <c r="AA248" s="342">
        <f t="shared" si="87"/>
        <v>734.04756599999996</v>
      </c>
    </row>
    <row r="249" spans="11:27">
      <c r="K249" s="340" t="str">
        <f t="shared" si="88"/>
        <v>Capri</v>
      </c>
      <c r="L249" s="59">
        <f>IF($K249=Pricing!$E$8,,((VLOOKUP(K249,$G$26:$H$36,2,0)*$N$33)-((VLOOKUP(K249,$G$26:$H$36,2,0)*$N$33)*VLOOKUP(K249,$B$31:$C$41,2,0)))+$AA$33+$W$33)</f>
        <v>373.65235000000001</v>
      </c>
      <c r="M249" s="59">
        <f>IF($K249=Pricing!$E$11,,((VLOOKUP(K249,$G$26:$H$36,2,0)*$N$34)-((VLOOKUP(K249,$G$26:$H$36,2,0)*N39)*VLOOKUP(K249,$B$31:$C$41,2,0)))+$AA$34+$W$34)</f>
        <v>75.226500000000001</v>
      </c>
      <c r="N249" s="59">
        <f>IF($K249=Pricing!$E$14,,((VLOOKUP(K249,$G$26:$H$36,2,0)*$N$35)-((VLOOKUP(K249,$G$26:$H$36,2,0)*N40)*VLOOKUP(K249,$B$31:$C$41,2,0)))+$AA$35+$W$35)</f>
        <v>385.61880000000002</v>
      </c>
      <c r="O249" s="59">
        <f>IF($K249=Pricing!$E$17,,((VLOOKUP(K249,$G$26:$H$36,2,0)*$N$36)-((VLOOKUP(K249,$G$26:$H$36,2,0)*$N$36)*VLOOKUP(K249,$B$31:$C$41,2,0)))+$AA$36+$W$36)</f>
        <v>116.17605</v>
      </c>
      <c r="P249" s="59">
        <f>IF($K249=Pricing!$E$20,,((VLOOKUP(K249,$G$26:$H$36,2,0)*$N$37)-((VLOOKUP(K249,$G$26:$H$36,2,0)*$N$37)*VLOOKUP(K249,$B$31:$C$41,2,0)))+$AA$37+$W$37)</f>
        <v>0</v>
      </c>
      <c r="Q249" s="59">
        <f>IF($K249=Pricing!$E$23,,((VLOOKUP(K249,$G$26:$H$36,2,0)*$N$38)-((VLOOKUP(K249,$G$26:$H$36,2,0)*$N$38)*VLOOKUP(K249,$B$31:$C$41,2,0)))+$AA$38+$W$38)</f>
        <v>0</v>
      </c>
      <c r="R249" s="59">
        <f>IF($K249=Pricing!$E$23,,((VLOOKUP(K249,$G$26:$H$36,2,0)*$N$39)-((VLOOKUP(K249,$G$26:$H$36,2,0)*$N$39)*VLOOKUP(K249,$B$31:$C$41,2,0)))+$AA$39+$W$39)</f>
        <v>0</v>
      </c>
      <c r="S249" s="59">
        <f>IF($K249=Pricing!$E$23,,((VLOOKUP(K249,$G$26:$H$36,2,0)*$N$40)-((VLOOKUP(K249,$G$26:$H$36,2,0)*$N$40)*VLOOKUP(K249,$B$31:$C$41,2,0)))+$AA$40+$W$40)</f>
        <v>0</v>
      </c>
      <c r="T249" s="59">
        <f>IF($K249=Pricing!$E$23,,((VLOOKUP(K249,$G$26:$H$36,2,0)*$N$41)-((VLOOKUP(K249,$G$26:$H$36,2,0)*$N$41)*VLOOKUP(K249,$B$31:$C$41,2,0)))+$AA$41+$W$41)</f>
        <v>0</v>
      </c>
      <c r="U249" s="59">
        <f>IF($K249=Pricing!$E$23,,((VLOOKUP(K249,$G$26:$H$36,2,0)*$N$42)-((VLOOKUP(K249,$G$26:$H$36,2,0)*$N$42)*VLOOKUP(K249,$B$31:$C$41,2,0)))+$AA$42+$W$42)</f>
        <v>0</v>
      </c>
      <c r="V249" s="59">
        <f>IF($K249=Pricing!$E$23,,((VLOOKUP(K249,$G$26:$H$36,2,0)*$N$43)-((VLOOKUP(K249,$G$26:$H$36,2,0)*$N$43)*VLOOKUP(K249,$B$31:$C$41,2,0)))+$AA$43+$W$43)</f>
        <v>0</v>
      </c>
      <c r="W249" s="59">
        <f>IF($K249=Pricing!$E$23,,((VLOOKUP(K249,$G$26:$H$36,2,0)*$N$44)-((VLOOKUP(K249,$G$26:$H$36,2,0)*$N$44)*VLOOKUP(K249,$B$31:$C$41,2,0)))+$AA$44+$W$44)</f>
        <v>0</v>
      </c>
      <c r="X249" s="59">
        <f>IF($K249=Pricing!$E$23,,((VLOOKUP(K249,$G$26:$H$36,2,0)*$N$45)-((VLOOKUP(K249,$G$26:$H$36,2,0)*$N$45)*VLOOKUP(K249,$B$31:$C$41,2,0)))+$AA$45+$W$45)</f>
        <v>0</v>
      </c>
      <c r="Y249" s="59">
        <f>IF($K249=Pricing!$E$23,,((VLOOKUP(K249,$G$26:$H$36,2,0)*$N$46)-((VLOOKUP(K249,$G$26:$H$36,2,0)*$N$46)*VLOOKUP(K249,$B$31:$C$41,2,0)))+$AA$46+$W$46)</f>
        <v>0</v>
      </c>
      <c r="Z249" s="59">
        <f>IF($K249=Pricing!$E$23,,((VLOOKUP(K249,$G$26:$H$36,2,0)*$N$47)-((VLOOKUP(K249,$G$26:$H$36,2,0)*$N$47)*VLOOKUP(K249,$B$31:$C$41,2,0)))+$AA$47+$W$47)</f>
        <v>0</v>
      </c>
      <c r="AA249" s="342">
        <f t="shared" si="87"/>
        <v>950.67370000000005</v>
      </c>
    </row>
    <row r="250" spans="11:27">
      <c r="K250" s="340" t="str">
        <f t="shared" si="88"/>
        <v>Cuba</v>
      </c>
      <c r="L250" s="59">
        <f>IF($K250=Pricing!$E$8,,((VLOOKUP(K250,$G$26:$H$36,2,0)*$N$33)-((VLOOKUP(K250,$G$26:$H$36,2,0)*$N$33)*VLOOKUP(K250,$B$31:$C$41,2,0)))+$AA$33+$W$33)</f>
        <v>448.38281999999998</v>
      </c>
      <c r="M250" s="59">
        <f>IF($K250=Pricing!$E$11,,((VLOOKUP(K250,$G$26:$H$36,2,0)*$N$34)-((VLOOKUP(K250,$G$26:$H$36,2,0)*N40)*VLOOKUP(K250,$B$31:$C$41,2,0)))+$AA$34+$W$34)</f>
        <v>75.226500000000001</v>
      </c>
      <c r="N250" s="59">
        <f>IF($K250=Pricing!$E$14,,((VLOOKUP(K250,$G$26:$H$36,2,0)*$N$35)-((VLOOKUP(K250,$G$26:$H$36,2,0)*N41)*VLOOKUP(K250,$B$31:$C$41,2,0)))+$AA$35+$W$35)</f>
        <v>385.61880000000002</v>
      </c>
      <c r="O250" s="59">
        <f>IF($K250=Pricing!$E$17,,((VLOOKUP(K250,$G$26:$H$36,2,0)*$N$36)-((VLOOKUP(K250,$G$26:$H$36,2,0)*$N$36)*VLOOKUP(K250,$B$31:$C$41,2,0)))+$AA$36+$W$36)</f>
        <v>139.41126</v>
      </c>
      <c r="P250" s="59">
        <f>IF($K250=Pricing!$E$20,,((VLOOKUP(K250,$G$26:$H$36,2,0)*$N$37)-((VLOOKUP(K250,$G$26:$H$36,2,0)*$N$37)*VLOOKUP(K250,$B$31:$C$41,2,0)))+$AA$37+$W$37)</f>
        <v>0</v>
      </c>
      <c r="Q250" s="59">
        <f>IF($K250=Pricing!$E$23,,((VLOOKUP(K250,$G$26:$H$36,2,0)*$N$38)-((VLOOKUP(K250,$G$26:$H$36,2,0)*$N$38)*VLOOKUP(K250,$B$31:$C$41,2,0)))+$AA$38+$W$38)</f>
        <v>0</v>
      </c>
      <c r="R250" s="59">
        <f>IF($K250=Pricing!$E$23,,((VLOOKUP(K250,$G$26:$H$36,2,0)*$N$39)-((VLOOKUP(K250,$G$26:$H$36,2,0)*$N$39)*VLOOKUP(K250,$B$31:$C$41,2,0)))+$AA$39+$W$39)</f>
        <v>0</v>
      </c>
      <c r="S250" s="59">
        <f>IF($K250=Pricing!$E$23,,((VLOOKUP(K250,$G$26:$H$36,2,0)*$N$40)-((VLOOKUP(K250,$G$26:$H$36,2,0)*$N$40)*VLOOKUP(K250,$B$31:$C$41,2,0)))+$AA$40+$W$40)</f>
        <v>0</v>
      </c>
      <c r="T250" s="59">
        <f>IF($K250=Pricing!$E$23,,((VLOOKUP(K250,$G$26:$H$36,2,0)*$N$41)-((VLOOKUP(K250,$G$26:$H$36,2,0)*$N$41)*VLOOKUP(K250,$B$31:$C$41,2,0)))+$AA$41+$W$41)</f>
        <v>0</v>
      </c>
      <c r="U250" s="59">
        <f>IF($K250=Pricing!$E$23,,((VLOOKUP(K250,$G$26:$H$36,2,0)*$N$42)-((VLOOKUP(K250,$G$26:$H$36,2,0)*$N$42)*VLOOKUP(K250,$B$31:$C$41,2,0)))+$AA$42+$W$42)</f>
        <v>0</v>
      </c>
      <c r="V250" s="59">
        <f>IF($K250=Pricing!$E$23,,((VLOOKUP(K250,$G$26:$H$36,2,0)*$N$43)-((VLOOKUP(K250,$G$26:$H$36,2,0)*$N$43)*VLOOKUP(K250,$B$31:$C$41,2,0)))+$AA$43+$W$43)</f>
        <v>0</v>
      </c>
      <c r="W250" s="59">
        <f>IF($K250=Pricing!$E$23,,((VLOOKUP(K250,$G$26:$H$36,2,0)*$N$44)-((VLOOKUP(K250,$G$26:$H$36,2,0)*$N$44)*VLOOKUP(K250,$B$31:$C$41,2,0)))+$AA$44+$W$44)</f>
        <v>0</v>
      </c>
      <c r="X250" s="59">
        <f>IF($K250=Pricing!$E$23,,((VLOOKUP(K250,$G$26:$H$36,2,0)*$N$45)-((VLOOKUP(K250,$G$26:$H$36,2,0)*$N$45)*VLOOKUP(K250,$B$31:$C$41,2,0)))+$AA$45+$W$45)</f>
        <v>0</v>
      </c>
      <c r="Y250" s="59">
        <f>IF($K250=Pricing!$E$23,,((VLOOKUP(K250,$G$26:$H$36,2,0)*$N$46)-((VLOOKUP(K250,$G$26:$H$36,2,0)*$N$46)*VLOOKUP(K250,$B$31:$C$41,2,0)))+$AA$46+$W$46)</f>
        <v>0</v>
      </c>
      <c r="Z250" s="59">
        <f>IF($K250=Pricing!$E$23,,((VLOOKUP(K250,$G$26:$H$36,2,0)*$N$47)-((VLOOKUP(K250,$G$26:$H$36,2,0)*$N$47)*VLOOKUP(K250,$B$31:$C$41,2,0)))+$AA$47+$W$47)</f>
        <v>0</v>
      </c>
      <c r="AA250" s="342">
        <f t="shared" si="87"/>
        <v>1048.6393800000001</v>
      </c>
    </row>
    <row r="251" spans="11:27">
      <c r="K251" s="340" t="str">
        <f t="shared" si="88"/>
        <v>Fiji</v>
      </c>
      <c r="L251" s="59">
        <f>IF($K251=Pricing!$E$8,,((VLOOKUP(K251,$G$26:$H$36,2,0)*$N$33)-((VLOOKUP(K251,$G$26:$H$36,2,0)*$N$33)*VLOOKUP(K251,$B$31:$C$41,2,0)))+$AA$33+$W$33)</f>
        <v>739.83165299999996</v>
      </c>
      <c r="M251" s="59">
        <f>IF($K251=Pricing!$E$11,,((VLOOKUP(K251,$G$26:$H$36,2,0)*$N$34)-((VLOOKUP(K251,$G$26:$H$36,2,0)*N41)*VLOOKUP(K251,$B$31:$C$41,2,0)))+$AA$34+$W$34)</f>
        <v>124.12372499999999</v>
      </c>
      <c r="N251" s="59">
        <f>IF($K251=Pricing!$E$14,,((VLOOKUP(K251,$G$26:$H$36,2,0)*$N$35)-((VLOOKUP(K251,$G$26:$H$36,2,0)*N42)*VLOOKUP(K251,$B$31:$C$41,2,0)))+$AA$35+$W$35)</f>
        <v>636.27102000000002</v>
      </c>
      <c r="O251" s="59">
        <f>IF($K251=Pricing!$E$17,,((VLOOKUP(K251,$G$26:$H$36,2,0)*$N$36)-((VLOOKUP(K251,$G$26:$H$36,2,0)*$N$36)*VLOOKUP(K251,$B$31:$C$41,2,0)))+$AA$36+$W$36)</f>
        <v>230.02857900000001</v>
      </c>
      <c r="P251" s="59">
        <f>IF($K251=Pricing!$E$20,,((VLOOKUP(K251,$G$26:$H$36,2,0)*$N$37)-((VLOOKUP(K251,$G$26:$H$36,2,0)*$N$37)*VLOOKUP(K251,$B$31:$C$41,2,0)))+$AA$37+$W$37)</f>
        <v>0</v>
      </c>
      <c r="Q251" s="59">
        <f>IF($K251=Pricing!$E$23,,((VLOOKUP(K251,$G$26:$H$36,2,0)*$N$38)-((VLOOKUP(K251,$G$26:$H$36,2,0)*$N$38)*VLOOKUP(K251,$B$31:$C$41,2,0)))+$AA$38+$W$38)</f>
        <v>0</v>
      </c>
      <c r="R251" s="59">
        <f>IF($K251=Pricing!$E$23,,((VLOOKUP(K251,$G$26:$H$36,2,0)*$N$39)-((VLOOKUP(K251,$G$26:$H$36,2,0)*$N$39)*VLOOKUP(K251,$B$31:$C$41,2,0)))+$AA$39+$W$39)</f>
        <v>0</v>
      </c>
      <c r="S251" s="59">
        <f>IF($K251=Pricing!$E$23,,((VLOOKUP(K251,$G$26:$H$36,2,0)*$N$40)-((VLOOKUP(K251,$G$26:$H$36,2,0)*$N$40)*VLOOKUP(K251,$B$31:$C$41,2,0)))+$AA$40+$W$40)</f>
        <v>0</v>
      </c>
      <c r="T251" s="59">
        <f>IF($K251=Pricing!$E$23,,((VLOOKUP(K251,$G$26:$H$36,2,0)*$N$41)-((VLOOKUP(K251,$G$26:$H$36,2,0)*$N$41)*VLOOKUP(K251,$B$31:$C$41,2,0)))+$AA$41+$W$41)</f>
        <v>0</v>
      </c>
      <c r="U251" s="59">
        <f>IF($K251=Pricing!$E$23,,((VLOOKUP(K251,$G$26:$H$36,2,0)*$N$42)-((VLOOKUP(K251,$G$26:$H$36,2,0)*$N$42)*VLOOKUP(K251,$B$31:$C$41,2,0)))+$AA$42+$W$42)</f>
        <v>0</v>
      </c>
      <c r="V251" s="59">
        <f>IF($K251=Pricing!$E$23,,((VLOOKUP(K251,$G$26:$H$36,2,0)*$N$43)-((VLOOKUP(K251,$G$26:$H$36,2,0)*$N$43)*VLOOKUP(K251,$B$31:$C$41,2,0)))+$AA$43+$W$43)</f>
        <v>0</v>
      </c>
      <c r="W251" s="59">
        <f>IF($K251=Pricing!$E$23,,((VLOOKUP(K251,$G$26:$H$36,2,0)*$N$44)-((VLOOKUP(K251,$G$26:$H$36,2,0)*$N$44)*VLOOKUP(K251,$B$31:$C$41,2,0)))+$AA$44+$W$44)</f>
        <v>0</v>
      </c>
      <c r="X251" s="59">
        <f>IF($K251=Pricing!$E$23,,((VLOOKUP(K251,$G$26:$H$36,2,0)*$N$45)-((VLOOKUP(K251,$G$26:$H$36,2,0)*$N$45)*VLOOKUP(K251,$B$31:$C$41,2,0)))+$AA$45+$W$45)</f>
        <v>0</v>
      </c>
      <c r="Y251" s="59">
        <f>IF($K251=Pricing!$E$23,,((VLOOKUP(K251,$G$26:$H$36,2,0)*$N$46)-((VLOOKUP(K251,$G$26:$H$36,2,0)*$N$46)*VLOOKUP(K251,$B$31:$C$41,2,0)))+$AA$46+$W$46)</f>
        <v>0</v>
      </c>
      <c r="Z251" s="59">
        <f>IF($K251=Pricing!$E$23,,((VLOOKUP(K251,$G$26:$H$36,2,0)*$N$47)-((VLOOKUP(K251,$G$26:$H$36,2,0)*$N$47)*VLOOKUP(K251,$B$31:$C$41,2,0)))+$AA$47+$W$47)</f>
        <v>0</v>
      </c>
      <c r="AA251" s="342">
        <f t="shared" si="87"/>
        <v>1730.2549770000001</v>
      </c>
    </row>
    <row r="252" spans="11:27">
      <c r="K252" s="340" t="str">
        <f t="shared" si="88"/>
        <v>Java</v>
      </c>
      <c r="L252" s="59">
        <f>IF($K252=Pricing!$E$8,,((VLOOKUP(K252,$G$26:$H$36,2,0)*$N$33)-((VLOOKUP(K252,$G$26:$H$36,2,0)*$N$33)*VLOOKUP(K252,$B$31:$C$41,2,0)))+$AA$33+$W$33)</f>
        <v>851.92735800000003</v>
      </c>
      <c r="M252" s="59">
        <f>IF($K252=Pricing!$E$11,,((VLOOKUP(K252,$G$26:$H$36,2,0)*$N$34)-((VLOOKUP(K252,$G$26:$H$36,2,0)*N42)*VLOOKUP(K252,$B$31:$C$41,2,0)))+$AA$34+$W$34)</f>
        <v>142.93035</v>
      </c>
      <c r="N252" s="59">
        <f>IF($K252=Pricing!$E$14,,((VLOOKUP(K252,$G$26:$H$36,2,0)*$N$35)-((VLOOKUP(K252,$G$26:$H$36,2,0)*N43)*VLOOKUP(K252,$B$31:$C$41,2,0)))+$AA$35+$W$35)</f>
        <v>732.67571999999996</v>
      </c>
      <c r="O252" s="59">
        <f>IF($K252=Pricing!$E$17,,((VLOOKUP(K252,$G$26:$H$36,2,0)*$N$36)-((VLOOKUP(K252,$G$26:$H$36,2,0)*$N$36)*VLOOKUP(K252,$B$31:$C$41,2,0)))+$AA$36+$W$36)</f>
        <v>264.881394</v>
      </c>
      <c r="P252" s="59">
        <f>IF($K252=Pricing!$E$20,,((VLOOKUP(K252,$G$26:$H$36,2,0)*$N$37)-((VLOOKUP(K252,$G$26:$H$36,2,0)*$N$37)*VLOOKUP(K252,$B$31:$C$41,2,0)))+$AA$37+$W$37)</f>
        <v>0</v>
      </c>
      <c r="Q252" s="59">
        <f>IF($K252=Pricing!$E$23,,((VLOOKUP(K252,$G$26:$H$36,2,0)*$N$38)-((VLOOKUP(K252,$G$26:$H$36,2,0)*$N$38)*VLOOKUP(K252,$B$31:$C$41,2,0)))+$AA$38+$W$38)</f>
        <v>0</v>
      </c>
      <c r="R252" s="59">
        <f>IF($K252=Pricing!$E$23,,((VLOOKUP(K252,$G$26:$H$36,2,0)*$N$39)-((VLOOKUP(K252,$G$26:$H$36,2,0)*$N$39)*VLOOKUP(K252,$B$31:$C$41,2,0)))+$AA$39+$W$39)</f>
        <v>0</v>
      </c>
      <c r="S252" s="59">
        <f>IF($K252=Pricing!$E$23,,((VLOOKUP(K252,$G$26:$H$36,2,0)*$N$40)-((VLOOKUP(K252,$G$26:$H$36,2,0)*$N$40)*VLOOKUP(K252,$B$31:$C$41,2,0)))+$AA$40+$W$40)</f>
        <v>0</v>
      </c>
      <c r="T252" s="59">
        <f>IF($K252=Pricing!$E$23,,((VLOOKUP(K252,$G$26:$H$36,2,0)*$N$41)-((VLOOKUP(K252,$G$26:$H$36,2,0)*$N$41)*VLOOKUP(K252,$B$31:$C$41,2,0)))+$AA$41+$W$41)</f>
        <v>0</v>
      </c>
      <c r="U252" s="59">
        <f>IF($K252=Pricing!$E$23,,((VLOOKUP(K252,$G$26:$H$36,2,0)*$N$42)-((VLOOKUP(K252,$G$26:$H$36,2,0)*$N$42)*VLOOKUP(K252,$B$31:$C$41,2,0)))+$AA$42+$W$42)</f>
        <v>0</v>
      </c>
      <c r="V252" s="59">
        <f>IF($K252=Pricing!$E$23,,((VLOOKUP(K252,$G$26:$H$36,2,0)*$N$43)-((VLOOKUP(K252,$G$26:$H$36,2,0)*$N$43)*VLOOKUP(K252,$B$31:$C$41,2,0)))+$AA$43+$W$43)</f>
        <v>0</v>
      </c>
      <c r="W252" s="59">
        <f>IF($K252=Pricing!$E$23,,((VLOOKUP(K252,$G$26:$H$36,2,0)*$N$44)-((VLOOKUP(K252,$G$26:$H$36,2,0)*$N$44)*VLOOKUP(K252,$B$31:$C$41,2,0)))+$AA$44+$W$44)</f>
        <v>0</v>
      </c>
      <c r="X252" s="59">
        <f>IF($K252=Pricing!$E$23,,((VLOOKUP(K252,$G$26:$H$36,2,0)*$N$45)-((VLOOKUP(K252,$G$26:$H$36,2,0)*$N$45)*VLOOKUP(K252,$B$31:$C$41,2,0)))+$AA$45+$W$45)</f>
        <v>0</v>
      </c>
      <c r="Y252" s="59">
        <f>IF($K252=Pricing!$E$23,,((VLOOKUP(K252,$G$26:$H$36,2,0)*$N$46)-((VLOOKUP(K252,$G$26:$H$36,2,0)*$N$46)*VLOOKUP(K252,$B$31:$C$41,2,0)))+$AA$46+$W$46)</f>
        <v>0</v>
      </c>
      <c r="Z252" s="59">
        <f>IF($K252=Pricing!$E$23,,((VLOOKUP(K252,$G$26:$H$36,2,0)*$N$47)-((VLOOKUP(K252,$G$26:$H$36,2,0)*$N$47)*VLOOKUP(K252,$B$31:$C$41,2,0)))+$AA$47+$W$47)</f>
        <v>0</v>
      </c>
      <c r="AA252" s="342">
        <f t="shared" si="87"/>
        <v>1992.414822</v>
      </c>
    </row>
    <row r="253" spans="11:27">
      <c r="K253" s="340" t="str">
        <f t="shared" si="88"/>
        <v>Maui</v>
      </c>
      <c r="L253" s="59">
        <f>IF($K253=Pricing!$E$8,,((VLOOKUP(K253,$G$26:$H$36,2,0)*$N$33)-((VLOOKUP(K253,$G$26:$H$36,2,0)*$N$33)*VLOOKUP(K253,$B$31:$C$41,2,0)))+$AA$33+$W$33)</f>
        <v>807.08907600000009</v>
      </c>
      <c r="M253" s="59">
        <f>IF($K253=Pricing!$E$11,,((VLOOKUP(K253,$G$26:$H$36,2,0)*$N$34)-((VLOOKUP(K253,$G$26:$H$36,2,0)*N43)*VLOOKUP(K253,$B$31:$C$41,2,0)))+$AA$34+$W$34)</f>
        <v>135.40770000000001</v>
      </c>
      <c r="N253" s="59">
        <f>IF($K253=Pricing!$E$14,,((VLOOKUP(K253,$G$26:$H$36,2,0)*$N$35)-((VLOOKUP(K253,$G$26:$H$36,2,0)*N44)*VLOOKUP(K253,$B$31:$C$41,2,0)))+$AA$35+$W$35)</f>
        <v>694.11383999999998</v>
      </c>
      <c r="O253" s="59">
        <f>IF($K253=Pricing!$E$17,,((VLOOKUP(K253,$G$26:$H$36,2,0)*$N$36)-((VLOOKUP(K253,$G$26:$H$36,2,0)*$N$36)*VLOOKUP(K253,$B$31:$C$41,2,0)))+$AA$36+$W$36)</f>
        <v>250.94026799999997</v>
      </c>
      <c r="P253" s="59">
        <f>IF($K253=Pricing!$E$20,,((VLOOKUP(K253,$G$26:$H$36,2,0)*$N$37)-((VLOOKUP(K253,$G$26:$H$36,2,0)*$N$37)*VLOOKUP(K253,$B$31:$C$41,2,0)))+$AA$37+$W$37)</f>
        <v>0</v>
      </c>
      <c r="Q253" s="59">
        <f>IF($K253=Pricing!$E$23,,((VLOOKUP(K253,$G$26:$H$36,2,0)*$N$38)-((VLOOKUP(K253,$G$26:$H$36,2,0)*$N$38)*VLOOKUP(K253,$B$31:$C$41,2,0)))+$AA$38+$W$38)</f>
        <v>0</v>
      </c>
      <c r="R253" s="59">
        <f>IF($K253=Pricing!$E$23,,((VLOOKUP(K253,$G$26:$H$36,2,0)*$N$39)-((VLOOKUP(K253,$G$26:$H$36,2,0)*$N$39)*VLOOKUP(K253,$B$31:$C$41,2,0)))+$AA$39+$W$39)</f>
        <v>0</v>
      </c>
      <c r="S253" s="59">
        <f>IF($K253=Pricing!$E$23,,((VLOOKUP(K253,$G$26:$H$36,2,0)*$N$40)-((VLOOKUP(K253,$G$26:$H$36,2,0)*$N$40)*VLOOKUP(K253,$B$31:$C$41,2,0)))+$AA$40+$W$40)</f>
        <v>0</v>
      </c>
      <c r="T253" s="59">
        <f>IF($K253=Pricing!$E$23,,((VLOOKUP(K253,$G$26:$H$36,2,0)*$N$41)-((VLOOKUP(K253,$G$26:$H$36,2,0)*$N$41)*VLOOKUP(K253,$B$31:$C$41,2,0)))+$AA$41+$W$41)</f>
        <v>0</v>
      </c>
      <c r="U253" s="59">
        <f>IF($K253=Pricing!$E$23,,((VLOOKUP(K253,$G$26:$H$36,2,0)*$N$42)-((VLOOKUP(K253,$G$26:$H$36,2,0)*$N$42)*VLOOKUP(K253,$B$31:$C$41,2,0)))+$AA$42+$W$42)</f>
        <v>0</v>
      </c>
      <c r="V253" s="59">
        <f>IF($K253=Pricing!$E$23,,((VLOOKUP(K253,$G$26:$H$36,2,0)*$N$43)-((VLOOKUP(K253,$G$26:$H$36,2,0)*$N$43)*VLOOKUP(K253,$B$31:$C$41,2,0)))+$AA$43+$W$43)</f>
        <v>0</v>
      </c>
      <c r="W253" s="59">
        <f>IF($K253=Pricing!$E$23,,((VLOOKUP(K253,$G$26:$H$36,2,0)*$N$44)-((VLOOKUP(K253,$G$26:$H$36,2,0)*$N$44)*VLOOKUP(K253,$B$31:$C$41,2,0)))+$AA$44+$W$44)</f>
        <v>0</v>
      </c>
      <c r="X253" s="59">
        <f>IF($K253=Pricing!$E$23,,((VLOOKUP(K253,$G$26:$H$36,2,0)*$N$45)-((VLOOKUP(K253,$G$26:$H$36,2,0)*$N$45)*VLOOKUP(K253,$B$31:$C$41,2,0)))+$AA$45+$W$45)</f>
        <v>0</v>
      </c>
      <c r="Y253" s="59">
        <f>IF($K253=Pricing!$E$23,,((VLOOKUP(K253,$G$26:$H$36,2,0)*$N$46)-((VLOOKUP(K253,$G$26:$H$36,2,0)*$N$46)*VLOOKUP(K253,$B$31:$C$41,2,0)))+$AA$46+$W$46)</f>
        <v>0</v>
      </c>
      <c r="Z253" s="59">
        <f>IF($K253=Pricing!$E$23,,((VLOOKUP(K253,$G$26:$H$36,2,0)*$N$47)-((VLOOKUP(K253,$G$26:$H$36,2,0)*$N$47)*VLOOKUP(K253,$B$31:$C$41,2,0)))+$AA$47+$W$47)</f>
        <v>0</v>
      </c>
      <c r="AA253" s="342">
        <f t="shared" si="87"/>
        <v>1887.550884</v>
      </c>
    </row>
    <row r="254" spans="11:27">
      <c r="K254" s="340" t="str">
        <f t="shared" si="88"/>
        <v>Tahiti</v>
      </c>
      <c r="L254" s="59">
        <f>IF($K254=Pricing!$E$8,,((VLOOKUP(K254,$G$26:$H$36,2,0)*$N$33)-((VLOOKUP(K254,$G$26:$H$36,2,0)*$N$33)*VLOOKUP(K254,$B$31:$C$41,2,0)))+$AA$33+$W$33)</f>
        <v>560.47852499999999</v>
      </c>
      <c r="M254" s="59">
        <f>IF($K254=Pricing!$E$11,,((VLOOKUP(K254,$G$26:$H$36,2,0)*$N$34)-((VLOOKUP(K254,$G$26:$H$36,2,0)*N44)*VLOOKUP(K254,$B$31:$C$41,2,0)))+$AA$34+$W$34)</f>
        <v>112.83975</v>
      </c>
      <c r="N254" s="59">
        <f>IF($K254=Pricing!$E$14,,((VLOOKUP(K254,$G$26:$H$36,2,0)*$N$35)-((VLOOKUP(K254,$G$26:$H$36,2,0)*N45)*VLOOKUP(K254,$B$31:$C$41,2,0)))+$AA$35+$W$35)</f>
        <v>578.42819999999995</v>
      </c>
      <c r="O254" s="59">
        <f>IF($K254=Pricing!$E$17,,((VLOOKUP(K254,$G$26:$H$36,2,0)*$N$36)-((VLOOKUP(K254,$G$26:$H$36,2,0)*$N$36)*VLOOKUP(K254,$B$31:$C$41,2,0)))+$AA$36+$W$36)</f>
        <v>174.26407499999999</v>
      </c>
      <c r="P254" s="59">
        <f>IF($K254=Pricing!$E$20,,((VLOOKUP(K254,$G$26:$H$36,2,0)*$N$37)-((VLOOKUP(K254,$G$26:$H$36,2,0)*$N$37)*VLOOKUP(K254,$B$31:$C$41,2,0)))+$AA$37+$W$37)</f>
        <v>0</v>
      </c>
      <c r="Q254" s="59">
        <f>IF($K254=Pricing!$E$23,,((VLOOKUP(K254,$G$26:$H$36,2,0)*$N$38)-((VLOOKUP(K254,$G$26:$H$36,2,0)*$N$38)*VLOOKUP(K254,$B$31:$C$41,2,0)))+$AA$38+$W$38)</f>
        <v>0</v>
      </c>
      <c r="R254" s="59">
        <f>IF($K254=Pricing!$E$23,,((VLOOKUP(K254,$G$26:$H$36,2,0)*$N$39)-((VLOOKUP(K254,$G$26:$H$36,2,0)*$N$39)*VLOOKUP(K254,$B$31:$C$41,2,0)))+$AA$39+$W$39)</f>
        <v>0</v>
      </c>
      <c r="S254" s="59">
        <f>IF($K254=Pricing!$E$23,,((VLOOKUP(K254,$G$26:$H$36,2,0)*$N$40)-((VLOOKUP(K254,$G$26:$H$36,2,0)*$N$40)*VLOOKUP(K254,$B$31:$C$41,2,0)))+$AA$40+$W$40)</f>
        <v>0</v>
      </c>
      <c r="T254" s="59">
        <f>IF($K254=Pricing!$E$23,,((VLOOKUP(K254,$G$26:$H$36,2,0)*$N$41)-((VLOOKUP(K254,$G$26:$H$36,2,0)*$N$41)*VLOOKUP(K254,$B$31:$C$41,2,0)))+$AA$41+$W$41)</f>
        <v>0</v>
      </c>
      <c r="U254" s="59">
        <f>IF($K254=Pricing!$E$23,,((VLOOKUP(K254,$G$26:$H$36,2,0)*$N$42)-((VLOOKUP(K254,$G$26:$H$36,2,0)*$N$42)*VLOOKUP(K254,$B$31:$C$41,2,0)))+$AA$42+$W$42)</f>
        <v>0</v>
      </c>
      <c r="V254" s="59">
        <f>IF($K254=Pricing!$E$23,,((VLOOKUP(K254,$G$26:$H$36,2,0)*$N$43)-((VLOOKUP(K254,$G$26:$H$36,2,0)*$N$43)*VLOOKUP(K254,$B$31:$C$41,2,0)))+$AA$43+$W$43)</f>
        <v>0</v>
      </c>
      <c r="W254" s="59">
        <f>IF($K254=Pricing!$E$23,,((VLOOKUP(K254,$G$26:$H$36,2,0)*$N$44)-((VLOOKUP(K254,$G$26:$H$36,2,0)*$N$44)*VLOOKUP(K254,$B$31:$C$41,2,0)))+$AA$44+$W$44)</f>
        <v>0</v>
      </c>
      <c r="X254" s="59">
        <f>IF($K254=Pricing!$E$23,,((VLOOKUP(K254,$G$26:$H$36,2,0)*$N$45)-((VLOOKUP(K254,$G$26:$H$36,2,0)*$N$45)*VLOOKUP(K254,$B$31:$C$41,2,0)))+$AA$45+$W$45)</f>
        <v>0</v>
      </c>
      <c r="Y254" s="59">
        <f>IF($K254=Pricing!$E$23,,((VLOOKUP(K254,$G$26:$H$36,2,0)*$N$46)-((VLOOKUP(K254,$G$26:$H$36,2,0)*$N$46)*VLOOKUP(K254,$B$31:$C$41,2,0)))+$AA$46+$W$46)</f>
        <v>0</v>
      </c>
      <c r="Z254" s="59">
        <f>IF($K254=Pricing!$E$23,,((VLOOKUP(K254,$G$26:$H$36,2,0)*$N$47)-((VLOOKUP(K254,$G$26:$H$36,2,0)*$N$47)*VLOOKUP(K254,$B$31:$C$41,2,0)))+$AA$47+$W$47)</f>
        <v>0</v>
      </c>
      <c r="AA254" s="342">
        <f t="shared" si="87"/>
        <v>1426.01055</v>
      </c>
    </row>
    <row r="258" spans="10:27">
      <c r="L258">
        <f>IF(Pricing!$E$8=Matrix2!K261,L17*VLOOKUP(Pricing!$F$8,Data!$AV$67:$AW$89,2,0),)</f>
        <v>0</v>
      </c>
    </row>
    <row r="259" spans="10:27">
      <c r="K259" s="981" t="s">
        <v>562</v>
      </c>
      <c r="L259" s="981"/>
      <c r="M259" s="981"/>
      <c r="N259" s="981"/>
      <c r="O259" s="981"/>
      <c r="P259" s="981"/>
      <c r="Q259" s="981"/>
      <c r="R259" s="981"/>
      <c r="S259" s="981"/>
      <c r="T259" s="981"/>
      <c r="U259" s="981"/>
      <c r="V259" s="981"/>
      <c r="W259" s="981"/>
      <c r="X259" s="981"/>
      <c r="Y259" s="981"/>
      <c r="Z259" s="981"/>
      <c r="AA259" s="981"/>
    </row>
    <row r="260" spans="10:27">
      <c r="J260" t="s">
        <v>563</v>
      </c>
      <c r="L260" s="91" t="s">
        <v>331</v>
      </c>
      <c r="M260" s="91" t="s">
        <v>334</v>
      </c>
      <c r="N260" s="91" t="s">
        <v>336</v>
      </c>
      <c r="O260" s="91" t="s">
        <v>338</v>
      </c>
      <c r="P260" s="91" t="s">
        <v>339</v>
      </c>
      <c r="Q260" s="91" t="s">
        <v>341</v>
      </c>
      <c r="R260" s="91" t="s">
        <v>342</v>
      </c>
      <c r="S260" s="91" t="s">
        <v>343</v>
      </c>
      <c r="T260" s="91" t="s">
        <v>344</v>
      </c>
      <c r="U260" s="91" t="s">
        <v>346</v>
      </c>
      <c r="V260" s="91" t="s">
        <v>348</v>
      </c>
      <c r="W260" s="91" t="s">
        <v>350</v>
      </c>
      <c r="X260" s="91" t="s">
        <v>351</v>
      </c>
      <c r="Y260" s="91" t="s">
        <v>353</v>
      </c>
      <c r="Z260" s="91" t="s">
        <v>354</v>
      </c>
      <c r="AA260" s="91" t="s">
        <v>79</v>
      </c>
    </row>
    <row r="261" spans="10:27">
      <c r="K261" s="27" t="s">
        <v>63</v>
      </c>
      <c r="L261" s="55">
        <f>IF(Pricing!$E8=$K$261,IF(Pricing!$E$8=Matrix2!$K$261,$L$17*VLOOKUP(Pricing!$F$8,Data!$AV$67:$AW$89,2,0),),)</f>
        <v>0</v>
      </c>
      <c r="M261" s="55">
        <f>IF(Pricing!$E11=$K$261,IF(Pricing!$E$11=Matrix2!$K$261,$L$17*VLOOKUP(Pricing!$F$11,Data!$AV$67:$AW$89,2,0),),)</f>
        <v>0</v>
      </c>
      <c r="N261" s="55">
        <f>IF(Pricing!$E14=$K$261,IF(Pricing!$E$14=Matrix2!$K$261,$L$17*VLOOKUP(Pricing!$F$14,Data!$AV$67:$AW$89,2,0),),)</f>
        <v>0</v>
      </c>
      <c r="O261" s="55">
        <f>IF(Pricing!$E17=$K$261,IF(Pricing!$E$17=Matrix2!$K$261,$L$17*VLOOKUP(Pricing!$F$17,Data!$AV$67:$AW$89,2,0),),)</f>
        <v>0</v>
      </c>
      <c r="P261" s="55">
        <f>IF(Pricing!$E20=$K$261,IF(Pricing!$E$20=Matrix2!$K$261,$L$17*VLOOKUP(Pricing!$F$20,Data!$AV$67:$AW$89,2,0),),)</f>
        <v>0</v>
      </c>
      <c r="Q261" s="55">
        <f>IF(Pricing!$E23=$K$261,IF(Pricing!$E$23=Matrix2!$K$261,$L$17*VLOOKUP(Pricing!$F$23,Data!$AV$67:$AW$89,2,0),),)</f>
        <v>0</v>
      </c>
      <c r="R261" s="55">
        <f>IF(Pricing!$E26=$K$261,IF(Pricing!$E$26=Matrix2!$K$261,$L$17*VLOOKUP(Pricing!$F$26,Data!$AV$67:$AW$89,2,0),),)</f>
        <v>0</v>
      </c>
      <c r="S261" s="55">
        <f>IF(Pricing!$E29=$K$261,IF(Pricing!$E$29=Matrix2!$K$261,$L$17*VLOOKUP(Pricing!$F$29,Data!$AV$67:$AW$89,2,0),),)</f>
        <v>0</v>
      </c>
      <c r="T261" s="55">
        <f>IF(Pricing!$E32=$K$261,IF(Pricing!$E$32=Matrix2!$K$261,$L$17*VLOOKUP(Pricing!$F$32,Data!$AV$67:$AW$89,2,0),),)</f>
        <v>0</v>
      </c>
      <c r="U261" s="55">
        <f>IF(Pricing!$E35=$K$261,IF(Pricing!$E$35=Matrix2!$K$261,$L$17*VLOOKUP(Pricing!$F$35,Data!$AV$67:$AW$89,2,0),),)</f>
        <v>0</v>
      </c>
      <c r="V261" s="55">
        <f>IF(Pricing!$E38=$K$261,IF(Pricing!$E$38=Matrix2!$K$261,$L$17*VLOOKUP(Pricing!$F$38,Data!$AV$67:$AW$89,2,0),),)</f>
        <v>0</v>
      </c>
      <c r="W261" s="55">
        <f>IF(Pricing!$E41=$K$261,IF(Pricing!$E$41=Matrix2!$K$261,$L$17*VLOOKUP(Pricing!$F$41,Data!$AV$67:$AW$89,2,0),),)</f>
        <v>0</v>
      </c>
      <c r="X261" s="55">
        <f>IF(Pricing!$E44=$K$261,IF(Pricing!$E$44=Matrix2!$K$261,$L$17*VLOOKUP(Pricing!$F$44,Data!$AV$67:$AW$89,2,0),),)</f>
        <v>0</v>
      </c>
      <c r="Y261" s="55">
        <f>IF(Pricing!$E47=$K$261,IF(Pricing!$E$47=Matrix2!$K$261,$L$17*VLOOKUP(Pricing!$F$47,Data!$AV$67:$AW$89,2,0),),)</f>
        <v>0</v>
      </c>
      <c r="Z261" s="55">
        <f>IF(Pricing!$E50=$K$261,IF(Pricing!$E$50=Matrix2!$K$261,$L$17*VLOOKUP(Pricing!$F$50,Data!$AV$67:$AW$89,2,0),),)</f>
        <v>0</v>
      </c>
      <c r="AA261" s="55">
        <f>SUM(L261:Z261)</f>
        <v>0</v>
      </c>
    </row>
    <row r="262" spans="10:27">
      <c r="K262" s="27" t="s">
        <v>18</v>
      </c>
      <c r="L262" s="55">
        <f>IF(Pricing!$E$8=Matrix2!K262,L18*VLOOKUP(Pricing!$F$8,Data!$AV$67:$AW$89,2,0),)</f>
        <v>453.98760525000012</v>
      </c>
      <c r="M262" s="55">
        <f>IF(Pricing!$E$11=Matrix2!K262,M18*VLOOKUP(Pricing!$F$11,Data!$AV$67:$AW$89,2,0),)</f>
        <v>60.700098749999995</v>
      </c>
      <c r="N262" s="55"/>
      <c r="O262" s="55"/>
      <c r="P262" s="55"/>
      <c r="Q262" s="55"/>
      <c r="R262" s="55"/>
      <c r="S262" s="55"/>
      <c r="T262" s="55"/>
      <c r="U262" s="55"/>
      <c r="V262" s="55"/>
      <c r="W262" s="55"/>
      <c r="X262" s="55"/>
      <c r="Y262" s="55"/>
      <c r="Z262" s="55"/>
    </row>
    <row r="263" spans="10:27">
      <c r="K263" s="27" t="str">
        <f t="shared" ref="K263:K271" si="89">G28</f>
        <v>Aruba Express</v>
      </c>
      <c r="L263" s="55">
        <f>IF(Pricing!$E$8=Matrix2!K263,L19*VLOOKUP(Pricing!$F$8,Data!$AV$67:$AW$89,2,0),)</f>
        <v>0</v>
      </c>
      <c r="M263" s="55">
        <f>IF(Pricing!$E$11=Matrix2!K263,M19*VLOOKUP(Pricing!$F$11,Data!$AV$67:$AW$89,2,0),)</f>
        <v>0</v>
      </c>
      <c r="N263" s="55"/>
      <c r="O263" s="55"/>
      <c r="P263" s="55"/>
      <c r="Q263" s="55"/>
      <c r="R263" s="55"/>
      <c r="S263" s="55"/>
      <c r="T263" s="55"/>
      <c r="U263" s="55"/>
      <c r="V263" s="55"/>
      <c r="W263" s="55"/>
      <c r="X263" s="55"/>
      <c r="Y263" s="55"/>
      <c r="Z263" s="55"/>
    </row>
    <row r="264" spans="10:27">
      <c r="K264" s="27" t="str">
        <f t="shared" si="89"/>
        <v>Antigua</v>
      </c>
      <c r="L264" s="55">
        <f>IF(Pricing!$E8="Belize",IF(Pricing!$E$8=Matrix2!$K$264,L20*VLOOKUP(Pricing!$F$8,Data!$AV$67:$AW$89,2,0),),0)</f>
        <v>0</v>
      </c>
      <c r="M264" s="55">
        <f>IF(Pricing!$E11="Belize",IF(Pricing!$E$11=Matrix2!$K$264,M20*VLOOKUP(Pricing!$F$11,Data!$AV$67:$AW$89,2,0),),0)</f>
        <v>0</v>
      </c>
      <c r="N264" s="55">
        <f>IF(Pricing!$E14="Belize",IF(Pricing!$E$14=Matrix2!$K$264,N20*VLOOKUP(Pricing!$F$14,Data!$AV$67:$AW$89,2,0),),0)</f>
        <v>0</v>
      </c>
      <c r="O264" s="55">
        <f>IF(Pricing!$E17="Belize",IF(Pricing!$E$17=Matrix2!$K$264,O20*VLOOKUP(Pricing!$F$17,Data!$AV$67:$AW$89,2,0),),0)</f>
        <v>0</v>
      </c>
      <c r="P264" s="55">
        <f>IF(Pricing!$E20="Belize",IF(Pricing!$E$20=Matrix2!$K$264,P20*VLOOKUP(Pricing!$F$20,Data!$AV$67:$AW$89,2,0),),0)</f>
        <v>0</v>
      </c>
      <c r="Q264" s="55">
        <f>IF(Pricing!$E23="Belize",IF(Pricing!$E$23=Matrix2!$K$264,Q20*VLOOKUP(Pricing!$F$23,Data!$AV$67:$AW$89,2,0),),0)</f>
        <v>0</v>
      </c>
      <c r="R264" s="55">
        <f>IF(Pricing!$E26="Belize",IF(Pricing!$E$26=Matrix2!$K$264,R20*VLOOKUP(Pricing!$F$26,Data!$AV$67:$AW$89,2,0),),0)</f>
        <v>0</v>
      </c>
      <c r="S264" s="55">
        <f>IF(Pricing!$E29="Belize",IF(Pricing!$E$29=Matrix2!$K$264,S20*VLOOKUP(Pricing!$F$29,Data!$AV$67:$AW$89,2,0),),0)</f>
        <v>0</v>
      </c>
      <c r="T264" s="55">
        <f>IF(Pricing!$E32="Belize",IF(Pricing!$E$32=Matrix2!$K$264,T20*VLOOKUP(Pricing!$F$32,Data!$AV$67:$AW$89,2,0),),0)</f>
        <v>0</v>
      </c>
      <c r="U264" s="55">
        <f>IF(Pricing!$E35="Belize",IF(Pricing!$E$35=Matrix2!$K$264,U20*VLOOKUP(Pricing!$F$35,Data!$AV$67:$AW$89,2,0),),0)</f>
        <v>0</v>
      </c>
      <c r="V264" s="55">
        <f>IF(Pricing!$E38="Belize",IF(Pricing!$E$38=Matrix2!$K$264,V20*VLOOKUP(Pricing!$F$38,Data!$AV$67:$AW$89,2,0),),0)</f>
        <v>0</v>
      </c>
      <c r="W264" s="55">
        <f>IF(Pricing!$E41="Belize",IF(Pricing!$E$41=Matrix2!$K$264,W20*VLOOKUP(Pricing!$F$41,Data!$AV$67:$AW$89,2,0),),0)</f>
        <v>0</v>
      </c>
      <c r="X264" s="55">
        <f>IF(Pricing!$E44="Belize",IF(Pricing!$E$44=Matrix2!$K$264,X20*VLOOKUP(Pricing!$F$44,Data!$AV$67:$AW$89,2,0),),0)</f>
        <v>0</v>
      </c>
      <c r="Y264" s="55">
        <f>IF(Pricing!$E47="Belize",IF(Pricing!$E$47=Matrix2!$K$264,Y20*VLOOKUP(Pricing!$F$47,Data!$AV$67:$AW$89,2,0),),0)</f>
        <v>0</v>
      </c>
      <c r="Z264" s="55">
        <f>IF(Pricing!$E50="Belize",IF(Pricing!$E$50=Matrix2!$K$264,Z20*VLOOKUP(Pricing!$F$50,Data!$AV$67:$AW$89,2,0),),0)</f>
        <v>0</v>
      </c>
      <c r="AA264" s="55">
        <f>SUM(L264:Z264)</f>
        <v>0</v>
      </c>
    </row>
    <row r="265" spans="10:27">
      <c r="K265" s="27" t="str">
        <f t="shared" si="89"/>
        <v>Bermuda</v>
      </c>
      <c r="L265" s="55">
        <f>IF(Pricing!$E$8=Matrix2!K265,L21*VLOOKUP(Pricing!$F$8,Data!$AV$67:$AW$89,2,0),)</f>
        <v>0</v>
      </c>
      <c r="M265" s="55">
        <f>IF(Pricing!$E$11=Matrix2!K265,M21*VLOOKUP(Pricing!$F$11,Data!$AV$67:$AW$89,2,0),)</f>
        <v>0</v>
      </c>
      <c r="N265" s="55"/>
      <c r="O265" s="55"/>
      <c r="P265" s="55"/>
      <c r="Q265" s="55"/>
      <c r="R265" s="55"/>
      <c r="S265" s="55"/>
      <c r="T265" s="55"/>
      <c r="U265" s="55"/>
      <c r="V265" s="55"/>
      <c r="W265" s="55"/>
      <c r="X265" s="55"/>
      <c r="Y265" s="55"/>
      <c r="Z265" s="55"/>
    </row>
    <row r="266" spans="10:27">
      <c r="K266" s="27" t="str">
        <f t="shared" si="89"/>
        <v>Capri</v>
      </c>
      <c r="L266" s="55">
        <f>IF(Pricing!E8="Capri",IF(Pricing!$E$8=Matrix2!$K$266,L22*VLOOKUP(Pricing!$F$8,Data!$AZ$67:$BA$117,2,0),),0)</f>
        <v>0</v>
      </c>
      <c r="M266" s="55">
        <f>IF(Pricing!E11="Capri",IF(Pricing!$E$11=Matrix2!$K$266,M22*VLOOKUP(Pricing!$F$11,Data!$AZ$67:$BA$117,2,0),),0)</f>
        <v>0</v>
      </c>
      <c r="N266" s="55">
        <f>IF(Pricing!$E14="Capri",IF(Pricing!$E$14=Matrix2!$K$266,N22*VLOOKUP(Pricing!$F$14,Data!$AZ$67:$BA$117,2,0),),0)</f>
        <v>0</v>
      </c>
      <c r="O266" s="55">
        <f>IF(Pricing!$E17="Capri",IF(Pricing!$E$17=Matrix2!$K$266,O22*VLOOKUP(Pricing!$F$17,Data!$AZ$67:$BA$117,2,0),),0)</f>
        <v>0</v>
      </c>
      <c r="P266" s="55">
        <f>IF(Pricing!$E20="Capri",IF(Pricing!$E$20=Matrix2!$K$266,P22*VLOOKUP(Pricing!$F$20,Data!$AZ$67:$BA$117,2,0),),0)</f>
        <v>0</v>
      </c>
      <c r="Q266" s="55">
        <f>IF(Pricing!$E23="Capri",IF(Pricing!$E$23=Matrix2!$K$266,Q22*VLOOKUP(Pricing!$F$23,Data!$AZ$67:$BA$117,2,0),),0)</f>
        <v>0</v>
      </c>
      <c r="R266" s="55">
        <f>IF(Pricing!$E26="Capri",IF(Pricing!$E$26=Matrix2!$K$266,R22*VLOOKUP(Pricing!$F$26,Data!$AZ$67:$BA$117,2,0),),0)</f>
        <v>0</v>
      </c>
      <c r="S266" s="55">
        <f>IF(Pricing!$E29="Capri",IF(Pricing!$E$29=Matrix2!$K$266,S22*VLOOKUP(Pricing!$F$29,Data!$AZ$67:$BA$117,2,0),),0)</f>
        <v>0</v>
      </c>
      <c r="T266" s="55">
        <f>IF(Pricing!$E32="Capri",IF(Pricing!$E$32=Matrix2!$K$266,T22*VLOOKUP(Pricing!$F$32,Data!$AZ$67:$BA$117,2,0),),0)</f>
        <v>0</v>
      </c>
      <c r="U266" s="55">
        <f>IF(Pricing!$E35="Capri",IF(Pricing!$E$35=Matrix2!$K$266,U22*VLOOKUP(Pricing!$F$35,Data!$AZ$67:$BA$117,2,0),),0)</f>
        <v>0</v>
      </c>
      <c r="V266" s="55">
        <f>IF(Pricing!$E38="Capri",IF(Pricing!$E$38=Matrix2!$K$266,V22*VLOOKUP(Pricing!$F$38,Data!$AZ$67:$BA$117,2,0),),0)</f>
        <v>0</v>
      </c>
      <c r="W266" s="55">
        <f>IF(Pricing!$E41="Capri",IF(Pricing!$E$41=Matrix2!$K$266,W22*VLOOKUP(Pricing!$F$41,Data!$AZ$67:$BA$117,2,0),),0)</f>
        <v>0</v>
      </c>
      <c r="X266" s="55">
        <f>IF(Pricing!$E44="Capri",IF(Pricing!$E$44=Matrix2!$K$266,X22*VLOOKUP(Pricing!$F$44,Data!$AZ$67:$BA$117,2,0),),0)</f>
        <v>0</v>
      </c>
      <c r="Y266" s="55">
        <f>IF(Pricing!$E47="Capri",IF(Pricing!$E$47=Matrix2!$K$266,Y22*VLOOKUP(Pricing!$F$47,Data!$AZ$67:$BA$117,2,0),),0)</f>
        <v>0</v>
      </c>
      <c r="Z266" s="55">
        <f>IF(Pricing!$E50="Capri",IF(Pricing!$E$50=Matrix2!$K$266,Z22*VLOOKUP(Pricing!$F$50,Data!$AZ$67:$BA$117,2,0),),0)</f>
        <v>0</v>
      </c>
      <c r="AA266" s="55">
        <f>IF(X48&gt;1,SUM(L266:Z266)-(X48*F11)+F11,SUM(L266:Z266))</f>
        <v>0</v>
      </c>
    </row>
    <row r="267" spans="10:27">
      <c r="K267" s="27" t="str">
        <f t="shared" si="89"/>
        <v>Cuba</v>
      </c>
      <c r="L267" s="55">
        <f>IF(Pricing!$E$8=Matrix2!K267,L23*VLOOKUP(Pricing!$F$8,Data!$AV$67:$AW$89,2,0),)</f>
        <v>0</v>
      </c>
      <c r="M267" s="55">
        <f>IF(Pricing!$E$11=Matrix2!K267,M23*VLOOKUP(Pricing!$F$11,Data!$AV$67:$AW$89,2,0),)</f>
        <v>0</v>
      </c>
      <c r="N267" s="55"/>
      <c r="O267" s="55"/>
      <c r="P267" s="55"/>
      <c r="Q267" s="55"/>
      <c r="R267" s="55"/>
      <c r="S267" s="55"/>
      <c r="T267" s="55"/>
      <c r="U267" s="55"/>
      <c r="V267" s="55"/>
      <c r="W267" s="55"/>
      <c r="X267" s="55"/>
      <c r="Y267" s="55"/>
      <c r="Z267" s="55"/>
    </row>
    <row r="268" spans="10:27">
      <c r="K268" s="27" t="str">
        <f t="shared" si="89"/>
        <v>Fiji</v>
      </c>
      <c r="L268" s="55">
        <f>IF(Pricing!$E$8=Matrix2!K268,L24*VLOOKUP(Pricing!$F$8,Data!$AV$67:$AW$89,2,0),)</f>
        <v>0</v>
      </c>
      <c r="M268" s="55">
        <f>IF(Pricing!$E$11=Matrix2!K268,M24*VLOOKUP(Pricing!$F$11,Data!$AV$67:$AW$89,2,0),)</f>
        <v>0</v>
      </c>
      <c r="N268" s="55"/>
      <c r="O268" s="55"/>
      <c r="P268" s="55"/>
      <c r="Q268" s="55"/>
      <c r="R268" s="55"/>
      <c r="S268" s="55"/>
      <c r="T268" s="55"/>
      <c r="U268" s="55"/>
      <c r="V268" s="55"/>
      <c r="W268" s="55"/>
      <c r="X268" s="55"/>
      <c r="Y268" s="55"/>
      <c r="Z268" s="55"/>
    </row>
    <row r="269" spans="10:27">
      <c r="K269" s="27" t="str">
        <f t="shared" si="89"/>
        <v>Java</v>
      </c>
      <c r="L269" s="55">
        <f>IF(Pricing!$E$8=Matrix2!K269,L25*VLOOKUP(Pricing!$F$8,Data!$AV$67:$AW$89,2,0),)</f>
        <v>0</v>
      </c>
      <c r="M269" s="55">
        <f>IF(Pricing!$E$11=Matrix2!K269,M25*VLOOKUP(Pricing!$F$11,Data!$AV$67:$AW$89,2,0),)</f>
        <v>0</v>
      </c>
      <c r="N269" s="55"/>
      <c r="O269" s="55"/>
      <c r="P269" s="55"/>
      <c r="Q269" s="55"/>
      <c r="R269" s="55"/>
      <c r="S269" s="55"/>
      <c r="T269" s="55"/>
      <c r="U269" s="55"/>
      <c r="V269" s="55"/>
      <c r="W269" s="55"/>
      <c r="X269" s="55"/>
      <c r="Y269" s="55"/>
      <c r="Z269" s="55"/>
    </row>
    <row r="270" spans="10:27">
      <c r="K270" s="27" t="str">
        <f t="shared" si="89"/>
        <v>Maui</v>
      </c>
      <c r="L270" s="55">
        <f>IF(Pricing!$E$8=Matrix2!K270,L26*VLOOKUP(Pricing!$F$8,Data!$AV$67:$AW$89,2,0),)</f>
        <v>0</v>
      </c>
      <c r="M270" s="55">
        <f>IF(Pricing!$E$11=Matrix2!K270,M26*VLOOKUP(Pricing!$F$11,Data!$AV$67:$AW$89,2,0),)</f>
        <v>0</v>
      </c>
      <c r="N270" s="55"/>
      <c r="O270" s="55"/>
      <c r="P270" s="55"/>
      <c r="Q270" s="55"/>
      <c r="R270" s="55"/>
      <c r="S270" s="55"/>
      <c r="T270" s="55"/>
      <c r="U270" s="55"/>
      <c r="V270" s="55"/>
      <c r="W270" s="55"/>
      <c r="X270" s="55"/>
      <c r="Y270" s="55"/>
      <c r="Z270" s="55"/>
    </row>
    <row r="271" spans="10:27">
      <c r="K271" s="27" t="str">
        <f t="shared" si="89"/>
        <v>Tahiti</v>
      </c>
      <c r="L271" s="55">
        <f>IF(Pricing!$E$8=Matrix2!K271,L$27*VLOOKUP(Pricing!$F$8,Data!$AZ$67:$BA$117,2,0),)</f>
        <v>0</v>
      </c>
      <c r="M271" s="55">
        <f>IF(Pricing!$E$11=Matrix2!K271,M$27*VLOOKUP(Pricing!$F$11,Data!$AZ$67:$BA$117,2,0),)</f>
        <v>0</v>
      </c>
      <c r="N271" s="55">
        <f>IF(Pricing!$E$14=Matrix2!K271,N$27*VLOOKUP(Pricing!$F$14,Data!$AZ$67:$BA$117,2,0),)</f>
        <v>0</v>
      </c>
      <c r="O271" s="55">
        <f>IF(Pricing!$E$17=Matrix2!K271,O$27*VLOOKUP(Pricing!$F$17,Data!$AZ$67:$BA$117,2,0),)</f>
        <v>0</v>
      </c>
      <c r="P271" s="55">
        <f>IF(Pricing!$E$20=Matrix2!K271,P$27*VLOOKUP(Pricing!$F$20,Data!$AZ$67:$BA$117,2,0),)</f>
        <v>0</v>
      </c>
      <c r="Q271" s="55">
        <f>IF(Pricing!$E$23=Matrix2!K271,Q$27*VLOOKUP(Pricing!$F$23,Data!$AZ$67:$BA$117,2,0),)</f>
        <v>0</v>
      </c>
      <c r="R271" s="55">
        <f>IF(Pricing!$E$26=Matrix2!K271,R$27*VLOOKUP(Pricing!$F$26,Data!$AZ$67:$BA$117,2,0),)</f>
        <v>0</v>
      </c>
      <c r="S271" s="55">
        <f>IF(Pricing!$E$29=Matrix2!K271,S$27*VLOOKUP(Pricing!$F$29,Data!$AZ$67:$BA$117,2,0),)</f>
        <v>0</v>
      </c>
      <c r="T271" s="55">
        <f>IF(Pricing!$E$32=Matrix2!K271,T$27*VLOOKUP(Pricing!$F$32,Data!$AZ$67:$BA$117,2,0),)</f>
        <v>0</v>
      </c>
      <c r="U271" s="55">
        <f>IF(Pricing!$E$35=Matrix2!K271,U$27*VLOOKUP(Pricing!$F$35,Data!$AZ$67:$BA$117,2,0),)</f>
        <v>0</v>
      </c>
      <c r="V271" s="55">
        <f>IF(Pricing!$E$38=Matrix2!K271,V$27*VLOOKUP(Pricing!$F$38,Data!$AZ$67:$BA$117,2,0),)</f>
        <v>0</v>
      </c>
      <c r="W271" s="55">
        <f>IF(Pricing!$E$41=Matrix2!K271,W$27*VLOOKUP(Pricing!$F$41,Data!$AZ$67:$BA$117,2,0),)</f>
        <v>0</v>
      </c>
      <c r="X271" s="55">
        <f>IF(Pricing!$E$44=Matrix2!K271,X$27*VLOOKUP(Pricing!$F$44,Data!$AZ$67:$BA$117,2,0),)</f>
        <v>0</v>
      </c>
      <c r="Y271" s="55">
        <f>IF(Pricing!$E$47=Matrix2!K271,Y$27*VLOOKUP(Pricing!$F$47,Data!$AZ$67:$BA$117,2,0),)</f>
        <v>0</v>
      </c>
      <c r="Z271" s="55">
        <f>IF(Pricing!$E$50=Matrix2!K271,Z$27*VLOOKUP(Pricing!$F$50,Data!$AZ$67:$BA$117,2,0),)</f>
        <v>0</v>
      </c>
      <c r="AA271" s="55">
        <f>SUM(L271:Z271)</f>
        <v>0</v>
      </c>
    </row>
    <row r="272" spans="10:27">
      <c r="K272" t="s">
        <v>104</v>
      </c>
      <c r="L272" s="55">
        <f>SUM(L261:L271)</f>
        <v>453.98760525000012</v>
      </c>
      <c r="M272" s="55">
        <f>SUM(M261:M271)</f>
        <v>60.700098749999995</v>
      </c>
    </row>
    <row r="277" spans="11:27">
      <c r="K277" s="981" t="s">
        <v>564</v>
      </c>
      <c r="L277" s="981"/>
      <c r="M277" s="981"/>
      <c r="N277" s="981"/>
      <c r="O277" s="981"/>
      <c r="P277" s="981"/>
      <c r="Q277" s="981"/>
      <c r="R277" s="981"/>
      <c r="S277" s="981"/>
      <c r="T277" s="981"/>
      <c r="U277" s="981"/>
      <c r="V277" s="981"/>
      <c r="W277" s="981"/>
      <c r="X277" s="981"/>
      <c r="Y277" s="981"/>
      <c r="Z277" s="981"/>
      <c r="AA277" s="981"/>
    </row>
    <row r="278" spans="11:27">
      <c r="L278" s="91" t="s">
        <v>331</v>
      </c>
      <c r="M278" s="91" t="s">
        <v>334</v>
      </c>
      <c r="N278" s="91" t="s">
        <v>336</v>
      </c>
      <c r="O278" s="91" t="s">
        <v>338</v>
      </c>
      <c r="P278" s="91" t="s">
        <v>339</v>
      </c>
      <c r="Q278" s="91" t="s">
        <v>341</v>
      </c>
      <c r="R278" s="91" t="s">
        <v>342</v>
      </c>
      <c r="S278" s="91" t="s">
        <v>343</v>
      </c>
      <c r="T278" s="91" t="s">
        <v>344</v>
      </c>
      <c r="U278" s="91" t="s">
        <v>346</v>
      </c>
      <c r="V278" s="91" t="s">
        <v>348</v>
      </c>
      <c r="W278" s="91" t="s">
        <v>350</v>
      </c>
      <c r="X278" s="91" t="s">
        <v>351</v>
      </c>
      <c r="Y278" s="91" t="s">
        <v>353</v>
      </c>
      <c r="Z278" s="91" t="s">
        <v>354</v>
      </c>
      <c r="AA278" s="91" t="s">
        <v>79</v>
      </c>
    </row>
    <row r="279" spans="11:27">
      <c r="L279" s="460">
        <f>IF(AND(Pricing!$D8="Shape",Pricing!$E8="Capri",Pricing!$F9="Raked"),Matrix2!L22*0.5,0)</f>
        <v>0</v>
      </c>
      <c r="M279" s="460">
        <f>IF(AND(Pricing!$D11="Shape",Pricing!$E11="Capri",Pricing!$F12="Raked"),Matrix2!M22*0.5,0)</f>
        <v>0</v>
      </c>
      <c r="N279" s="460">
        <f>IF(AND(Pricing!$D14="Shape",Pricing!$E14="Capri",Pricing!$F15="Raked"),Matrix2!N22*0.5,0)</f>
        <v>0</v>
      </c>
      <c r="O279" s="460">
        <f>IF(AND(Pricing!$D17="Shape",Pricing!$E17="Capri",Pricing!$F18="Raked"),Matrix2!O22*0.5,0)</f>
        <v>0</v>
      </c>
      <c r="P279" s="460">
        <f>IF(AND(Pricing!$D20="Shape",Pricing!$E20="Capri",Pricing!$F21="Raked"),Matrix2!P22*0.5,0)</f>
        <v>0</v>
      </c>
      <c r="Q279" s="460">
        <f>IF(AND(Pricing!$D23="Shape",Pricing!$E23="Capri",Pricing!$F24="Raked"),Matrix2!Q22*0.5,0)</f>
        <v>0</v>
      </c>
      <c r="R279" s="460">
        <f>IF(AND(Pricing!$D26="Shape",Pricing!$E26="Capri",Pricing!$F27="Raked"),Matrix2!R22*0.5,0)</f>
        <v>0</v>
      </c>
      <c r="S279" s="460">
        <f>IF(AND(Pricing!$D29="Shape",Pricing!$E29="Capri",Pricing!$F30="Raked"),Matrix2!S22*0.5,0)</f>
        <v>0</v>
      </c>
      <c r="T279" s="460">
        <f>IF(AND(Pricing!$D32="Shape",Pricing!$E32="Capri",Pricing!$F33="Raked"),Matrix2!T22*0.5,0)</f>
        <v>0</v>
      </c>
      <c r="U279" s="460">
        <f>IF(AND(Pricing!$D35="Shape",Pricing!$E35="Capri",Pricing!$F36="Raked"),Matrix2!U22*0.5,0)</f>
        <v>0</v>
      </c>
      <c r="V279" s="460">
        <f>IF(AND(Pricing!$D38="Shape",Pricing!$E38="Capri",Pricing!$F39="Raked"),Matrix2!V22*0.5,0)</f>
        <v>0</v>
      </c>
      <c r="W279" s="460">
        <f>IF(AND(Pricing!$D41="Shape",Pricing!$E41="Capri",Pricing!$F42="Raked"),Matrix2!W22*0.5,0)</f>
        <v>0</v>
      </c>
      <c r="X279" s="460">
        <f>IF(AND(Pricing!$D44="Shape",Pricing!$E44="Capri",Pricing!$F45="Raked"),Matrix2!X22*0.5,0)</f>
        <v>0</v>
      </c>
      <c r="Y279" s="460">
        <f>IF(AND(Pricing!$D47="Shape",Pricing!$E47="Capri",Pricing!$F48="Raked"),Matrix2!Y22*0.5,0)</f>
        <v>0</v>
      </c>
      <c r="Z279" s="460">
        <f>IF(AND(Pricing!$D50="Shape",Pricing!$E50="Capri",Pricing!$F51="Raked"),Matrix2!Z22*0.5,0)</f>
        <v>0</v>
      </c>
      <c r="AA279" s="460">
        <f>SUM(L279:Z279)</f>
        <v>0</v>
      </c>
    </row>
    <row r="282" spans="11:27">
      <c r="K282" s="981" t="s">
        <v>565</v>
      </c>
      <c r="L282" s="981"/>
      <c r="M282" s="981"/>
      <c r="N282" s="981"/>
      <c r="O282" s="981"/>
      <c r="P282" s="981"/>
      <c r="Q282" s="981"/>
      <c r="R282" s="981"/>
      <c r="S282" s="981"/>
      <c r="T282" s="981"/>
      <c r="U282" s="981"/>
      <c r="V282" s="981"/>
      <c r="W282" s="981"/>
      <c r="X282" s="981"/>
      <c r="Y282" s="981"/>
      <c r="Z282" s="981"/>
      <c r="AA282" s="981"/>
    </row>
    <row r="283" spans="11:27">
      <c r="L283" s="91" t="s">
        <v>331</v>
      </c>
      <c r="M283" s="91" t="s">
        <v>334</v>
      </c>
      <c r="N283" s="91" t="s">
        <v>336</v>
      </c>
      <c r="O283" s="91" t="s">
        <v>338</v>
      </c>
      <c r="P283" s="91" t="s">
        <v>339</v>
      </c>
      <c r="Q283" s="91" t="s">
        <v>341</v>
      </c>
      <c r="R283" s="91" t="s">
        <v>342</v>
      </c>
      <c r="S283" s="91" t="s">
        <v>343</v>
      </c>
      <c r="T283" s="91" t="s">
        <v>344</v>
      </c>
      <c r="U283" s="91" t="s">
        <v>346</v>
      </c>
      <c r="V283" s="91" t="s">
        <v>348</v>
      </c>
      <c r="W283" s="91" t="s">
        <v>350</v>
      </c>
      <c r="X283" s="91" t="s">
        <v>351</v>
      </c>
      <c r="Y283" s="91" t="s">
        <v>353</v>
      </c>
      <c r="Z283" s="91" t="s">
        <v>354</v>
      </c>
      <c r="AA283" s="91" t="s">
        <v>79</v>
      </c>
    </row>
    <row r="284" spans="11:27">
      <c r="L284" s="460">
        <f>IF(AND(Pricing!$D8="Shape",OR(Pricing!$E8="Aruba",Pricing!$E8="Capri"),Pricing!$F9="Radius"),IF(Pricing!E8="Aruba",Matrix2!L17*0.8,Matrix2!L22*0.8),0)</f>
        <v>0</v>
      </c>
      <c r="M284" s="460">
        <f>IF(AND(Pricing!$D11="Shape",Pricing!$E11="Capri",Pricing!$F12="Radius"),Matrix2!M22*0.8,0)</f>
        <v>0</v>
      </c>
      <c r="N284" s="460">
        <f>IF(AND(Pricing!$D14="Shape",Pricing!$E14="Capri",Pricing!$F15="Radius"),Matrix2!N22*0.8,0)</f>
        <v>0</v>
      </c>
      <c r="O284" s="460">
        <f>IF(AND(Pricing!$D17="Shape",Pricing!$E17="Capri",Pricing!$F18="Radius"),Matrix2!O22*0.8,0)</f>
        <v>0</v>
      </c>
      <c r="P284" s="460">
        <f>IF(AND(Pricing!$D20="Shape",Pricing!$E20="Capri",Pricing!$F21="Radius"),Matrix2!P22*0.8,0)</f>
        <v>0</v>
      </c>
      <c r="Q284" s="460">
        <f>IF(AND(Pricing!$D23="Shape",Pricing!$E23="Capri",Pricing!$F24="Radius"),Matrix2!Q22*0.8,0)</f>
        <v>0</v>
      </c>
      <c r="R284" s="460">
        <f>IF(AND(Pricing!$D26="Shape",Pricing!$E26="Capri",Pricing!$F27="Radius"),Matrix2!R22*0.8,0)</f>
        <v>0</v>
      </c>
      <c r="S284" s="460">
        <f>IF(AND(Pricing!$D29="Shape",Pricing!$E29="Capri",Pricing!$F30="Radius"),Matrix2!S22*0.8,0)</f>
        <v>0</v>
      </c>
      <c r="T284" s="460">
        <f>IF(AND(Pricing!$D32="Shape",Pricing!$E32="Capri",Pricing!$F33="Radius"),Matrix2!T22*0.8,0)</f>
        <v>0</v>
      </c>
      <c r="U284" s="460">
        <f>IF(AND(Pricing!$D35="Shape",Pricing!$E35="Capri",Pricing!$F36="Radius"),Matrix2!U22*0.8,0)</f>
        <v>0</v>
      </c>
      <c r="V284" s="460">
        <f>IF(AND(Pricing!$D38="Shape",Pricing!$E38="Capri",Pricing!$F39="Radius"),Matrix2!V22*0.8,0)</f>
        <v>0</v>
      </c>
      <c r="W284" s="460">
        <f>IF(AND(Pricing!$D41="Shape",Pricing!$E41="Capri",Pricing!$F42="Radius"),Matrix2!W22*0.8,0)</f>
        <v>0</v>
      </c>
      <c r="X284" s="460">
        <f>IF(AND(Pricing!$D44="Shape",Pricing!$E44="Capri",Pricing!$F45="Radius"),Matrix2!X22*0.8,0)</f>
        <v>0</v>
      </c>
      <c r="Y284" s="460">
        <f>IF(AND(Pricing!$D47="Shape",Pricing!$E47="Capri",Pricing!$F48="Radius"),Matrix2!Y22*0.8,0)</f>
        <v>0</v>
      </c>
      <c r="Z284" s="460">
        <f>IF(AND(Pricing!$D50="Shape",Pricing!$E50="Capri",Pricing!$F51="Radius"),Matrix2!Z22*0.8,0)</f>
        <v>0</v>
      </c>
      <c r="AA284" s="460">
        <f>SUM(L284:Z284)</f>
        <v>0</v>
      </c>
    </row>
  </sheetData>
  <sortState xmlns:xlrd2="http://schemas.microsoft.com/office/spreadsheetml/2017/richdata2" ref="G26:G36">
    <sortCondition ref="G26:G36"/>
  </sortState>
  <mergeCells count="83">
    <mergeCell ref="G24:I24"/>
    <mergeCell ref="K277:AA277"/>
    <mergeCell ref="K282:AA282"/>
    <mergeCell ref="AH32:AI32"/>
    <mergeCell ref="AH33:AI33"/>
    <mergeCell ref="AB32:AC32"/>
    <mergeCell ref="AB34:AC34"/>
    <mergeCell ref="AB36:AC36"/>
    <mergeCell ref="AD36:AF36"/>
    <mergeCell ref="AH36:AI36"/>
    <mergeCell ref="AD85:AF85"/>
    <mergeCell ref="K55:Z55"/>
    <mergeCell ref="K242:AA242"/>
    <mergeCell ref="K224:AA224"/>
    <mergeCell ref="K203:AA203"/>
    <mergeCell ref="K181:AA181"/>
    <mergeCell ref="AD30:AF30"/>
    <mergeCell ref="AD34:AF34"/>
    <mergeCell ref="AD26:AF26"/>
    <mergeCell ref="B30:C30"/>
    <mergeCell ref="AB28:AC28"/>
    <mergeCell ref="AD28:AF28"/>
    <mergeCell ref="AB29:AC29"/>
    <mergeCell ref="AD29:AF29"/>
    <mergeCell ref="K31:AA31"/>
    <mergeCell ref="AB33:AC33"/>
    <mergeCell ref="AD32:AF32"/>
    <mergeCell ref="AD33:AF33"/>
    <mergeCell ref="AB31:AC31"/>
    <mergeCell ref="AD31:AF31"/>
    <mergeCell ref="AJ36:AL36"/>
    <mergeCell ref="AJ32:AL32"/>
    <mergeCell ref="AJ33:AL33"/>
    <mergeCell ref="AJ34:AL34"/>
    <mergeCell ref="AH34:AI34"/>
    <mergeCell ref="AH35:AI35"/>
    <mergeCell ref="AJ35:AL35"/>
    <mergeCell ref="AD22:AG22"/>
    <mergeCell ref="AB24:AC24"/>
    <mergeCell ref="AD24:AF24"/>
    <mergeCell ref="AB23:AC23"/>
    <mergeCell ref="AB25:AC25"/>
    <mergeCell ref="AD25:AF25"/>
    <mergeCell ref="AJ28:AL28"/>
    <mergeCell ref="AB35:AC35"/>
    <mergeCell ref="AD35:AF35"/>
    <mergeCell ref="AH24:AI24"/>
    <mergeCell ref="AH25:AI25"/>
    <mergeCell ref="AH26:AI26"/>
    <mergeCell ref="AB26:AC26"/>
    <mergeCell ref="AJ29:AL29"/>
    <mergeCell ref="AJ30:AL30"/>
    <mergeCell ref="AJ31:AL31"/>
    <mergeCell ref="AH27:AI27"/>
    <mergeCell ref="AH28:AI28"/>
    <mergeCell ref="AH31:AI31"/>
    <mergeCell ref="AH29:AI29"/>
    <mergeCell ref="AH30:AI30"/>
    <mergeCell ref="AB30:AC30"/>
    <mergeCell ref="AT1:BF1"/>
    <mergeCell ref="K1:Z1"/>
    <mergeCell ref="K15:Z15"/>
    <mergeCell ref="AB20:AF20"/>
    <mergeCell ref="AB27:AC27"/>
    <mergeCell ref="AD27:AF27"/>
    <mergeCell ref="AJ22:AL22"/>
    <mergeCell ref="AJ23:AL23"/>
    <mergeCell ref="AJ24:AL24"/>
    <mergeCell ref="AJ25:AL25"/>
    <mergeCell ref="AJ26:AL26"/>
    <mergeCell ref="AJ27:AL27"/>
    <mergeCell ref="AB22:AC22"/>
    <mergeCell ref="AD23:AF23"/>
    <mergeCell ref="AH22:AI22"/>
    <mergeCell ref="AH23:AI23"/>
    <mergeCell ref="K73:Z73"/>
    <mergeCell ref="K164:O164"/>
    <mergeCell ref="K165:AA165"/>
    <mergeCell ref="K259:AA259"/>
    <mergeCell ref="K131:AA131"/>
    <mergeCell ref="K114:AA114"/>
    <mergeCell ref="K147:AA147"/>
    <mergeCell ref="K90:AA90"/>
  </mergeCells>
  <phoneticPr fontId="17" type="noConversion"/>
  <conditionalFormatting sqref="C31:C41">
    <cfRule type="expression" dxfId="285" priority="1">
      <formula>$C31&lt;&gt;$C$10</formula>
    </cfRule>
  </conditionalFormatting>
  <pageMargins left="0.7" right="0.7" top="0.75" bottom="0.75" header="0.3" footer="0.3"/>
  <pageSetup paperSize="9" orientation="portrait" horizontalDpi="4294967293" verticalDpi="4294967293"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D12757-8CE6-4CC2-9EE8-1C0A3688D5EC}">
  <sheetPr codeName="Sheet7">
    <tabColor rgb="FFFFC000"/>
  </sheetPr>
  <dimension ref="A1:BG117"/>
  <sheetViews>
    <sheetView topLeftCell="E1" workbookViewId="0">
      <selection activeCell="E2" sqref="E2:E10"/>
    </sheetView>
  </sheetViews>
  <sheetFormatPr defaultRowHeight="14.45"/>
  <cols>
    <col min="1" max="1" width="11.85546875" bestFit="1" customWidth="1"/>
    <col min="2" max="2" width="11.28515625" bestFit="1" customWidth="1"/>
    <col min="3" max="3" width="17.28515625" bestFit="1" customWidth="1"/>
    <col min="5" max="5" width="16.7109375" bestFit="1" customWidth="1"/>
    <col min="6" max="10" width="15.5703125" bestFit="1" customWidth="1"/>
    <col min="11" max="11" width="11.140625" bestFit="1" customWidth="1"/>
    <col min="14" max="14" width="9.42578125" customWidth="1"/>
    <col min="15" max="15" width="9.28515625" customWidth="1"/>
    <col min="17" max="17" width="9.140625" customWidth="1"/>
    <col min="18" max="18" width="9.28515625" customWidth="1"/>
    <col min="19" max="19" width="10.140625" bestFit="1" customWidth="1"/>
    <col min="21" max="21" width="14.85546875" customWidth="1"/>
    <col min="22" max="22" width="9" customWidth="1"/>
    <col min="24" max="24" width="14.140625" customWidth="1"/>
    <col min="25" max="25" width="11.28515625" customWidth="1"/>
    <col min="27" max="27" width="18" bestFit="1" customWidth="1"/>
    <col min="28" max="28" width="13" bestFit="1" customWidth="1"/>
    <col min="30" max="30" width="15.5703125" customWidth="1"/>
    <col min="32" max="33" width="19" bestFit="1" customWidth="1"/>
    <col min="35" max="35" width="19" bestFit="1" customWidth="1"/>
    <col min="36" max="37" width="18.7109375" bestFit="1" customWidth="1"/>
    <col min="38" max="39" width="18.7109375" customWidth="1"/>
    <col min="40" max="40" width="18.5703125" bestFit="1" customWidth="1"/>
    <col min="41" max="41" width="16.5703125" customWidth="1"/>
    <col min="42" max="42" width="13" customWidth="1"/>
    <col min="43" max="43" width="14.42578125" customWidth="1"/>
    <col min="44" max="44" width="15.28515625" customWidth="1"/>
    <col min="45" max="45" width="18.42578125" customWidth="1"/>
    <col min="46" max="46" width="17.28515625" customWidth="1"/>
    <col min="47" max="47" width="20.42578125" bestFit="1" customWidth="1"/>
    <col min="48" max="48" width="31.140625" bestFit="1" customWidth="1"/>
    <col min="49" max="49" width="14.5703125" customWidth="1"/>
    <col min="50" max="50" width="11" bestFit="1" customWidth="1"/>
    <col min="51" max="51" width="31.140625" bestFit="1" customWidth="1"/>
    <col min="52" max="52" width="39" bestFit="1" customWidth="1"/>
    <col min="53" max="53" width="11.7109375" bestFit="1" customWidth="1"/>
    <col min="54" max="54" width="20.28515625" bestFit="1" customWidth="1"/>
    <col min="55" max="55" width="39" bestFit="1" customWidth="1"/>
    <col min="56" max="56" width="13.85546875" bestFit="1" customWidth="1"/>
    <col min="57" max="57" width="10.7109375" bestFit="1" customWidth="1"/>
    <col min="58" max="58" width="18.5703125" bestFit="1" customWidth="1"/>
    <col min="59" max="59" width="21" bestFit="1" customWidth="1"/>
  </cols>
  <sheetData>
    <row r="1" spans="1:50">
      <c r="A1" t="s">
        <v>566</v>
      </c>
      <c r="B1" t="s">
        <v>567</v>
      </c>
      <c r="C1" t="s">
        <v>2</v>
      </c>
      <c r="D1" t="s">
        <v>3</v>
      </c>
      <c r="E1" t="s">
        <v>18</v>
      </c>
      <c r="F1" t="s">
        <v>123</v>
      </c>
      <c r="G1" t="s">
        <v>125</v>
      </c>
      <c r="H1" t="s">
        <v>124</v>
      </c>
      <c r="I1" t="s">
        <v>122</v>
      </c>
      <c r="J1" t="s">
        <v>568</v>
      </c>
      <c r="K1" t="s">
        <v>569</v>
      </c>
      <c r="L1" t="s">
        <v>63</v>
      </c>
      <c r="N1" t="s">
        <v>570</v>
      </c>
      <c r="O1" t="s">
        <v>571</v>
      </c>
      <c r="P1" t="s">
        <v>572</v>
      </c>
      <c r="Q1" t="s">
        <v>573</v>
      </c>
      <c r="R1" t="s">
        <v>574</v>
      </c>
      <c r="S1" t="s">
        <v>575</v>
      </c>
      <c r="T1" t="s">
        <v>576</v>
      </c>
      <c r="X1" t="s">
        <v>577</v>
      </c>
      <c r="Y1" t="s">
        <v>578</v>
      </c>
      <c r="Z1" t="s">
        <v>283</v>
      </c>
      <c r="AB1" t="s">
        <v>579</v>
      </c>
      <c r="AD1" t="s">
        <v>580</v>
      </c>
      <c r="AF1" s="1" t="s">
        <v>581</v>
      </c>
      <c r="AG1" s="2" t="s">
        <v>582</v>
      </c>
      <c r="AH1" s="2" t="s">
        <v>583</v>
      </c>
      <c r="AI1" s="2" t="s">
        <v>584</v>
      </c>
      <c r="AJ1" s="2" t="s">
        <v>585</v>
      </c>
      <c r="AK1" s="3" t="s">
        <v>586</v>
      </c>
      <c r="AL1" s="2" t="s">
        <v>587</v>
      </c>
      <c r="AM1" s="2" t="s">
        <v>588</v>
      </c>
      <c r="AO1" t="s">
        <v>589</v>
      </c>
      <c r="AP1" t="s">
        <v>590</v>
      </c>
      <c r="AQ1" t="s">
        <v>591</v>
      </c>
      <c r="AR1" t="s">
        <v>592</v>
      </c>
      <c r="AS1" t="s">
        <v>593</v>
      </c>
      <c r="AT1" t="s">
        <v>594</v>
      </c>
      <c r="AU1" t="s">
        <v>595</v>
      </c>
    </row>
    <row r="2" spans="1:50">
      <c r="A2" t="s">
        <v>38</v>
      </c>
      <c r="B2" t="s">
        <v>596</v>
      </c>
      <c r="C2" t="s">
        <v>35</v>
      </c>
      <c r="D2" s="333" t="s">
        <v>63</v>
      </c>
      <c r="E2" t="s">
        <v>19</v>
      </c>
      <c r="F2" t="s">
        <v>19</v>
      </c>
      <c r="G2" t="s">
        <v>19</v>
      </c>
      <c r="H2" t="s">
        <v>19</v>
      </c>
      <c r="I2" t="s">
        <v>19</v>
      </c>
      <c r="J2" t="s">
        <v>19</v>
      </c>
      <c r="K2" t="s">
        <v>597</v>
      </c>
      <c r="L2" t="s">
        <v>598</v>
      </c>
      <c r="N2" t="s">
        <v>599</v>
      </c>
      <c r="O2" t="s">
        <v>599</v>
      </c>
      <c r="P2" t="s">
        <v>599</v>
      </c>
      <c r="Q2" t="s">
        <v>599</v>
      </c>
      <c r="R2" t="s">
        <v>599</v>
      </c>
      <c r="S2" t="s">
        <v>20</v>
      </c>
      <c r="T2" t="s">
        <v>600</v>
      </c>
      <c r="X2" t="s">
        <v>36</v>
      </c>
      <c r="Y2">
        <v>44</v>
      </c>
      <c r="Z2" t="s">
        <v>601</v>
      </c>
      <c r="AB2" t="s">
        <v>602</v>
      </c>
      <c r="AD2" t="s">
        <v>77</v>
      </c>
      <c r="AF2" t="s">
        <v>19</v>
      </c>
      <c r="AG2" t="s">
        <v>19</v>
      </c>
      <c r="AH2" t="s">
        <v>603</v>
      </c>
      <c r="AI2" t="s">
        <v>19</v>
      </c>
      <c r="AJ2" t="s">
        <v>19</v>
      </c>
      <c r="AK2" t="s">
        <v>19</v>
      </c>
      <c r="AM2" t="s">
        <v>19</v>
      </c>
      <c r="AO2" s="4">
        <v>4</v>
      </c>
      <c r="AP2" s="4">
        <v>4</v>
      </c>
      <c r="AQ2" s="4">
        <v>2</v>
      </c>
      <c r="AR2" s="4">
        <v>4</v>
      </c>
      <c r="AS2" s="4">
        <v>2</v>
      </c>
      <c r="AT2" s="4">
        <v>2</v>
      </c>
      <c r="AU2" s="4" t="s">
        <v>604</v>
      </c>
      <c r="AV2" s="5"/>
      <c r="AX2" s="6"/>
    </row>
    <row r="3" spans="1:50">
      <c r="A3" t="s">
        <v>16</v>
      </c>
      <c r="B3" t="s">
        <v>605</v>
      </c>
      <c r="C3" t="s">
        <v>606</v>
      </c>
      <c r="D3" s="333" t="s">
        <v>18</v>
      </c>
      <c r="E3" t="s">
        <v>607</v>
      </c>
      <c r="F3" t="s">
        <v>608</v>
      </c>
      <c r="G3" t="s">
        <v>608</v>
      </c>
      <c r="H3" t="s">
        <v>608</v>
      </c>
      <c r="I3" t="s">
        <v>608</v>
      </c>
      <c r="J3" t="s">
        <v>608</v>
      </c>
      <c r="K3" t="s">
        <v>607</v>
      </c>
      <c r="L3" t="s">
        <v>609</v>
      </c>
      <c r="N3" t="s">
        <v>600</v>
      </c>
      <c r="O3" t="s">
        <v>600</v>
      </c>
      <c r="P3" t="s">
        <v>600</v>
      </c>
      <c r="Q3" t="s">
        <v>600</v>
      </c>
      <c r="R3" t="s">
        <v>600</v>
      </c>
      <c r="S3" t="s">
        <v>610</v>
      </c>
      <c r="T3" t="s">
        <v>20</v>
      </c>
      <c r="X3" t="s">
        <v>611</v>
      </c>
      <c r="Z3" t="s">
        <v>612</v>
      </c>
      <c r="AB3" t="s">
        <v>613</v>
      </c>
      <c r="AD3" t="s">
        <v>614</v>
      </c>
      <c r="AF3" t="s">
        <v>609</v>
      </c>
      <c r="AG3" t="s">
        <v>609</v>
      </c>
      <c r="AI3" t="s">
        <v>609</v>
      </c>
      <c r="AJ3" t="s">
        <v>609</v>
      </c>
      <c r="AK3" t="s">
        <v>609</v>
      </c>
      <c r="AM3" t="s">
        <v>609</v>
      </c>
      <c r="AO3" s="4"/>
      <c r="AP3" s="4"/>
      <c r="AQ3" s="4"/>
      <c r="AR3" s="4"/>
      <c r="AS3" s="4"/>
      <c r="AT3" s="4"/>
      <c r="AU3" s="4" t="s">
        <v>615</v>
      </c>
    </row>
    <row r="4" spans="1:50">
      <c r="A4" t="s">
        <v>616</v>
      </c>
      <c r="B4" t="s">
        <v>617</v>
      </c>
      <c r="C4" t="s">
        <v>618</v>
      </c>
      <c r="D4" s="333" t="s">
        <v>119</v>
      </c>
      <c r="E4" t="s">
        <v>608</v>
      </c>
      <c r="F4" t="s">
        <v>607</v>
      </c>
      <c r="G4" t="s">
        <v>607</v>
      </c>
      <c r="H4" t="s">
        <v>607</v>
      </c>
      <c r="I4" t="s">
        <v>607</v>
      </c>
      <c r="J4" t="s">
        <v>607</v>
      </c>
      <c r="L4" t="s">
        <v>597</v>
      </c>
      <c r="N4" t="s">
        <v>20</v>
      </c>
      <c r="O4" t="s">
        <v>20</v>
      </c>
      <c r="P4" t="s">
        <v>20</v>
      </c>
      <c r="Q4" t="s">
        <v>20</v>
      </c>
      <c r="R4" t="s">
        <v>20</v>
      </c>
      <c r="T4" t="s">
        <v>610</v>
      </c>
      <c r="X4" t="s">
        <v>619</v>
      </c>
      <c r="Z4" t="s">
        <v>620</v>
      </c>
      <c r="AB4" t="s">
        <v>22</v>
      </c>
      <c r="AD4" t="s">
        <v>621</v>
      </c>
      <c r="AF4" t="s">
        <v>622</v>
      </c>
      <c r="AG4" t="s">
        <v>622</v>
      </c>
      <c r="AI4" t="s">
        <v>622</v>
      </c>
      <c r="AJ4" t="s">
        <v>622</v>
      </c>
      <c r="AK4" t="s">
        <v>622</v>
      </c>
      <c r="AM4" t="s">
        <v>623</v>
      </c>
    </row>
    <row r="5" spans="1:50">
      <c r="A5" t="s">
        <v>624</v>
      </c>
      <c r="B5" t="s">
        <v>625</v>
      </c>
      <c r="C5" t="s">
        <v>626</v>
      </c>
      <c r="D5" s="333" t="s">
        <v>380</v>
      </c>
      <c r="E5" t="s">
        <v>622</v>
      </c>
      <c r="F5" t="s">
        <v>627</v>
      </c>
      <c r="G5" t="s">
        <v>627</v>
      </c>
      <c r="H5" t="s">
        <v>627</v>
      </c>
      <c r="I5" t="s">
        <v>627</v>
      </c>
      <c r="J5" t="s">
        <v>627</v>
      </c>
      <c r="L5" t="s">
        <v>628</v>
      </c>
      <c r="N5" t="s">
        <v>610</v>
      </c>
      <c r="O5" t="s">
        <v>610</v>
      </c>
      <c r="P5" t="s">
        <v>610</v>
      </c>
      <c r="Q5" t="s">
        <v>610</v>
      </c>
      <c r="R5" t="s">
        <v>610</v>
      </c>
      <c r="T5" t="s">
        <v>629</v>
      </c>
      <c r="X5" t="s">
        <v>630</v>
      </c>
      <c r="AB5" t="s">
        <v>386</v>
      </c>
      <c r="AF5" t="s">
        <v>631</v>
      </c>
      <c r="AG5" t="s">
        <v>632</v>
      </c>
      <c r="AI5" t="s">
        <v>632</v>
      </c>
      <c r="AJ5" t="s">
        <v>632</v>
      </c>
      <c r="AK5" t="s">
        <v>632</v>
      </c>
      <c r="AM5" t="s">
        <v>633</v>
      </c>
      <c r="AO5" t="s">
        <v>634</v>
      </c>
    </row>
    <row r="6" spans="1:50">
      <c r="A6" t="s">
        <v>635</v>
      </c>
      <c r="B6" t="s">
        <v>636</v>
      </c>
      <c r="C6" t="s">
        <v>17</v>
      </c>
      <c r="D6" s="333" t="s">
        <v>122</v>
      </c>
      <c r="E6" t="s">
        <v>637</v>
      </c>
      <c r="F6" t="s">
        <v>622</v>
      </c>
      <c r="G6" t="s">
        <v>622</v>
      </c>
      <c r="H6" t="s">
        <v>622</v>
      </c>
      <c r="I6" t="s">
        <v>622</v>
      </c>
      <c r="J6" t="s">
        <v>622</v>
      </c>
      <c r="L6" t="s">
        <v>638</v>
      </c>
      <c r="N6" t="s">
        <v>639</v>
      </c>
      <c r="P6" t="s">
        <v>639</v>
      </c>
      <c r="Q6" t="s">
        <v>639</v>
      </c>
      <c r="R6" t="s">
        <v>639</v>
      </c>
      <c r="X6" t="s">
        <v>640</v>
      </c>
      <c r="AF6" t="s">
        <v>632</v>
      </c>
      <c r="AG6" t="s">
        <v>641</v>
      </c>
      <c r="AI6" t="s">
        <v>641</v>
      </c>
      <c r="AJ6" t="s">
        <v>642</v>
      </c>
      <c r="AK6" t="s">
        <v>641</v>
      </c>
      <c r="AM6" t="s">
        <v>643</v>
      </c>
      <c r="AO6" t="s">
        <v>37</v>
      </c>
    </row>
    <row r="7" spans="1:50">
      <c r="A7" t="s">
        <v>43</v>
      </c>
      <c r="B7" t="s">
        <v>644</v>
      </c>
      <c r="C7" t="s">
        <v>425</v>
      </c>
      <c r="D7" s="333" t="s">
        <v>91</v>
      </c>
      <c r="E7" t="s">
        <v>641</v>
      </c>
      <c r="F7" t="s">
        <v>645</v>
      </c>
      <c r="G7" t="s">
        <v>645</v>
      </c>
      <c r="H7" t="s">
        <v>637</v>
      </c>
      <c r="I7" t="s">
        <v>645</v>
      </c>
      <c r="J7" t="s">
        <v>637</v>
      </c>
      <c r="L7" t="s">
        <v>646</v>
      </c>
      <c r="U7" s="353" t="s">
        <v>647</v>
      </c>
      <c r="V7" t="s">
        <v>648</v>
      </c>
      <c r="AF7" t="s">
        <v>642</v>
      </c>
      <c r="AG7" t="s">
        <v>649</v>
      </c>
      <c r="AI7" t="s">
        <v>649</v>
      </c>
      <c r="AJ7" t="s">
        <v>650</v>
      </c>
      <c r="AK7" t="s">
        <v>649</v>
      </c>
      <c r="AM7" t="s">
        <v>651</v>
      </c>
      <c r="AO7" t="s">
        <v>40</v>
      </c>
    </row>
    <row r="8" spans="1:50">
      <c r="A8" t="s">
        <v>652</v>
      </c>
      <c r="B8" t="s">
        <v>653</v>
      </c>
      <c r="C8" t="s">
        <v>525</v>
      </c>
      <c r="D8" s="333" t="s">
        <v>123</v>
      </c>
      <c r="E8" t="s">
        <v>649</v>
      </c>
      <c r="F8" t="s">
        <v>631</v>
      </c>
      <c r="G8" t="s">
        <v>631</v>
      </c>
      <c r="H8" t="s">
        <v>645</v>
      </c>
      <c r="I8" t="s">
        <v>631</v>
      </c>
      <c r="J8" t="s">
        <v>645</v>
      </c>
      <c r="L8" t="s">
        <v>654</v>
      </c>
      <c r="U8" s="354" t="s">
        <v>655</v>
      </c>
      <c r="V8" t="s">
        <v>656</v>
      </c>
      <c r="X8" t="s">
        <v>657</v>
      </c>
      <c r="Y8" t="s">
        <v>658</v>
      </c>
      <c r="AD8" t="s">
        <v>659</v>
      </c>
      <c r="AF8" t="s">
        <v>660</v>
      </c>
      <c r="AG8" t="s">
        <v>631</v>
      </c>
      <c r="AI8" t="s">
        <v>631</v>
      </c>
      <c r="AJ8" t="s">
        <v>603</v>
      </c>
      <c r="AK8" t="s">
        <v>631</v>
      </c>
      <c r="AM8" t="s">
        <v>661</v>
      </c>
      <c r="AO8" t="s">
        <v>429</v>
      </c>
    </row>
    <row r="9" spans="1:50">
      <c r="A9" t="s">
        <v>662</v>
      </c>
      <c r="B9" t="s">
        <v>44</v>
      </c>
      <c r="C9" t="s">
        <v>663</v>
      </c>
      <c r="D9" s="333" t="s">
        <v>124</v>
      </c>
      <c r="E9" t="s">
        <v>631</v>
      </c>
      <c r="F9" t="s">
        <v>664</v>
      </c>
      <c r="G9" t="s">
        <v>664</v>
      </c>
      <c r="H9" t="s">
        <v>641</v>
      </c>
      <c r="I9" t="s">
        <v>664</v>
      </c>
      <c r="J9" t="s">
        <v>665</v>
      </c>
      <c r="L9" t="s">
        <v>666</v>
      </c>
      <c r="R9" t="s">
        <v>3</v>
      </c>
      <c r="S9" t="s">
        <v>667</v>
      </c>
      <c r="T9" t="s">
        <v>36</v>
      </c>
      <c r="U9" s="339" t="s">
        <v>611</v>
      </c>
      <c r="V9" t="s">
        <v>668</v>
      </c>
      <c r="X9" t="s">
        <v>21</v>
      </c>
      <c r="AA9" s="526" t="s">
        <v>669</v>
      </c>
      <c r="AB9" s="527" t="s">
        <v>658</v>
      </c>
      <c r="AD9" t="s">
        <v>670</v>
      </c>
      <c r="AF9" t="s">
        <v>603</v>
      </c>
      <c r="AG9" t="s">
        <v>671</v>
      </c>
      <c r="AI9" t="s">
        <v>671</v>
      </c>
      <c r="AJ9" t="s">
        <v>672</v>
      </c>
      <c r="AK9" t="s">
        <v>671</v>
      </c>
      <c r="AM9" t="s">
        <v>673</v>
      </c>
      <c r="AO9" t="s">
        <v>432</v>
      </c>
    </row>
    <row r="10" spans="1:50">
      <c r="A10" t="s">
        <v>674</v>
      </c>
      <c r="B10" t="s">
        <v>675</v>
      </c>
      <c r="D10" s="333" t="s">
        <v>125</v>
      </c>
      <c r="E10" t="s">
        <v>676</v>
      </c>
      <c r="F10" t="s">
        <v>677</v>
      </c>
      <c r="G10" t="s">
        <v>677</v>
      </c>
      <c r="H10" t="s">
        <v>678</v>
      </c>
      <c r="I10" t="s">
        <v>677</v>
      </c>
      <c r="J10" t="s">
        <v>641</v>
      </c>
      <c r="L10" t="s">
        <v>679</v>
      </c>
      <c r="R10" t="s">
        <v>18</v>
      </c>
      <c r="S10" s="4" t="str">
        <f>N2</f>
        <v>47mm</v>
      </c>
      <c r="T10" s="4">
        <v>22.2</v>
      </c>
      <c r="U10" s="338" t="s">
        <v>680</v>
      </c>
      <c r="V10" s="4" t="s">
        <v>681</v>
      </c>
      <c r="W10" s="4"/>
      <c r="X10" t="s">
        <v>682</v>
      </c>
      <c r="AA10" s="528" t="s">
        <v>106</v>
      </c>
      <c r="AB10" s="529">
        <f>IF(Pricing!N70="10% Promo",10%*Pricing!P2,0)</f>
        <v>0</v>
      </c>
      <c r="AD10" t="s">
        <v>683</v>
      </c>
      <c r="AF10" t="s">
        <v>672</v>
      </c>
      <c r="AG10" t="s">
        <v>664</v>
      </c>
      <c r="AI10" t="s">
        <v>684</v>
      </c>
      <c r="AJ10" t="s">
        <v>685</v>
      </c>
      <c r="AK10" t="s">
        <v>664</v>
      </c>
      <c r="AM10" t="s">
        <v>686</v>
      </c>
      <c r="AT10" s="526" t="s">
        <v>687</v>
      </c>
      <c r="AU10" s="556" t="s">
        <v>688</v>
      </c>
      <c r="AV10" s="562" t="s">
        <v>689</v>
      </c>
      <c r="AW10" s="562"/>
    </row>
    <row r="11" spans="1:50">
      <c r="A11" t="s">
        <v>690</v>
      </c>
      <c r="B11" t="s">
        <v>691</v>
      </c>
      <c r="D11" s="333" t="s">
        <v>121</v>
      </c>
      <c r="F11" t="s">
        <v>676</v>
      </c>
      <c r="G11" t="s">
        <v>676</v>
      </c>
      <c r="H11" t="s">
        <v>649</v>
      </c>
      <c r="I11" t="s">
        <v>684</v>
      </c>
      <c r="J11" t="s">
        <v>632</v>
      </c>
      <c r="L11" t="s">
        <v>692</v>
      </c>
      <c r="N11" t="s">
        <v>282</v>
      </c>
      <c r="P11" t="s">
        <v>693</v>
      </c>
      <c r="R11" t="s">
        <v>18</v>
      </c>
      <c r="S11" s="4" t="str">
        <f>N3</f>
        <v>63mm</v>
      </c>
      <c r="T11" s="4">
        <v>22.2</v>
      </c>
      <c r="U11" s="339" t="s">
        <v>694</v>
      </c>
      <c r="V11" s="4" t="s">
        <v>695</v>
      </c>
      <c r="W11" s="4"/>
      <c r="X11" t="s">
        <v>696</v>
      </c>
      <c r="AA11" s="451" t="s">
        <v>697</v>
      </c>
      <c r="AB11" s="530">
        <f>IF(Pricing!N71="10% Promo",10%*Pricing!P3,0)</f>
        <v>0</v>
      </c>
      <c r="AD11" t="s">
        <v>698</v>
      </c>
      <c r="AF11" t="s">
        <v>671</v>
      </c>
      <c r="AG11" t="s">
        <v>699</v>
      </c>
      <c r="AI11" t="s">
        <v>664</v>
      </c>
      <c r="AJ11" t="s">
        <v>700</v>
      </c>
      <c r="AK11" t="s">
        <v>699</v>
      </c>
      <c r="AM11" t="s">
        <v>701</v>
      </c>
      <c r="AT11" s="528" t="s">
        <v>47</v>
      </c>
      <c r="AU11" s="557"/>
      <c r="AV11" s="557"/>
      <c r="AW11" s="557"/>
    </row>
    <row r="12" spans="1:50">
      <c r="A12" t="s">
        <v>702</v>
      </c>
      <c r="B12" t="s">
        <v>703</v>
      </c>
      <c r="D12" s="333" t="s">
        <v>92</v>
      </c>
      <c r="F12" t="s">
        <v>704</v>
      </c>
      <c r="G12" t="s">
        <v>704</v>
      </c>
      <c r="H12" t="s">
        <v>631</v>
      </c>
      <c r="J12" t="s">
        <v>598</v>
      </c>
      <c r="L12" t="s">
        <v>705</v>
      </c>
      <c r="N12" t="s">
        <v>706</v>
      </c>
      <c r="P12" t="s">
        <v>47</v>
      </c>
      <c r="R12" t="s">
        <v>18</v>
      </c>
      <c r="S12" s="4" t="str">
        <f>N4</f>
        <v>76mm</v>
      </c>
      <c r="T12" s="4">
        <v>22.2</v>
      </c>
      <c r="U12" s="338"/>
      <c r="V12" s="4"/>
      <c r="W12" s="4"/>
      <c r="X12" t="s">
        <v>707</v>
      </c>
      <c r="AA12" s="528" t="s">
        <v>708</v>
      </c>
      <c r="AB12" s="529">
        <f>IF(Pricing!N72="10% Promo",10%*Pricing!P4,0)</f>
        <v>0</v>
      </c>
      <c r="AD12" t="s">
        <v>709</v>
      </c>
      <c r="AF12" t="s">
        <v>700</v>
      </c>
      <c r="AG12" t="s">
        <v>684</v>
      </c>
      <c r="AI12" t="s">
        <v>699</v>
      </c>
      <c r="AJ12" t="s">
        <v>699</v>
      </c>
      <c r="AK12" t="s">
        <v>684</v>
      </c>
      <c r="AT12" s="451" t="s">
        <v>710</v>
      </c>
      <c r="AU12" s="558">
        <v>0</v>
      </c>
      <c r="AV12" s="599">
        <f>ABS(PMT(Data!AU12/12,12*1,Pricing!$U$65))</f>
        <v>307.5</v>
      </c>
      <c r="AW12" s="561"/>
    </row>
    <row r="13" spans="1:50">
      <c r="A13" t="s">
        <v>711</v>
      </c>
      <c r="B13" t="s">
        <v>712</v>
      </c>
      <c r="F13" t="s">
        <v>684</v>
      </c>
      <c r="G13" t="s">
        <v>684</v>
      </c>
      <c r="H13" t="s">
        <v>664</v>
      </c>
      <c r="J13" t="s">
        <v>713</v>
      </c>
      <c r="L13" t="s">
        <v>714</v>
      </c>
      <c r="N13" t="s">
        <v>715</v>
      </c>
      <c r="P13" t="s">
        <v>716</v>
      </c>
      <c r="R13" t="s">
        <v>18</v>
      </c>
      <c r="S13" s="4" t="str">
        <f>N5</f>
        <v>89mm</v>
      </c>
      <c r="T13" s="4">
        <v>22.2</v>
      </c>
      <c r="U13" s="4"/>
      <c r="V13" s="4"/>
      <c r="W13" s="4"/>
      <c r="X13" t="s">
        <v>717</v>
      </c>
      <c r="AA13" s="451" t="s">
        <v>718</v>
      </c>
      <c r="AB13" s="530">
        <f>IF(Pricing!N74=AA13,5%*Pricing!P59,0)</f>
        <v>0</v>
      </c>
      <c r="AD13" t="s">
        <v>719</v>
      </c>
      <c r="AF13" t="s">
        <v>699</v>
      </c>
      <c r="AG13" t="s">
        <v>672</v>
      </c>
      <c r="AI13" t="s">
        <v>672</v>
      </c>
      <c r="AJ13" t="s">
        <v>641</v>
      </c>
      <c r="AK13" t="s">
        <v>672</v>
      </c>
      <c r="AT13" s="528" t="s">
        <v>720</v>
      </c>
      <c r="AU13" s="560">
        <v>0.109</v>
      </c>
      <c r="AV13" s="599">
        <f>ABS(PMT(Data!AU13/12,2*12,Pricing!$U$65))</f>
        <v>171.81165610458859</v>
      </c>
      <c r="AW13" s="560"/>
    </row>
    <row r="14" spans="1:50">
      <c r="A14" t="s">
        <v>34</v>
      </c>
      <c r="B14" t="s">
        <v>721</v>
      </c>
      <c r="D14" t="s">
        <v>169</v>
      </c>
      <c r="F14" t="s">
        <v>649</v>
      </c>
      <c r="H14" t="s">
        <v>677</v>
      </c>
      <c r="J14" t="s">
        <v>649</v>
      </c>
      <c r="L14" t="s">
        <v>722</v>
      </c>
      <c r="N14" t="s">
        <v>723</v>
      </c>
      <c r="P14" t="s">
        <v>724</v>
      </c>
      <c r="R14" t="s">
        <v>18</v>
      </c>
      <c r="S14" s="4" t="str">
        <f>N6</f>
        <v>114mm</v>
      </c>
      <c r="T14" s="7">
        <v>22.2</v>
      </c>
      <c r="U14" s="7" t="s">
        <v>725</v>
      </c>
      <c r="V14" s="7"/>
      <c r="W14" s="7"/>
      <c r="AA14" s="273" t="s">
        <v>726</v>
      </c>
      <c r="AB14" s="338">
        <f>IF(Pricing!N74=AA14,10%*Pricing!P59,0)</f>
        <v>0</v>
      </c>
      <c r="AD14" t="s">
        <v>727</v>
      </c>
      <c r="AF14" t="s">
        <v>641</v>
      </c>
      <c r="AG14" t="s">
        <v>660</v>
      </c>
      <c r="AI14" t="s">
        <v>728</v>
      </c>
      <c r="AJ14" t="s">
        <v>631</v>
      </c>
      <c r="AO14" t="s">
        <v>465</v>
      </c>
      <c r="AP14" t="str">
        <f>IF(ISNUMBER(FIND(AutoClose,AQ14)),"",AQ14&amp;AutoClose &amp; ",")</f>
        <v/>
      </c>
      <c r="AQ14" t="s">
        <v>729</v>
      </c>
      <c r="AT14" s="451" t="s">
        <v>730</v>
      </c>
      <c r="AU14" s="561">
        <f>AU13</f>
        <v>0.109</v>
      </c>
      <c r="AV14" s="599">
        <f>ABS(PMT(Data!AU14/12,3*12,Pricing!$U$65))</f>
        <v>120.63119620928289</v>
      </c>
      <c r="AW14" s="561"/>
    </row>
    <row r="15" spans="1:50">
      <c r="B15" t="s">
        <v>690</v>
      </c>
      <c r="D15" t="s">
        <v>63</v>
      </c>
      <c r="F15" t="s">
        <v>731</v>
      </c>
      <c r="H15" t="s">
        <v>676</v>
      </c>
      <c r="J15" t="s">
        <v>731</v>
      </c>
      <c r="L15" t="s">
        <v>732</v>
      </c>
      <c r="N15" t="s">
        <v>733</v>
      </c>
      <c r="P15" t="s">
        <v>734</v>
      </c>
      <c r="R15" t="s">
        <v>122</v>
      </c>
      <c r="S15" s="4" t="str">
        <f>R2</f>
        <v>47mm</v>
      </c>
      <c r="T15" s="7">
        <v>22.2</v>
      </c>
      <c r="U15" s="7" t="s">
        <v>612</v>
      </c>
      <c r="V15" s="7"/>
      <c r="W15" s="7"/>
      <c r="AD15" t="s">
        <v>735</v>
      </c>
      <c r="AF15" t="s">
        <v>664</v>
      </c>
      <c r="AG15" t="s">
        <v>642</v>
      </c>
      <c r="AI15" t="s">
        <v>650</v>
      </c>
      <c r="AJ15" t="s">
        <v>664</v>
      </c>
      <c r="AO15" t="s">
        <v>736</v>
      </c>
      <c r="AP15" t="str">
        <f>IF(ISNUMBER(FIND(ConcealedHinge,AQ14)),"",AQ14&amp;ConcealedHinge &amp; ",")</f>
        <v>Nickel Knob B,Nickel Knob A,Auto Close,Concealed Hinge,</v>
      </c>
      <c r="AT15" s="528" t="s">
        <v>737</v>
      </c>
      <c r="AU15" s="560">
        <f>AU13</f>
        <v>0.109</v>
      </c>
      <c r="AV15" s="599">
        <f>ABS(PMT(Data!AU15/12,4*12,Pricing!$U$65))</f>
        <v>95.190880051901942</v>
      </c>
      <c r="AW15" s="560"/>
    </row>
    <row r="16" spans="1:50">
      <c r="B16">
        <v>1</v>
      </c>
      <c r="D16" t="s">
        <v>125</v>
      </c>
      <c r="F16" t="s">
        <v>631</v>
      </c>
      <c r="H16" t="s">
        <v>738</v>
      </c>
      <c r="J16" t="s">
        <v>631</v>
      </c>
      <c r="L16" t="s">
        <v>739</v>
      </c>
      <c r="N16" t="s">
        <v>740</v>
      </c>
      <c r="P16" t="s">
        <v>741</v>
      </c>
      <c r="R16" t="s">
        <v>122</v>
      </c>
      <c r="S16" s="4" t="str">
        <f>R3</f>
        <v>63mm</v>
      </c>
      <c r="T16" s="7">
        <v>22.2</v>
      </c>
      <c r="U16" s="7" t="s">
        <v>620</v>
      </c>
      <c r="V16" s="7"/>
      <c r="W16" s="7"/>
      <c r="AD16" t="s">
        <v>742</v>
      </c>
      <c r="AF16" t="s">
        <v>649</v>
      </c>
      <c r="AG16" t="s">
        <v>603</v>
      </c>
      <c r="AI16" t="s">
        <v>743</v>
      </c>
      <c r="AJ16" t="s">
        <v>649</v>
      </c>
      <c r="AO16" t="s">
        <v>744</v>
      </c>
      <c r="AP16" t="str">
        <f>IF(ISNUMBER(FIND(TelescopicWand,AQ14)),"",AQ14&amp;TelescopicWand &amp; ",")</f>
        <v>Nickel Knob B,Nickel Knob A,Auto Close,Telescopic Wand,</v>
      </c>
      <c r="AT16" s="451" t="s">
        <v>745</v>
      </c>
      <c r="AU16" s="561">
        <f>AU13</f>
        <v>0.109</v>
      </c>
      <c r="AV16" s="599">
        <f>ABS(PMT(Data!AU16/12,5*12,Pricing!$U$65))</f>
        <v>80.045640233291721</v>
      </c>
      <c r="AW16" s="559"/>
    </row>
    <row r="17" spans="2:59">
      <c r="B17">
        <v>2</v>
      </c>
      <c r="D17" t="s">
        <v>124</v>
      </c>
      <c r="F17" t="s">
        <v>746</v>
      </c>
      <c r="H17" t="s">
        <v>704</v>
      </c>
      <c r="J17" t="s">
        <v>746</v>
      </c>
      <c r="N17" t="s">
        <v>747</v>
      </c>
      <c r="P17" t="s">
        <v>748</v>
      </c>
      <c r="R17" t="s">
        <v>122</v>
      </c>
      <c r="S17" s="4" t="str">
        <f>R4</f>
        <v>76mm</v>
      </c>
      <c r="T17" s="7">
        <v>22.2</v>
      </c>
      <c r="U17" s="7"/>
      <c r="V17" s="7"/>
      <c r="W17" s="7"/>
      <c r="AG17" t="s">
        <v>743</v>
      </c>
      <c r="AI17" t="s">
        <v>603</v>
      </c>
      <c r="AJ17" t="s">
        <v>684</v>
      </c>
      <c r="AO17" t="s">
        <v>749</v>
      </c>
      <c r="AP17" t="str">
        <f>IF(ISNUMBER(FIND(NoneStdShape,AQ14)),"",AQ14&amp;NoneStdShape &amp; ",")</f>
        <v>Nickel Knob B,Nickel Knob A,Auto Close,None Std Shape,</v>
      </c>
      <c r="AT17" s="273" t="s">
        <v>750</v>
      </c>
      <c r="AU17" s="354"/>
      <c r="AV17" s="563"/>
      <c r="AW17" s="564"/>
    </row>
    <row r="18" spans="2:59">
      <c r="B18">
        <v>3</v>
      </c>
      <c r="D18" t="s">
        <v>92</v>
      </c>
      <c r="F18" t="s">
        <v>664</v>
      </c>
      <c r="H18" t="s">
        <v>684</v>
      </c>
      <c r="J18" t="s">
        <v>664</v>
      </c>
      <c r="N18" t="s">
        <v>751</v>
      </c>
      <c r="P18" t="s">
        <v>752</v>
      </c>
      <c r="R18" t="s">
        <v>122</v>
      </c>
      <c r="S18" s="4" t="str">
        <f>R5</f>
        <v>89mm</v>
      </c>
      <c r="T18" s="7">
        <v>22.2</v>
      </c>
      <c r="U18" s="7" t="s">
        <v>753</v>
      </c>
      <c r="V18" s="7" t="s">
        <v>754</v>
      </c>
      <c r="W18" s="7"/>
      <c r="AO18" t="s">
        <v>431</v>
      </c>
      <c r="AP18" t="str">
        <f>IF(ISNUMBER(FIND(RingPull,AQ14)),"",AQ14&amp;RingPull &amp; ",")</f>
        <v>Nickel Knob B,Nickel Knob A,Auto Close,Ring Pull,</v>
      </c>
    </row>
    <row r="19" spans="2:59">
      <c r="B19">
        <v>4</v>
      </c>
      <c r="D19" t="s">
        <v>121</v>
      </c>
      <c r="F19" t="s">
        <v>699</v>
      </c>
      <c r="H19" t="s">
        <v>755</v>
      </c>
      <c r="J19" t="s">
        <v>699</v>
      </c>
      <c r="P19" t="s">
        <v>756</v>
      </c>
      <c r="R19" t="s">
        <v>122</v>
      </c>
      <c r="S19" s="4" t="str">
        <f>R6</f>
        <v>114mm</v>
      </c>
      <c r="T19" s="7">
        <v>22.2</v>
      </c>
      <c r="U19" s="7" t="s">
        <v>757</v>
      </c>
      <c r="V19" s="7" t="s">
        <v>22</v>
      </c>
      <c r="W19" s="7"/>
      <c r="AO19" t="s">
        <v>434</v>
      </c>
      <c r="AP19" t="str">
        <f>IF(ISNUMBER(FIND(Bolt,AQ14)),"",AQ14&amp;Bolt &amp; ",")</f>
        <v>Nickel Knob B,Nickel Knob A,Auto Close,Bolt,</v>
      </c>
    </row>
    <row r="20" spans="2:59">
      <c r="B20">
        <v>5</v>
      </c>
      <c r="D20" t="s">
        <v>91</v>
      </c>
      <c r="F20" t="s">
        <v>677</v>
      </c>
      <c r="H20" t="s">
        <v>758</v>
      </c>
      <c r="J20" t="s">
        <v>677</v>
      </c>
      <c r="R20" t="s">
        <v>123</v>
      </c>
      <c r="S20" s="4" t="str">
        <f>O2</f>
        <v>47mm</v>
      </c>
      <c r="T20" s="7">
        <v>22.2</v>
      </c>
      <c r="U20" s="7" t="s">
        <v>602</v>
      </c>
      <c r="V20" s="7"/>
      <c r="W20" s="7"/>
      <c r="AO20" t="s">
        <v>435</v>
      </c>
      <c r="AP20" t="str">
        <f>IF(ISNUMBER(FIND(AdjustableHinge,AQ14)),"",AQ14&amp;AdjustableHinge &amp; ",")</f>
        <v>Nickel Knob B,Nickel Knob A,Auto Close,Adjustable Hinge (Samoa),</v>
      </c>
    </row>
    <row r="21" spans="2:59" ht="14.45" customHeight="1">
      <c r="B21" t="s">
        <v>759</v>
      </c>
      <c r="F21" t="s">
        <v>760</v>
      </c>
      <c r="H21" t="s">
        <v>761</v>
      </c>
      <c r="J21" t="s">
        <v>738</v>
      </c>
      <c r="R21" t="s">
        <v>123</v>
      </c>
      <c r="S21" s="4" t="str">
        <f>O3</f>
        <v>63mm</v>
      </c>
      <c r="T21" s="7">
        <v>22.2</v>
      </c>
      <c r="U21" s="7" t="s">
        <v>762</v>
      </c>
      <c r="V21" s="7"/>
      <c r="W21" s="7"/>
      <c r="X21" t="s">
        <v>763</v>
      </c>
      <c r="Y21" t="s">
        <v>327</v>
      </c>
      <c r="Z21" t="s">
        <v>764</v>
      </c>
      <c r="AB21" s="485" t="s">
        <v>765</v>
      </c>
      <c r="AC21" s="486"/>
      <c r="AO21" t="s">
        <v>438</v>
      </c>
      <c r="AP21" t="str">
        <f>IF(ISNUMBER(FIND(PowerMotion,AQ14)),"",AQ14&amp;PowerMotion &amp; ",")</f>
        <v>Nickel Knob B,Nickel Knob A,Auto Close,Power Motion,</v>
      </c>
    </row>
    <row r="22" spans="2:59">
      <c r="B22" t="s">
        <v>766</v>
      </c>
      <c r="F22" t="s">
        <v>767</v>
      </c>
      <c r="H22" t="s">
        <v>768</v>
      </c>
      <c r="J22" t="s">
        <v>769</v>
      </c>
      <c r="R22" t="s">
        <v>123</v>
      </c>
      <c r="S22" s="4" t="str">
        <f>O4</f>
        <v>76mm</v>
      </c>
      <c r="T22" s="7">
        <v>22.2</v>
      </c>
      <c r="U22" s="7"/>
      <c r="V22" s="7"/>
      <c r="W22" s="7"/>
      <c r="X22" s="273" t="s">
        <v>37</v>
      </c>
      <c r="Y22" t="s">
        <v>37</v>
      </c>
      <c r="Z22" t="s">
        <v>429</v>
      </c>
      <c r="AB22" s="485"/>
      <c r="AC22" s="486"/>
      <c r="AO22" t="s">
        <v>454</v>
      </c>
      <c r="AP22" t="str">
        <f>IF(ISNUMBER(FIND(PowerMotionRemote,AQ14)),"",AQ14&amp;PowerMotionRemote &amp; ",")</f>
        <v>Nickel Knob B,Nickel Knob A,Auto Close,Power Motion Remote,</v>
      </c>
    </row>
    <row r="23" spans="2:59">
      <c r="B23" t="s">
        <v>770</v>
      </c>
      <c r="F23" t="s">
        <v>684</v>
      </c>
      <c r="H23" t="s">
        <v>771</v>
      </c>
      <c r="J23" t="s">
        <v>684</v>
      </c>
      <c r="N23" t="s">
        <v>772</v>
      </c>
      <c r="R23" t="s">
        <v>123</v>
      </c>
      <c r="S23" s="4" t="str">
        <f>O5</f>
        <v>89mm</v>
      </c>
      <c r="T23" s="7">
        <v>22.2</v>
      </c>
      <c r="U23" s="7"/>
      <c r="V23" s="7"/>
      <c r="W23" s="7"/>
      <c r="X23" s="274" t="s">
        <v>40</v>
      </c>
      <c r="Y23" t="s">
        <v>40</v>
      </c>
      <c r="Z23" t="s">
        <v>432</v>
      </c>
      <c r="AB23" s="385">
        <v>0.1</v>
      </c>
      <c r="AF23" t="s">
        <v>773</v>
      </c>
      <c r="AN23" t="s">
        <v>774</v>
      </c>
      <c r="AO23" t="str">
        <f>IF(ISNUMBER(FIND(NickelKnobA,AQ14)),"",AQ14&amp;NickelKnobA &amp; ",")</f>
        <v/>
      </c>
    </row>
    <row r="24" spans="2:59">
      <c r="B24" t="s">
        <v>775</v>
      </c>
      <c r="F24" t="s">
        <v>776</v>
      </c>
      <c r="H24" t="s">
        <v>777</v>
      </c>
      <c r="J24" t="s">
        <v>776</v>
      </c>
      <c r="N24" t="s">
        <v>778</v>
      </c>
      <c r="R24" t="s">
        <v>125</v>
      </c>
      <c r="S24" s="4" t="str">
        <f>P2</f>
        <v>47mm</v>
      </c>
      <c r="T24" s="7">
        <v>22.2</v>
      </c>
      <c r="U24" s="7"/>
      <c r="V24" s="7"/>
      <c r="W24" s="7"/>
      <c r="X24" s="273" t="s">
        <v>436</v>
      </c>
      <c r="Y24" t="s">
        <v>436</v>
      </c>
      <c r="AB24" s="384"/>
      <c r="AN24" t="s">
        <v>779</v>
      </c>
      <c r="AO24" t="str">
        <f>IF(ISNUMBER(FIND(NickelKnobB,AQ14)),"",AQ14&amp;NickelKnobB &amp; ",")</f>
        <v/>
      </c>
    </row>
    <row r="25" spans="2:59">
      <c r="F25" t="s">
        <v>563</v>
      </c>
      <c r="H25" t="s">
        <v>780</v>
      </c>
      <c r="J25" t="s">
        <v>781</v>
      </c>
      <c r="R25" t="s">
        <v>125</v>
      </c>
      <c r="S25" s="4" t="str">
        <f>P3</f>
        <v>63mm</v>
      </c>
      <c r="T25" s="7">
        <v>22.2</v>
      </c>
      <c r="U25" s="7" t="s">
        <v>782</v>
      </c>
      <c r="V25" s="7"/>
      <c r="W25" s="7"/>
      <c r="X25" s="274" t="s">
        <v>429</v>
      </c>
      <c r="Y25" t="s">
        <v>429</v>
      </c>
      <c r="AB25" s="385"/>
    </row>
    <row r="26" spans="2:59">
      <c r="H26" t="s">
        <v>783</v>
      </c>
      <c r="J26" t="s">
        <v>784</v>
      </c>
      <c r="N26" t="s">
        <v>77</v>
      </c>
      <c r="R26" t="s">
        <v>125</v>
      </c>
      <c r="S26" s="4" t="str">
        <f>P4</f>
        <v>76mm</v>
      </c>
      <c r="T26" s="7">
        <v>22.2</v>
      </c>
      <c r="U26" s="7">
        <f>COUNTIFS(Pricing!AE10:AF52,"Incomplete")</f>
        <v>0</v>
      </c>
      <c r="V26" s="7"/>
      <c r="W26" s="7"/>
      <c r="X26" s="273" t="s">
        <v>432</v>
      </c>
      <c r="Y26" t="s">
        <v>432</v>
      </c>
      <c r="AB26" s="384"/>
      <c r="AI26" t="s">
        <v>499</v>
      </c>
      <c r="AJ26" t="s">
        <v>785</v>
      </c>
      <c r="AK26" t="s">
        <v>786</v>
      </c>
      <c r="AL26" t="s">
        <v>787</v>
      </c>
      <c r="AM26" t="s">
        <v>788</v>
      </c>
      <c r="AN26" t="s">
        <v>789</v>
      </c>
      <c r="AO26" t="s">
        <v>790</v>
      </c>
      <c r="AP26" t="s">
        <v>791</v>
      </c>
      <c r="AQ26" t="s">
        <v>792</v>
      </c>
      <c r="AR26" t="s">
        <v>793</v>
      </c>
      <c r="AS26" t="s">
        <v>794</v>
      </c>
      <c r="AT26" t="s">
        <v>795</v>
      </c>
      <c r="AU26" t="s">
        <v>796</v>
      </c>
      <c r="AV26" t="s">
        <v>797</v>
      </c>
      <c r="AW26" t="s">
        <v>798</v>
      </c>
      <c r="AX26" t="s">
        <v>799</v>
      </c>
      <c r="AY26" t="s">
        <v>800</v>
      </c>
      <c r="AZ26" t="s">
        <v>801</v>
      </c>
      <c r="BA26" t="s">
        <v>802</v>
      </c>
      <c r="BB26" t="s">
        <v>803</v>
      </c>
      <c r="BC26" t="s">
        <v>804</v>
      </c>
      <c r="BD26" t="s">
        <v>805</v>
      </c>
      <c r="BE26" t="s">
        <v>806</v>
      </c>
      <c r="BF26" t="s">
        <v>807</v>
      </c>
      <c r="BG26" t="s">
        <v>808</v>
      </c>
    </row>
    <row r="27" spans="2:59">
      <c r="H27" t="s">
        <v>809</v>
      </c>
      <c r="J27" t="s">
        <v>810</v>
      </c>
      <c r="N27" t="s">
        <v>621</v>
      </c>
      <c r="R27" t="s">
        <v>125</v>
      </c>
      <c r="S27" s="4" t="str">
        <f>P5</f>
        <v>89mm</v>
      </c>
      <c r="T27" s="7">
        <v>22.2</v>
      </c>
      <c r="U27" s="7"/>
      <c r="V27" s="7"/>
      <c r="W27" s="7"/>
      <c r="X27" s="274" t="s">
        <v>811</v>
      </c>
      <c r="Y27" t="s">
        <v>811</v>
      </c>
      <c r="AB27" s="383"/>
      <c r="AI27" t="s">
        <v>19</v>
      </c>
      <c r="AJ27" t="s">
        <v>598</v>
      </c>
      <c r="AK27" t="s">
        <v>599</v>
      </c>
      <c r="AL27" t="s">
        <v>602</v>
      </c>
      <c r="AM27" t="s">
        <v>19</v>
      </c>
      <c r="AN27" t="s">
        <v>598</v>
      </c>
      <c r="AO27" t="s">
        <v>812</v>
      </c>
      <c r="AP27" t="s">
        <v>22</v>
      </c>
      <c r="AQ27" t="s">
        <v>19</v>
      </c>
      <c r="AR27" t="s">
        <v>813</v>
      </c>
      <c r="AS27" t="s">
        <v>600</v>
      </c>
      <c r="AT27" t="s">
        <v>602</v>
      </c>
      <c r="AU27" t="s">
        <v>609</v>
      </c>
      <c r="AV27" s="409" t="s">
        <v>19</v>
      </c>
      <c r="AW27" s="409" t="s">
        <v>600</v>
      </c>
      <c r="AX27" t="s">
        <v>602</v>
      </c>
      <c r="AY27" t="s">
        <v>609</v>
      </c>
      <c r="AZ27" s="409" t="s">
        <v>19</v>
      </c>
      <c r="BA27" t="s">
        <v>600</v>
      </c>
      <c r="BB27" t="s">
        <v>602</v>
      </c>
      <c r="BC27" t="s">
        <v>609</v>
      </c>
      <c r="BD27" t="s">
        <v>19</v>
      </c>
      <c r="BE27" t="s">
        <v>600</v>
      </c>
      <c r="BF27" t="s">
        <v>602</v>
      </c>
      <c r="BG27" t="s">
        <v>19</v>
      </c>
    </row>
    <row r="28" spans="2:59">
      <c r="H28" t="s">
        <v>814</v>
      </c>
      <c r="J28" t="s">
        <v>666</v>
      </c>
      <c r="N28" t="s">
        <v>614</v>
      </c>
      <c r="R28" t="s">
        <v>125</v>
      </c>
      <c r="S28" s="4" t="str">
        <f>P6</f>
        <v>114mm</v>
      </c>
      <c r="T28" s="7">
        <v>22.2</v>
      </c>
      <c r="U28" s="7"/>
      <c r="V28" s="7"/>
      <c r="W28" s="7"/>
      <c r="X28" s="273" t="s">
        <v>815</v>
      </c>
      <c r="Y28" t="s">
        <v>815</v>
      </c>
      <c r="Z28" t="s">
        <v>816</v>
      </c>
      <c r="AI28" t="s">
        <v>607</v>
      </c>
      <c r="AJ28" t="s">
        <v>609</v>
      </c>
      <c r="AK28" t="s">
        <v>600</v>
      </c>
      <c r="AL28" t="s">
        <v>22</v>
      </c>
      <c r="AM28" t="s">
        <v>609</v>
      </c>
      <c r="AN28" t="s">
        <v>609</v>
      </c>
      <c r="AO28" t="s">
        <v>610</v>
      </c>
      <c r="AQ28" t="s">
        <v>609</v>
      </c>
      <c r="AR28" t="s">
        <v>817</v>
      </c>
      <c r="AS28" t="s">
        <v>20</v>
      </c>
      <c r="AT28" t="s">
        <v>613</v>
      </c>
      <c r="AU28" t="s">
        <v>603</v>
      </c>
      <c r="AV28" s="409" t="s">
        <v>607</v>
      </c>
      <c r="AW28" s="409" t="s">
        <v>20</v>
      </c>
      <c r="AX28" t="s">
        <v>22</v>
      </c>
      <c r="AY28" t="s">
        <v>672</v>
      </c>
      <c r="AZ28" s="409" t="s">
        <v>607</v>
      </c>
      <c r="BA28" t="s">
        <v>20</v>
      </c>
      <c r="BB28" t="s">
        <v>613</v>
      </c>
      <c r="BC28" t="s">
        <v>672</v>
      </c>
      <c r="BE28" t="s">
        <v>20</v>
      </c>
      <c r="BF28" t="s">
        <v>386</v>
      </c>
    </row>
    <row r="29" spans="2:59">
      <c r="H29" t="s">
        <v>818</v>
      </c>
      <c r="J29" t="s">
        <v>819</v>
      </c>
      <c r="R29" t="s">
        <v>124</v>
      </c>
      <c r="S29" s="4" t="str">
        <f>Q2</f>
        <v>47mm</v>
      </c>
      <c r="T29" s="7">
        <v>22.2</v>
      </c>
      <c r="U29" s="7"/>
      <c r="V29" s="7"/>
      <c r="W29" s="7"/>
      <c r="X29" s="274" t="s">
        <v>820</v>
      </c>
      <c r="Y29" t="s">
        <v>820</v>
      </c>
      <c r="Z29" t="s">
        <v>821</v>
      </c>
      <c r="AI29" t="s">
        <v>822</v>
      </c>
      <c r="AJ29" t="s">
        <v>597</v>
      </c>
      <c r="AK29" t="s">
        <v>20</v>
      </c>
      <c r="AL29" t="s">
        <v>386</v>
      </c>
      <c r="AM29" t="s">
        <v>623</v>
      </c>
      <c r="AN29" t="s">
        <v>597</v>
      </c>
      <c r="AO29" t="s">
        <v>823</v>
      </c>
      <c r="AQ29" t="s">
        <v>623</v>
      </c>
      <c r="AR29" t="s">
        <v>824</v>
      </c>
      <c r="AS29" t="s">
        <v>610</v>
      </c>
      <c r="AT29" t="s">
        <v>757</v>
      </c>
      <c r="AV29" s="409" t="s">
        <v>822</v>
      </c>
      <c r="AW29" s="409" t="s">
        <v>610</v>
      </c>
      <c r="AX29" t="s">
        <v>386</v>
      </c>
      <c r="AY29" t="s">
        <v>622</v>
      </c>
      <c r="AZ29" s="409" t="s">
        <v>822</v>
      </c>
      <c r="BA29" t="s">
        <v>610</v>
      </c>
      <c r="BB29" t="s">
        <v>757</v>
      </c>
      <c r="BC29" t="s">
        <v>622</v>
      </c>
      <c r="BE29" t="s">
        <v>610</v>
      </c>
      <c r="BF29" t="s">
        <v>613</v>
      </c>
    </row>
    <row r="30" spans="2:59">
      <c r="H30" t="s">
        <v>825</v>
      </c>
      <c r="J30" t="s">
        <v>826</v>
      </c>
      <c r="N30" t="s">
        <v>77</v>
      </c>
      <c r="R30" t="s">
        <v>124</v>
      </c>
      <c r="S30" s="4" t="str">
        <f>Q3</f>
        <v>63mm</v>
      </c>
      <c r="T30" s="7">
        <v>22.2</v>
      </c>
      <c r="U30" s="7"/>
      <c r="V30" s="7"/>
      <c r="W30" s="7"/>
      <c r="X30" s="273" t="s">
        <v>39</v>
      </c>
      <c r="Y30" t="s">
        <v>39</v>
      </c>
      <c r="AI30" t="s">
        <v>827</v>
      </c>
      <c r="AJ30" t="s">
        <v>628</v>
      </c>
      <c r="AK30" t="s">
        <v>610</v>
      </c>
      <c r="AL30" t="s">
        <v>613</v>
      </c>
      <c r="AM30" t="s">
        <v>643</v>
      </c>
      <c r="AN30" t="s">
        <v>628</v>
      </c>
      <c r="AQ30" t="s">
        <v>633</v>
      </c>
      <c r="AS30" t="s">
        <v>639</v>
      </c>
      <c r="AT30" t="s">
        <v>828</v>
      </c>
      <c r="AV30" s="409" t="s">
        <v>827</v>
      </c>
      <c r="AW30" s="409" t="s">
        <v>639</v>
      </c>
      <c r="AX30" t="s">
        <v>613</v>
      </c>
      <c r="AY30" t="s">
        <v>632</v>
      </c>
      <c r="AZ30" s="409" t="s">
        <v>827</v>
      </c>
      <c r="BA30" t="s">
        <v>639</v>
      </c>
      <c r="BB30" t="s">
        <v>828</v>
      </c>
      <c r="BC30" t="s">
        <v>632</v>
      </c>
      <c r="BE30" t="s">
        <v>639</v>
      </c>
      <c r="BF30" t="s">
        <v>829</v>
      </c>
    </row>
    <row r="31" spans="2:59">
      <c r="H31" t="s">
        <v>830</v>
      </c>
      <c r="J31" t="s">
        <v>831</v>
      </c>
      <c r="N31" t="s">
        <v>832</v>
      </c>
      <c r="R31" t="s">
        <v>124</v>
      </c>
      <c r="S31" s="4" t="str">
        <f>Q4</f>
        <v>76mm</v>
      </c>
      <c r="T31" s="7">
        <v>22.2</v>
      </c>
      <c r="U31" s="7"/>
      <c r="V31" s="7"/>
      <c r="W31" s="7"/>
      <c r="X31" s="274" t="s">
        <v>833</v>
      </c>
      <c r="Y31" t="s">
        <v>833</v>
      </c>
      <c r="AI31" t="s">
        <v>834</v>
      </c>
      <c r="AJ31" t="s">
        <v>835</v>
      </c>
      <c r="AK31" t="s">
        <v>639</v>
      </c>
      <c r="AM31" t="s">
        <v>633</v>
      </c>
      <c r="AN31" t="s">
        <v>638</v>
      </c>
      <c r="AQ31" t="s">
        <v>643</v>
      </c>
      <c r="AT31" t="s">
        <v>22</v>
      </c>
      <c r="AV31" s="409" t="s">
        <v>834</v>
      </c>
      <c r="AW31" s="409"/>
      <c r="AY31" t="s">
        <v>728</v>
      </c>
      <c r="AZ31" s="409" t="s">
        <v>834</v>
      </c>
      <c r="BB31" t="s">
        <v>22</v>
      </c>
      <c r="BC31" t="s">
        <v>728</v>
      </c>
    </row>
    <row r="32" spans="2:59">
      <c r="H32" t="s">
        <v>781</v>
      </c>
      <c r="J32" t="s">
        <v>836</v>
      </c>
      <c r="R32" t="s">
        <v>124</v>
      </c>
      <c r="S32" s="4" t="str">
        <f>Q5</f>
        <v>89mm</v>
      </c>
      <c r="T32" s="7">
        <v>22.2</v>
      </c>
      <c r="U32" s="7"/>
      <c r="V32" s="7"/>
      <c r="W32" s="7"/>
      <c r="X32" s="273" t="s">
        <v>25</v>
      </c>
      <c r="Y32" t="s">
        <v>25</v>
      </c>
      <c r="AI32" t="s">
        <v>837</v>
      </c>
      <c r="AJ32" t="s">
        <v>638</v>
      </c>
      <c r="AK32" t="s">
        <v>838</v>
      </c>
      <c r="AM32" t="s">
        <v>661</v>
      </c>
      <c r="AN32" t="s">
        <v>646</v>
      </c>
      <c r="AQ32" t="s">
        <v>651</v>
      </c>
      <c r="AT32" t="s">
        <v>386</v>
      </c>
      <c r="AV32" s="409" t="s">
        <v>622</v>
      </c>
      <c r="AW32" s="409"/>
      <c r="AX32" s="409"/>
      <c r="AY32" t="s">
        <v>839</v>
      </c>
      <c r="AZ32" s="409" t="s">
        <v>622</v>
      </c>
      <c r="BB32" t="s">
        <v>386</v>
      </c>
      <c r="BC32" t="s">
        <v>839</v>
      </c>
    </row>
    <row r="33" spans="8:55">
      <c r="H33" t="s">
        <v>784</v>
      </c>
      <c r="J33" t="s">
        <v>840</v>
      </c>
      <c r="R33" t="s">
        <v>124</v>
      </c>
      <c r="S33" s="4" t="str">
        <f>Q6</f>
        <v>114mm</v>
      </c>
      <c r="T33" s="7">
        <v>22.2</v>
      </c>
      <c r="U33" s="7"/>
      <c r="V33" s="7"/>
      <c r="W33" s="7"/>
      <c r="X33" s="274" t="s">
        <v>440</v>
      </c>
      <c r="Y33" t="s">
        <v>440</v>
      </c>
      <c r="AI33" t="s">
        <v>598</v>
      </c>
      <c r="AJ33" t="s">
        <v>841</v>
      </c>
      <c r="AK33" t="s">
        <v>842</v>
      </c>
      <c r="AM33" t="s">
        <v>651</v>
      </c>
      <c r="AN33" t="s">
        <v>654</v>
      </c>
      <c r="AQ33" t="s">
        <v>661</v>
      </c>
      <c r="AV33" s="409" t="s">
        <v>645</v>
      </c>
      <c r="AW33" s="409"/>
      <c r="AX33" s="409"/>
      <c r="AY33" t="s">
        <v>843</v>
      </c>
      <c r="AZ33" s="409" t="s">
        <v>645</v>
      </c>
      <c r="BC33" t="s">
        <v>843</v>
      </c>
    </row>
    <row r="34" spans="8:55">
      <c r="H34" t="s">
        <v>810</v>
      </c>
      <c r="J34" t="s">
        <v>844</v>
      </c>
      <c r="R34" t="s">
        <v>568</v>
      </c>
      <c r="S34" s="4" t="str">
        <f>S2</f>
        <v>76mm</v>
      </c>
      <c r="T34" s="7">
        <v>27</v>
      </c>
      <c r="U34" s="7"/>
      <c r="V34" s="7"/>
      <c r="W34" s="7"/>
      <c r="X34" s="273" t="s">
        <v>442</v>
      </c>
      <c r="Y34" t="s">
        <v>442</v>
      </c>
      <c r="AI34" t="s">
        <v>845</v>
      </c>
      <c r="AJ34" t="s">
        <v>846</v>
      </c>
      <c r="AM34" t="s">
        <v>847</v>
      </c>
      <c r="AN34" t="s">
        <v>666</v>
      </c>
      <c r="AQ34" t="s">
        <v>673</v>
      </c>
      <c r="AV34" s="409" t="s">
        <v>598</v>
      </c>
      <c r="AW34" s="409"/>
      <c r="AX34" s="409"/>
      <c r="AY34" t="s">
        <v>603</v>
      </c>
      <c r="AZ34" s="409" t="s">
        <v>598</v>
      </c>
      <c r="BC34" t="s">
        <v>603</v>
      </c>
    </row>
    <row r="35" spans="8:55">
      <c r="H35" t="s">
        <v>684</v>
      </c>
      <c r="J35" t="s">
        <v>848</v>
      </c>
      <c r="R35" t="s">
        <v>568</v>
      </c>
      <c r="S35" s="4" t="str">
        <f>S3</f>
        <v>89mm</v>
      </c>
      <c r="T35" s="7">
        <v>27</v>
      </c>
      <c r="U35" s="7"/>
      <c r="V35" s="7"/>
      <c r="W35" s="7"/>
      <c r="X35" s="274" t="s">
        <v>455</v>
      </c>
      <c r="Y35" t="s">
        <v>455</v>
      </c>
      <c r="AI35" t="s">
        <v>849</v>
      </c>
      <c r="AJ35" t="s">
        <v>850</v>
      </c>
      <c r="AM35" t="s">
        <v>851</v>
      </c>
      <c r="AN35" t="s">
        <v>852</v>
      </c>
      <c r="AQ35" t="s">
        <v>853</v>
      </c>
      <c r="AV35" s="409" t="s">
        <v>845</v>
      </c>
      <c r="AW35" s="409"/>
      <c r="AX35" s="409"/>
      <c r="AY35" t="s">
        <v>854</v>
      </c>
      <c r="AZ35" s="409" t="s">
        <v>845</v>
      </c>
      <c r="BC35" t="s">
        <v>854</v>
      </c>
    </row>
    <row r="36" spans="8:55">
      <c r="H36" t="s">
        <v>855</v>
      </c>
      <c r="J36" t="s">
        <v>856</v>
      </c>
      <c r="R36" t="s">
        <v>568</v>
      </c>
      <c r="S36" s="4">
        <f>S4</f>
        <v>0</v>
      </c>
      <c r="T36" s="7">
        <v>27</v>
      </c>
      <c r="U36" s="7"/>
      <c r="V36" s="7"/>
      <c r="W36" s="7"/>
      <c r="X36" s="273" t="s">
        <v>459</v>
      </c>
      <c r="Y36" t="s">
        <v>459</v>
      </c>
      <c r="AI36" t="s">
        <v>857</v>
      </c>
      <c r="AJ36" t="s">
        <v>646</v>
      </c>
      <c r="AN36" t="s">
        <v>692</v>
      </c>
      <c r="AV36" s="409" t="s">
        <v>849</v>
      </c>
      <c r="AW36" s="409"/>
      <c r="AX36" s="409"/>
      <c r="AZ36" s="409" t="s">
        <v>849</v>
      </c>
    </row>
    <row r="37" spans="8:55">
      <c r="H37" t="s">
        <v>840</v>
      </c>
      <c r="J37" t="s">
        <v>858</v>
      </c>
      <c r="R37" t="s">
        <v>568</v>
      </c>
      <c r="S37" s="4">
        <f>S5</f>
        <v>0</v>
      </c>
      <c r="T37" s="7">
        <v>27</v>
      </c>
      <c r="U37" s="7"/>
      <c r="V37" s="7"/>
      <c r="W37" s="7"/>
      <c r="X37" s="274" t="s">
        <v>463</v>
      </c>
      <c r="Y37" t="s">
        <v>463</v>
      </c>
      <c r="AI37" t="s">
        <v>859</v>
      </c>
      <c r="AJ37" t="s">
        <v>849</v>
      </c>
      <c r="AN37" t="s">
        <v>705</v>
      </c>
      <c r="AP37" t="s">
        <v>860</v>
      </c>
      <c r="AV37" s="409" t="s">
        <v>857</v>
      </c>
      <c r="AW37" s="409"/>
      <c r="AX37" s="409"/>
      <c r="AY37" s="409"/>
      <c r="AZ37" s="409" t="s">
        <v>857</v>
      </c>
    </row>
    <row r="38" spans="8:55">
      <c r="H38" t="s">
        <v>844</v>
      </c>
      <c r="J38" t="s">
        <v>732</v>
      </c>
      <c r="R38" t="s">
        <v>568</v>
      </c>
      <c r="S38" s="4">
        <f>S6</f>
        <v>0</v>
      </c>
      <c r="T38" s="7">
        <v>27</v>
      </c>
      <c r="U38" s="7"/>
      <c r="V38" s="7"/>
      <c r="W38" s="7"/>
      <c r="X38" s="273" t="s">
        <v>467</v>
      </c>
      <c r="Y38" t="s">
        <v>467</v>
      </c>
      <c r="AI38" t="s">
        <v>861</v>
      </c>
      <c r="AJ38" t="s">
        <v>862</v>
      </c>
      <c r="AN38" t="s">
        <v>714</v>
      </c>
      <c r="AP38" t="s">
        <v>628</v>
      </c>
      <c r="AV38" s="409" t="s">
        <v>859</v>
      </c>
      <c r="AW38" s="409"/>
      <c r="AX38" s="409"/>
      <c r="AY38" s="409"/>
      <c r="AZ38" s="409" t="s">
        <v>859</v>
      </c>
    </row>
    <row r="39" spans="8:55">
      <c r="H39" t="s">
        <v>848</v>
      </c>
      <c r="J39" t="s">
        <v>863</v>
      </c>
      <c r="X39" s="274" t="s">
        <v>471</v>
      </c>
      <c r="Y39" t="s">
        <v>471</v>
      </c>
      <c r="AI39" t="s">
        <v>864</v>
      </c>
      <c r="AJ39" t="s">
        <v>654</v>
      </c>
      <c r="AN39" t="s">
        <v>722</v>
      </c>
      <c r="AP39" t="s">
        <v>645</v>
      </c>
      <c r="AV39" s="409" t="s">
        <v>861</v>
      </c>
      <c r="AW39" s="409"/>
      <c r="AX39" s="409"/>
      <c r="AY39" s="409"/>
      <c r="AZ39" s="409" t="s">
        <v>861</v>
      </c>
    </row>
    <row r="40" spans="8:55">
      <c r="H40" t="s">
        <v>856</v>
      </c>
      <c r="J40" t="s">
        <v>865</v>
      </c>
      <c r="X40" s="273" t="s">
        <v>474</v>
      </c>
      <c r="Y40" t="s">
        <v>474</v>
      </c>
      <c r="AI40" t="s">
        <v>631</v>
      </c>
      <c r="AJ40" t="s">
        <v>666</v>
      </c>
      <c r="AN40" t="s">
        <v>732</v>
      </c>
      <c r="AP40" t="s">
        <v>857</v>
      </c>
      <c r="AV40" s="409" t="s">
        <v>864</v>
      </c>
      <c r="AW40" s="409"/>
      <c r="AX40" s="409"/>
      <c r="AY40" s="409"/>
      <c r="AZ40" s="409" t="s">
        <v>864</v>
      </c>
    </row>
    <row r="41" spans="8:55">
      <c r="H41" t="s">
        <v>858</v>
      </c>
      <c r="J41" t="s">
        <v>866</v>
      </c>
      <c r="X41" t="s">
        <v>478</v>
      </c>
      <c r="Y41" t="s">
        <v>478</v>
      </c>
      <c r="AI41" t="s">
        <v>767</v>
      </c>
      <c r="AJ41" t="s">
        <v>867</v>
      </c>
      <c r="AN41" t="s">
        <v>739</v>
      </c>
      <c r="AP41" t="s">
        <v>868</v>
      </c>
      <c r="AV41" s="409" t="s">
        <v>631</v>
      </c>
      <c r="AW41" s="409"/>
      <c r="AX41" s="409"/>
      <c r="AY41" s="409"/>
      <c r="AZ41" s="409" t="s">
        <v>631</v>
      </c>
    </row>
    <row r="42" spans="8:55">
      <c r="H42" t="s">
        <v>732</v>
      </c>
      <c r="J42" t="s">
        <v>869</v>
      </c>
      <c r="X42" t="s">
        <v>481</v>
      </c>
      <c r="Y42" t="s">
        <v>481</v>
      </c>
      <c r="AI42" t="s">
        <v>664</v>
      </c>
      <c r="AJ42" t="s">
        <v>852</v>
      </c>
      <c r="AN42" t="s">
        <v>563</v>
      </c>
      <c r="AP42" t="s">
        <v>840</v>
      </c>
      <c r="AV42" s="409" t="s">
        <v>767</v>
      </c>
      <c r="AW42" s="409"/>
      <c r="AX42" s="409"/>
      <c r="AY42" s="409"/>
      <c r="AZ42" s="409" t="s">
        <v>767</v>
      </c>
    </row>
    <row r="43" spans="8:55">
      <c r="H43" t="s">
        <v>863</v>
      </c>
      <c r="J43" t="s">
        <v>870</v>
      </c>
      <c r="X43" t="s">
        <v>483</v>
      </c>
      <c r="Y43" t="s">
        <v>483</v>
      </c>
      <c r="AI43" t="s">
        <v>699</v>
      </c>
      <c r="AJ43" t="s">
        <v>871</v>
      </c>
      <c r="AP43" t="s">
        <v>872</v>
      </c>
      <c r="AV43" s="409" t="s">
        <v>664</v>
      </c>
      <c r="AW43" s="409"/>
      <c r="AX43" s="409"/>
      <c r="AY43" s="409"/>
      <c r="AZ43" s="409" t="s">
        <v>664</v>
      </c>
    </row>
    <row r="44" spans="8:55">
      <c r="H44" t="s">
        <v>865</v>
      </c>
      <c r="J44" t="s">
        <v>873</v>
      </c>
      <c r="X44" s="274" t="s">
        <v>874</v>
      </c>
      <c r="Y44" s="274" t="s">
        <v>874</v>
      </c>
      <c r="AI44" t="s">
        <v>677</v>
      </c>
      <c r="AJ44" t="s">
        <v>692</v>
      </c>
      <c r="AV44" s="409" t="s">
        <v>699</v>
      </c>
      <c r="AW44" s="409"/>
      <c r="AX44" s="409"/>
      <c r="AY44" s="409"/>
      <c r="AZ44" s="409" t="s">
        <v>699</v>
      </c>
    </row>
    <row r="45" spans="8:55">
      <c r="H45" t="s">
        <v>866</v>
      </c>
      <c r="J45" t="s">
        <v>875</v>
      </c>
      <c r="X45" s="274" t="s">
        <v>876</v>
      </c>
      <c r="Y45" s="274" t="s">
        <v>876</v>
      </c>
      <c r="AI45" t="s">
        <v>672</v>
      </c>
      <c r="AJ45" t="s">
        <v>840</v>
      </c>
      <c r="AV45" s="409" t="s">
        <v>677</v>
      </c>
      <c r="AW45" s="409"/>
      <c r="AX45" s="409"/>
      <c r="AY45" s="409"/>
      <c r="AZ45" s="409" t="s">
        <v>677</v>
      </c>
    </row>
    <row r="46" spans="8:55">
      <c r="H46" t="s">
        <v>870</v>
      </c>
      <c r="J46" t="s">
        <v>877</v>
      </c>
      <c r="X46" s="274" t="s">
        <v>878</v>
      </c>
      <c r="Y46" s="274" t="s">
        <v>878</v>
      </c>
      <c r="AI46" t="s">
        <v>836</v>
      </c>
      <c r="AJ46" t="s">
        <v>705</v>
      </c>
      <c r="AV46" s="409" t="s">
        <v>879</v>
      </c>
      <c r="AW46" s="409"/>
      <c r="AX46" s="409"/>
      <c r="AY46" s="409"/>
      <c r="AZ46" s="409" t="s">
        <v>879</v>
      </c>
    </row>
    <row r="47" spans="8:55">
      <c r="H47" t="s">
        <v>873</v>
      </c>
      <c r="J47" t="s">
        <v>880</v>
      </c>
      <c r="X47" s="451" t="s">
        <v>881</v>
      </c>
      <c r="Y47" s="451" t="s">
        <v>881</v>
      </c>
      <c r="AI47" t="s">
        <v>882</v>
      </c>
      <c r="AJ47" t="s">
        <v>714</v>
      </c>
      <c r="AW47" s="409"/>
      <c r="AX47" s="409"/>
      <c r="AY47" s="409"/>
      <c r="AZ47" s="410" t="s">
        <v>883</v>
      </c>
    </row>
    <row r="48" spans="8:55">
      <c r="H48" t="s">
        <v>884</v>
      </c>
      <c r="J48" t="s">
        <v>885</v>
      </c>
      <c r="X48" s="274" t="s">
        <v>547</v>
      </c>
      <c r="Y48" s="274" t="s">
        <v>547</v>
      </c>
      <c r="AI48" t="s">
        <v>855</v>
      </c>
      <c r="AJ48" t="s">
        <v>722</v>
      </c>
      <c r="AW48" s="409"/>
      <c r="AX48" s="409"/>
      <c r="AY48" s="409"/>
      <c r="AZ48" s="410" t="s">
        <v>886</v>
      </c>
    </row>
    <row r="49" spans="8:52">
      <c r="H49" t="s">
        <v>882</v>
      </c>
      <c r="J49" t="s">
        <v>887</v>
      </c>
      <c r="X49" s="274" t="s">
        <v>548</v>
      </c>
      <c r="Y49" s="274" t="s">
        <v>548</v>
      </c>
      <c r="AI49" t="s">
        <v>826</v>
      </c>
      <c r="AJ49" t="s">
        <v>732</v>
      </c>
      <c r="AW49" s="409"/>
      <c r="AX49" s="409"/>
      <c r="AY49" s="409"/>
      <c r="AZ49" s="410" t="s">
        <v>888</v>
      </c>
    </row>
    <row r="50" spans="8:52">
      <c r="H50" t="s">
        <v>889</v>
      </c>
      <c r="J50" t="s">
        <v>890</v>
      </c>
      <c r="X50" s="274" t="s">
        <v>549</v>
      </c>
      <c r="Y50" s="274" t="s">
        <v>549</v>
      </c>
      <c r="AI50" t="s">
        <v>863</v>
      </c>
      <c r="AJ50" t="s">
        <v>891</v>
      </c>
      <c r="AZ50" s="410" t="s">
        <v>892</v>
      </c>
    </row>
    <row r="51" spans="8:52">
      <c r="H51" t="s">
        <v>893</v>
      </c>
      <c r="J51" t="s">
        <v>882</v>
      </c>
      <c r="X51" s="451" t="s">
        <v>550</v>
      </c>
      <c r="Y51" s="451" t="s">
        <v>550</v>
      </c>
      <c r="AI51" t="s">
        <v>844</v>
      </c>
      <c r="AJ51" t="s">
        <v>894</v>
      </c>
      <c r="AZ51" s="410" t="s">
        <v>895</v>
      </c>
    </row>
    <row r="52" spans="8:52">
      <c r="J52" t="s">
        <v>563</v>
      </c>
      <c r="AI52" t="s">
        <v>865</v>
      </c>
      <c r="AJ52" t="s">
        <v>896</v>
      </c>
      <c r="AZ52" s="410" t="s">
        <v>897</v>
      </c>
    </row>
    <row r="53" spans="8:52">
      <c r="AI53" t="s">
        <v>898</v>
      </c>
      <c r="AJ53" t="s">
        <v>899</v>
      </c>
      <c r="AZ53" s="410" t="s">
        <v>900</v>
      </c>
    </row>
    <row r="54" spans="8:52">
      <c r="AI54" t="s">
        <v>840</v>
      </c>
      <c r="AJ54" t="s">
        <v>901</v>
      </c>
      <c r="AZ54" s="410" t="s">
        <v>902</v>
      </c>
    </row>
    <row r="55" spans="8:52">
      <c r="AI55" t="s">
        <v>866</v>
      </c>
      <c r="AJ55" t="s">
        <v>563</v>
      </c>
      <c r="AZ55" s="410" t="s">
        <v>903</v>
      </c>
    </row>
    <row r="56" spans="8:52">
      <c r="AI56" t="s">
        <v>848</v>
      </c>
      <c r="AZ56" s="410" t="s">
        <v>904</v>
      </c>
    </row>
    <row r="57" spans="8:52">
      <c r="AI57" t="s">
        <v>869</v>
      </c>
      <c r="AZ57" s="46" t="s">
        <v>563</v>
      </c>
    </row>
    <row r="58" spans="8:52">
      <c r="AI58" t="s">
        <v>858</v>
      </c>
    </row>
    <row r="59" spans="8:52">
      <c r="AI59" t="s">
        <v>781</v>
      </c>
    </row>
    <row r="60" spans="8:52">
      <c r="AI60" t="s">
        <v>784</v>
      </c>
    </row>
    <row r="61" spans="8:52">
      <c r="AI61" t="s">
        <v>856</v>
      </c>
    </row>
    <row r="62" spans="8:52">
      <c r="AI62" t="s">
        <v>873</v>
      </c>
    </row>
    <row r="63" spans="8:52">
      <c r="AI63" t="s">
        <v>732</v>
      </c>
    </row>
    <row r="64" spans="8:52">
      <c r="AI64" t="s">
        <v>905</v>
      </c>
    </row>
    <row r="65" spans="35:53">
      <c r="AI65" t="s">
        <v>819</v>
      </c>
    </row>
    <row r="66" spans="35:53">
      <c r="AV66" t="s">
        <v>906</v>
      </c>
      <c r="AZ66" t="s">
        <v>907</v>
      </c>
    </row>
    <row r="67" spans="35:53">
      <c r="AV67" s="453" t="s">
        <v>813</v>
      </c>
      <c r="AW67" s="459">
        <v>0</v>
      </c>
      <c r="AX67" t="s">
        <v>164</v>
      </c>
      <c r="AZ67" s="453" t="s">
        <v>19</v>
      </c>
      <c r="BA67" s="459">
        <v>0</v>
      </c>
    </row>
    <row r="68" spans="35:53">
      <c r="AV68" s="409" t="s">
        <v>817</v>
      </c>
      <c r="AW68" s="459">
        <v>0</v>
      </c>
      <c r="AX68" t="s">
        <v>164</v>
      </c>
      <c r="AZ68" s="409" t="s">
        <v>607</v>
      </c>
      <c r="BA68" s="459">
        <v>0</v>
      </c>
    </row>
    <row r="69" spans="35:53">
      <c r="AV69" s="453" t="s">
        <v>824</v>
      </c>
      <c r="AW69" s="459">
        <v>0</v>
      </c>
      <c r="AX69" t="s">
        <v>164</v>
      </c>
      <c r="AZ69" s="453" t="s">
        <v>822</v>
      </c>
      <c r="BA69" s="459">
        <v>0</v>
      </c>
    </row>
    <row r="70" spans="35:53">
      <c r="AV70" s="409" t="str">
        <f>PROPER("PURE WHITE")</f>
        <v>Pure White</v>
      </c>
      <c r="AW70" s="459">
        <v>0.2</v>
      </c>
      <c r="AX70" t="s">
        <v>908</v>
      </c>
      <c r="AZ70" s="409" t="s">
        <v>827</v>
      </c>
      <c r="BA70" s="459">
        <v>0</v>
      </c>
    </row>
    <row r="71" spans="35:53">
      <c r="AV71" s="453" t="str">
        <f>PROPER("SILK WHITE")</f>
        <v>Silk White</v>
      </c>
      <c r="AW71" s="459">
        <v>0.2</v>
      </c>
      <c r="AX71" t="s">
        <v>908</v>
      </c>
      <c r="AZ71" s="453" t="s">
        <v>834</v>
      </c>
      <c r="BA71" s="459">
        <v>0</v>
      </c>
    </row>
    <row r="72" spans="35:53">
      <c r="AV72" s="409" t="str">
        <f>PROPER("New EGGSHELL")</f>
        <v>New Eggshell</v>
      </c>
      <c r="AW72" s="459">
        <v>0.2</v>
      </c>
      <c r="AX72" t="s">
        <v>908</v>
      </c>
      <c r="AZ72" s="409" t="s">
        <v>622</v>
      </c>
      <c r="BA72" s="459">
        <v>0</v>
      </c>
    </row>
    <row r="73" spans="35:53">
      <c r="AV73" s="453" t="s">
        <v>827</v>
      </c>
      <c r="AW73" s="459">
        <v>0.2</v>
      </c>
      <c r="AX73" t="s">
        <v>908</v>
      </c>
      <c r="AZ73" s="453" t="s">
        <v>645</v>
      </c>
      <c r="BA73" s="459">
        <v>0</v>
      </c>
    </row>
    <row r="74" spans="35:53">
      <c r="AV74" s="409" t="s">
        <v>834</v>
      </c>
      <c r="AW74" s="459">
        <v>0.2</v>
      </c>
      <c r="AX74" t="s">
        <v>908</v>
      </c>
      <c r="AZ74" s="409" t="s">
        <v>598</v>
      </c>
      <c r="BA74" s="459">
        <v>0</v>
      </c>
    </row>
    <row r="75" spans="35:53">
      <c r="AV75" s="453" t="s">
        <v>622</v>
      </c>
      <c r="AW75" s="459">
        <v>0.2</v>
      </c>
      <c r="AX75" t="s">
        <v>908</v>
      </c>
      <c r="AZ75" s="453" t="s">
        <v>845</v>
      </c>
      <c r="BA75" s="459">
        <v>0</v>
      </c>
    </row>
    <row r="76" spans="35:53">
      <c r="AV76" s="409" t="s">
        <v>645</v>
      </c>
      <c r="AW76" s="459">
        <v>0.2</v>
      </c>
      <c r="AX76" t="s">
        <v>908</v>
      </c>
      <c r="AZ76" s="409" t="s">
        <v>849</v>
      </c>
      <c r="BA76" s="459">
        <v>0</v>
      </c>
    </row>
    <row r="77" spans="35:53">
      <c r="AV77" s="453" t="s">
        <v>598</v>
      </c>
      <c r="AW77" s="459">
        <v>0.2</v>
      </c>
      <c r="AX77" t="s">
        <v>908</v>
      </c>
      <c r="AZ77" s="453" t="s">
        <v>857</v>
      </c>
      <c r="BA77" s="459">
        <v>0</v>
      </c>
    </row>
    <row r="78" spans="35:53">
      <c r="AV78" s="409" t="s">
        <v>845</v>
      </c>
      <c r="AW78" s="459">
        <v>0.2</v>
      </c>
      <c r="AX78" t="s">
        <v>908</v>
      </c>
      <c r="AZ78" s="409" t="s">
        <v>859</v>
      </c>
      <c r="BA78" s="459">
        <v>0</v>
      </c>
    </row>
    <row r="79" spans="35:53">
      <c r="AV79" s="453" t="s">
        <v>849</v>
      </c>
      <c r="AW79" s="459">
        <v>0.2</v>
      </c>
      <c r="AX79" t="s">
        <v>908</v>
      </c>
      <c r="AZ79" s="453" t="s">
        <v>861</v>
      </c>
      <c r="BA79" s="459">
        <v>0</v>
      </c>
    </row>
    <row r="80" spans="35:53">
      <c r="AV80" s="409" t="s">
        <v>857</v>
      </c>
      <c r="AW80" s="459">
        <v>0.2</v>
      </c>
      <c r="AX80" t="s">
        <v>908</v>
      </c>
      <c r="AZ80" s="409" t="s">
        <v>864</v>
      </c>
      <c r="BA80" s="459">
        <v>0</v>
      </c>
    </row>
    <row r="81" spans="48:53">
      <c r="AV81" s="453" t="s">
        <v>859</v>
      </c>
      <c r="AW81" s="459">
        <v>0.2</v>
      </c>
      <c r="AX81" t="s">
        <v>908</v>
      </c>
      <c r="AZ81" s="453" t="s">
        <v>631</v>
      </c>
      <c r="BA81" s="459">
        <v>0</v>
      </c>
    </row>
    <row r="82" spans="48:53">
      <c r="AV82" s="409" t="s">
        <v>861</v>
      </c>
      <c r="AW82" s="459">
        <v>0.2</v>
      </c>
      <c r="AX82" t="s">
        <v>908</v>
      </c>
      <c r="AZ82" s="409" t="s">
        <v>767</v>
      </c>
      <c r="BA82" s="459">
        <v>0</v>
      </c>
    </row>
    <row r="83" spans="48:53">
      <c r="AV83" s="453" t="s">
        <v>864</v>
      </c>
      <c r="AW83" s="459">
        <v>0.2</v>
      </c>
      <c r="AX83" t="s">
        <v>908</v>
      </c>
      <c r="AZ83" s="453" t="s">
        <v>664</v>
      </c>
      <c r="BA83" s="459">
        <v>0</v>
      </c>
    </row>
    <row r="84" spans="48:53">
      <c r="AV84" s="409" t="s">
        <v>631</v>
      </c>
      <c r="AW84" s="459">
        <v>0.2</v>
      </c>
      <c r="AX84" t="s">
        <v>908</v>
      </c>
      <c r="AZ84" s="409" t="s">
        <v>699</v>
      </c>
      <c r="BA84" s="459">
        <v>0</v>
      </c>
    </row>
    <row r="85" spans="48:53">
      <c r="AV85" s="453" t="s">
        <v>767</v>
      </c>
      <c r="AW85" s="459">
        <v>0.2</v>
      </c>
      <c r="AX85" t="s">
        <v>908</v>
      </c>
      <c r="AZ85" s="453" t="s">
        <v>677</v>
      </c>
      <c r="BA85" s="459">
        <v>0</v>
      </c>
    </row>
    <row r="86" spans="48:53">
      <c r="AV86" s="409" t="s">
        <v>664</v>
      </c>
      <c r="AW86" s="459">
        <v>0.2</v>
      </c>
      <c r="AX86" t="s">
        <v>908</v>
      </c>
      <c r="AZ86" s="409" t="s">
        <v>879</v>
      </c>
      <c r="BA86" s="459">
        <v>0.2</v>
      </c>
    </row>
    <row r="87" spans="48:53">
      <c r="AV87" s="453" t="s">
        <v>699</v>
      </c>
      <c r="AW87" s="459">
        <v>0.2</v>
      </c>
      <c r="AX87" t="s">
        <v>908</v>
      </c>
      <c r="AZ87" s="455" t="s">
        <v>883</v>
      </c>
      <c r="BA87" s="459">
        <v>0.2</v>
      </c>
    </row>
    <row r="88" spans="48:53">
      <c r="AV88" s="409" t="s">
        <v>677</v>
      </c>
      <c r="AW88" s="459">
        <v>0.2</v>
      </c>
      <c r="AX88" t="s">
        <v>908</v>
      </c>
      <c r="AZ88" s="410" t="s">
        <v>886</v>
      </c>
      <c r="BA88" s="459">
        <v>0.2</v>
      </c>
    </row>
    <row r="89" spans="48:53">
      <c r="AV89" s="453" t="s">
        <v>879</v>
      </c>
      <c r="AW89" s="459">
        <v>0.4</v>
      </c>
      <c r="AX89" t="s">
        <v>909</v>
      </c>
      <c r="AZ89" s="455" t="s">
        <v>888</v>
      </c>
      <c r="BA89" s="459">
        <v>0.2</v>
      </c>
    </row>
    <row r="90" spans="48:53">
      <c r="AZ90" s="410" t="s">
        <v>892</v>
      </c>
      <c r="BA90" s="459">
        <v>0.2</v>
      </c>
    </row>
    <row r="91" spans="48:53">
      <c r="AZ91" s="455" t="s">
        <v>895</v>
      </c>
      <c r="BA91" s="459">
        <v>0.2</v>
      </c>
    </row>
    <row r="92" spans="48:53">
      <c r="AZ92" s="410" t="s">
        <v>897</v>
      </c>
      <c r="BA92" s="459">
        <v>0.2</v>
      </c>
    </row>
    <row r="93" spans="48:53">
      <c r="AZ93" s="455" t="s">
        <v>900</v>
      </c>
      <c r="BA93" s="459">
        <v>0.2</v>
      </c>
    </row>
    <row r="94" spans="48:53">
      <c r="AZ94" s="410" t="s">
        <v>902</v>
      </c>
      <c r="BA94" s="459">
        <v>0.2</v>
      </c>
    </row>
    <row r="95" spans="48:53">
      <c r="AZ95" s="455" t="s">
        <v>903</v>
      </c>
      <c r="BA95" s="459">
        <v>0.2</v>
      </c>
    </row>
    <row r="96" spans="48:53">
      <c r="AZ96" s="410" t="s">
        <v>904</v>
      </c>
      <c r="BA96" s="459">
        <v>0.2</v>
      </c>
    </row>
    <row r="97" spans="52:53">
      <c r="AZ97" s="454" t="s">
        <v>781</v>
      </c>
      <c r="BA97" s="459">
        <v>0.2</v>
      </c>
    </row>
    <row r="98" spans="52:53">
      <c r="AZ98" s="454" t="s">
        <v>784</v>
      </c>
      <c r="BA98" s="459">
        <v>0.2</v>
      </c>
    </row>
    <row r="99" spans="52:53">
      <c r="AZ99" s="454" t="s">
        <v>910</v>
      </c>
      <c r="BA99" s="459">
        <v>0.2</v>
      </c>
    </row>
    <row r="100" spans="52:53">
      <c r="AZ100" s="454" t="s">
        <v>819</v>
      </c>
      <c r="BA100" s="459">
        <v>0.2</v>
      </c>
    </row>
    <row r="101" spans="52:53">
      <c r="AZ101" s="454" t="s">
        <v>826</v>
      </c>
      <c r="BA101" s="459">
        <v>0.2</v>
      </c>
    </row>
    <row r="102" spans="52:53">
      <c r="AZ102" s="454" t="s">
        <v>855</v>
      </c>
      <c r="BA102" s="459">
        <v>0.2</v>
      </c>
    </row>
    <row r="103" spans="52:53">
      <c r="AZ103" s="454" t="s">
        <v>836</v>
      </c>
      <c r="BA103" s="459">
        <v>0.2</v>
      </c>
    </row>
    <row r="104" spans="52:53">
      <c r="AZ104" s="454" t="s">
        <v>840</v>
      </c>
      <c r="BA104" s="459">
        <v>0.2</v>
      </c>
    </row>
    <row r="105" spans="52:53">
      <c r="AZ105" s="454" t="s">
        <v>844</v>
      </c>
      <c r="BA105" s="459">
        <v>0.2</v>
      </c>
    </row>
    <row r="106" spans="52:53">
      <c r="AZ106" s="454" t="s">
        <v>898</v>
      </c>
      <c r="BA106" s="459">
        <v>0.2</v>
      </c>
    </row>
    <row r="107" spans="52:53">
      <c r="AZ107" s="454" t="s">
        <v>848</v>
      </c>
      <c r="BA107" s="459">
        <v>0.2</v>
      </c>
    </row>
    <row r="108" spans="52:53">
      <c r="AZ108" s="454" t="s">
        <v>856</v>
      </c>
      <c r="BA108" s="459">
        <v>0.2</v>
      </c>
    </row>
    <row r="109" spans="52:53">
      <c r="AZ109" s="454" t="s">
        <v>858</v>
      </c>
      <c r="BA109" s="459">
        <v>0.2</v>
      </c>
    </row>
    <row r="110" spans="52:53">
      <c r="AZ110" s="454" t="s">
        <v>732</v>
      </c>
      <c r="BA110" s="459">
        <v>0.2</v>
      </c>
    </row>
    <row r="111" spans="52:53">
      <c r="AZ111" s="454" t="s">
        <v>863</v>
      </c>
      <c r="BA111" s="459">
        <v>0.2</v>
      </c>
    </row>
    <row r="112" spans="52:53">
      <c r="AZ112" s="454" t="s">
        <v>865</v>
      </c>
      <c r="BA112" s="459">
        <v>0.2</v>
      </c>
    </row>
    <row r="113" spans="52:53">
      <c r="AZ113" s="454" t="s">
        <v>866</v>
      </c>
      <c r="BA113" s="459">
        <v>0.2</v>
      </c>
    </row>
    <row r="114" spans="52:53">
      <c r="AZ114" s="454" t="s">
        <v>869</v>
      </c>
      <c r="BA114" s="459">
        <v>0.2</v>
      </c>
    </row>
    <row r="115" spans="52:53">
      <c r="AZ115" s="454" t="s">
        <v>873</v>
      </c>
      <c r="BA115" s="459">
        <v>0.2</v>
      </c>
    </row>
    <row r="116" spans="52:53">
      <c r="AZ116" s="454" t="s">
        <v>882</v>
      </c>
      <c r="BA116" s="459">
        <v>0.2</v>
      </c>
    </row>
    <row r="117" spans="52:53">
      <c r="AZ117" s="410" t="s">
        <v>563</v>
      </c>
      <c r="BA117" s="459">
        <v>1</v>
      </c>
    </row>
  </sheetData>
  <phoneticPr fontId="17" type="noConversion"/>
  <dataValidations disablePrompts="1" count="1">
    <dataValidation type="list" allowBlank="1" showInputMessage="1" showErrorMessage="1" sqref="AQ14" xr:uid="{4086FA99-968F-4936-8ECA-31804708CCFB}">
      <formula1>$AP$14:$AP$24</formula1>
    </dataValidation>
  </dataValidations>
  <pageMargins left="0.7" right="0.7" top="0.75" bottom="0.75" header="0.3" footer="0.3"/>
  <pageSetup paperSize="9" orientation="landscape" horizontalDpi="300" verticalDpi="300" r:id="rId1"/>
  <tableParts count="19">
    <tablePart r:id="rId2"/>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B3607F-4B7D-4917-B42D-2940E18EDB5F}">
  <sheetPr codeName="Sheet23">
    <tabColor rgb="FF00B050"/>
  </sheetPr>
  <dimension ref="A1:AR103"/>
  <sheetViews>
    <sheetView topLeftCell="L20" workbookViewId="0">
      <selection activeCell="U21" sqref="U21"/>
    </sheetView>
  </sheetViews>
  <sheetFormatPr defaultRowHeight="14.45"/>
  <cols>
    <col min="2" max="2" width="14.85546875" bestFit="1" customWidth="1"/>
    <col min="3" max="3" width="11.7109375" bestFit="1" customWidth="1"/>
    <col min="4" max="4" width="8.42578125" customWidth="1"/>
    <col min="12" max="12" width="15.42578125" customWidth="1"/>
    <col min="13" max="13" width="16" customWidth="1"/>
    <col min="16" max="17" width="9.5703125" customWidth="1"/>
    <col min="18" max="18" width="10" customWidth="1"/>
    <col min="39" max="39" width="10" customWidth="1"/>
  </cols>
  <sheetData>
    <row r="1" spans="1:21">
      <c r="I1" s="416" t="s">
        <v>911</v>
      </c>
      <c r="J1" s="416"/>
      <c r="K1" s="416" t="s">
        <v>667</v>
      </c>
      <c r="L1" t="s">
        <v>283</v>
      </c>
      <c r="M1" s="27"/>
      <c r="N1" s="417" t="s">
        <v>324</v>
      </c>
      <c r="O1" s="417" t="s">
        <v>644</v>
      </c>
      <c r="P1" s="417" t="s">
        <v>525</v>
      </c>
      <c r="Q1" s="417" t="s">
        <v>168</v>
      </c>
      <c r="R1" s="417" t="s">
        <v>17</v>
      </c>
      <c r="S1" s="417" t="s">
        <v>425</v>
      </c>
      <c r="T1" s="418" t="s">
        <v>912</v>
      </c>
      <c r="U1" s="418" t="s">
        <v>22</v>
      </c>
    </row>
    <row r="2" spans="1:21">
      <c r="B2" s="4" t="s">
        <v>569</v>
      </c>
      <c r="C2" s="4" t="s">
        <v>629</v>
      </c>
      <c r="D2" s="4" t="s">
        <v>913</v>
      </c>
      <c r="F2" s="4" t="s">
        <v>914</v>
      </c>
      <c r="I2" s="333" t="s">
        <v>18</v>
      </c>
      <c r="J2">
        <f>COUNTIF(Pricing!$E$8:$E$52,Helper!I2)</f>
        <v>4</v>
      </c>
      <c r="K2" t="e" cm="1" vm="2">
        <f t="array" ref="K2">_xlfn.UNIQUE(Pricing!H8:H52,,TRUE)</f>
        <v>#VALUE!</v>
      </c>
      <c r="L2" s="354" t="s">
        <v>35</v>
      </c>
      <c r="M2" s="27">
        <v>1</v>
      </c>
      <c r="N2" s="27">
        <f>IF(O2=0,(LEN(Matrix2!AD22)-LEN(SUBSTITUTE(Matrix2!AD22,"L","")))/LEN("L")+(LEN(Matrix2!AD22)-LEN(SUBSTITUTE(Matrix2!AD22,"R","")))/LEN("R"),0)</f>
        <v>0</v>
      </c>
      <c r="O2" s="27">
        <f>IF((LEN(Matrix2!AD22)-LEN(SUBSTITUTE(Matrix2!AD22,"(B)","")))/LEN("(B)")+(LEN(Matrix2!AD22)-LEN(SUBSTITUTE(Matrix2!AD22,"(C)","")))/LEN("(C)")+(LEN(Matrix2!AD22)-LEN(SUBSTITUTE(Matrix2!AD22,"(CB)","")))/LEN("(CB)")&gt;0,1,0)</f>
        <v>0</v>
      </c>
      <c r="P2" s="27">
        <f>IF(Pricing!D8&lt;&gt;"Shape",0,1)</f>
        <v>0</v>
      </c>
      <c r="Q2" s="27">
        <f>IF(Pricing!D8&lt;&gt;"French Door Cutout",0,1)</f>
        <v>0</v>
      </c>
      <c r="R2" s="27">
        <f>IF(Pricing!D8&lt;&gt;"Tracked",0,1)</f>
        <v>1</v>
      </c>
      <c r="S2" s="27">
        <f>IF(Pricing!D8&lt;&gt;"S/Shade",0,1)</f>
        <v>0</v>
      </c>
    </row>
    <row r="3" spans="1:21">
      <c r="A3">
        <v>1</v>
      </c>
      <c r="B3" t="b">
        <f>Pricing!D8="Hampton"</f>
        <v>0</v>
      </c>
      <c r="C3" t="b">
        <f>Pricing!H8=Helper!C2</f>
        <v>0</v>
      </c>
      <c r="D3" t="b">
        <f>Pricing!J8="Clearview"</f>
        <v>0</v>
      </c>
      <c r="F3" t="b">
        <f>AND(B3=TRUE,C3=TRUE,D3=FALSE)</f>
        <v>0</v>
      </c>
      <c r="I3" s="333" t="s">
        <v>63</v>
      </c>
      <c r="J3">
        <f>COUNTIF(Pricing!$E$8:$E$52,Helper!I3)</f>
        <v>0</v>
      </c>
      <c r="L3" s="415" t="s">
        <v>606</v>
      </c>
      <c r="M3" s="27">
        <v>2</v>
      </c>
      <c r="N3" s="27">
        <f>IF(O3=0,(LEN(Matrix2!AD23)-LEN(SUBSTITUTE(Matrix2!AD23,"L","")))/LEN("L")+(LEN(Matrix2!AD23)-LEN(SUBSTITUTE(Matrix2!AD23,"R","")))/LEN("R"),0)</f>
        <v>1</v>
      </c>
      <c r="O3" s="27">
        <f>IF((LEN(Matrix2!AD23)-LEN(SUBSTITUTE(Matrix2!AD23,"(B)","")))/LEN("(B)")+(LEN(Matrix2!AD23)-LEN(SUBSTITUTE(Matrix2!AD23,"(C)","")))/LEN("(C)")+(LEN(Matrix2!AD23)-LEN(SUBSTITUTE(Matrix2!AD23,"(CB)","")))/LEN("(CB)")&gt;0,1,0)</f>
        <v>0</v>
      </c>
      <c r="P3" s="27">
        <f>IF(Pricing!D11&lt;&gt;"Shape",0,1)</f>
        <v>0</v>
      </c>
      <c r="Q3" s="27">
        <f>IF(Pricing!D11&lt;&gt;"French Door Cutout",0,1)</f>
        <v>0</v>
      </c>
      <c r="R3" s="27">
        <f>IF(Pricing!D11&lt;&gt;"Tracked",0,1)</f>
        <v>0</v>
      </c>
      <c r="S3" s="27">
        <f>IF(Pricing!D11&lt;&gt;"S/Shade",0,1)</f>
        <v>0</v>
      </c>
    </row>
    <row r="4" spans="1:21">
      <c r="A4">
        <v>2</v>
      </c>
      <c r="B4" t="b">
        <f>Pricing!D11="Hampton"</f>
        <v>0</v>
      </c>
      <c r="C4" t="b">
        <f>Pricing!H11=Helper!C2</f>
        <v>0</v>
      </c>
      <c r="D4" t="b">
        <f>Pricing!J11="Clearview"</f>
        <v>0</v>
      </c>
      <c r="F4" t="b">
        <f t="shared" ref="F4:F17" si="0">AND(B4=TRUE,C4=TRUE,D4=FALSE)</f>
        <v>0</v>
      </c>
      <c r="I4" s="333" t="s">
        <v>119</v>
      </c>
      <c r="J4">
        <f>COUNTIF(Pricing!$E$8:$E$52,Helper!I4)</f>
        <v>0</v>
      </c>
      <c r="L4" s="354" t="s">
        <v>618</v>
      </c>
      <c r="M4" s="27">
        <v>3</v>
      </c>
      <c r="N4" s="27">
        <f>IF(O4=0,(LEN(Matrix2!AD24)-LEN(SUBSTITUTE(Matrix2!AD24,"L","")))/LEN("L")+(LEN(Matrix2!AD24)-LEN(SUBSTITUTE(Matrix2!AD24,"R","")))/LEN("R"),0)</f>
        <v>4</v>
      </c>
      <c r="O4" s="27">
        <f>IF((LEN(Matrix2!AD24)-LEN(SUBSTITUTE(Matrix2!AD24,"(B)","")))/LEN("(B)")+(LEN(Matrix2!AD24)-LEN(SUBSTITUTE(Matrix2!AD24,"(C)","")))/LEN("(C)")+(LEN(Matrix2!AD24)-LEN(SUBSTITUTE(Matrix2!AD24,"(CB)","")))/LEN("(CB)")&gt;0,1,0)</f>
        <v>0</v>
      </c>
      <c r="P4" s="27">
        <f>IF(Pricing!D14&lt;&gt;"Shape",0,1)</f>
        <v>0</v>
      </c>
      <c r="Q4" s="27">
        <f>IF(Pricing!D14&lt;&gt;"French Door Cutout",0,1)</f>
        <v>0</v>
      </c>
      <c r="R4" s="27">
        <f>IF(Pricing!D14&lt;&gt;"Tracked",0,1)</f>
        <v>0</v>
      </c>
      <c r="S4" s="27">
        <f>IF(Pricing!D14&lt;&gt;"S/Shade",0,1)</f>
        <v>0</v>
      </c>
    </row>
    <row r="5" spans="1:21">
      <c r="A5">
        <v>3</v>
      </c>
      <c r="B5" t="b">
        <f>Pricing!D14="Hampton"</f>
        <v>0</v>
      </c>
      <c r="C5" t="b">
        <f>Pricing!H14=Helper!C2</f>
        <v>0</v>
      </c>
      <c r="D5" t="b">
        <f>Pricing!J14="Clearview"</f>
        <v>0</v>
      </c>
      <c r="F5" t="b">
        <f t="shared" si="0"/>
        <v>0</v>
      </c>
      <c r="I5" s="333" t="s">
        <v>120</v>
      </c>
      <c r="J5">
        <f>COUNTIF(Pricing!$E$8:$E$52,Helper!I5)</f>
        <v>0</v>
      </c>
      <c r="L5" s="415" t="s">
        <v>626</v>
      </c>
      <c r="M5" s="27">
        <v>4</v>
      </c>
      <c r="N5" s="27">
        <f>IF(O5=0,(LEN(Matrix2!AD25)-LEN(SUBSTITUTE(Matrix2!AD25,"L","")))/LEN("L")+(LEN(Matrix2!AD25)-LEN(SUBSTITUTE(Matrix2!AD25,"R","")))/LEN("R"),0)</f>
        <v>3</v>
      </c>
      <c r="O5" s="27">
        <f>IF((LEN(Matrix2!AD25)-LEN(SUBSTITUTE(Matrix2!AD25,"(B)","")))/LEN("(B)")+(LEN(Matrix2!AD25)-LEN(SUBSTITUTE(Matrix2!AD25,"(C)","")))/LEN("(C)")+(LEN(Matrix2!AD25)-LEN(SUBSTITUTE(Matrix2!AD25,"(CB)","")))/LEN("(CB)")&gt;0,1,0)</f>
        <v>0</v>
      </c>
      <c r="P5" s="27">
        <f>IF(Pricing!D17&lt;&gt;"Shape",0,1)</f>
        <v>0</v>
      </c>
      <c r="Q5" s="27">
        <f>IF(Pricing!D17&lt;&gt;"French Door Cutout",0,1)</f>
        <v>0</v>
      </c>
      <c r="R5" s="27">
        <f>IF(Pricing!D17&lt;&gt;"Tracked",0,1)</f>
        <v>0</v>
      </c>
      <c r="S5" s="27">
        <f>IF(Pricing!D17&lt;&gt;"S/Shade",0,1)</f>
        <v>0</v>
      </c>
    </row>
    <row r="6" spans="1:21">
      <c r="A6">
        <v>4</v>
      </c>
      <c r="B6" t="b">
        <f>Pricing!D17="Hampton"</f>
        <v>0</v>
      </c>
      <c r="C6" t="b">
        <f>Pricing!H17=Helper!C2</f>
        <v>0</v>
      </c>
      <c r="D6" t="b">
        <f>Pricing!J17="Clearview"</f>
        <v>0</v>
      </c>
      <c r="F6" t="b">
        <f t="shared" si="0"/>
        <v>0</v>
      </c>
      <c r="I6" s="333" t="s">
        <v>122</v>
      </c>
      <c r="J6">
        <f>COUNTIF(Pricing!$E$8:$E$52,Helper!I6)</f>
        <v>0</v>
      </c>
      <c r="L6" s="354" t="s">
        <v>328</v>
      </c>
      <c r="M6" s="27">
        <v>5</v>
      </c>
      <c r="N6" s="27">
        <f>IF(O6=0,(LEN(Matrix2!AD26)-LEN(SUBSTITUTE(Matrix2!AD26,"L","")))/LEN("L")+(LEN(Matrix2!AD26)-LEN(SUBSTITUTE(Matrix2!AD26,"R","")))/LEN("R"),0)</f>
        <v>0</v>
      </c>
      <c r="O6" s="27">
        <f>IF((LEN(Matrix2!AD26)-LEN(SUBSTITUTE(Matrix2!AD26,"(B)","")))/LEN("(B)")+(LEN(Matrix2!AD26)-LEN(SUBSTITUTE(Matrix2!AD26,"(C)","")))/LEN("(C)")+(LEN(Matrix2!AD26)-LEN(SUBSTITUTE(Matrix2!AD26,"(CB)","")))/LEN("(CB)")&gt;0,1,0)</f>
        <v>0</v>
      </c>
      <c r="P6" s="27">
        <f>IF(Pricing!D20&lt;&gt;"Shape",0,1)</f>
        <v>0</v>
      </c>
      <c r="Q6" s="27">
        <f>IF(Pricing!D20&lt;&gt;"French Door Cutout",0,1)</f>
        <v>0</v>
      </c>
      <c r="R6" s="27">
        <f>IF(Pricing!D20&lt;&gt;"Tracked",0,1)</f>
        <v>0</v>
      </c>
      <c r="S6" s="27">
        <f>IF(Pricing!D20&lt;&gt;"S/Shade",0,1)</f>
        <v>0</v>
      </c>
    </row>
    <row r="7" spans="1:21">
      <c r="A7">
        <v>5</v>
      </c>
      <c r="B7" t="b">
        <f>Pricing!D20="Hampton"</f>
        <v>0</v>
      </c>
      <c r="C7" t="b">
        <f>Pricing!H20=Helper!C2</f>
        <v>0</v>
      </c>
      <c r="D7" t="b">
        <f>Pricing!J20="Clearview"</f>
        <v>0</v>
      </c>
      <c r="F7" t="b">
        <f t="shared" si="0"/>
        <v>0</v>
      </c>
      <c r="I7" s="333" t="s">
        <v>91</v>
      </c>
      <c r="J7">
        <f>COUNTIF(Pricing!$E$8:$E$52,Helper!I7)</f>
        <v>0</v>
      </c>
      <c r="L7" s="415" t="s">
        <v>425</v>
      </c>
      <c r="M7" s="27">
        <v>6</v>
      </c>
      <c r="N7" s="27">
        <f>IF(O7=0,(LEN(Matrix2!AD27)-LEN(SUBSTITUTE(Matrix2!AD27,"L","")))/LEN("L")+(LEN(Matrix2!AD27)-LEN(SUBSTITUTE(Matrix2!AD27,"R","")))/LEN("R"),0)</f>
        <v>0</v>
      </c>
      <c r="O7" s="27">
        <f>IF((LEN(Matrix2!AD27)-LEN(SUBSTITUTE(Matrix2!AD27,"(B)","")))/LEN("(B)")+(LEN(Matrix2!AD27)-LEN(SUBSTITUTE(Matrix2!AD27,"(C)","")))/LEN("(C)")+(LEN(Matrix2!AD27)-LEN(SUBSTITUTE(Matrix2!AD27,"(CB)","")))/LEN("(CB)")&gt;0,1,0)</f>
        <v>0</v>
      </c>
      <c r="P7" s="27">
        <f>IF(Pricing!D23&lt;&gt;"Shape",0,1)</f>
        <v>0</v>
      </c>
      <c r="Q7" s="27">
        <f>IF(Pricing!D23&lt;&gt;"French Door Cutout",0,1)</f>
        <v>0</v>
      </c>
      <c r="R7" s="27">
        <f>IF(Pricing!D23&lt;&gt;"Tracked",0,1)</f>
        <v>0</v>
      </c>
      <c r="S7" s="27">
        <f>IF(Pricing!D23&lt;&gt;"S/Shade",0,1)</f>
        <v>0</v>
      </c>
    </row>
    <row r="8" spans="1:21">
      <c r="A8">
        <v>6</v>
      </c>
      <c r="B8" t="b">
        <f>Pricing!D23="Hampton"</f>
        <v>0</v>
      </c>
      <c r="C8" t="b">
        <f>Pricing!H23=Helper!C2</f>
        <v>0</v>
      </c>
      <c r="D8" t="b">
        <f>Pricing!J23="Clearview"</f>
        <v>0</v>
      </c>
      <c r="F8" t="b">
        <f t="shared" si="0"/>
        <v>0</v>
      </c>
      <c r="I8" s="333" t="s">
        <v>123</v>
      </c>
      <c r="J8">
        <f>COUNTIF(Pricing!$E$8:$E$52,Helper!I8)</f>
        <v>0</v>
      </c>
      <c r="L8" s="354" t="s">
        <v>525</v>
      </c>
      <c r="M8" s="27">
        <v>7</v>
      </c>
      <c r="N8" s="27">
        <f>IF(O8=0,(LEN(Matrix2!AD28)-LEN(SUBSTITUTE(Matrix2!AD28,"L","")))/LEN("L")+(LEN(Matrix2!AD28)-LEN(SUBSTITUTE(Matrix2!AD28,"R","")))/LEN("R"),0)</f>
        <v>0</v>
      </c>
      <c r="O8" s="27">
        <f>IF((LEN(Matrix2!AD28)-LEN(SUBSTITUTE(Matrix2!AD28,"(B)","")))/LEN("(B)")+(LEN(Matrix2!AD28)-LEN(SUBSTITUTE(Matrix2!AD28,"(C)","")))/LEN("(C)")+(LEN(Matrix2!AD28)-LEN(SUBSTITUTE(Matrix2!AD28,"(CB)","")))/LEN("(CB)")&gt;0,1,0)</f>
        <v>0</v>
      </c>
      <c r="P8" s="27">
        <f>IF(Pricing!D26&lt;&gt;"Shape",0,1)</f>
        <v>0</v>
      </c>
      <c r="Q8" s="27">
        <f>IF(Pricing!D26&lt;&gt;"French Door Cutout",0,1)</f>
        <v>0</v>
      </c>
      <c r="R8" s="27">
        <f>IF(Pricing!D26&lt;&gt;"Tracked",0,1)</f>
        <v>0</v>
      </c>
      <c r="S8" s="27">
        <f>IF(Pricing!D26&lt;&gt;"S/Shade",0,1)</f>
        <v>0</v>
      </c>
    </row>
    <row r="9" spans="1:21">
      <c r="A9">
        <v>7</v>
      </c>
      <c r="B9" t="b">
        <f>Pricing!D26="Hampton"</f>
        <v>0</v>
      </c>
      <c r="C9" t="b">
        <f>Pricing!H26=Helper!C2</f>
        <v>0</v>
      </c>
      <c r="D9" t="b">
        <f>Pricing!J26="Clearview"</f>
        <v>0</v>
      </c>
      <c r="F9" t="b">
        <f t="shared" si="0"/>
        <v>0</v>
      </c>
      <c r="I9" s="333" t="s">
        <v>124</v>
      </c>
      <c r="J9">
        <f>COUNTIF(Pricing!$E$8:$E$52,Helper!I9)</f>
        <v>0</v>
      </c>
      <c r="L9" s="415" t="s">
        <v>663</v>
      </c>
      <c r="M9" s="27">
        <v>8</v>
      </c>
      <c r="N9" s="27">
        <f>IF(O9=0,(LEN(Matrix2!AD29)-LEN(SUBSTITUTE(Matrix2!AD29,"L","")))/LEN("L")+(LEN(Matrix2!AD29)-LEN(SUBSTITUTE(Matrix2!AD29,"R","")))/LEN("R"),0)</f>
        <v>0</v>
      </c>
      <c r="O9" s="27">
        <f>IF((LEN(Matrix2!AD29)-LEN(SUBSTITUTE(Matrix2!AD29,"(B)","")))/LEN("(B)")+(LEN(Matrix2!AD29)-LEN(SUBSTITUTE(Matrix2!AD29,"(C)","")))/LEN("(C)")+(LEN(Matrix2!AD29)-LEN(SUBSTITUTE(Matrix2!AD29,"(CB)","")))/LEN("(CB)")&gt;0,1,0)</f>
        <v>0</v>
      </c>
      <c r="P9" s="27">
        <f>IF(Pricing!D29&lt;&gt;"Shape",0,1)</f>
        <v>0</v>
      </c>
      <c r="Q9" s="27">
        <f>IF(Pricing!D29&lt;&gt;"French Door Cutout",0,1)</f>
        <v>0</v>
      </c>
      <c r="R9" s="27">
        <f>IF(Pricing!D29&lt;&gt;"Tracked",0,1)</f>
        <v>0</v>
      </c>
      <c r="S9" s="27">
        <f>IF(Pricing!D29&lt;&gt;"S/Shade",0,1)</f>
        <v>0</v>
      </c>
    </row>
    <row r="10" spans="1:21">
      <c r="A10">
        <v>8</v>
      </c>
      <c r="B10" t="b">
        <f>Pricing!D29="Hampton"</f>
        <v>0</v>
      </c>
      <c r="C10" t="b">
        <f>Pricing!H29=Helper!C2</f>
        <v>0</v>
      </c>
      <c r="D10" t="b">
        <f>Pricing!J29="Clearview"</f>
        <v>0</v>
      </c>
      <c r="F10" t="b">
        <f t="shared" si="0"/>
        <v>0</v>
      </c>
      <c r="I10" s="333" t="s">
        <v>125</v>
      </c>
      <c r="J10">
        <f>COUNTIF(Pricing!$E$8:$E$52,Helper!I10)</f>
        <v>0</v>
      </c>
      <c r="M10" s="27">
        <v>9</v>
      </c>
      <c r="N10" s="27">
        <f>IF(O10=0,(LEN(Matrix2!AD30)-LEN(SUBSTITUTE(Matrix2!AD30,"L","")))/LEN("L")+(LEN(Matrix2!AD30)-LEN(SUBSTITUTE(Matrix2!AD30,"R","")))/LEN("R"),0)</f>
        <v>0</v>
      </c>
      <c r="O10" s="27">
        <f>IF((LEN(Matrix2!AD30)-LEN(SUBSTITUTE(Matrix2!AD30,"(B)","")))/LEN("(B)")+(LEN(Matrix2!AD30)-LEN(SUBSTITUTE(Matrix2!AD30,"(C)","")))/LEN("(C)")+(LEN(Matrix2!AD30)-LEN(SUBSTITUTE(Matrix2!AD30,"(CB)","")))/LEN("(CB)")&gt;0,1,0)</f>
        <v>0</v>
      </c>
      <c r="P10" s="27">
        <f>IF(Pricing!D32&lt;&gt;"Shape",0,1)</f>
        <v>0</v>
      </c>
      <c r="Q10" s="27">
        <f>IF(Pricing!D32&lt;&gt;"French Door Cutout",0,1)</f>
        <v>0</v>
      </c>
      <c r="R10" s="27">
        <f>IF(Pricing!D32&lt;&gt;"Tracked",0,1)</f>
        <v>0</v>
      </c>
      <c r="S10" s="27">
        <f>IF(Pricing!D32&lt;&gt;"S/Shade",0,1)</f>
        <v>0</v>
      </c>
    </row>
    <row r="11" spans="1:21">
      <c r="A11">
        <v>9</v>
      </c>
      <c r="B11" t="b">
        <f>Pricing!D32="Hampton"</f>
        <v>0</v>
      </c>
      <c r="C11" t="b">
        <f>Pricing!H32=Helper!C2</f>
        <v>0</v>
      </c>
      <c r="D11" t="b">
        <f>Pricing!J32="Clearview"</f>
        <v>0</v>
      </c>
      <c r="F11" t="b">
        <f t="shared" si="0"/>
        <v>0</v>
      </c>
      <c r="I11" s="333" t="s">
        <v>121</v>
      </c>
      <c r="J11">
        <f>COUNTIF(Pricing!$E$8:$E$52,Helper!I11)</f>
        <v>0</v>
      </c>
      <c r="M11" s="27">
        <v>10</v>
      </c>
      <c r="N11" s="27">
        <f>IF(O11=0,(LEN(Matrix2!AD31)-LEN(SUBSTITUTE(Matrix2!AD31,"L","")))/LEN("L")+(LEN(Matrix2!AD31)-LEN(SUBSTITUTE(Matrix2!AD31,"R","")))/LEN("R"),0)</f>
        <v>0</v>
      </c>
      <c r="O11" s="27">
        <f>IF((LEN(Matrix2!AD31)-LEN(SUBSTITUTE(Matrix2!AD31,"(B)","")))/LEN("(B)")+(LEN(Matrix2!AD31)-LEN(SUBSTITUTE(Matrix2!AD31,"(C)","")))/LEN("(C)")+(LEN(Matrix2!AD31)-LEN(SUBSTITUTE(Matrix2!AD31,"(CB)","")))/LEN("(CB)")&gt;0,1,0)</f>
        <v>0</v>
      </c>
      <c r="P11" s="27">
        <f>IF(Pricing!D35&lt;&gt;"Shape",0,1)</f>
        <v>0</v>
      </c>
      <c r="Q11" s="27">
        <f>IF(Pricing!D35&lt;&gt;"French Door Cutout",0,1)</f>
        <v>0</v>
      </c>
      <c r="R11" s="27">
        <f>IF(Pricing!D35&lt;&gt;"Tracked",0,1)</f>
        <v>0</v>
      </c>
      <c r="S11" s="27">
        <f>IF(Pricing!D35&lt;&gt;"S/Shade",0,1)</f>
        <v>0</v>
      </c>
    </row>
    <row r="12" spans="1:21">
      <c r="A12">
        <v>10</v>
      </c>
      <c r="B12" t="b">
        <f>Pricing!D35="Hampton"</f>
        <v>0</v>
      </c>
      <c r="C12" t="b">
        <f>Pricing!H35=Helper!C2</f>
        <v>0</v>
      </c>
      <c r="D12" t="b">
        <f>Pricing!J35="Clearview"</f>
        <v>0</v>
      </c>
      <c r="F12" t="b">
        <f>AND(B12=TRUE,C12=TRUE,D12=FALSE)</f>
        <v>0</v>
      </c>
      <c r="I12" s="333" t="s">
        <v>92</v>
      </c>
      <c r="J12">
        <f>COUNTIF(Pricing!$E$8:$E$52,Helper!I12)</f>
        <v>0</v>
      </c>
      <c r="M12" s="27">
        <v>11</v>
      </c>
      <c r="N12" s="27">
        <f>IF(O12=0,(LEN(Matrix2!AD32)-LEN(SUBSTITUTE(Matrix2!AD32,"L","")))/LEN("L")+(LEN(Matrix2!AD32)-LEN(SUBSTITUTE(Matrix2!AD32,"R","")))/LEN("R"),0)</f>
        <v>0</v>
      </c>
      <c r="O12" s="27">
        <f>IF((LEN(Matrix2!AD32)-LEN(SUBSTITUTE(Matrix2!AD32,"(B)","")))/LEN("(B)")+(LEN(Matrix2!AD32)-LEN(SUBSTITUTE(Matrix2!AD32,"(C)","")))/LEN("(C)")+(LEN(Matrix2!AD32)-LEN(SUBSTITUTE(Matrix2!AD32,"(CB)","")))/LEN("(CB)")&gt;0,1,0)</f>
        <v>0</v>
      </c>
      <c r="P12" s="27">
        <f>IF(Pricing!D38&lt;&gt;"Shape",0,1)</f>
        <v>0</v>
      </c>
      <c r="Q12" s="27">
        <f>IF(Pricing!D38&lt;&gt;"French Door Cutout",0,1)</f>
        <v>0</v>
      </c>
      <c r="R12" s="27">
        <f>IF(Pricing!D38&lt;&gt;"Tracked",0,1)</f>
        <v>0</v>
      </c>
      <c r="S12" s="27">
        <f>IF(Pricing!D38&lt;&gt;"S/Shade",0,1)</f>
        <v>0</v>
      </c>
    </row>
    <row r="13" spans="1:21">
      <c r="A13">
        <v>11</v>
      </c>
      <c r="B13" t="b">
        <f>Pricing!D38="Hampton"</f>
        <v>0</v>
      </c>
      <c r="C13" t="b">
        <f>Pricing!H38=Helper!C2</f>
        <v>0</v>
      </c>
      <c r="D13" t="b">
        <f>Pricing!J38="Clearview"</f>
        <v>0</v>
      </c>
      <c r="F13" t="b">
        <f t="shared" si="0"/>
        <v>0</v>
      </c>
      <c r="M13" s="27">
        <v>12</v>
      </c>
      <c r="N13" s="27">
        <f>IF(O13=0,(LEN(Matrix2!AD33)-LEN(SUBSTITUTE(Matrix2!AD33,"L","")))/LEN("L")+(LEN(Matrix2!AD33)-LEN(SUBSTITUTE(Matrix2!AD33,"R","")))/LEN("R"),0)</f>
        <v>0</v>
      </c>
      <c r="O13" s="27">
        <f>IF((LEN(Matrix2!AD33)-LEN(SUBSTITUTE(Matrix2!AD33,"(B)","")))/LEN("(B)")+(LEN(Matrix2!AD33)-LEN(SUBSTITUTE(Matrix2!AD33,"(C)","")))/LEN("(C)")+(LEN(Matrix2!AD33)-LEN(SUBSTITUTE(Matrix2!AD33,"(CB)","")))/LEN("(CB)")&gt;0,1,0)</f>
        <v>0</v>
      </c>
      <c r="P13" s="27">
        <f>IF(Pricing!D41&lt;&gt;"Shape",0,1)</f>
        <v>0</v>
      </c>
      <c r="Q13" s="27">
        <f>IF(Pricing!D41&lt;&gt;"French Door Cutout",0,1)</f>
        <v>0</v>
      </c>
      <c r="R13" s="27">
        <f>IF(Pricing!D41&lt;&gt;"Tracked",0,1)</f>
        <v>0</v>
      </c>
      <c r="S13" s="27">
        <f>IF(Pricing!D41&lt;&gt;"S/Shade",0,1)</f>
        <v>0</v>
      </c>
    </row>
    <row r="14" spans="1:21">
      <c r="A14">
        <v>12</v>
      </c>
      <c r="B14" t="b">
        <f>Pricing!D41="Hampton"</f>
        <v>0</v>
      </c>
      <c r="C14" t="b">
        <f>Pricing!H41=Helper!C2</f>
        <v>0</v>
      </c>
      <c r="D14" t="b">
        <f>Pricing!J41="Clearview"</f>
        <v>0</v>
      </c>
      <c r="F14" t="b">
        <f t="shared" si="0"/>
        <v>0</v>
      </c>
      <c r="M14" s="27">
        <v>13</v>
      </c>
      <c r="N14" s="27">
        <f>IF(O14=0,(LEN(Matrix2!AD34)-LEN(SUBSTITUTE(Matrix2!AD34,"L","")))/LEN("L")+(LEN(Matrix2!AD34)-LEN(SUBSTITUTE(Matrix2!AD34,"R","")))/LEN("R"),0)</f>
        <v>0</v>
      </c>
      <c r="O14" s="27">
        <f>IF((LEN(Matrix2!AD34)-LEN(SUBSTITUTE(Matrix2!AD34,"(B)","")))/LEN("(B)")+(LEN(Matrix2!AD34)-LEN(SUBSTITUTE(Matrix2!AD34,"(C)","")))/LEN("(C)")+(LEN(Matrix2!AD34)-LEN(SUBSTITUTE(Matrix2!AD34,"(CB)","")))/LEN("(CB)")&gt;0,1,0)</f>
        <v>0</v>
      </c>
      <c r="P14" s="27">
        <f>IF(Pricing!D44&lt;&gt;"Shape",0,1)</f>
        <v>0</v>
      </c>
      <c r="Q14" s="27">
        <f>IF(Pricing!D44&lt;&gt;"French Door Cutout",0,1)</f>
        <v>0</v>
      </c>
      <c r="R14" s="27">
        <f>IF(Pricing!D44&lt;&gt;"Tracked",0,1)</f>
        <v>0</v>
      </c>
      <c r="S14" s="27">
        <f>IF(Pricing!D44&lt;&gt;"S/Shade",0,1)</f>
        <v>0</v>
      </c>
    </row>
    <row r="15" spans="1:21">
      <c r="A15">
        <v>13</v>
      </c>
      <c r="B15" t="b">
        <f>Pricing!D44="Hampton"</f>
        <v>0</v>
      </c>
      <c r="C15" t="b">
        <f>Pricing!H44=Helper!C2</f>
        <v>0</v>
      </c>
      <c r="D15" t="b">
        <f>Pricing!J44="Clearview"</f>
        <v>0</v>
      </c>
      <c r="F15" t="b">
        <f t="shared" si="0"/>
        <v>0</v>
      </c>
      <c r="M15" s="27">
        <v>14</v>
      </c>
      <c r="N15" s="27">
        <f>IF(O15=0,(LEN(Matrix2!AD35)-LEN(SUBSTITUTE(Matrix2!AD35,"L","")))/LEN("L")+(LEN(Matrix2!AD35)-LEN(SUBSTITUTE(Matrix2!AD35,"R","")))/LEN("R"),0)</f>
        <v>0</v>
      </c>
      <c r="O15" s="27">
        <f>IF((LEN(Matrix2!AD35)-LEN(SUBSTITUTE(Matrix2!AD35,"(B)","")))/LEN("(B)")+(LEN(Matrix2!AD35)-LEN(SUBSTITUTE(Matrix2!AD35,"(C)","")))/LEN("(C)")+(LEN(Matrix2!AD35)-LEN(SUBSTITUTE(Matrix2!AD35,"(CB)","")))/LEN("(CB)")&gt;0,1,0)</f>
        <v>0</v>
      </c>
      <c r="P15" s="27">
        <f>IF(Pricing!D47&lt;&gt;"Shape",0,1)</f>
        <v>0</v>
      </c>
      <c r="Q15" s="27">
        <f>IF(Pricing!D47&lt;&gt;"French Door Cutout",0,1)</f>
        <v>0</v>
      </c>
      <c r="R15" s="27">
        <f>IF(Pricing!D47&lt;&gt;"Tracked",0,1)</f>
        <v>0</v>
      </c>
      <c r="S15" s="27">
        <f>IF(Pricing!D47&lt;&gt;"S/Shade",0,1)</f>
        <v>0</v>
      </c>
    </row>
    <row r="16" spans="1:21">
      <c r="A16">
        <v>14</v>
      </c>
      <c r="B16" t="b">
        <f>Pricing!D47="Hampton"</f>
        <v>0</v>
      </c>
      <c r="C16" t="b">
        <f>Pricing!H47=Helper!C2</f>
        <v>0</v>
      </c>
      <c r="D16" t="b">
        <f>Pricing!J47="Clearview"</f>
        <v>0</v>
      </c>
      <c r="F16" t="b">
        <f t="shared" si="0"/>
        <v>0</v>
      </c>
      <c r="M16" s="27">
        <v>15</v>
      </c>
      <c r="N16" s="27">
        <f>IF(O16=0,(LEN(Matrix2!AD36)-LEN(SUBSTITUTE(Matrix2!AD36,"L","")))/LEN("L")+(LEN(Matrix2!AD36)-LEN(SUBSTITUTE(Matrix2!AD36,"R","")))/LEN("R"),0)</f>
        <v>0</v>
      </c>
      <c r="O16" s="27">
        <f>IF((LEN(Matrix2!AD36)-LEN(SUBSTITUTE(Matrix2!AD36,"(B)","")))/LEN("(B)")+(LEN(Matrix2!AD36)-LEN(SUBSTITUTE(Matrix2!AD36,"(C)","")))/LEN("(C)")+(LEN(Matrix2!AD36)-LEN(SUBSTITUTE(Matrix2!AD36,"(CB)","")))/LEN("(CB)")&gt;0,1,0)</f>
        <v>0</v>
      </c>
      <c r="P16" s="27">
        <f>IF(Pricing!D50&lt;&gt;"Shape",0,1)</f>
        <v>0</v>
      </c>
      <c r="Q16" s="27">
        <f>IF(Pricing!D50&lt;&gt;"French Door Cutout",0,1)</f>
        <v>0</v>
      </c>
      <c r="R16" s="27">
        <f>IF(Pricing!D50&lt;&gt;"Tracked",0,1)</f>
        <v>0</v>
      </c>
      <c r="S16" s="27">
        <f>IF(Pricing!D50&lt;&gt;"S/Shade",0,1)</f>
        <v>0</v>
      </c>
    </row>
    <row r="17" spans="1:44">
      <c r="A17">
        <v>15</v>
      </c>
      <c r="B17" t="b">
        <f>Pricing!D50="Hampton"</f>
        <v>0</v>
      </c>
      <c r="C17" t="b">
        <f>Pricing!H50=Helper!C2</f>
        <v>0</v>
      </c>
      <c r="D17" t="b">
        <f>Pricing!J50="Clearview"</f>
        <v>0</v>
      </c>
      <c r="F17" t="b">
        <f t="shared" si="0"/>
        <v>0</v>
      </c>
      <c r="M17" s="27" t="s">
        <v>79</v>
      </c>
      <c r="N17" s="27">
        <f>SUM(N2:N16)</f>
        <v>8</v>
      </c>
      <c r="O17" s="27">
        <f t="shared" ref="O17:S17" si="1">SUM(O2:O16)</f>
        <v>0</v>
      </c>
      <c r="P17" s="27">
        <f t="shared" si="1"/>
        <v>0</v>
      </c>
      <c r="Q17" s="27">
        <f t="shared" si="1"/>
        <v>0</v>
      </c>
      <c r="R17" s="27">
        <f t="shared" si="1"/>
        <v>1</v>
      </c>
      <c r="S17" s="27">
        <f t="shared" si="1"/>
        <v>0</v>
      </c>
    </row>
    <row r="20" spans="1:44" ht="72.599999999999994">
      <c r="B20" s="405" t="s">
        <v>915</v>
      </c>
      <c r="C20" s="406" t="s">
        <v>18</v>
      </c>
      <c r="D20" s="406" t="s">
        <v>63</v>
      </c>
      <c r="E20" s="406" t="s">
        <v>916</v>
      </c>
      <c r="F20" s="406" t="s">
        <v>120</v>
      </c>
      <c r="G20" s="406" t="s">
        <v>122</v>
      </c>
      <c r="H20" s="406" t="s">
        <v>91</v>
      </c>
      <c r="I20" s="406" t="s">
        <v>123</v>
      </c>
      <c r="J20" s="406" t="s">
        <v>124</v>
      </c>
      <c r="K20" s="406" t="s">
        <v>125</v>
      </c>
      <c r="L20" s="406" t="s">
        <v>121</v>
      </c>
      <c r="M20" s="406" t="s">
        <v>92</v>
      </c>
      <c r="N20" s="407" t="s">
        <v>912</v>
      </c>
      <c r="O20" s="407" t="s">
        <v>22</v>
      </c>
      <c r="P20" s="407" t="s">
        <v>917</v>
      </c>
      <c r="Q20" s="407" t="s">
        <v>918</v>
      </c>
      <c r="R20" s="408" t="s">
        <v>919</v>
      </c>
      <c r="S20" s="406" t="s">
        <v>920</v>
      </c>
      <c r="T20" s="406" t="s">
        <v>921</v>
      </c>
      <c r="U20" s="406" t="s">
        <v>147</v>
      </c>
      <c r="V20" s="406" t="s">
        <v>922</v>
      </c>
      <c r="W20" s="406" t="s">
        <v>923</v>
      </c>
      <c r="X20" s="406" t="s">
        <v>154</v>
      </c>
      <c r="Y20" s="407" t="s">
        <v>155</v>
      </c>
      <c r="Z20" s="407" t="s">
        <v>924</v>
      </c>
      <c r="AA20" s="407" t="s">
        <v>925</v>
      </c>
      <c r="AB20" s="407" t="s">
        <v>926</v>
      </c>
      <c r="AC20" s="407" t="s">
        <v>927</v>
      </c>
      <c r="AD20" s="399" t="s">
        <v>599</v>
      </c>
      <c r="AE20" s="399" t="s">
        <v>600</v>
      </c>
      <c r="AF20" s="399" t="s">
        <v>20</v>
      </c>
      <c r="AG20" s="399" t="s">
        <v>610</v>
      </c>
      <c r="AH20" s="399" t="s">
        <v>639</v>
      </c>
      <c r="AI20" s="406" t="s">
        <v>425</v>
      </c>
      <c r="AJ20" s="406" t="s">
        <v>168</v>
      </c>
      <c r="AK20" s="400" t="s">
        <v>425</v>
      </c>
      <c r="AL20" s="406" t="s">
        <v>626</v>
      </c>
      <c r="AM20" s="406" t="s">
        <v>652</v>
      </c>
      <c r="AN20" s="407" t="s">
        <v>928</v>
      </c>
      <c r="AO20" s="406" t="s">
        <v>929</v>
      </c>
      <c r="AP20" s="406" t="s">
        <v>930</v>
      </c>
      <c r="AQ20" s="406" t="s">
        <v>525</v>
      </c>
      <c r="AR20" s="406" t="s">
        <v>17</v>
      </c>
    </row>
    <row r="21" spans="1:44">
      <c r="B21" s="27">
        <v>1</v>
      </c>
      <c r="C21" s="27" t="b">
        <f>Pricing!E8=Helper!$C$20</f>
        <v>1</v>
      </c>
      <c r="D21" s="27" t="b">
        <f>Pricing!E8=D20</f>
        <v>0</v>
      </c>
      <c r="E21" s="27" t="b">
        <f>Pricing!E8="Aruba Express"</f>
        <v>0</v>
      </c>
      <c r="F21" s="27" t="b">
        <f>Pricing!$E8=Helper!F$20</f>
        <v>0</v>
      </c>
      <c r="G21" s="27" t="b">
        <f>Pricing!$E8=Helper!G$20</f>
        <v>0</v>
      </c>
      <c r="H21" s="27" t="b">
        <f>Pricing!$E8=Helper!H$20</f>
        <v>0</v>
      </c>
      <c r="I21" s="27" t="b">
        <f>Pricing!$E8=Helper!I$20</f>
        <v>0</v>
      </c>
      <c r="J21" s="27" t="b">
        <f>Pricing!$E8=Helper!J$20</f>
        <v>0</v>
      </c>
      <c r="K21" s="27" t="b">
        <f>Pricing!$E8=Helper!K$20</f>
        <v>0</v>
      </c>
      <c r="L21" s="27" t="b">
        <f>Pricing!$E8=Helper!L$20</f>
        <v>0</v>
      </c>
      <c r="M21" s="27" t="b">
        <f>Pricing!$E8=Helper!M$20</f>
        <v>0</v>
      </c>
      <c r="N21" s="27" t="b">
        <f>OR(IF(Pricing!J8="",FALSE,AND(OR(Pricing!J8="Split Offset",Pricing!J8="Split Custom",Pricing!J8="Offset",Pricing!J8="Custom",Pricing!J8="Centre"),L21=TRUE,Pricing!J8&lt;&gt;Helper!$Q$20)),AND(E21=TRUE,Pricing!H8="49mm"))</f>
        <v>0</v>
      </c>
      <c r="O21" s="27" t="b">
        <f>IF(Pricing!J8="",FALSE,IF(AND(OR(D21=TRUE,L21=TRUE,M21=TRUE,F21=TRUE,E21=TRUE),OR(Pricing!J8="Silent",Pricing!J8="Silent Split")),TRUE,FALSE))</f>
        <v>0</v>
      </c>
      <c r="P21" s="27" t="b">
        <f>OR(AND(OR(C21=TRUE,G21=TRUE,I21=TRUE,J21=TRUE,K21=TRUE+N("S-Craft Material"),AND(L21=TRUE,Pricing!J8="Clearview",Pricing!N8&gt;1200)),Q21=TRUE),AND(OR(D21=TRUE,F21=TRUE,H21=TRUE,E21=TRUE),Pricing!N8&gt;1300,Pricing!J8="Concealed"),AND(OR(D21=TRUE,F21=TRUE,H21=TRUE),Pricing!N8&gt;1200,Pricing!J8="Hidden")+N("Belize"))</f>
        <v>0</v>
      </c>
      <c r="Q21" s="27" t="b">
        <f>OR(AND(OR(C21=TRUE,G21=TRUE,I21=TRUE,J21=TRUE,K21=TRUE+N("S-Craft Materials")),Pricing!J8=$Q$20),AND(L21=TRUE,Pricing!J8=$O$20)+N("MAUI"),AND(F21=TRUE,Pricing!J8=Helper!$Q$20),AND(E21=TRUE,Pricing!J8=Helper!$Q$20))</f>
        <v>0</v>
      </c>
      <c r="R21" s="46" t="b">
        <f>IF(Matrix2!AD19=0,FALSE,OR(AND(IF(Pricing!M8/(Matrix2!AD$19)&lt;152,TRUE,FALSE),Pricing!J8&lt;&gt;"Silent",OR(C21=TRUE,G21=TRUE,I21=TRUE,J21=TRUE,K21=TRUE)+N("S-Craft Materials")),AND(OR(D21=TRUE,M21=TRUE),Pricing!M8/(Matrix2!AD$19)&lt;250+N("Aruba,Tahiti"),N21=TRUE),AND(L21=TRUE,Pricing!H8="49mm"),AND(H21=TRUE,Pricing!M8&lt;200),AND(F21=TRUE,Pricing!M8=250),AND(E21=TRUE,Pricing!M8=200)))</f>
        <v>0</v>
      </c>
      <c r="S21" s="401" t="b">
        <f>IF(Matrix2!AD19=0,FALSE,OR(AND(Pricing!M8/(Matrix2!AD$19)&lt;152+N("S-Craft"),O21=TRUE,OR(C21=TRUE,G21=TRUE,I21=TRUE,J21=TRUE,K21=TRUE)),AND(Pricing!M8/(Matrix2!AD$19)&lt;170+N("Aruba"),Q21=TRUE),AND(OR(L21=TRUE,M21=TRUE),Pricing!J8=Q20,Pricing!M8/(Matrix2!AD$19)&lt;250+N("MAUI")),AND(H21=TRUE,OR(Pricing!J8="Supatilt",Pricing!J8="Silent"),Pricing!M8&lt;200)))</f>
        <v>0</v>
      </c>
      <c r="T21" s="91" t="b">
        <f>IF(Matrix2!AD19=0,FALSE,OR(AND(C21=TRUE,Pricing!H8="47mm",(Pricing!M8/Matrix2!AD$19)&gt;600),AND(G21=TRUE,Pricing!H8="47mm",(Pricing!M8/Matrix2!AD$19)&gt;610+N("Bermuda")),AND(G21=TRUE,Pricing!H8="47mm",(Pricing!M8/Matrix2!AD$19)&gt;750+N("Cuba")),AND(J21=TRUE,Pricing!H8="47mm",(Pricing!M8/Matrix2!AD$19)&gt;750+N("Fiji")),AND(K21=TRUE,Pricing!H8="47mm",(Pricing!M8/Matrix2!AD$19)&gt;550+N("Java")),AND(L21=TRUE,Pricing!H8="47mm"),AND(L21=TRUE,Pricing!H8="47mm",(Pricing!M8/Matrix2!AD$19)&gt;850+N("Tahiti")),AND(H21=TRUE,Pricing!H8="47mm"),AND(F21=TRUE,Pricing!H8="47mm"),AND(E21=TRUE,Pricing!H8="47mm")))</f>
        <v>0</v>
      </c>
      <c r="U21" s="401" t="b">
        <f>IF(Pricing!M8="",FALSE,OR(AND(C21=TRUE,AD21=FALSE,OR(Matrix2!AD19=1,AND(Matrix2!AD19=2,Matrix2!AD22="LR")),(Pricing!M8/(Matrix2!AD$19))&gt;750+N("Barbados")),AND(D21=TRUE,Pricing!H8="63mm",Pricing!M8/Matrix2!AD19&gt;750)+N("Aruba"),AND(D21=TRUE,Pricing!H8&lt;&gt;"63mm",Pricing!M8/Matrix2!AD19&gt;890)+N("Aruba"),AND(G21=TRUE,Pricing!M8/Matrix2!AD19&gt;915)+N("Bermuda"),AND(G21=TRUE,Pricing!M8/Matrix2!AD19&gt;890)+N("Cuba"),AND(J21=TRUE,OR(AE21=TRUE,AF21=TRUE),(Pricing!M8/Matrix2!AD19)&gt;890+N("Fiji")),AND(J21=TRUE,OR(AG21=TRUE,AH21=TRUE),(Pricing!M8/Matrix2!AD19)&gt;1047+N("Fiji")),AND(K21=TRUE,OR(AE21=TRUE,AF21=TRUE),(Pricing!M8/Matrix2!AD19)&gt;800+N("Java")),AND(K21=TRUE,OR(AG21=TRUE,AH21=TRUE),(Pricing!M8/Matrix2!AD19)&gt;890+N("Java")),AND(L21=TRUE,(Pricing!M8/Matrix2!AD19)&gt;950+N("Maui")),AND(M21=TRUE,Pricing!H8="63mm",(Pricing!M8/Matrix2!AD19)&gt;850+N("Tahiti 63mm")),AND(M21=TRUE,OR(Pricing!H8="76mm",Pricing!H8="89mm",Pricing!H8="114mm"),(Pricing!M8/Matrix2!AD19)&gt;950+N("Tahiti 76,89,114mm")),AND(H21=TRUE,(Pricing!M8/Matrix2!AD19)&gt;890+N("Capri")),AND(OR(H21=TRUE,F21=TRUE),Pricing!D8="Tracked",(Pricing!M8/Matrix2!AD19)&gt;600),AND(H21=TRUE,Pricing!M8&gt;890,LEN(Matrix2!AD22)=1),AND(F21=TRUE,Pricing!M8&gt;750,Matrix2!AD19=1,Pricing!H8="63mm"),AND(F21=TRUE,Pricing!M8&gt;890,LEN(Matrix2!AD22)=1,OR(Pricing!H8="76mm",Pricing!H8="89mm",Pricing!H8="114mm")),AND(E21=TRUE,Pricing!H8="63mm",Pricing!M8/Matrix2!AD19&gt;700)+N("Aruba Express"),AND(E21=TRUE,Pricing!H8&lt;&gt;"63mm",Pricing!M8/Matrix2!AD19&gt;700)+N("Aruba Express")))</f>
        <v>0</v>
      </c>
      <c r="V21" s="401" t="b">
        <f>IF(OR(Pricing!M8="",Matrix2!AD19=1),FALSE,OR(AND(OR(Matrix2!AD22="LL",Matrix2!AD22="RR"),Pricing!D8&lt;&gt;"Tracked",OR(C21=TRUE,D21=TRUE,L21=TRUE,M21=TRUE),(Pricing!M8/2)&gt;600,Pricing!D8&lt;&gt;"Tracked"),AND(OR(Matrix2!AD22="LL",Matrix2!AD22="RR"),Pricing!D8&lt;&gt;"Tracked",OR(G21=TRUE,AND(K21=TRUE,Pricing!H8&lt;&gt;"47mm")),(Pricing!M8/Matrix2!AD19)&gt;610)+N("Bermuda, Java"),AND(OR(Matrix2!AD22="LL",Matrix2!AD22="RR"),Pricing!D8&lt;&gt;"Tracked",OR(I21=TRUE,J21=TRUE),(Pricing!M8/Matrix2!AD19)&gt;660)+N("Cuba &amp; Fiji"),AND(OR(Matrix2!AD22="LL",Matrix2!AD22="RR"),Pricing!D8="Tracked",K21=TRUE,Pricing!H8="47mm",(Pricing!M8/Matrix2!AD19)&gt;550)+N("Java"),AND(L21=TRUE,Pricing!D8="Tracked",(Pricing!M8/Matrix2!AD19)&gt;700),AND(H21=TRUE,Pricing!D8&lt;&gt;"Tracked",(Pricing!M8/Matrix2!AD19)&gt;625),AND(H21=TRUE,OR(Matrix2!AD22="LL",Matrix2!AD22="RR"),Pricing!D8&lt;&gt;"Tracked",(Pricing!M8/Matrix2!AD19)&gt;625)+N("Capri Bifold"),AND(H21=TRUE,OR(Matrix2!AD22="LLL",Matrix2!AD22="RRR",Matrix2!AD22="LLLRRR"),Pricing!D8&lt;&gt;"Tracked",(Pricing!M8/Matrix2!AD19)&gt;550)+N("Capri Multifold"),AND(H21=TRUE,Pricing!D8="Tracked",NOT(ISEVEN(LEN(Matrix2!AD22)))),AND(G21=TRUE,OR(Matrix2!AD22="LL",Matrix2!AD22="RR"),Pricing!D8&lt;&gt;"Tracked",(Pricing!M8/Matrix2!AD19)&gt;500),AND(F21=TRUE,Pricing!M8/Matrix2!AD19&gt;500,Pricing!D8&lt;&gt;"Tracked",Matrix2!AD22&lt;&gt;"LR"),AND(F21=TRUE,Matrix2!AD19&gt;1,OR(Matrix2!AD22="LL",Matrix2!AD22="RR"),Pricing!D8&lt;&gt;"Tracked",(Pricing!M8/Matrix2!AD19)&gt;600),AND(F21=TRUE,Matrix2!AD19&gt;1,OR(Matrix2!AD22="LL",Matrix2!AD22="RR",Matrix2!AD22="LLL",Matrix2!AD22="RRR",Matrix2!AD22="LLLLRRRR"),Pricing!D8="Tracked",(Pricing!M8/Matrix2!AD19)&gt;600),AND(E21=TRUE,OR(Matrix2!AD22="LL",Matrix2!AD22="RR"),Pricing!D8&lt;&gt;"Tracked",(Pricing!M8/Matrix2!AD19)&gt;500)+N("Aruba Express")))</f>
        <v>0</v>
      </c>
      <c r="W21" s="401" t="b">
        <f>IF(Pricing!M8="",FALSE,OR(AND(ISERROR(FIND("(",Matrix2!AD22)),LEN(Matrix2!AD22)-LEN(SUBSTITUTE(Matrix2!AD22,"L",""))&gt;2,OR(C21=TRUE,G21=TRUE,K21=TRUE,L21=TRUE,M21=TRUE,F21=TRUE,E21=TRUE)),AND(ISERROR(FIND("(",Matrix2!AD22)),LEN(Matrix2!AD22)-LEN(SUBSTITUTE(Matrix2!AD22,"R",""))&gt;2,OR(C21=TRUE,G21=TRUE,L21=TRUE,M21=TRUE,F21=TRUE,E21=TRUE)),AND(ISERROR(FIND("(",Matrix2!AD22)),LEN(Matrix2!AD22)-LEN(SUBSTITUTE(Matrix2!AD22,"R",""))&gt;4,OR(I21=TRUE,AND(H21=TRUE,Pricing!D8="Tracked")),(Pricing!M8/Matrix2!AD19)&gt;550),AND(ISERROR(FIND("(",Matrix2!AD22)),LEN(Matrix2!AD22)-LEN(SUBSTITUTE(Matrix2!AD22,"L",""))&gt;4,OR(I21=TRUE,AND(H21=TRUE,Pricing!D8="Tracked")),(Pricing!M8/Matrix2!AD19)&gt;550),AND(ISERROR(FIND("(",Matrix2!AD22)),LEN(Matrix2!AD22)-LEN(SUBSTITUTE(Matrix2!AD22,"L",""))&gt;3,H21=TRUE),AND(ISERROR(FIND("(",Matrix2!AD22)),LEN(Matrix2!AD22)-LEN(SUBSTITUTE(Matrix2!AD22,"R",""))&gt;3,H21=TRUE)))</f>
        <v>0</v>
      </c>
      <c r="X21" s="46" t="b">
        <f>IF(Pricing!N8="",FALSE,OR(Pricing!N8&lt;250+N("Barbados, Aruba, Bermuda, Cuba, Fiji, Java, Maui, Tahiti, Capri, Aruba Express"),AND(F21=TRUE,Pricing!N8&lt;300)))</f>
        <v>0</v>
      </c>
      <c r="Y21" s="46" t="b">
        <f>OR(Pricing!N8&gt;3000 +N("Barbados, Aruba, Bermuda, Cuba, Fiji, Java, Maui, Tahiti, Capri, Aruba Express"),AND(F21=TRUE,Pricing!N8&gt;2700+N("Belize")))</f>
        <v>0</v>
      </c>
      <c r="Z21" s="46" t="b">
        <f>OR(AND(Pricing!D8="Shape",OR(C21=TRUE,G21=TRUE,I21=TRUE,E21=TRUE)+N("Barbados, Bermuda, Cuba, Java, Aruba Express")),AND(Pricing!D8="Shape",D21=TRUE+N("Aruba")))</f>
        <v>0</v>
      </c>
      <c r="AA21" s="46" t="b">
        <f>AND(NOT(ISERROR(FIND("CB",Matrix2!AD22))),(D21=TRUE+N("Aruba")))</f>
        <v>0</v>
      </c>
      <c r="AB21" s="46" t="b">
        <f>AND(O21=TRUE,Pricing!N8&gt;1372,OR(C21=TRUE,G21=TRUE,J21=TRUE,K21=TRUE,I21=TRUE))</f>
        <v>0</v>
      </c>
      <c r="AC21" s="46" t="b">
        <f>OR(AND(OR(C21=TRUE,G21=TRUE,I21=TRUE),Pricing!N8&gt;1879+N("S-Craft")),AND(D21=TRUE,Pricing!N8&gt;1500,Pricing!N8&lt;=2000),AND(J21=TRUE,Pricing!N8&gt;1981),AND(K21=TRUE,Pricing!N8&gt;1828),OR(AND(OR(L21=TRUE,M21=TRUE),Pricing!N8&gt;1800,Pricing!N8&lt;=2500),AND(OR(L21=TRUE,M21=TRUE),Pricing!N8&gt;=2501,Pricing!N8&lt;=3000)),AND(H21=TRUE,Pricing!N8&gt;1799),OR(AND(E21=TRUE,Pricing!N8&gt;1800,Pricing!N8&lt;=2400),AND(E21=TRUE,Pricing!N8&gt;=2401,Pricing!N8&lt;=3000))+N("Aruba Express"))</f>
        <v>1</v>
      </c>
      <c r="AD21" s="46" t="b">
        <f>AND(OR(H21=TRUE,D21=TRUE,E21=TRUE,F21=TRUE,L21=TRUE),Pricing!H8="47mm")</f>
        <v>0</v>
      </c>
      <c r="AE21" s="452" t="b">
        <f>AND(Pricing!H8=AE20,L21=TRUE)</f>
        <v>0</v>
      </c>
      <c r="AF21" s="452" t="b">
        <f>Pricing!H8=AF20</f>
        <v>1</v>
      </c>
      <c r="AG21" s="452" t="b">
        <f>Pricing!H8=AG20</f>
        <v>0</v>
      </c>
      <c r="AH21" s="46" t="b">
        <f>OR(AND(Pricing!H8=AH20,I21=TRUE+N("Cuba")),AND(L21=TRUE,Pricing!H8="114"),AND(E21=TRUE,Pricing!H8="114"))</f>
        <v>0</v>
      </c>
      <c r="AI21" s="46" t="b">
        <f>IF(AND(OR(K21=TRUE,L21=TRUE,M21=TRUE,E21=TRUE),Pricing!D8="S/Shade"),TRUE,AND(Pricing!D8="S/Shade",OR(C21=TRUE,G21=TRUE,I21=TRUE,J21-TRUE,H21=TRUE,F21=TRUE+N("Barbados, Bermuda, Cuba, Fiji, Capri, Belize")),Pricing!I8&lt;&gt;"FFrame"))</f>
        <v>0</v>
      </c>
      <c r="AJ21" s="46" t="b">
        <f>AND(Pricing!D8="French Door Cutout",OR(C21=TRUE,D21=TRUE,E21=TRUE,G21=TRUE,I21=TRUE, K21=TRUE,E21=TRUE+N("Barbados, Bermuda, Cuba, Java, Aruba,AK21 Aruba Express")))</f>
        <v>0</v>
      </c>
      <c r="AK21" s="46" t="b">
        <f>AND(Pricing!D8=AK20,OR(E21=TRUE,D21=TRUE))</f>
        <v>0</v>
      </c>
      <c r="AL21" s="27" t="b">
        <f>AND(Pricing!D8="Tier on Tier",Pricing!M8&gt;=1361+N("1219 S-Craft, Pauls Limit"))</f>
        <v>0</v>
      </c>
      <c r="AM21" s="401" t="b">
        <f>AND(Pricing!C8="Bathroom",OR(C21=TRUE,G21=TRUE,I21=TRUE,J21=TRUE,L21=TRUE,M21=TRUE,H21=TRUE,D21=TRUE,E21=TRUE)+N("If not JAVA OR Belize"))</f>
        <v>0</v>
      </c>
      <c r="AN21" s="27" t="b">
        <f>OR(AND(Pricing!S61&lt;&gt;"Finance Please Select",Pricing!N74="10% Promo"))</f>
        <v>0</v>
      </c>
      <c r="AO21" s="27" t="b">
        <f>AND(K21=TRUE,ISERROR(FIND("Stainless Steel",Pricing!G10)))</f>
        <v>0</v>
      </c>
      <c r="AP21" s="27" t="b" cm="1">
        <f t="array" ref="AP21">IF(Pricing!F8="",FALSE,NOT(OR(AND(C21=TRUE,COUNTIF(Barbados,Pricing!F8)&gt;0),AND(D21=TRUE,COUNTIF(Aruba,Pricing!F8)&gt;0),AND(E21=TRUE,COUNTIF(ArubaExpress,Pricing!F8)&gt;0),AND(F21=TRUE,COUNTIF(Belize,Pricing!F8)&gt;0),AND(G21=TRUE,COUNTIF(Bermuda,Pricing!F8)&gt;0),AND(H21=TRUE,COUNTIF(Capri,Pricing!F8)&gt;0),AND(I21=TRUE,COUNTIF(Cuba,Pricing!F8)&gt;0),AND(J21=TRUE,COUNTIF(Fiji,Pricing!F8)&gt;0),AND(K21=TRUE,COUNTIF(Java,Pricing!F8)&gt;0),AND(L21=TRUE,COUNTIF(Maui,Pricing!F8)&gt;0),AND(M21=TRUE,COUNTIF(Tahiti,Pricing!F8)&gt;0))))</f>
        <v>0</v>
      </c>
      <c r="AQ21" s="27" t="b">
        <f>AND(Pricing!D8=$AQ$20,D21=TRUE,K21=FALSE,J21=FALSE,M21=FALSE,L21=FALSE,H21=FALSE,F21=FALSE)</f>
        <v>0</v>
      </c>
      <c r="AR21" s="27" t="b">
        <f>IF(AND(Pricing!D8="Tracked",COUNTIF(Table19[Tframes],Pricing!D8)=0),TRUE,FALSE)</f>
        <v>1</v>
      </c>
    </row>
    <row r="22" spans="1:44">
      <c r="B22" s="27">
        <v>2</v>
      </c>
      <c r="C22" s="27" t="b">
        <f>Pricing!E11=Helper!$C$20</f>
        <v>1</v>
      </c>
      <c r="D22" s="27" t="b">
        <f>Pricing!E11=Helper!$D$20</f>
        <v>0</v>
      </c>
      <c r="E22" s="27" t="b">
        <f>Pricing!E11="Aruba Express"</f>
        <v>0</v>
      </c>
      <c r="F22" s="27" t="b">
        <f>Pricing!$E11=Helper!F$20</f>
        <v>0</v>
      </c>
      <c r="G22" s="27" t="b">
        <f>Pricing!$E11=Helper!G$20</f>
        <v>0</v>
      </c>
      <c r="H22" s="27" t="b">
        <f>Pricing!$E11=Helper!H$20</f>
        <v>0</v>
      </c>
      <c r="I22" s="27" t="b">
        <f>Pricing!$E11=Helper!I$20</f>
        <v>0</v>
      </c>
      <c r="J22" s="27" t="b">
        <f>Pricing!$E11=Helper!J$20</f>
        <v>0</v>
      </c>
      <c r="K22" s="27" t="b">
        <f>Pricing!$E11=Helper!K$20</f>
        <v>0</v>
      </c>
      <c r="L22" s="27" t="b">
        <f>Pricing!$E11=Helper!L$20</f>
        <v>0</v>
      </c>
      <c r="M22" s="27" t="b">
        <f>Pricing!$E11=Helper!M$20</f>
        <v>0</v>
      </c>
      <c r="N22" s="27" t="b">
        <f>OR(IF(Pricing!J11="",FALSE,AND(OR(Pricing!J11="Split Offset",Pricing!J11="Split Custom",Pricing!J11="Offset",Pricing!J11="Custom",Pricing!J11="Centre"),L22=TRUE,Pricing!J11&lt;&gt;Helper!$Q$20)),AND(E22=TRUE,Pricing!H9="49mm"))</f>
        <v>0</v>
      </c>
      <c r="O22" s="27" t="b">
        <f>IF(Pricing!J11="",FALSE,IF(AND(OR(D22=TRUE,L22=TRUE,M22=TRUE,F22=TRUE,E22=TRUE),OR(Pricing!J11="Silent",Pricing!J11="Silent Split")),TRUE,FALSE))</f>
        <v>0</v>
      </c>
      <c r="P22" s="27" t="b">
        <f>OR(AND(OR(C22=TRUE,G22=TRUE,I22=TRUE,J22=TRUE,K22=TRUE+N("S-Craft Material"),AND(L22=TRUE,Pricing!J11="Clearview",Pricing!N11&gt;1200)),Q22=TRUE),AND(OR(D22=TRUE,F22=TRUE,H22=TRUE,E22=TRUE),Pricing!N11&gt;1300,Pricing!J11="Concealed"),AND(OR(D22=TRUE,F22=TRUE,H22=TRUE),Pricing!N11&gt;1200,Pricing!J11="Hidden")+N("Belize"))</f>
        <v>0</v>
      </c>
      <c r="Q22" s="27" t="b">
        <f>OR(AND(OR(C22=TRUE,G22=TRUE,I22=TRUE,J22=TRUE,K22=TRUE+N("S-Craft Materials")),Pricing!J11=$Q$20),AND(L22=TRUE,Pricing!J11=O20)+N("MAUI"),AND(F22=TRUE,Pricing!J11=Helper!$Q$20),AND(E22=TRUE,Pricing!J11=Helper!$Q$20),,AND(D22=TRUE,Pricing!J11=Helper!$Q$20))</f>
        <v>0</v>
      </c>
      <c r="R22" s="46" t="b">
        <f>IF(Matrix2!AE19=0,FALSE,OR(AND(IF(Pricing!M11/(Matrix2!AE$19)&lt;152,TRUE,FALSE),Pricing!J11&lt;&gt;"Silent",OR(C22=TRUE,G22=TRUE,I22=TRUE,J22=TRUE,K22=TRUE)+N("S-Craft Materials")),AND(OR(D22=TRUE,M22=TRUE),Pricing!M11/(Matrix2!AE$19)&lt;250+N("Aruba,Tahiti"),N22=TRUE),AND(L22=TRUE,Pricing!H11="49mm"),AND(H22=TRUE,Pricing!M11&lt;200),AND(F22=TRUE,Pricing!M11=250),AND(E22=TRUE,Pricing!M11=200)))</f>
        <v>0</v>
      </c>
      <c r="S22" s="401" t="b">
        <f>IF(Matrix2!AE19=0,FALSE,OR(AND(Pricing!M11/(Matrix2!AE$19)&lt;152+N("S-Craft"),O22=TRUE,OR(C22=TRUE,G22=TRUE,I22=TRUE,J22=TRUE,K22=TRUE)),AND(Pricing!M11/(Matrix2!AE$19)&lt;170+N("Aruba"),Q22=TRUE),AND(OR(L22=TRUE,M22=TRUE),Pricing!J11=Q20,Pricing!M11/(Matrix2!AE$19)&lt;250+N("MAUI")),AND(H22=TRUE,OR(Pricing!J11="Supatilt",Pricing!J11="Silent"),Pricing!M11&lt;200)))</f>
        <v>0</v>
      </c>
      <c r="T22" s="91" t="b">
        <f>IF(Matrix2!AE19=0,FALSE,OR(AND(C22=TRUE,Pricing!H11="47mm",(Pricing!M11/Matrix2!AE$19)&gt;600),AND(G22=TRUE,Pricing!H11="47mm",(Pricing!M11/Matrix2!AE$19)&gt;610+N("Bermuda")),AND(G22=TRUE,Pricing!H11="47mm",(Pricing!M11/Matrix2!AE$19)&gt;750+N("Cuba")),AND(J22=TRUE,Pricing!H11="47mm",(Pricing!M11/Matrix2!AE$19)&gt;750+N("Fiji")),AND(K22=TRUE,Pricing!H11="47mm",(Pricing!M11/Matrix2!AE$19)&gt;550+N("Java")),AND(L22=TRUE,Pricing!H11="47mm"),AND(L22=TRUE,Pricing!H11="47mm",(Pricing!M11/Matrix2!AE$19)&gt;850+N("Tahiti")),AND(H22=TRUE,Pricing!H11="47mm"),AND(F22=TRUE,Pricing!H11="47mm"),AND(E22=TRUE,Pricing!H11="47mm")))</f>
        <v>0</v>
      </c>
      <c r="U22" s="401" t="b">
        <f>IF(Pricing!M11="",FALSE,OR(AND(C22=TRUE,AD22=FALSE,(Pricing!M11/(Matrix2!AE$19))&gt;750+N("Barbados")),AND(D22=TRUE,Pricing!H11&lt;&gt;"89mm",Pricing!H11&lt;&gt;"114mm",Pricing!M11/Matrix2!AE$19&gt;800)+N("Aruba"),AND(D22=TRUE,Pricing!H11&lt;&gt;"63mm",Pricing!H11&lt;&gt;"76mm",Pricing!M11/Matrix2!AE$19&gt;920)+N("Aruba"),AND(G22=TRUE,Pricing!M11/Matrix2!AE$19&gt;915)+N("Bermuda"),AND(G22=TRUE,Pricing!M11/Matrix2!AE$19&gt;890)+N("Cuba"),AND(J22=TRUE,OR(AE22=TRUE,AF22=TRUE),(Pricing!M11/Matrix2!AE$19)&gt;890+N("Fiji")),AND(J22=TRUE,OR(AG22=TRUE,AH22=TRUE),(Pricing!M11/Matrix2!AE$19)&gt;1047+N("Fiji")),AND(K22=TRUE,OR(AE22=TRUE,AF22=TRUE),(Pricing!M11/Matrix2!AE$19)&gt;800+N("Java")),AND(K22=TRUE,OR(AG22=TRUE,AH22=TRUE),(Pricing!M11/Matrix2!AE$19)&gt;890+N("Java")),AND(L22=TRUE,(Pricing!M11/Matrix2!AE$19)&gt;950+N("Maui")),AND(M22=TRUE,Pricing!H11="63mm",(Pricing!M11/Matrix2!AE$19)&gt;850+N("Tahiti 63mm")),AND(M22=TRUE,OR(Pricing!H11="76mm",Pricing!H11="89mm",Pricing!H11="114mm"),(Pricing!M11/Matrix2!AE$19)&gt;950+N("Tahiti 76,89,114mm")),AND(H22=TRUE,(Pricing!M11/Matrix2!AE$19)&gt;890+N("Capri")),AND(OR(H22=TRUE,F22=TRUE),Pricing!D11="Tracked",(Pricing!M11/Matrix2!AE$19)&gt;600),AND(H22=TRUE,Pricing!M11&gt;890,LEN(Matrix2!AD23)=1),AND(F22=TRUE,Pricing!M11&gt;750,LEN(Matrix2!AD23)=1,Pricing!H11="63mm"),AND(F22=TRUE,Pricing!M11&gt;890,LEN(Matrix2!AD23)=1,OR(Pricing!H11="76mm",Pricing!H11="89mm",Pricing!H11="114mm")),AND(E22=TRUE,Pricing!M11=700)))</f>
        <v>0</v>
      </c>
      <c r="V22" s="401" t="b">
        <f>IF(OR(Pricing!M11="",Matrix2!AE19=1),FALSE,OR(AND(OR(Matrix2!AD23="LL",Matrix2!AD23="RR"),Pricing!D11&lt;&gt;"Tracked",OR(C22=TRUE,D22=TRUE,L22=TRUE,M22=TRUE),(Pricing!M11/2)&gt;600,Pricing!D11&lt;&gt;"Tracked"),AND(OR(Matrix2!AD23="LL",Matrix2!AD23="RR"),Pricing!D11&lt;&gt;"Tracked",OR(G22=TRUE,AND(K22=TRUE,Pricing!H11&lt;&gt;"47mm")),(Pricing!M11/Matrix2!$AE$19)&gt;610)+N("Bermuda, Java"),AND(OR(Matrix2!AD23="LL",Matrix2!AD23="RR"),Pricing!D11&lt;&gt;"Tracked",OR(I22=TRUE,J22=TRUE),(Pricing!M11/Matrix2!$AE$19)&gt;660)+N("Cuba &amp; Fiji"),AND(OR(Matrix2!AD23="LL",Matrix2!AD23="RR"),Pricing!D11="Tracked",K22=TRUE,Pricing!H11="47mm",(Pricing!M11/Matrix2!$AE$19)&gt;550)+N("Java"),AND(L22=TRUE,Pricing!D11="Tracked",(Pricing!M11/Matrix2!$AE$19)&gt;700),AND(H22=TRUE,Pricing!D11&lt;&gt;"Tracked",(Pricing!M11/Matrix2!$AE$19)&gt;625),AND(H22=TRUE,OR(Matrix2!AD23="LL",Matrix2!AD23="RR"),Pricing!D11&lt;&gt;"Tracked",(Pricing!M11/Matrix2!$AE$19)&gt;625)+N("Capri Bifold"),AND(H22=TRUE,OR(Matrix2!AD23="LLL",Matrix2!AD23="RRR",Matrix2!AD23="LLLRRR"),Pricing!D11&lt;&gt;"Tracked",(Pricing!M11/Matrix2!$AE$19)&gt;550)+N("Capri Multifold"),AND(H22=TRUE,Pricing!D11="Tracked",NOT(ISEVEN(LEN(Matrix2!AD23)))),AND(G22=TRUE,OR(Matrix2!AD23="LL",Matrix2!AD23="RR"),Pricing!D11&lt;&gt;"Tracked",(Pricing!M11/Matrix2!$AE$19)&gt;500),AND(F22=TRUE,Pricing!M11/Matrix2!$AE$19&gt;500,Pricing!D11&lt;&gt;"Tracked",Matrix2!AD23&lt;&gt;"LR"),AND(F22=TRUE,OR(Matrix2!AD23="LL",Matrix2!AD23="RR"),Pricing!D11&lt;&gt;"Tracked",(Pricing!M11/Matrix2!$AE$19)&gt;600),AND(F22=TRUE,OR(Matrix2!AD23="LL",Matrix2!AD23="RR",Matrix2!AD23="LLL",Matrix2!AD23="RRR",Matrix2!AD23="LLLLRRRR"),Pricing!D11="Tracked",(Pricing!M11/Matrix2!$AE$19)&gt;600),AND(E22=TRUE,OR(Matrix2!AD23="LL",Matrix2!AD23="RR"),Pricing!D11&lt;&gt;"Tracked",(Pricing!M11/Matrix2!$AE$19)&gt;500)+N("Aruba Express")))</f>
        <v>0</v>
      </c>
      <c r="W22" s="401" t="b">
        <f>IF(Pricing!M11="",FALSE,OR(AND(ISERROR(FIND("(",Matrix2!AD23)),LEN(Matrix2!AD23)-LEN(SUBSTITUTE(Matrix2!AD23,"L",""))&gt;2,OR(C22=TRUE,G22=TRUE,K22=TRUE,L22=TRUE,M22=TRUE,F22=TRUE,E22=TRUE)),AND(ISERROR(FIND("(",Matrix2!AD23)),LEN(Matrix2!AD23)-LEN(SUBSTITUTE(Matrix2!AD23,"R",""))&gt;2,OR(C22=TRUE,G22=TRUE,L22=TRUE,M22=TRUE,F22=TRUE,E22=TRUE)),AND(ISERROR(FIND("(",Matrix2!AD23)),LEN(Matrix2!AD23)-LEN(SUBSTITUTE(Matrix2!AD23,"R",""))&gt;4,OR(I22=TRUE,AND(H22=TRUE,Pricing!D11="Tracked")),(Pricing!M11/Matrix2!AE19)&gt;550),AND(ISERROR(FIND("(",Matrix2!AD23)),LEN(Matrix2!AD23)-LEN(SUBSTITUTE(Matrix2!AD23,"L",""))&gt;4,OR(I22=TRUE,AND(H22=TRUE,Pricing!D11="Tracked")),(Pricing!M11/Matrix2!AE19)&gt;550),AND(ISERROR(FIND("(",Matrix2!AD23)),LEN(Matrix2!AD23)-LEN(SUBSTITUTE(Matrix2!AD23,"L",""))&gt;3,H22=TRUE),AND(ISERROR(FIND("(",Matrix2!AD23)),LEN(Matrix2!AD23)-LEN(SUBSTITUTE(Matrix2!AD23,"R",""))&gt;3,H22=TRUE)))</f>
        <v>0</v>
      </c>
      <c r="X22" s="46" t="b">
        <f>IF(Pricing!N11="",FALSE,OR(Pricing!N11&lt;250+N("Barbados, Aruba, Bermuda, Cuba, Fiji, Java, Maui, Tahiti, Capri, Aruba Express"),AND(F22=TRUE,Pricing!N11&lt;300)))</f>
        <v>0</v>
      </c>
      <c r="Y22" s="46" t="b">
        <f>OR(Pricing!N11&gt;3000 +N("Barbados, Aruba, Bermuda, Cuba, Fiji, Java, Maui, Tahiti, Capri, Aruba Express"),AND(F22=TRUE,Pricing!N11&gt;2700))</f>
        <v>0</v>
      </c>
      <c r="Z22" s="46" t="b">
        <f>OR(AND(Pricing!D11="Shape",OR(C22=TRUE,G22=TRUE,I22=TRUE,E22=TRUE)+N("Barbados, Bermuda, Cuba, Java, Aruba Express")),AND(Pricing!D11="Shape",D22=TRUE+N("Aruba")))</f>
        <v>0</v>
      </c>
      <c r="AA22" s="46" t="b">
        <f>AND(NOT(ISERROR(FIND("CB",Matrix2!AD23))),(D22=TRUE+N("Aruba")))</f>
        <v>0</v>
      </c>
      <c r="AB22" s="46" t="b">
        <f>AND(O22=TRUE,Pricing!N11&gt;1372,OR(C22=TRUE,G22=TRUE,J22=TRUE,K22=TRUE,I22=TRUE))</f>
        <v>0</v>
      </c>
      <c r="AC22" s="46" t="b">
        <f>OR(AND(OR(C22=TRUE,G22=TRUE,I22=TRUE),Pricing!N11&gt;1879+N("S-Craft")),AND(D22=TRUE,Pricing!N11&gt;1500,Pricing!N11&lt;=2000),AND(J22=TRUE,Pricing!N11&gt;1981),AND(K22=TRUE,Pricing!N11&gt;1828),OR(AND(OR(L22=TRUE,M22=TRUE),Pricing!N11&gt;1800,Pricing!N11&lt;=2500),AND(OR(L22=TRUE,M22=TRUE),Pricing!N11&gt;=2501,Pricing!N11&lt;=3000)),AND(H22=TRUE,Pricing!N11&gt;1799),OR(AND(E22=TRUE,Pricing!N11&gt;1800,Pricing!N11&lt;=2400),AND(E22=TRUE,Pricing!N11&gt;=2401,Pricing!N11&lt;=3000))+N("Aruba Express"))</f>
        <v>0</v>
      </c>
      <c r="AD22" s="46" t="b">
        <f>AND(OR(H22=TRUE,D22=TRUE,E22=TRUE,F22=TRUE,L22=TRUE),Pricing!H11="47mm")</f>
        <v>0</v>
      </c>
      <c r="AE22" s="452"/>
      <c r="AF22" s="452"/>
      <c r="AG22" s="452"/>
      <c r="AH22" s="46" t="b">
        <f>OR(AND(Pricing!H11=AH21,I22=TRUE+N("Cuba")),AND(L22=TRUE,Pricing!H11="114"),AND(E22=TRUE,Pricing!H11="114"))</f>
        <v>0</v>
      </c>
      <c r="AI22" s="46" t="b">
        <f>IF(AND(OR(K22=TRUE,L22=TRUE,M22=TRUE,E22=TRUE),Pricing!D11="S/Shade"),TRUE,AND(Pricing!D11="S/Shade",OR(C22=TRUE,G22=TRUE,I22=TRUE,J22-TRUE,H22=TRUE,F22=TRUE+N("Barbados, Bermuda, Cuba, Fiji, Capri, Belize")),Pricing!I11&lt;&gt;"FFrame"))</f>
        <v>0</v>
      </c>
      <c r="AJ22" s="46" t="b">
        <f>AND(Pricing!D11="French Door Cutout",OR(C22=TRUE,D22=TRUE,E22=TRUE,G22=TRUE,I22=TRUE, K22=TRUE,E22=TRUE+N("Barbados, Bermuda, Cuba, Java, Aruba, Aruba Express")))</f>
        <v>0</v>
      </c>
      <c r="AK22" s="46" t="b">
        <f>AND(Pricing!D11=AK20,OR(E22=TRUE,D22=TRUE))</f>
        <v>0</v>
      </c>
      <c r="AL22" s="27" t="b">
        <f>AND(Pricing!D11="Tier on Tier",Pricing!M11&gt;=1361+N("1219 S-Craft, Pauls Limit"))</f>
        <v>0</v>
      </c>
      <c r="AM22" s="401" t="b">
        <f>AND(Pricing!C11="Bathroom",OR(C22=TRUE,G22=TRUE,I22=TRUE,J22=TRUE,L22=TRUE,M22=TRUE,H22=TRUE,D22=TRUE,E22=TRUE)+N("If not JAVA"))</f>
        <v>0</v>
      </c>
      <c r="AN22" s="27"/>
      <c r="AO22" s="27" t="b">
        <f>AND(K22=TRUE,ISERROR(FIND("Stainless Steel",Pricing!G13)))</f>
        <v>0</v>
      </c>
      <c r="AP22" s="27" t="b" cm="1">
        <f t="array" ref="AP22">IF(Pricing!F11="",FALSE,NOT(OR(AND(C22=TRUE,COUNTIF(Barbados,Pricing!F11)&gt;0),AND(D22=TRUE,COUNTIF(Aruba,Pricing!F11)&gt;0),AND(E22=TRUE,COUNTIF(ArubaExpress,Pricing!F11)&gt;0),AND(F22=TRUE,COUNTIF(Belize,Pricing!F11)&gt;0),AND(G22=TRUE,COUNTIF(Bermuda,Pricing!F11)&gt;0),AND(H22=TRUE,COUNTIF(Capri,Pricing!F11)&gt;0),AND(I22=TRUE,COUNTIF(Cuba,Pricing!F11)&gt;0),AND(J22=TRUE,COUNTIF(Fiji,Pricing!F11)&gt;0),AND(K22=TRUE,COUNTIF(Java,Pricing!F11)&gt;0),AND(L22=TRUE,COUNTIF(Maui,Pricing!F11)&gt;0),AND(M22=TRUE,COUNTIF(Tahiti,Pricing!F11)&gt;0))))</f>
        <v>0</v>
      </c>
      <c r="AQ22" s="27" t="b">
        <f>AND(Pricing!D11=$AQ$20,D22=TRUE,K22=FALSE,J22=FALSE,M22=FALSE,L22=FALSE,H22=FALSE,F22=FALSE)</f>
        <v>0</v>
      </c>
      <c r="AR22" s="27" t="b">
        <f>IF(AND(Pricing!D11="Tracked",COUNTIF(Table19[Tframes],Pricing!D11)=0),TRUE,FALSE)</f>
        <v>0</v>
      </c>
    </row>
    <row r="23" spans="1:44">
      <c r="B23" s="27">
        <v>3</v>
      </c>
      <c r="C23" s="27" t="b">
        <f>Pricing!E14=Helper!$C$20</f>
        <v>1</v>
      </c>
      <c r="D23" s="27" t="b">
        <f>Pricing!E14=Helper!$D$20</f>
        <v>0</v>
      </c>
      <c r="E23" s="27" t="b">
        <f>Pricing!E14="Aruba Express"</f>
        <v>0</v>
      </c>
      <c r="F23" s="27" t="b">
        <f>Pricing!$E14=Helper!F$20</f>
        <v>0</v>
      </c>
      <c r="G23" s="27" t="b">
        <f>Pricing!$E14=Helper!G$20</f>
        <v>0</v>
      </c>
      <c r="H23" s="27" t="b">
        <f>Pricing!$E14=Helper!H$20</f>
        <v>0</v>
      </c>
      <c r="I23" s="27" t="b">
        <f>Pricing!$E14=Helper!I$20</f>
        <v>0</v>
      </c>
      <c r="J23" s="27" t="b">
        <f>Pricing!$E14=Helper!J$20</f>
        <v>0</v>
      </c>
      <c r="K23" s="27" t="b">
        <f>Pricing!$E14=Helper!K$20</f>
        <v>0</v>
      </c>
      <c r="L23" s="27" t="b">
        <f>Pricing!$E14=Helper!L$20</f>
        <v>0</v>
      </c>
      <c r="M23" s="27" t="b">
        <f>Pricing!$E14=Helper!M$20</f>
        <v>0</v>
      </c>
      <c r="N23" s="27" t="b">
        <f>OR(IF(Pricing!J14="",FALSE,AND(OR(Pricing!J14="Split Offset",Pricing!J14="Split Custom",Pricing!J14="Offset",Pricing!J14="Custom",Pricing!J14="Centre"),L23=TRUE,Pricing!J14&lt;&gt;Helper!$Q$20)),AND(E23=TRUE,Pricing!H14="49mm"))</f>
        <v>0</v>
      </c>
      <c r="O23" s="27" t="b">
        <f>IF(Pricing!J14="",FALSE,IF(AND(OR(D23=TRUE,L23=TRUE,M23=TRUE,F23=TRUE,E23=TRUE),OR(Pricing!J14="Silent",Pricing!J14="Silent Split")),TRUE,FALSE))</f>
        <v>0</v>
      </c>
      <c r="P23" s="27" t="b">
        <f>OR(AND(OR(C23=TRUE,G23=TRUE,I23=TRUE,J23=TRUE,K23=TRUE+N("S-Craft Material"),AND(L23=TRUE,Pricing!J14="Clearview",Pricing!N14&gt;1200)),Q23=TRUE),AND(OR(D23=TRUE,F23=TRUE,H23=TRUE,E23=TRUE),Pricing!N14&gt;1300,Pricing!J14="Concealed"),AND(OR(D23=TRUE,F23=TRUE,H23=TRUE),Pricing!N14&gt;1200,Pricing!J14="Hidden")+N("Belize"))</f>
        <v>0</v>
      </c>
      <c r="Q23" s="27" t="b">
        <f>OR(AND(OR(C23=TRUE,G23=TRUE,I23=TRUE,J23=TRUE,K23=TRUE+N("S-Craft Materials")),Pricing!J14=$Q$20),AND(L23=TRUE,Pricing!J14=O20)+N("MAUI"),AND(F23=TRUE,Pricing!J14=Helper!$Q$20),AND(E23=TRUE,Pricing!J14=Helper!$Q$20),AND(D23=TRUE,Pricing!J14=Helper!$Q$20))</f>
        <v>0</v>
      </c>
      <c r="R23" s="46" t="b">
        <f>IF(Matrix2!AF19=0,FALSE,OR(AND(IF(Pricing!M14/(Matrix2!AF$19)&lt;152,TRUE,FALSE),Pricing!J14&lt;&gt;"Silent",OR(C23=TRUE,G23=TRUE,I23=TRUE,J23=TRUE,K23=TRUE)+N("S-Craft Materials")),AND(OR(D23=TRUE,M23=TRUE),Pricing!M14/(Matrix2!AF$19)&lt;250+N("Aruba,Tahiti"),N23=TRUE),AND(L23=TRUE,Pricing!H14="49mm"),AND(H23=TRUE,Pricing!M14&lt;200),AND(F23=TRUE,Pricing!M14=250),AND(E23=TRUE,Pricing!M14=200)))</f>
        <v>0</v>
      </c>
      <c r="S23" s="401" t="b">
        <f>IF(Matrix2!AF19=0,FALSE,OR(AND(Pricing!M14/(Matrix2!AF$19)&lt;152+N("S-Craft"),O23=TRUE,OR(C23=TRUE,G23=TRUE,I23=TRUE,J23=TRUE,K23=TRUE)),AND(Pricing!M14/(Matrix2!AF$19)&lt;170+N("Aruba"),Q23=TRUE),AND(OR(L23=TRUE,M23=TRUE),Pricing!J14=Q20,Pricing!M14/(Matrix2!AF$19)&lt;250+N("MAUI")),AND(H23=TRUE,OR(Pricing!J14="Supatilt",Pricing!J14="Silent"),Pricing!M14&lt;200)))</f>
        <v>0</v>
      </c>
      <c r="T23" s="91" t="b">
        <f>IF(Matrix2!AF19=0,FALSE,OR(AND(C23=TRUE,Pricing!H14="47mm",(Pricing!M14/Matrix2!AF$19)&gt;600),AND(G23=TRUE,Pricing!H14="47mm",(Pricing!M14/Matrix2!AF$19)&gt;610+N("Bermuda")),AND(G23=TRUE,Pricing!H14="47mm",(Pricing!M14/Matrix2!AF$19)&gt;750+N("Cuba")),AND(J23=TRUE,Pricing!H14="47mm",(Pricing!M14/Matrix2!AF$19)&gt;750+N("Fiji")),AND(K23=TRUE,Pricing!H14="47mm",(Pricing!M14/Matrix2!AF$19)&gt;550+N("Java")),AND(L23=TRUE,Pricing!H14="47mm"),AND(L23=TRUE,Pricing!H14="47mm",(Pricing!M14/Matrix2!AF$19)&gt;850+N("Tahiti")),AND(H23=TRUE,Pricing!H14="47mm"),AND(F23=TRUE,Pricing!H14="47mm"),AND(E23=TRUE,Pricing!H14="47mm")))</f>
        <v>0</v>
      </c>
      <c r="U23" s="401" t="b">
        <f>IF(Pricing!M14="",FALSE,OR(AND(C23=TRUE,AD23=FALSE,(Pricing!M14/(Matrix2!AF$19))&gt;750+N("Barbados")),AND(D23=TRUE,Pricing!H14&lt;&gt;"89mm",Pricing!H14&lt;&gt;"114mm",Pricing!M14/Matrix2!AF$19&gt;800)+N("Aruba"),AND(D23=TRUE,Pricing!H14&lt;&gt;"63mm",Pricing!H14&lt;&gt;"76mm",Pricing!M14/Matrix2!AF$19&gt;920)+N("Aruba"),AND(G23=TRUE,Pricing!M14/Matrix2!AF$19&gt;915)+N("Bermuda"),AND(G23=TRUE,Pricing!M14/Matrix2!AF$19&gt;890)+N("Cuba"),AND(J23=TRUE,OR(AE23=TRUE,AF23=TRUE),(Pricing!M14/Matrix2!AF$19)&gt;890+N("Fiji")),AND(J23=TRUE,OR(AG23=TRUE,AH23=TRUE),(Pricing!M14/Matrix2!AF$19)&gt;1047+N("Fiji")),AND(K23=TRUE,OR(AE23=TRUE,AF23=TRUE),(Pricing!M14/Matrix2!AF$19)&gt;800+N("Java")),AND(K23=TRUE,OR(AG23=TRUE,AH23=TRUE),(Pricing!M14/Matrix2!AF$19)&gt;890+N("Java")),AND(L23=TRUE,(Pricing!M14/Matrix2!AF$19)&gt;950+N("Maui")),AND(M23=TRUE,Pricing!H14="63mm",(Pricing!M14/Matrix2!AF$19)&gt;850+N("Tahiti 63mm")),AND(M23=TRUE,OR(Pricing!H14="76mm",Pricing!H14="89mm",Pricing!H14="114mm"),(Pricing!M14/Matrix2!AF$19)&gt;950+N("Tahiti 76,89,114mm")),AND(H23=TRUE,(Pricing!M14/Matrix2!AF$19)&gt;890+N("Capri")),AND(OR(H23=TRUE,F23=TRUE),Pricing!D14="Tracked",(Pricing!M14/Matrix2!AF$19)&gt;600),AND(H23=TRUE,Pricing!M14&gt;890,LEN(Matrix2!AD24)=1),AND(F23=TRUE,Pricing!M14&gt;750,LEN(Matrix2!AD24)=1,Pricing!H14="63mm"),AND(F23=TRUE,Pricing!M14&gt;890,LEN(Matrix2!AD24)=1,OR(Pricing!H14="76mm",Pricing!H14="89mm",Pricing!H14="114mm")),AND(E23=TRUE,Pricing!M14=700)))</f>
        <v>0</v>
      </c>
      <c r="V23" s="401" t="b">
        <f>IF(OR(Pricing!M14="",Matrix2!AF19=1),FALSE,OR(AND(OR(Matrix2!AD24="LL",Matrix2!AD24="RR"),Pricing!D14&lt;&gt;"Tracked",OR(C23=TRUE,D23=TRUE,L23=TRUE,M23=TRUE),(Pricing!M14/2)&gt;600,Pricing!D14&lt;&gt;"Tracked"),AND(OR(Matrix2!AD24="LL",Matrix2!AD24="RR"),Pricing!D14&lt;&gt;"Tracked",OR(G23=TRUE,AND(K23=TRUE,Pricing!H14&lt;&gt;"47mm")),(Pricing!M14/Matrix2!$AF$19)&gt;610)+N("Bermuda, Java"),AND(OR(Matrix2!AD24="LL",Matrix2!AD24="RR"),Pricing!D14&lt;&gt;"Tracked",OR(I23=TRUE,J23=TRUE),(Pricing!M14/Matrix2!$AF$19)&gt;660)+N("Cuba &amp; Fiji"),AND(OR(Matrix2!AD24="LL",Matrix2!AD24="RR"),Pricing!D14="Tracked",K23=TRUE,Pricing!H14="47mm",(Pricing!M14/Matrix2!$AF$19)&gt;550)+N("Java"),AND(L23=TRUE,Pricing!D14="Tracked",(Pricing!M14/Matrix2!$AF$19)&gt;700),AND(H23=TRUE,Pricing!D14&lt;&gt;"Tracked",(Pricing!M14/Matrix2!$AF$19)&gt;625),AND(H23=TRUE,OR(Matrix2!AD24="LL",Matrix2!AD24="RR"),Pricing!D14&lt;&gt;"Tracked",(Pricing!M14/Matrix2!$AF$19)&gt;625)+N("Capri Bifold"),AND(H23=TRUE,OR(Matrix2!AD24="LLL",Matrix2!AD24="RRR",Matrix2!AD24="LLLRRR"),Pricing!D14&lt;&gt;"Tracked",(Pricing!M14/Matrix2!$AF$19)&gt;550)+N("Capri Multifold"),AND(H23=TRUE,Pricing!D14="Tracked",NOT(ISEVEN(LEN(Matrix2!AD24)))),AND(G23=TRUE,OR(Matrix2!AD24="LL",Matrix2!AD24="RR"),Pricing!D14&lt;&gt;"Tracked",(Pricing!M14/Matrix2!$AF$19)&gt;500),AND(F23=TRUE,Pricing!M14/Matrix2!$AF$19&gt;500,Pricing!D14&lt;&gt;"Tracked",Matrix2!AD24&lt;&gt;"LR"),AND(F23=TRUE,OR(Matrix2!AD24="LL",Matrix2!AD24="RR"),Pricing!D14&lt;&gt;"Tracked",(Pricing!M14/Matrix2!$AF$19)&gt;600),AND(F23=TRUE,OR(Matrix2!AD24="LL",Matrix2!AD24="RR",Matrix2!AD24="LLL",Matrix2!AD24="RRR",Matrix2!AD24="LLLLRRRR"),Pricing!D14="Tracked",(Pricing!M14/Matrix2!$AF$19)&gt;600),AND(E23=TRUE,OR(Matrix2!AD24="LL",Matrix2!AD24="RR"),Pricing!D14&lt;&gt;"Tracked",(Pricing!M14/Matrix2!$AF$19)&gt;500)+N("Aruba Express")))</f>
        <v>0</v>
      </c>
      <c r="W23" s="401" t="b">
        <f>IF(Pricing!M14="",FALSE,OR(AND(ISERROR(FIND("(",Matrix2!AD24)),LEN(Matrix2!AD24)-LEN(SUBSTITUTE(Matrix2!AD24,"L",""))&gt;2,OR(C23=TRUE,G23=TRUE,K23=TRUE,L23=TRUE,M23=TRUE,F23=TRUE,E23=TRUE)),AND(ISERROR(FIND("(",Matrix2!AD24)),LEN(Matrix2!AD24)-LEN(SUBSTITUTE(Matrix2!AD24,"R",""))&gt;2,OR(C23=TRUE,G23=TRUE,L23=TRUE,M23=TRUE,F23=TRUE,E23=TRUE)),AND(ISERROR(FIND("(",Matrix2!AD24)),LEN(Matrix2!AD24)-LEN(SUBSTITUTE(Matrix2!AD24,"R",""))&gt;4,OR(I23=TRUE,AND(H23=TRUE,Pricing!D14="Tracked")),(Pricing!M14/Matrix2!AF19)&gt;550),AND(ISERROR(FIND("(",Matrix2!AD24)),LEN(Matrix2!AD24)-LEN(SUBSTITUTE(Matrix2!AD24,"L",""))&gt;4,OR(I23=TRUE,AND(H23=TRUE,Pricing!D14="Tracked")),(Pricing!M14/Matrix2!AF19)&gt;550),AND(ISERROR(FIND("(",Matrix2!AD24)),LEN(Matrix2!AD24)-LEN(SUBSTITUTE(Matrix2!AD24,"L",""))&gt;3,H23=TRUE),AND(ISERROR(FIND("(",Matrix2!AD24)),LEN(Matrix2!AD24)-LEN(SUBSTITUTE(Matrix2!AD24,"R",""))&gt;3,H23=TRUE)))</f>
        <v>0</v>
      </c>
      <c r="X23" s="46" t="b">
        <f>IF(Pricing!N14="",FALSE,OR(Pricing!N14&lt;250+N("Barbados, Aruba, Bermuda, Cuba, Fiji, Java, Maui, Tahiti, Capri, Aruba Express"),AND(F23=TRUE,Pricing!N14&lt;300)))</f>
        <v>0</v>
      </c>
      <c r="Y23" s="46" t="b">
        <f>OR(Pricing!N14&gt;3000 +N("Barbados, Aruba, Bermuda, Cuba, Fiji, Java, Maui, Tahiti, Capri, Aruba Express"),AND(F23=TRUE,Pricing!N14&gt;2700))</f>
        <v>0</v>
      </c>
      <c r="Z23" s="46" t="b">
        <f>OR(AND(Pricing!D14="Shape",OR(C23=TRUE,G23=TRUE,I23=TRUE,E23=TRUE)+N("Barbados, Bermuda, Cuba, Java, Aruba Express")),AND(Pricing!D14="Shape",D23=TRUE+N("Aruba")))</f>
        <v>0</v>
      </c>
      <c r="AA23" s="46" t="b">
        <f>AND(NOT(ISERROR(FIND("CB",Matrix2!AD24))),(D23=TRUE+N("Aruba")))</f>
        <v>0</v>
      </c>
      <c r="AB23" s="46" t="b">
        <f>AND(O23=TRUE,Pricing!N14&gt;1372,OR(C23=TRUE,G23=TRUE,J23=TRUE,K23=TRUE,I23=TRUE))</f>
        <v>0</v>
      </c>
      <c r="AC23" s="46" t="b">
        <f>OR(AND(OR(C23=TRUE,G23=TRUE,I23=TRUE),Pricing!N14&gt;1879+N("S-Craft")),AND(D23=TRUE,Pricing!N14&gt;1500,Pricing!N14&lt;=2000),AND(J23=TRUE,Pricing!N14&gt;1981),AND(K23=TRUE,Pricing!N14&gt;1828),OR(AND(OR(L23=TRUE,M23=TRUE),Pricing!N14&gt;1800,Pricing!N14&lt;=2500),AND(OR(L23=TRUE,M23=TRUE),Pricing!N14&gt;=2501,Pricing!N14&lt;=3000)),AND(H23=TRUE,Pricing!N14&gt;1799),OR(AND(E23=TRUE,Pricing!N14&gt;1800,Pricing!N14&lt;=2400),AND(E23=TRUE,Pricing!N14&gt;=2401,Pricing!N14&lt;=3000))+N("Aruba Express"))</f>
        <v>0</v>
      </c>
      <c r="AD23" s="46" t="b">
        <f>AND(OR(H23=TRUE,D23=TRUE,E23=TRUE,F23=TRUE,L23=TRUE),Pricing!H14="47mm")</f>
        <v>0</v>
      </c>
      <c r="AE23" s="452"/>
      <c r="AF23" s="452"/>
      <c r="AG23" s="452"/>
      <c r="AH23" s="46" t="b">
        <f>OR(AND(Pricing!H14=AH22,I23=TRUE+N("Cuba")),AND(L23=TRUE,Pricing!H14="114"),AND(E23=TRUE,Pricing!H14="114"))</f>
        <v>0</v>
      </c>
      <c r="AI23" s="46" t="b">
        <f>IF(AND(OR(K23=TRUE,L23=TRUE,M23=TRUE,E23=TRUE),Pricing!D14="S/Shade"),TRUE,AND(Pricing!D14="S/Shade",OR(C23=TRUE,G23=TRUE,I23=TRUE,J23-TRUE,H23=TRUE,F23=TRUE+N("Barbados, Bermuda, Cuba, Fiji, Capri, Belize")),Pricing!I14&lt;&gt;"FFrame"))</f>
        <v>0</v>
      </c>
      <c r="AJ23" s="46" t="b">
        <f>AND(Pricing!D14="French Door Cutout",OR(C23=TRUE,D23=TRUE,E23=TRUE,G23=TRUE,I23=TRUE, K23=TRUE,E23=TRUE+N("Barbados, Bermuda, Cuba, Java, Aruba, Aruba Express")))</f>
        <v>0</v>
      </c>
      <c r="AK23" s="46" t="b">
        <f>AND(Pricing!D14=AK20,OR(E23=TRUE,D23=TRUE))</f>
        <v>0</v>
      </c>
      <c r="AL23" s="27" t="b">
        <f>AND(Pricing!D14="Tier on Tier",Pricing!M14&gt;=1361+N("1219 S-Craft, Pauls Limit"))</f>
        <v>0</v>
      </c>
      <c r="AM23" s="401" t="b">
        <f>AND(Pricing!C14="Bathroom",OR(C23=TRUE,G23=TRUE,I23=TRUE,J23=TRUE,L23=TRUE,M23=TRUE,H23=TRUE,D23=TRUE,E23=TRUE)+N("If not JAVA"))</f>
        <v>0</v>
      </c>
      <c r="AN23" s="27"/>
      <c r="AO23" s="27" t="b">
        <f>AND(K23=TRUE,ISERROR(FIND("Stainless Steel",Pricing!G16)))</f>
        <v>0</v>
      </c>
      <c r="AP23" s="27" t="b" cm="1">
        <f t="array" ref="AP23">IF(Pricing!F14="",FALSE,NOT(OR(AND(C23=TRUE,COUNTIF(Barbados,Pricing!F14)&gt;0),AND(D23=TRUE,COUNTIF(Aruba,Pricing!F14)&gt;0),AND(E23=TRUE,COUNTIF(ArubaExpress,Pricing!F14)&gt;0),AND(F23=TRUE,COUNTIF(Belize,Pricing!F14)&gt;0),AND(G23=TRUE,COUNTIF(Bermuda,Pricing!F14)&gt;0),AND(H23=TRUE,COUNTIF(Capri,Pricing!F14)&gt;0),AND(I23=TRUE,COUNTIF(Cuba,Pricing!F14)&gt;0),AND(J23=TRUE,COUNTIF(Fiji,Pricing!F14)&gt;0),AND(K23=TRUE,COUNTIF(Java,Pricing!F14)&gt;0),AND(L23=TRUE,COUNTIF(Maui,Pricing!F14)&gt;0),AND(M23=TRUE,COUNTIF(Tahiti,Pricing!F14)&gt;0))))</f>
        <v>0</v>
      </c>
      <c r="AQ23" s="27" t="b">
        <f>AND(Pricing!D14=$AQ$20,D23=TRUE,K23=FALSE,J23=FALSE,M23=FALSE,L23=FALSE,H23=FALSE,F23=FALSE)</f>
        <v>0</v>
      </c>
      <c r="AR23" s="27" t="b">
        <f>IF(AND(Pricing!D14="Tracked",COUNTIF(Table19[Tframes],Pricing!D14)=0),TRUE,FALSE)</f>
        <v>0</v>
      </c>
    </row>
    <row r="24" spans="1:44">
      <c r="B24" s="27">
        <v>4</v>
      </c>
      <c r="C24" s="27" t="b">
        <f>Pricing!E17=Helper!$C$20</f>
        <v>1</v>
      </c>
      <c r="D24" s="27" t="b">
        <f>Pricing!E17=Helper!$D$20</f>
        <v>0</v>
      </c>
      <c r="E24" s="27" t="b">
        <f>Pricing!E17="Aruba Express"</f>
        <v>0</v>
      </c>
      <c r="F24" s="27" t="b">
        <f>Pricing!$E17=Helper!F$20</f>
        <v>0</v>
      </c>
      <c r="G24" s="27" t="b">
        <f>Pricing!$E17=Helper!G$20</f>
        <v>0</v>
      </c>
      <c r="H24" s="27" t="b">
        <f>Pricing!$E17=Helper!H$20</f>
        <v>0</v>
      </c>
      <c r="I24" s="27" t="b">
        <f>Pricing!$E17=Helper!I$20</f>
        <v>0</v>
      </c>
      <c r="J24" s="27" t="b">
        <f>Pricing!$E17=Helper!J$20</f>
        <v>0</v>
      </c>
      <c r="K24" s="27" t="b">
        <f>Pricing!$E17=Helper!K$20</f>
        <v>0</v>
      </c>
      <c r="L24" s="27" t="b">
        <f>Pricing!$E17=Helper!L$20</f>
        <v>0</v>
      </c>
      <c r="M24" s="27" t="b">
        <f>Pricing!$E17=Helper!M$20</f>
        <v>0</v>
      </c>
      <c r="N24" s="27" t="b">
        <f>OR(IF(Pricing!J17="",FALSE,AND(OR(Pricing!J17="Split Offset",Pricing!J17="Split Custom",Pricing!J17="Offset",Pricing!J17="Custom",Pricing!J17="Centre"),L24=TRUE,Pricing!J17&lt;&gt;Helper!$Q$20)),AND(E24=TRUE,Pricing!H17="49mm"))</f>
        <v>0</v>
      </c>
      <c r="O24" s="27" t="b">
        <f>IF(Pricing!J17="",FALSE,IF(AND(OR(D24=TRUE,L24=TRUE,M24=TRUE,F24=TRUE,E24=TRUE),OR(Pricing!J17="Silent",Pricing!J17="Silent Split")),TRUE,FALSE))</f>
        <v>0</v>
      </c>
      <c r="P24" s="27" t="b">
        <f>OR(AND(OR(C24=TRUE,G24=TRUE,I24=TRUE,J24=TRUE,K24=TRUE+N("S-Craft Material"),AND(L24=TRUE,Pricing!J17="Clearview",Pricing!N17&gt;1200)),Q24=TRUE),AND(OR(D24=TRUE,F24=TRUE,H24=TRUE,E24=TRUE),Pricing!N17&gt;1300,Pricing!J17="Concealed"),AND(OR(D24=TRUE, F24=TRUE,H24=TRUE),Pricing!N17&gt;1200,Pricing!J17="Hidden")+N("Belize"))</f>
        <v>0</v>
      </c>
      <c r="Q24" s="27" t="b">
        <f>OR(AND(OR(C24=TRUE,G24=TRUE,I24=TRUE,J24=TRUE,K24=TRUE+N("S-Craft Materials")),Pricing!J17=$Q$20),AND(L24=TRUE,Pricing!J17=O20)+N("MAUI"),AND(F24=TRUE,Pricing!J17=Helper!$Q$20),AND(E24=TRUE,Pricing!J17=Helper!$Q$20),AND(D24=TRUE,Pricing!J17=Helper!$Q$20))</f>
        <v>0</v>
      </c>
      <c r="R24" s="46" t="b">
        <f>IF(Matrix2!AG19=0,FALSE,OR(AND(IF(Pricing!M17/(Matrix2!AG$19)&lt;152,TRUE,FALSE),Pricing!J17&lt;&gt;"Silent",OR(C24=TRUE,G24=TRUE,I24=TRUE,J24=TRUE,K24=TRUE)+N("S-Craft Materials")),AND(OR(D24=TRUE,M24=TRUE),Pricing!M17/(Matrix2!AG$19)&lt;250+N("Aruba,Tahiti"),N24=TRUE),AND(L24=TRUE,Pricing!H17="49mm"),AND(H24=TRUE,Pricing!M17&lt;200),AND(F24=TRUE,Pricing!M17=250),AND(E24=TRUE,Pricing!M17=200)))</f>
        <v>0</v>
      </c>
      <c r="S24" s="401" t="b">
        <f>IF(Matrix2!AG19=0,FALSE,OR(AND(Pricing!M17/(Matrix2!AG$19)&lt;152+N("S-Craft"),O24=TRUE,OR(C24=TRUE,G24=TRUE,I24=TRUE,J24=TRUE,K24=TRUE)),AND(Pricing!M17/(Matrix2!AG$19)&lt;170+N("Aruba"),Q24=TRUE),AND(OR(L24=TRUE,M24=TRUE),Pricing!J17=Q20,Pricing!M17/(Matrix2!AG$19)&lt;250+N("MAUI")),AND(H24=TRUE,OR(Pricing!J17="Supatilt",Pricing!J17="Silent"),Pricing!M17&lt;200)))</f>
        <v>0</v>
      </c>
      <c r="T24" s="91" t="b">
        <f>IF(Matrix2!AG19=0,FALSE,OR(AND(C24=TRUE,Pricing!H17="47mm",(Pricing!M17/Matrix2!AG$19)&gt;600),AND(G24=TRUE,Pricing!H17="47mm",(Pricing!M17/Matrix2!AG$19)&gt;610+N("Bermuda")),AND(G24=TRUE,Pricing!H17="47mm",(Pricing!M17/Matrix2!AG$19)&gt;750+N("Cuba")),AND(J24=TRUE,Pricing!H17="47mm",(Pricing!M17/Matrix2!AG$19)&gt;750+N("Fiji")),AND(K24=TRUE,Pricing!H17="47mm",(Pricing!M17/Matrix2!AG$19)&gt;550+N("Java")),AND(L24=TRUE,Pricing!H17="47mm"),AND(L24=TRUE,Pricing!H17="47mm",(Pricing!M17/Matrix2!AD$19)&gt;850+N("Tahiti")),AND(H24=TRUE,Pricing!H17="47mm"),AND(F24=TRUE,Pricing!H17="47mm"),AND(E24=TRUE,Pricing!H17="47mm")))</f>
        <v>0</v>
      </c>
      <c r="U24" s="401" t="b">
        <f>IF(Pricing!M17="",FALSE,OR(AND(C24=TRUE,AD24=FALSE,(Pricing!M17/(Matrix2!AG$19))&gt;750+N("Barbados")),AND(D24=TRUE,Pricing!H17&lt;&gt;"89mm",Pricing!H17&lt;&gt;"114mm",Pricing!M17/Matrix2!AG$19&gt;800)+N("Aruba"),AND(D24=TRUE,Pricing!H17&lt;&gt;"63mm",Pricing!H17&lt;&gt;"76mm",Pricing!M17/Matrix2!AG$19&gt;920)+N("Aruba"),AND(G24=TRUE,Pricing!M17/Matrix2!AG$19&gt;915)+N("Bermuda"),AND(G24=TRUE,Pricing!M17/Matrix2!AG$19&gt;890)+N("Cuba"),AND(J24=TRUE,OR(AE24=TRUE,AF24=TRUE),(Pricing!M17/Matrix2!AG$19)&gt;890+N("Fiji")),AND(J24=TRUE,OR(AG24=TRUE,AH24=TRUE),(Pricing!M17/Matrix2!AG$19)&gt;1047+N("Fiji")),AND(K24=TRUE,OR(AE24=TRUE,AF24=TRUE),(Pricing!M17/Matrix2!AG$19)&gt;800+N("Java")),AND(K24=TRUE,OR(AG24=TRUE,AH24=TRUE),(Pricing!M17/Matrix2!AG$19)&gt;890+N("Java")),AND(L24=TRUE,(Pricing!M17/Matrix2!AG$19)&gt;950+N("Maui")),AND(M24=TRUE,Pricing!H17="63mm",(Pricing!M17/Matrix2!AG$19)&gt;850+N("Tahiti 63mm")),AND(M24=TRUE,OR(Pricing!H17="76mm",Pricing!H17="89mm",Pricing!H17="114mm"),(Pricing!M17/Matrix2!AG$19)&gt;950+N("Tahiti 76,89,114mm")),AND(H24=TRUE,(Pricing!M17/Matrix2!AG$19)&gt;890+N("Capri")),AND(OR(H24=TRUE,F24=TRUE),Pricing!D17="Tracked",(Pricing!M17/Matrix2!AG$19)&gt;600),AND(H24=TRUE,Pricing!M17&gt;890,LEN(Matrix2!AD25)=1),AND(F24=TRUE,Pricing!M17&gt;750,LEN(Matrix2!AD25)=1,Pricing!H17="63mm"),AND(F24=TRUE,Pricing!M17&gt;890,LEN(Matrix2!AD25)=1,OR(Pricing!H17="76mm",Pricing!H17="89mm",Pricing!H17="114mm")),AND(E24=TRUE,Pricing!M17=700)))</f>
        <v>0</v>
      </c>
      <c r="V24" s="401" t="b">
        <f>IF(OR(Pricing!M17="",Matrix2!AG19=1),FALSE,OR(AND(OR(Matrix2!AD25="LL",Matrix2!AD25="RR"),Pricing!D17&lt;&gt;"Tracked",OR(C24=TRUE,D24=TRUE,L24=TRUE,M24=TRUE),(Pricing!M17/2)&gt;600,Pricing!D17&lt;&gt;"Tracked"),AND(OR(Matrix2!AD25="LL",Matrix2!AD25="RR"),Pricing!D17&lt;&gt;"Tracked",OR(G24=TRUE,AND(K24=TRUE,Pricing!H17&lt;&gt;"47mm")),(Pricing!M17/Matrix2!$AG$19)&gt;610)+N("Bermuda, Java"),AND(OR(Matrix2!AD25="LL",Matrix2!AD25="RR"),Pricing!D17&lt;&gt;"Tracked",OR(I24=TRUE,J24=TRUE),(Pricing!M17/Matrix2!$AG$19)&gt;660)+N("Cuba &amp; Fiji"),AND(OR(Matrix2!AD25="LL",Matrix2!AD25="RR"),Pricing!D17="Tracked",K24=TRUE,Pricing!H17="47mm",(Pricing!M17/Matrix2!$AG$19)&gt;550)+N("Java"),AND(L24=TRUE,Pricing!D17="Tracked",(Pricing!M17/Matrix2!$AG$19)&gt;700),AND(H24=TRUE,Pricing!D17&lt;&gt;"Tracked",(Pricing!M17/Matrix2!$AG$19)&gt;625),AND(H24=TRUE,OR(Matrix2!AD25="LL",Matrix2!AD25="RR"),Pricing!D17&lt;&gt;"Tracked",(Pricing!M17/Matrix2!$AG$19)&gt;625)+N("Capri Bifold"),AND(H24=TRUE,OR(Matrix2!AD25="LLL",Matrix2!AD25="RRR",Matrix2!AD25="LLLRRR"),Pricing!D17&lt;&gt;"Tracked",(Pricing!M17/Matrix2!$AG$19)&gt;550)+N("Capri Multifold"),AND(H24=TRUE,Pricing!D17="Tracked",NOT(ISEVEN(LEN(Matrix2!AD25)))),AND(G24=TRUE,OR(Matrix2!AD25="LL",Matrix2!AD25="RR"),Pricing!D17&lt;&gt;"Tracked",(Pricing!M17/Matrix2!$AG$19)&gt;500),AND(F24=TRUE,Pricing!M17/Matrix2!$AG$19&gt;500,Pricing!D17&lt;&gt;"Tracked",Matrix2!AD25&lt;&gt;"LR"),AND(F24=TRUE,OR(Matrix2!AD25="LL",Matrix2!AD25="RR"),Pricing!D17&lt;&gt;"Tracked",(Pricing!M17/Matrix2!$AG$19)&gt;600),AND(F24=TRUE,OR(Matrix2!AD25="LL",Matrix2!AD25="RR",Matrix2!AD25="LLL",Matrix2!AD25="RRR",Matrix2!AD25="LLLLRRRR"),Pricing!D17="Tracked",(Pricing!M17/Matrix2!$AG$19)&gt;600),AND(E24=TRUE,OR(Matrix2!AD25="LL",Matrix2!AD25="RR"),Pricing!D17&lt;&gt;"Tracked",(Pricing!M17/Matrix2!$AG$19)&gt;500)+N("Aruba Express")))</f>
        <v>0</v>
      </c>
      <c r="W24" s="401" t="b">
        <f>IF(Pricing!M17="",FALSE,OR(AND(ISERROR(FIND("(",Matrix2!AD25)),LEN(Matrix2!AD25)-LEN(SUBSTITUTE(Matrix2!AD25,"L",""))&gt;2,OR(C24=TRUE,G24=TRUE,K24=TRUE,L24=TRUE,M24=TRUE,F24=TRUE,E24=TRUE)),AND(ISERROR(FIND("(",Matrix2!AD25)),LEN(Matrix2!AD25)-LEN(SUBSTITUTE(Matrix2!AD25,"R",""))&gt;2,OR(C24=TRUE,G24=TRUE,L24=TRUE,M24=TRUE,F24=TRUE,E24=TRUE)),AND(ISERROR(FIND("(",Matrix2!AD25)),LEN(Matrix2!AD25)-LEN(SUBSTITUTE(Matrix2!AD25,"R",""))&gt;4,OR(I24=TRUE,AND(H24=TRUE,Pricing!D17="Tracked")),(Pricing!M17/Matrix2!AG19)&gt;550),AND(ISERROR(FIND("(",Matrix2!AD25)),LEN(Matrix2!AD25)-LEN(SUBSTITUTE(Matrix2!AD25,"L",""))&gt;4,OR(I24=TRUE,AND(H24=TRUE,Pricing!D17="Tracked")),(Pricing!M17/Matrix2!AG19)&gt;550),AND(ISERROR(FIND("(",Matrix2!AD25)),LEN(Matrix2!AD25)-LEN(SUBSTITUTE(Matrix2!AD25,"L",""))&gt;3,H24=TRUE),AND(ISERROR(FIND("(",Matrix2!AD25)),LEN(Matrix2!AD25)-LEN(SUBSTITUTE(Matrix2!AD25,"R",""))&gt;3,H24=TRUE)))</f>
        <v>0</v>
      </c>
      <c r="X24" s="46" t="b">
        <f>IF(Pricing!N17="",FALSE,OR(Pricing!N17&lt;250+N("Barbados, Aruba, Bermuda, Cuba, Fiji, Java, Maui, Tahiti, Capri, Aruba Express"),AND(F24=TRUE,Pricing!N17&lt;300)))</f>
        <v>0</v>
      </c>
      <c r="Y24" s="46" t="b">
        <f>OR(Pricing!N17&gt;3000 +N("Barbados, Aruba, Bermuda, Cuba, Fiji, Java, Maui, Tahiti, Capri, Aruba Express"),AND(F24=TRUE,Pricing!N17&gt;2700))</f>
        <v>0</v>
      </c>
      <c r="Z24" s="46" t="b">
        <f>OR(AND(Pricing!D17="Shape",OR(C24=TRUE,G24=TRUE,I24=TRUE,E24=TRUE)+N("Barbados, Bermuda, Cuba, Java, Aruba Express")),AND(Pricing!D17="Shape",D24=TRUE+N("Aruba")))</f>
        <v>0</v>
      </c>
      <c r="AA24" s="46" t="b">
        <f>AND(NOT(ISERROR(FIND("CB",Matrix2!AD25))),(D24=TRUE+N("Aruba")))</f>
        <v>0</v>
      </c>
      <c r="AB24" s="46" t="b">
        <f>AND(O24=TRUE,Pricing!N17&gt;1372,OR(C24=TRUE,G24=TRUE,J24=TRUE,K24=TRUE,I24=TRUE))</f>
        <v>0</v>
      </c>
      <c r="AC24" s="46" t="b">
        <f>OR(AND(OR(C24=TRUE,G24=TRUE,I24=TRUE),Pricing!N17&gt;1879+N("S-Craft")),AND(D24=TRUE,Pricing!N17&gt;1500,Pricing!N17&lt;=2000),AND(J24=TRUE,Pricing!N17&gt;1981),AND(K24=TRUE,Pricing!N17&gt;1828),OR(AND(OR(L24=TRUE,M24=TRUE),Pricing!N17&gt;1800,Pricing!N17&lt;=2500),AND(OR(L24=TRUE,M24=TRUE),Pricing!N17&gt;=2501,Pricing!N17&lt;=3000)),AND(H24=TRUE,Pricing!N17&gt;1799),OR(AND(E24=TRUE,Pricing!N17&gt;1800,Pricing!N17&lt;=2400),AND(E24=TRUE,Pricing!N17&gt;=2401,Pricing!N17&lt;=3000))+N("Aruba Express"))</f>
        <v>0</v>
      </c>
      <c r="AD24" s="46" t="b">
        <f>AND(OR(H24=TRUE,D24=TRUE,E24=TRUE,F24=TRUE,L24=TRUE),Pricing!H17="47mm")</f>
        <v>0</v>
      </c>
      <c r="AE24" s="452"/>
      <c r="AF24" s="452"/>
      <c r="AG24" s="452"/>
      <c r="AH24" s="46" t="b">
        <f>OR(AND(Pricing!H17=AH23,I24=TRUE+N("Cuba")),AND(L24=TRUE,Pricing!H17="114"),AND(E24=TRUE,Pricing!H17="114"))</f>
        <v>0</v>
      </c>
      <c r="AI24" s="46" t="b">
        <f>IF(AND(OR(K24=TRUE,L24=TRUE,M24=TRUE,E24=TRUE),Pricing!D17="S/Shade"),TRUE,AND(Pricing!D17="S/Shade",OR(C24=TRUE,G24=TRUE,I24=TRUE,J24-TRUE,H24=TRUE,F24=TRUE+N("Barbados, Bermuda, Cuba, Fiji, Capri, Belize")),Pricing!I17&lt;&gt;"FFrame"))</f>
        <v>0</v>
      </c>
      <c r="AJ24" s="46" t="b">
        <f>AND(Pricing!D17="French Door Cutout",OR(C24=TRUE,D24=TRUE,E24=TRUE,G24=TRUE,I24=TRUE, K24=TRUE,E24=TRUE+N("Barbados, Bermuda, Cuba, Java, Aruba, Aruba Express")))</f>
        <v>0</v>
      </c>
      <c r="AK24" s="46" t="b">
        <f>AND(Pricing!D17=AK20,OR(E24=TRUE,D24=TRUE))</f>
        <v>0</v>
      </c>
      <c r="AL24" s="27" t="b">
        <f>AND(Pricing!D17="Tier on Tier",Pricing!M17&gt;=1361+N("1219 S-Craft, Pauls Limit"))</f>
        <v>0</v>
      </c>
      <c r="AM24" s="401" t="b">
        <f>AND(Pricing!C17="Bathroom",OR(C24=TRUE,G24=TRUE,I24=TRUE,J24=TRUE,L24=TRUE,M24=TRUE,H24=TRUE,D24=TRUE,E24=TRUE)+N("If not JAVA"))</f>
        <v>0</v>
      </c>
      <c r="AN24" s="27"/>
      <c r="AO24" s="27" t="b">
        <f>AND(K24=TRUE,ISERROR(FIND("Stainless Steel",Pricing!G19)))</f>
        <v>0</v>
      </c>
      <c r="AP24" s="27" t="b" cm="1">
        <f t="array" ref="AP24">IF(Pricing!F17="",FALSE,NOT(OR(AND(C24=TRUE,COUNTIF(Barbados,Pricing!F17)&gt;0),AND(D24=TRUE,COUNTIF(Aruba,Pricing!F17)&gt;0),AND(E24=TRUE,COUNTIF(ArubaExpress,Pricing!F17)&gt;0),AND(F24=TRUE,COUNTIF(Belize,Pricing!F17)&gt;0),AND(G24=TRUE,COUNTIF(Bermuda,Pricing!F17)&gt;0),AND(H24=TRUE,COUNTIF(Capri,Pricing!F17)&gt;0),AND(I24=TRUE,COUNTIF(Cuba,Pricing!F17)&gt;0),AND(J24=TRUE,COUNTIF(Fiji,Pricing!F17)&gt;0),AND(K24=TRUE,COUNTIF(Java,Pricing!F17)&gt;0),AND(L24=TRUE,COUNTIF(Maui,Pricing!F17)&gt;0),AND(M24=TRUE,COUNTIF(Tahiti,Pricing!F17)&gt;0))))</f>
        <v>0</v>
      </c>
      <c r="AQ24" s="27" t="b">
        <f>AND(Pricing!D17=$AQ$20,D24=TRUE,K24=FALSE,J24=FALSE,M24=FALSE,L24=FALSE,H24=FALSE,F24=FALSE)</f>
        <v>0</v>
      </c>
      <c r="AR24" s="27" t="b">
        <f>IF(AND(Pricing!D17="Tracked",COUNTIF(Table19[Tframes],Pricing!D17)=0),TRUE,FALSE)</f>
        <v>0</v>
      </c>
    </row>
    <row r="25" spans="1:44">
      <c r="B25" s="27">
        <v>5</v>
      </c>
      <c r="C25" s="27" t="b">
        <f>Pricing!E20=Helper!$C$20</f>
        <v>0</v>
      </c>
      <c r="D25" s="27" t="b">
        <f>Pricing!E20=Helper!$D$20</f>
        <v>0</v>
      </c>
      <c r="E25" s="27" t="b">
        <f>Pricing!E20="Aruba Express"</f>
        <v>0</v>
      </c>
      <c r="F25" s="27" t="b">
        <f>Pricing!$E20=Helper!F$20</f>
        <v>0</v>
      </c>
      <c r="G25" s="27" t="b">
        <f>Pricing!$E20=Helper!G$20</f>
        <v>0</v>
      </c>
      <c r="H25" s="27" t="b">
        <f>Pricing!$E20=Helper!H$20</f>
        <v>0</v>
      </c>
      <c r="I25" s="27" t="b">
        <f>Pricing!$E20=Helper!I$20</f>
        <v>0</v>
      </c>
      <c r="J25" s="27" t="b">
        <f>Pricing!$E20=Helper!J$20</f>
        <v>0</v>
      </c>
      <c r="K25" s="27" t="b">
        <f>Pricing!$E20=Helper!K$20</f>
        <v>0</v>
      </c>
      <c r="L25" s="27" t="b">
        <f>Pricing!$E20=Helper!L$20</f>
        <v>0</v>
      </c>
      <c r="M25" s="27" t="b">
        <f>Pricing!$E20=Helper!M$20</f>
        <v>0</v>
      </c>
      <c r="N25" s="27" t="b">
        <f>OR(IF(Pricing!J20="",FALSE,AND(OR(Pricing!J20="Split Offset",Pricing!J20="Split Custom",Pricing!J20="Offset",Pricing!J20="Custom",Pricing!J20="Centre"),L25=TRUE,Pricing!J20&lt;&gt;Helper!$Q$20)),AND(E25=TRUE,Pricing!H20="49mm"))</f>
        <v>0</v>
      </c>
      <c r="O25" s="27" t="b">
        <f>IF(Pricing!J20="",FALSE,IF(AND(OR(D25=TRUE,L25=TRUE,M25=TRUE,F25=TRUE,E25=TRUE),OR(Pricing!J20="Silent",Pricing!J20="Silent Split")),TRUE,FALSE))</f>
        <v>0</v>
      </c>
      <c r="P25" s="27" t="b">
        <f>OR(AND(OR(C25=TRUE,G25=TRUE,I25=TRUE,J25=TRUE,K25=TRUE+N("S-Craft Material"),AND(L25=TRUE,Pricing!J20="Clearview",Pricing!N20&gt;1200)),Q25=TRUE),AND(OR(D25=TRUE,F25=TRUE,H25=TRUE,E25=TRUE),Pricing!N20&gt;1300,Pricing!J20="Concealed"),AND(OR(D25=TRUE,F25=TRUE,H25=TRUE),Pricing!N20&gt;1200,Pricing!J20="Hidden")+N("Belize"))</f>
        <v>0</v>
      </c>
      <c r="Q25" s="27" t="b">
        <f>OR(AND(OR(C25=TRUE,G25=TRUE,I25=TRUE,J25=TRUE,K25=TRUE+N("S-Craft Materials")),Pricing!J20=$Q$20),AND(L25=TRUE,Pricing!J20=O20)+N("MAUI"),AND(F25=TRUE,Pricing!J20=Helper!$Q$20),AND(E25=TRUE,Pricing!J20=Helper!$Q$20),AND(D25=TRUE,Pricing!J20=Helper!$Q$20))</f>
        <v>0</v>
      </c>
      <c r="R25" s="46" t="b">
        <f>IF(Matrix2!AH19=0,FALSE,OR(AND(IF(Pricing!M20/(Matrix2!AH$19)&lt;152,TRUE,FALSE),Pricing!J20&lt;&gt;"Silent",OR(C25=TRUE,G25=TRUE,I25=TRUE,J25=TRUE,K25=TRUE)+N("S-Craft Materials")),AND(OR(D25=TRUE,M25=TRUE),Pricing!M20/(Matrix2!AH$19)&lt;250+N("Aruba,Tahiti"),N25=TRUE),AND(L25=TRUE,Pricing!H20="49mm"),AND(H25=TRUE,Pricing!M20&lt;200),AND(F25=TRUE,Pricing!M20=250),AND(E25=TRUE,Pricing!M20=200)))</f>
        <v>0</v>
      </c>
      <c r="S25" s="401" t="b">
        <f>IF(Matrix2!AH19=0,FALSE,OR(AND(Pricing!M20/(Matrix2!AH$19)&lt;152+N("S-Craft"),O25=TRUE,OR(C25=TRUE,G25=TRUE,I25=TRUE,J25=TRUE,K25=TRUE)),AND(Pricing!M20/(Matrix2!AH$19)&lt;170+N("Aruba"),Q25=TRUE),AND(OR(L25=TRUE,M25=TRUE),Pricing!J20=Q20,Pricing!M20/(Matrix2!AH$19)&lt;250+N("MAUI")),AND(H25=TRUE,OR(Pricing!J20="Supatilt",Pricing!J20="Silent"),Pricing!M20&lt;200)))</f>
        <v>0</v>
      </c>
      <c r="T25" s="91" t="b">
        <f>IF(Matrix2!AH19=0,FALSE,OR(AND(C25=TRUE,Pricing!H20="47mm",(Pricing!M20/Matrix2!AH$19)&gt;600),AND(G25=TRUE,Pricing!H20="47mm",(Pricing!M20/Matrix2!AH$19)&gt;610+N("Bermuda")),AND(G25=TRUE,Pricing!H20="47mm",(Pricing!M20/Matrix2!AH$19)&gt;750+N("Cuba")),AND(J25=TRUE,Pricing!H20="47mm",(Pricing!M20/Matrix2!AH$19)&gt;750+N("Fiji")),AND(K25=TRUE,Pricing!H20="47mm",(Pricing!M20/Matrix2!AH$19)&gt;550+N("Java")),AND(L25=TRUE,Pricing!H20="47mm"),AND(L25=TRUE,Pricing!H20="47mm",(Pricing!M20/Matrix2!AH$19)&gt;850+N("Tahiti")),AND(H25=TRUE,Pricing!H20="47mm"),AND(F25=TRUE,Pricing!H20="47mm"),AND(E25=TRUE,Pricing!H20="47mm")))</f>
        <v>0</v>
      </c>
      <c r="U25" s="401" t="b">
        <f>IF(Pricing!M20="",FALSE,OR(AND(C25=TRUE,AD25=FALSE,(Pricing!M20/(Matrix2!AH$19))&gt;750+N("Barbados")),AND(D25=TRUE,Pricing!H20&lt;&gt;"89mm",Pricing!H20&lt;&gt;"114mm",Pricing!M20/Matrix2!AH$19&gt;800)+N("Aruba"),AND(D25=TRUE,Pricing!H20&lt;&gt;"63mm",Pricing!H20&lt;&gt;"76mm",Pricing!M20/Matrix2!AH$19&gt;920)+N("Aruba"),AND(G25=TRUE,Pricing!M20/Matrix2!AH$19&gt;915)+N("Bermuda"),AND(G25=TRUE,Pricing!M20/Matrix2!AH$19&gt;890)+N("Cuba"),AND(J25=TRUE,OR(AE25=TRUE,AF25=TRUE),(Pricing!M20/Matrix2!AH$19)&gt;890+N("Fiji")),AND(J25=TRUE,OR(AG25=TRUE,AH25=TRUE),(Pricing!M20/Matrix2!AH$19)&gt;1047+N("Fiji")),AND(K25=TRUE,OR(AE25=TRUE,AF25=TRUE),(Pricing!M20/Matrix2!AH$19)&gt;800+N("Java")),AND(K25=TRUE,OR(AG25=TRUE,AH25=TRUE),(Pricing!M20/Matrix2!AH$19)&gt;890+N("Java")),AND(L25=TRUE,(Pricing!M20/Matrix2!AH$19)&gt;950+N("Maui")),AND(M25=TRUE,Pricing!H20="63mm",(Pricing!M20/Matrix2!AH$19)&gt;850+N("Tahiti 63mm")),AND(M25=TRUE,OR(Pricing!H20="76mm",Pricing!H20="89mm",Pricing!H20="114mm"),(Pricing!M20/Matrix2!AH$19)&gt;950+N("Tahiti 76,89,114mm")),AND(H25=TRUE,(Pricing!M20/Matrix2!AH$19)&gt;890+N("Capri")),AND(OR(H25=TRUE,F25=TRUE),Pricing!D20="Tracked",(Pricing!M20/Matrix2!AH$19)&gt;600),AND(H25=TRUE,Pricing!M20&gt;890,LEN(Matrix2!AD26)=1),AND(F25=TRUE,Pricing!M20&gt;750,LEN(Matrix2!AD26)=1,Pricing!H20="63mm"),AND(F25=TRUE,Pricing!M20&gt;890,LEN(Matrix2!AD26)=1,OR(Pricing!H20="76mm",Pricing!H20="89mm",Pricing!H20="114mm")),AND(E25=TRUE,Pricing!M18=700)))</f>
        <v>0</v>
      </c>
      <c r="V25" s="401" t="b">
        <f>IF(OR(Pricing!M20="",Matrix2!AH19=1),FALSE,OR(AND(OR(Matrix2!AD26="LL",Matrix2!AD26="RR"),Pricing!D20&lt;&gt;"Tracked",OR(C25=TRUE,D25=TRUE,L25=TRUE,M25=TRUE),(Pricing!M20/2)&gt;600,Pricing!D20&lt;&gt;"Tracked"),AND(OR(Matrix2!AD26="LL",Matrix2!AD26="RR"),Pricing!D20&lt;&gt;"Tracked",OR(G25=TRUE,AND(K25=TRUE,Pricing!H20&lt;&gt;"47mm")),(Pricing!M20/Matrix2!$AH$19)&gt;610)+N("Bermuda, Java"),AND(OR(Matrix2!AD26="LL",Matrix2!AD26="RR"),Pricing!D20&lt;&gt;"Tracked",OR(I25=TRUE,J25=TRUE),(Pricing!M20/Matrix2!$AH$19)&gt;660)+N("Cuba &amp; Fiji"),AND(OR(Matrix2!AD26="LL",Matrix2!AD26="RR"),Pricing!D20="Tracked",K25=TRUE,Pricing!H20="47mm",(Pricing!M20/Matrix2!$AH$19)&gt;550)+N("Java"),AND(L25=TRUE,Pricing!D20="Tracked",(Pricing!M20/Matrix2!$AH$19)&gt;700),AND(H25=TRUE,Pricing!D20&lt;&gt;"Tracked",(Pricing!M20/Matrix2!$AH$19)&gt;625),AND(H25=TRUE,OR(Matrix2!AD26="LL",Matrix2!AD26="RR"),Pricing!D20&lt;&gt;"Tracked",(Pricing!M20/Matrix2!$AH$19)&gt;625)+N("Capri Bifold"),AND(H25=TRUE,OR(Matrix2!AD26="LLL",Matrix2!AD26="RRR",Matrix2!AD26="LLLRRR"),Pricing!D20&lt;&gt;"Tracked",(Pricing!M20/Matrix2!$AH$19)&gt;550)+N("Capri Multifold"),AND(H25=TRUE,Pricing!D20="Tracked",NOT(ISEVEN(LEN(Matrix2!AD26)))),AND(G25=TRUE,OR(Matrix2!AD26="LL",Matrix2!AD26="RR"),Pricing!D20&lt;&gt;"Tracked",(Pricing!M20/Matrix2!$AH$19)&gt;500),AND(F25=TRUE,Pricing!M20/Matrix2!$AH$19&gt;500,Pricing!D20&lt;&gt;"Tracked",Matrix2!AD26&lt;&gt;"LR"),AND(F25=TRUE,OR(Matrix2!AD26="LL",Matrix2!AD26="RR"),Pricing!D20&lt;&gt;"Tracked",(Pricing!M20/Matrix2!$AH$19)&gt;600),AND(F25=TRUE,OR(Matrix2!AD26="LL",Matrix2!AD26="RR",Matrix2!AD26="LLL",Matrix2!AD26="RRR",Matrix2!AD26="LLLLRRRR"),Pricing!D20="Tracked",(Pricing!M20/Matrix2!$AH$19)&gt;600),AND(E25=TRUE,OR(Matrix2!AD26="LL",Matrix2!AD26="RR"),Pricing!D20&lt;&gt;"Tracked",(Pricing!M20/Matrix2!$AH$19)&gt;500)+N("Aruba Express")))</f>
        <v>0</v>
      </c>
      <c r="W25" s="401" t="b">
        <f>IF(Pricing!M20="",FALSE,OR(AND(ISERROR(FIND("(",Matrix2!AD26)),LEN(Matrix2!AD26)-LEN(SUBSTITUTE(Matrix2!AD26,"L",""))&gt;2,OR(C25=TRUE,G25=TRUE,K25=TRUE,L25=TRUE,M25=TRUE,F25=TRUE,E25=TRUE)),AND(ISERROR(FIND("(",Matrix2!AD26)),LEN(Matrix2!AD26)-LEN(SUBSTITUTE(Matrix2!AD26,"R",""))&gt;2,OR(C25=TRUE,G25=TRUE,L25=TRUE,M25=TRUE,F25=TRUE,E25=TRUE)),AND(ISERROR(FIND("(",Matrix2!AD26)),LEN(Matrix2!AD26)-LEN(SUBSTITUTE(Matrix2!AD26,"R",""))&gt;4,OR(I25=TRUE,AND(H25=TRUE,Pricing!D20="Tracked")),(Pricing!M20/Matrix2!AH19)&gt;550),AND(ISERROR(FIND("(",Matrix2!AD26)),LEN(Matrix2!AD26)-LEN(SUBSTITUTE(Matrix2!AD26,"L",""))&gt;4,OR(I25=TRUE,AND(H25=TRUE,Pricing!D20="Tracked")),(Pricing!M20/Matrix2!AH19)&gt;550),AND(ISERROR(FIND("(",Matrix2!AD26)),LEN(Matrix2!AD26)-LEN(SUBSTITUTE(Matrix2!AD26,"L",""))&gt;3,H25=TRUE),AND(ISERROR(FIND("(",Matrix2!AD26)),LEN(Matrix2!AD26)-LEN(SUBSTITUTE(Matrix2!AD26,"R",""))&gt;3,H25=TRUE)))</f>
        <v>0</v>
      </c>
      <c r="X25" s="46" t="b">
        <f>IF(Pricing!N20="",FALSE,OR(Pricing!N20&lt;250+N("Barbados, Aruba, Bermuda, Cuba, Fiji, Java, Maui, Tahiti, Capri, Aruba Express"),AND(F25=TRUE,Pricing!N20&lt;300)))</f>
        <v>0</v>
      </c>
      <c r="Y25" s="46" t="b">
        <f>OR(Pricing!N20&gt;3000 +N("Barbados, Aruba, Bermuda, Cuba, Fiji, Java, Maui, Tahiti, Capri, Aruba Express"),AND(F25=TRUE,Pricing!N20&gt;2700))</f>
        <v>0</v>
      </c>
      <c r="Z25" s="46" t="b">
        <f>OR(AND(Pricing!D20="Shape",OR(C25=TRUE,G25=TRUE,I25=TRUE,E25=TRUE)+N("Barbados, Bermuda, Cuba, Java, Aruba Express")),AND(Pricing!D20="Shape",D25=TRUE+N("Aruba")))</f>
        <v>0</v>
      </c>
      <c r="AA25" s="46" t="b">
        <f>AND(NOT(ISERROR(FIND("CB",Matrix2!AD26))),(D25=TRUE+N("Aruba")))</f>
        <v>0</v>
      </c>
      <c r="AB25" s="46" t="b">
        <f>AND(O25=TRUE,Pricing!N20&gt;1372,OR(C25=TRUE,G25=TRUE,J25=TRUE,K25=TRUE,I25=TRUE))</f>
        <v>0</v>
      </c>
      <c r="AC25" s="46" t="b">
        <f>OR(AND(OR(C25=TRUE,G25=TRUE,I25=TRUE),Pricing!N20&gt;1879+N("S-Craft")),AND(D25=TRUE,Pricing!N20&gt;1500,Pricing!N20&lt;=2000),AND(J25=TRUE,Pricing!N20&gt;1981),AND(K25=TRUE,Pricing!N20&gt;1828),OR(AND(OR(L25=TRUE,M25=TRUE),Pricing!N20&gt;1800,Pricing!N20&lt;=2500),AND(OR(L25=TRUE,M25=TRUE),Pricing!N20&gt;=2501,Pricing!N20&lt;=3000)),AND(H25=TRUE,Pricing!N20&gt;1799),OR(AND(E25=TRUE,Pricing!N20&gt;1800,Pricing!N20&lt;=2400),AND(E25=TRUE,Pricing!N20&gt;=2401,Pricing!N20&lt;=3000))+N("Aruba Express"))</f>
        <v>0</v>
      </c>
      <c r="AD25" s="46" t="b">
        <f>AND(OR(H25=TRUE,D25=TRUE,E25=TRUE,F25=TRUE,L25=TRUE),Pricing!H20="47mm")</f>
        <v>0</v>
      </c>
      <c r="AE25" s="452"/>
      <c r="AF25" s="452"/>
      <c r="AG25" s="452"/>
      <c r="AH25" s="46" t="b">
        <f>OR(AND(Pricing!H20=AH24,I25=TRUE+N("Cuba")),AND(L25=TRUE,Pricing!H20="114"),AND(E25=TRUE,Pricing!H20="114"))</f>
        <v>0</v>
      </c>
      <c r="AI25" s="46" t="b">
        <f>IF(AND(OR(K25=TRUE,L25=TRUE,M25=TRUE,E25=TRUE),Pricing!D20="S/Shade"),TRUE,AND(Pricing!D20="S/Shade",OR(C25=TRUE,G25=TRUE,I25=TRUE,J25-TRUE,H25=TRUE,F25=TRUE+N("Barbados, Bermuda, Cuba, Fiji, Capri, Belize")),Pricing!I20&lt;&gt;"FFrame"))</f>
        <v>0</v>
      </c>
      <c r="AJ25" s="46" t="b">
        <f>AND(Pricing!D20="French Door Cutout",OR(C25=TRUE,D25=TRUE,E25=TRUE,G25=TRUE,I25=TRUE, K25=TRUE,E25=TRUE+N("Barbados, Bermuda, Cuba, Java, Aruba, Aruba Express")))</f>
        <v>0</v>
      </c>
      <c r="AK25" s="46" t="b">
        <f>AND(Pricing!D20=AK20,OR(E25=TRUE,D25=TRUE))</f>
        <v>0</v>
      </c>
      <c r="AL25" s="27" t="b">
        <f>AND(Pricing!D20="Tier on Tier",Pricing!M20&gt;=1361+N("1219 S-Craft, Pauls Limit"))</f>
        <v>0</v>
      </c>
      <c r="AM25" s="401" t="b">
        <f>AND(Pricing!C20="Bathroom",OR(C25=TRUE,G25=TRUE,I25=TRUE,J25=TRUE,L25=TRUE,M25=TRUE,H25=TRUE,D25=TRUE,E25=TRUE)+N("If not JAVA"))</f>
        <v>0</v>
      </c>
      <c r="AN25" s="27"/>
      <c r="AO25" s="27" t="b">
        <f>AND(K25=TRUE,ISERROR(FIND("Stainless Steel",Pricing!G22)))</f>
        <v>0</v>
      </c>
      <c r="AP25" s="27" t="b" cm="1">
        <f t="array" ref="AP25">IF(Pricing!F20="",FALSE,NOT(OR(AND(C25=TRUE,COUNTIF(Barbados,Pricing!F20)&gt;0),AND(D25=TRUE,COUNTIF(Aruba,Pricing!F20)&gt;0),AND(E25=TRUE,COUNTIF(ArubaExpress,Pricing!F20)&gt;0),AND(F25=TRUE,COUNTIF(Belize,Pricing!F20)&gt;0),AND(G25=TRUE,COUNTIF(Bermuda,Pricing!F20)&gt;0),AND(H25=TRUE,COUNTIF(Capri,Pricing!F20)&gt;0),AND(I25=TRUE,COUNTIF(Cuba,Pricing!F20)&gt;0),AND(J25=TRUE,COUNTIF(Fiji,Pricing!F20)&gt;0),AND(K25=TRUE,COUNTIF(Java,Pricing!F20)&gt;0),AND(L25=TRUE,COUNTIF(Maui,Pricing!F20)&gt;0),AND(M25=TRUE,COUNTIF(Tahiti,Pricing!F20)&gt;0))))</f>
        <v>0</v>
      </c>
      <c r="AQ25" s="27" t="b">
        <f>AND(Pricing!D20=$AQ$20,D25=TRUE,K25=FALSE,J25=FALSE,M25=FALSE,L25=FALSE,H25=FALSE,F25=FALSE)</f>
        <v>0</v>
      </c>
      <c r="AR25" s="27" t="b">
        <f>IF(AND(Pricing!D20="Tracked",COUNTIF(Table19[Tframes],Pricing!D20)=0),TRUE,FALSE)</f>
        <v>0</v>
      </c>
    </row>
    <row r="26" spans="1:44">
      <c r="B26" s="27">
        <v>6</v>
      </c>
      <c r="C26" s="27" t="b">
        <f>Pricing!E23=Helper!$C$20</f>
        <v>0</v>
      </c>
      <c r="D26" s="27" t="b">
        <f>Pricing!E23=Helper!$D$20</f>
        <v>0</v>
      </c>
      <c r="E26" s="27" t="b">
        <f>Pricing!E23="Aruba Express"</f>
        <v>0</v>
      </c>
      <c r="F26" s="27" t="b">
        <f>Pricing!$E23=Helper!F$20</f>
        <v>0</v>
      </c>
      <c r="G26" s="27" t="b">
        <f>Pricing!$E23=Helper!G$20</f>
        <v>0</v>
      </c>
      <c r="H26" s="27" t="b">
        <f>Pricing!$E23=Helper!H$20</f>
        <v>0</v>
      </c>
      <c r="I26" s="27" t="b">
        <f>Pricing!$E23=Helper!I$20</f>
        <v>0</v>
      </c>
      <c r="J26" s="27" t="b">
        <f>Pricing!$E23=Helper!J$20</f>
        <v>0</v>
      </c>
      <c r="K26" s="27" t="b">
        <f>Pricing!$E23=Helper!K$20</f>
        <v>0</v>
      </c>
      <c r="L26" s="27" t="b">
        <f>Pricing!$E23=Helper!L$20</f>
        <v>0</v>
      </c>
      <c r="M26" s="27" t="b">
        <f>Pricing!$E23=Helper!M$20</f>
        <v>0</v>
      </c>
      <c r="N26" s="27" t="b">
        <f>OR(IF(Pricing!J23="",FALSE,AND(OR(Pricing!J23="Split Offset",Pricing!J23="Split Custom",Pricing!J23="Offset",Pricing!J23="Custom",Pricing!J23="Centre"),L26=TRUE,Pricing!J23&lt;&gt;Helper!$Q$20)),AND(E26=TRUE,Pricing!H23="49mm"))</f>
        <v>0</v>
      </c>
      <c r="O26" s="27" t="b">
        <f>IF(Pricing!J23="",FALSE,IF(AND(OR(D26=TRUE,L26=TRUE,M26=TRUE,F26=TRUE,E26=TRUE),OR(Pricing!J23="Silent",Pricing!J23="Silent Split")),TRUE,FALSE))</f>
        <v>0</v>
      </c>
      <c r="P26" s="27" t="b">
        <f>OR(AND(OR(C26=TRUE,G26=TRUE,I26=TRUE,J26=TRUE,K26=TRUE+N("S-Craft Material"),AND(L26=TRUE,Pricing!J23="Clearview",Pricing!N23&gt;1200)),Q26=TRUE),AND(OR(D26=TRUE,F26=TRUE,H26=TRUE,E26=TRUE),Pricing!N23&gt;1300,Pricing!J23="Concealed"),AND(OR(D26=TRUE,F26=TRUE,H26=TRUE),Pricing!N23&gt;1200,Pricing!J23="Hidden")+N("Belize"))</f>
        <v>0</v>
      </c>
      <c r="Q26" s="27" t="b">
        <f>OR(AND(OR(C26=TRUE,G26=TRUE,I26=TRUE,J26=TRUE,K26=TRUE+N("S-Craft Materials")),Pricing!J23=$Q$20),AND(L26=TRUE,Pricing!J23=O20)+N("MAUI"),AND(F26=TRUE,Pricing!J23=Helper!$Q$20),AND(E26=TRUE,Pricing!J23=Helper!$Q$20),AND(D26=TRUE,Pricing!J23=Helper!$Q$20))</f>
        <v>0</v>
      </c>
      <c r="R26" s="46" t="b">
        <f>IF(Matrix2!AI19=0,FALSE,OR(AND(IF(Pricing!M23/(Matrix2!AI$19)&lt;152,TRUE,FALSE),Pricing!J23&lt;&gt;"Silent",OR(C26=TRUE,G26=TRUE,I26=TRUE,J26=TRUE,K26=TRUE)+N("S-Craft Materials")),AND(OR(D26=TRUE,M26=TRUE),Pricing!M23/(Matrix2!AI$19)&lt;250+N("Aruba,Tahiti"),N26=TRUE),AND(L26=TRUE,Pricing!H23="49mm"),AND(H26=TRUE,Pricing!M23&lt;200),AND(F26=TRUE,Pricing!M23=250),AND(E26=TRUE,Pricing!M23=200)))</f>
        <v>0</v>
      </c>
      <c r="S26" s="401" t="b">
        <f>IF(Matrix2!AI19=0,FALSE,OR(AND(Pricing!M23/(Matrix2!AI$19)&lt;152+N("S-Craft"),O26=TRUE,OR(C26=TRUE,G26=TRUE,I26=TRUE,J26=TRUE,K26=TRUE)),AND(Pricing!M23/(Matrix2!AI$19)&lt;170+N("Aruba"),Q26=TRUE),AND(OR(L26=TRUE,M26=TRUE),Pricing!J23=Q20,Pricing!M23/(Matrix2!AI$19)&lt;250+N("MAUI")),AND(H26=TRUE,OR(Pricing!J23="Supatilt",Pricing!J23="Silent"),Pricing!M23&lt;200)))</f>
        <v>0</v>
      </c>
      <c r="T26" s="91" t="b">
        <f>IF(Matrix2!AI19=0,FALSE,OR(AND(C26=TRUE,Pricing!H23="47mm",(Pricing!M23/Matrix2!AI$19)&gt;600),AND(G26=TRUE,Pricing!H23="47mm",(Pricing!M23/Matrix2!AI$19)&gt;610+N("Bermuda")),AND(G26=TRUE,Pricing!H23="47mm",(Pricing!M23/Matrix2!AI$19)&gt;750+N("Cuba")),AND(J26=TRUE,Pricing!H23="47mm",(Pricing!M23/Matrix2!AI$19)&gt;750+N("Fiji")),AND(K26=TRUE,Pricing!H23="47mm",(Pricing!M23/Matrix2!AI$19)&gt;550+N("Java")),AND(L26=TRUE,Pricing!H23="47mm"),AND(L26=TRUE,Pricing!H23="47mm",(Pricing!M23/Matrix2!AI$19)&gt;850+N("Tahiti")),AND(H26=TRUE,Pricing!H23="47mm"),AND(F26=TRUE,Pricing!H23="47mm"),AND(E26=TRUE,Pricing!H23="47mm")))</f>
        <v>0</v>
      </c>
      <c r="U26" s="401" t="b">
        <f>IF(Pricing!M23="",FALSE,OR(AND(C26=TRUE,AD26=FALSE,(Pricing!M23/(Matrix2!AI$19))&gt;750+N("Barbados")),AND(D26=TRUE,Pricing!H23&lt;&gt;"89mm",Pricing!H23&lt;&gt;"114mm",Pricing!M23/Matrix2!AI$19&gt;800)+N("Aruba"),AND(D26=TRUE,Pricing!H23&lt;&gt;"63mm",Pricing!H23&lt;&gt;"76mm",Pricing!M23/Matrix2!AI$19&gt;920)+N("Aruba"),AND(G26=TRUE,Pricing!M23/Matrix2!AI$19&gt;915)+N("Bermuda"),AND(G26=TRUE,Pricing!M23/Matrix2!AI$19&gt;890)+N("Cuba"),AND(J26=TRUE,OR(AE26=TRUE,AF26=TRUE),(Pricing!M23/Matrix2!AI$19)&gt;890+N("Fiji")),AND(J26=TRUE,OR(AG26=TRUE,AH26=TRUE),(Pricing!M23/Matrix2!AI$19)&gt;1047+N("Fiji")),AND(K26=TRUE,OR(AE26=TRUE,AF26=TRUE),(Pricing!M23/Matrix2!AI$19)&gt;800+N("Java")),AND(K26=TRUE,OR(AG26=TRUE,AH26=TRUE),(Pricing!M23/Matrix2!AI$19)&gt;890+N("Java")),AND(L26=TRUE,(Pricing!M23/Matrix2!AI$19)&gt;950+N("Maui")),AND(M26=TRUE,Pricing!H23="63mm",(Pricing!M23/Matrix2!AI$19)&gt;850+N("Tahiti 63mm")),AND(M26=TRUE,OR(Pricing!H23="76mm",Pricing!H23="89mm",Pricing!H23="114mm"),(Pricing!M23/Matrix2!AI$19)&gt;950+N("Tahiti 76,89,114mm")),AND(H26=TRUE,(Pricing!M23/Matrix2!AI$19)&gt;890+N("Capri")),AND(OR(H26=TRUE,F26=TRUE),Pricing!D23="Tracked",(Pricing!M23/Matrix2!AI$19)&gt;600),AND(H26=TRUE,Pricing!M23&gt;890,LEN(Matrix2!AD27)=1),AND(F26=TRUE,Pricing!M23&gt;750,LEN(Matrix2!AD27)=1,Pricing!H23="63mm"),AND(F26=TRUE,Pricing!M23&gt;890,LEN(Matrix2!AD27)=1,OR(Pricing!H23="76mm",Pricing!H23="89mm",Pricing!H23="114mm")),AND(E26=TRUE,Pricing!M23=700)))</f>
        <v>0</v>
      </c>
      <c r="V26" s="401" t="b">
        <f>IF(OR(Pricing!M23="",Matrix2!AI19=1),FALSE,OR(AND(OR(Matrix2!AD27="LL",Matrix2!AD27="RR"),Pricing!D23&lt;&gt;"Tracked",OR(C26=TRUE,D26=TRUE,L26=TRUE,M26=TRUE),(Pricing!M23/2)&gt;600,Pricing!D23&lt;&gt;"Tracked"),AND(OR(Matrix2!AD27="LL",Matrix2!AD27="RR"),Pricing!D23&lt;&gt;"Tracked",OR(G26=TRUE,AND(K26=TRUE,Pricing!H23&lt;&gt;"47mm")),(Pricing!M23/Matrix2!$AI$19)&gt;610)+N("Bermuda, Java"),AND(OR(Matrix2!AD27="LL",Matrix2!AD27="RR"),Pricing!D23&lt;&gt;"Tracked",OR(I26=TRUE,J26=TRUE),(Pricing!M23/Matrix2!$AI$19)&gt;660)+N("Cuba &amp; Fiji"),AND(OR(Matrix2!AD27="LL",Matrix2!AD27="RR"),Pricing!D23="Tracked",K26=TRUE,Pricing!H23="47mm",(Pricing!M23/Matrix2!$AI$19)&gt;550)+N("Java"),AND(L26=TRUE,Pricing!D23="Tracked",(Pricing!M23/Matrix2!$AI$19)&gt;700),AND(H26=TRUE,Pricing!D23&lt;&gt;"Tracked",(Pricing!M23/Matrix2!$AI$19)&gt;625),AND(H26=TRUE,OR(Matrix2!AD27="LL",Matrix2!AD27="RR"),Pricing!D23&lt;&gt;"Tracked",(Pricing!M23/Matrix2!$AI$19)&gt;625)+N("Capri Bifold"),AND(H26=TRUE,OR(Matrix2!AD27="LLL",Matrix2!AD27="RRR",Matrix2!AD27="LLLRRR"),Pricing!D23&lt;&gt;"Tracked",(Pricing!M23/Matrix2!$AI$19)&gt;550)+N("Capri Multifold"),AND(H26=TRUE,Pricing!D23="Tracked",NOT(ISEVEN(LEN(Matrix2!AD27)))),AND(G26=TRUE,OR(Matrix2!AD27="LL",Matrix2!AD27="RR"),Pricing!D23&lt;&gt;"Tracked",(Pricing!M23/Matrix2!$AI$19)&gt;500),AND(F26=TRUE,Pricing!M23/Matrix2!$AI$19&gt;500,Pricing!D23&lt;&gt;"Tracked",Matrix2!AD27&lt;&gt;"LR"),AND(F26=TRUE,OR(Matrix2!AD27="LL",Matrix2!AD27="RR"),Pricing!D23&lt;&gt;"Tracked",(Pricing!M23/Matrix2!$AI$19)&gt;600),AND(F26=TRUE,OR(Matrix2!AD27="LL",Matrix2!AD27="RR",Matrix2!AD27="LLL",Matrix2!AD27="RRR",Matrix2!AD27="LLLLRRRR"),Pricing!D23="Tracked",(Pricing!M23/Matrix2!$AI$19)&gt;600),AND(E26=TRUE,OR(Matrix2!AD27="LL",Matrix2!AD27="RR"),Pricing!D23&lt;&gt;"Tracked",(Pricing!M23/Matrix2!$AI$19)&gt;500)+N("Aruba Express")))</f>
        <v>0</v>
      </c>
      <c r="W26" s="401" t="b">
        <f>IF(Pricing!M23="",FALSE,OR(AND(ISERROR(FIND("(",Matrix2!AD27)),LEN(Matrix2!AD27)-LEN(SUBSTITUTE(Matrix2!AD27,"L",""))&gt;2,OR(C26=TRUE,G26=TRUE,K26=TRUE,L26=TRUE,M26=TRUE,F26=TRUE,E26=TRUE)),AND(ISERROR(FIND("(",Matrix2!AD27)),LEN(Matrix2!AD27)-LEN(SUBSTITUTE(Matrix2!AD27,"R",""))&gt;2,OR(C26=TRUE,G26=TRUE,L26=TRUE,M26=TRUE,F26=TRUE,E26=TRUE)),AND(ISERROR(FIND("(",Matrix2!AD27)),LEN(Matrix2!AD27)-LEN(SUBSTITUTE(Matrix2!AD27,"R",""))&gt;4,OR(I26=TRUE,AND(H26=TRUE,Pricing!D23="Tracked")),(Pricing!M23/Matrix2!AI19)&gt;550),AND(ISERROR(FIND("(",Matrix2!AD27)),LEN(Matrix2!AD27)-LEN(SUBSTITUTE(Matrix2!AD27,"L",""))&gt;4,OR(I26=TRUE,AND(H26=TRUE,Pricing!D23="Tracked")),(Pricing!M23/Matrix2!AI19)&gt;550),AND(ISERROR(FIND("(",Matrix2!AD27)),LEN(Matrix2!AD27)-LEN(SUBSTITUTE(Matrix2!AD27,"L",""))&gt;3,H26=TRUE),AND(ISERROR(FIND("(",Matrix2!AD27)),LEN(Matrix2!AD27)-LEN(SUBSTITUTE(Matrix2!AD27,"R",""))&gt;3,H26=TRUE)))</f>
        <v>0</v>
      </c>
      <c r="X26" s="46" t="b">
        <f>IF(Pricing!N23="",FALSE,OR(Pricing!N23&lt;250+N("Barbados, Aruba, Bermuda, Cuba, Fiji, Java, Maui, Tahiti, Capri, Aruba Express"),AND(F26=TRUE,Pricing!N23&lt;300)))</f>
        <v>0</v>
      </c>
      <c r="Y26" s="46" t="b">
        <f>OR(Pricing!N23&gt;3000 +N("Barbados, Aruba, Bermuda, Cuba, Fiji, Java, Maui, Tahiti, Capri, Aruba Express"),AND(F26=TRUE,Pricing!N23&gt;2700))</f>
        <v>0</v>
      </c>
      <c r="Z26" s="46" t="b">
        <f>OR(AND(Pricing!D23="Shape",OR(C26=TRUE,G26=TRUE,I26=TRUE,E26=TRUE)+N("Barbados, Bermuda, Cuba, Java, Aruba Express")),AND(Pricing!D23="Shape",D26=TRUE+N("Aruba")))</f>
        <v>0</v>
      </c>
      <c r="AA26" s="46" t="b">
        <f>AND(NOT(ISERROR(FIND("CB",Matrix2!AD27))),(D26=TRUE+N("Aruba")))</f>
        <v>0</v>
      </c>
      <c r="AB26" s="46" t="b">
        <f>AND(O26=TRUE,Pricing!N23&gt;1372,OR(C26=TRUE,G26=TRUE,J26=TRUE,K26=TRUE,I26=TRUE))</f>
        <v>0</v>
      </c>
      <c r="AC26" s="46" t="b">
        <f>OR(AND(OR(C26=TRUE,G26=TRUE,I26=TRUE),Pricing!N23&gt;1879+N("S-Craft")),AND(D26=TRUE,Pricing!N23&gt;1500,Pricing!N23&lt;=2000),AND(J26=TRUE,Pricing!N23&gt;1981),AND(K26=TRUE,Pricing!N23&gt;1828),OR(AND(OR(L26=TRUE,M26=TRUE),Pricing!N23&gt;1800,Pricing!N23&lt;=2500),AND(OR(L26=TRUE,M26=TRUE),Pricing!N23&gt;=2501,Pricing!N23&lt;=3000)),AND(H26=TRUE,Pricing!N23&gt;1799),OR(AND(E26=TRUE,Pricing!N23&gt;1800,Pricing!N23&lt;=2400),AND(E26=TRUE,Pricing!N23&gt;=2401,Pricing!N23&lt;=3000))+N("Aruba Express"))</f>
        <v>0</v>
      </c>
      <c r="AD26" s="46" t="b">
        <f>AND(OR(H26=TRUE,D26=TRUE,E26=TRUE,F26=TRUE,L26=TRUE),Pricing!H23="47mm")</f>
        <v>0</v>
      </c>
      <c r="AE26" s="452"/>
      <c r="AF26" s="452"/>
      <c r="AG26" s="452"/>
      <c r="AH26" s="46" t="b">
        <f>OR(AND(Pricing!H23=AH25,I26=TRUE+N("Cuba")),AND(L26=TRUE,Pricing!H23="114"),AND(E26=TRUE,Pricing!H23="114"))</f>
        <v>0</v>
      </c>
      <c r="AI26" s="46" t="b">
        <f>IF(AND(OR(K26=TRUE,L26=TRUE,M26=TRUE,E26=TRUE),Pricing!D23="S/Shade"),TRUE,AND(Pricing!D23="S/Shade",OR(C26=TRUE,G26=TRUE,I26=TRUE,J26-TRUE,H26=TRUE,F26=TRUE+N("Barbados, Bermuda, Cuba, Fiji, Capri, Belize")),Pricing!I23&lt;&gt;"FFrame"))</f>
        <v>0</v>
      </c>
      <c r="AJ26" s="46" t="b">
        <f>AND(Pricing!D23="French Door Cutout",OR(C26=TRUE,D26=TRUE,E26=TRUE,G26=TRUE,I26=TRUE, K26=TRUE,E26=TRUE+N("Barbados, Bermuda, Cuba, Java, Aruba, Aruba Express")))</f>
        <v>0</v>
      </c>
      <c r="AK26" s="46" t="b">
        <f>AND(Pricing!D23=AK20,OR(E26=TRUE,D26=TRUE))</f>
        <v>0</v>
      </c>
      <c r="AL26" s="27" t="b">
        <f>AND(Pricing!D23="Tier on Tier",Pricing!M23&gt;=1361+N("1219 S-Craft, Pauls Limit"))</f>
        <v>0</v>
      </c>
      <c r="AM26" s="401" t="b">
        <f>AND(Pricing!C23="Bathroom",OR(C26=TRUE,G26=TRUE,I26=TRUE,J26=TRUE,L26=TRUE,M26=TRUE,H26=TRUE,D26=TRUE,E26=TRUE)+N("If not JAVA"))</f>
        <v>0</v>
      </c>
      <c r="AN26" s="27"/>
      <c r="AO26" s="27" t="b">
        <f>AND(K26=TRUE,ISERROR(FIND("Stainless Steel",Pricing!G25)))</f>
        <v>0</v>
      </c>
      <c r="AP26" s="27" t="b" cm="1">
        <f t="array" ref="AP26">IF(Pricing!F23="",FALSE,NOT(OR(AND(C26=TRUE,COUNTIF(Barbados,Pricing!F23)&gt;0),AND(D26=TRUE,COUNTIF(Aruba,Pricing!F23)&gt;0),AND(E26=TRUE,COUNTIF(ArubaExpress,Pricing!F23)&gt;0),AND(F26=TRUE,COUNTIF(Belize,Pricing!F23)&gt;0),AND(G26=TRUE,COUNTIF(Bermuda,Pricing!F23)&gt;0),AND(H26=TRUE,COUNTIF(Capri,Pricing!F23)&gt;0),AND(I26=TRUE,COUNTIF(Cuba,Pricing!F23)&gt;0),AND(J26=TRUE,COUNTIF(Fiji,Pricing!F23)&gt;0),AND(K26=TRUE,COUNTIF(Java,Pricing!F23)&gt;0),AND(L26=TRUE,COUNTIF(Maui,Pricing!F23)&gt;0),AND(M26=TRUE,COUNTIF(Tahiti,Pricing!F23)&gt;0))))</f>
        <v>0</v>
      </c>
      <c r="AQ26" s="27" t="b">
        <f>AND(Pricing!D23=$AQ$20,D26=TRUE,K26=FALSE,J26=FALSE,M26=FALSE,L26=FALSE,H26=FALSE,F26=FALSE)</f>
        <v>0</v>
      </c>
      <c r="AR26" s="27" t="b">
        <f>IF(AND(Pricing!D23="Tracked",COUNTIF(Table19[Tframes],Pricing!D23)=0),TRUE,FALSE)</f>
        <v>0</v>
      </c>
    </row>
    <row r="27" spans="1:44">
      <c r="B27" s="27">
        <v>7</v>
      </c>
      <c r="C27" s="27" t="b">
        <f>Pricing!E26=Helper!$C$20</f>
        <v>0</v>
      </c>
      <c r="D27" s="27" t="b">
        <f>Pricing!E26=Helper!$D$20</f>
        <v>0</v>
      </c>
      <c r="E27" s="27" t="b">
        <f>Pricing!E26="Aruba Express"</f>
        <v>0</v>
      </c>
      <c r="F27" s="27" t="b">
        <f>Pricing!$E26=Helper!F$20</f>
        <v>0</v>
      </c>
      <c r="G27" s="27" t="b">
        <f>Pricing!$E26=Helper!G$20</f>
        <v>0</v>
      </c>
      <c r="H27" s="27" t="b">
        <f>Pricing!$E26=Helper!H$20</f>
        <v>0</v>
      </c>
      <c r="I27" s="27" t="b">
        <f>Pricing!$E26=Helper!I$20</f>
        <v>0</v>
      </c>
      <c r="J27" s="27" t="b">
        <f>Pricing!$E26=Helper!J$20</f>
        <v>0</v>
      </c>
      <c r="K27" s="27" t="b">
        <f>Pricing!$E26=Helper!K$20</f>
        <v>0</v>
      </c>
      <c r="L27" s="27" t="b">
        <f>Pricing!$E26=Helper!L$20</f>
        <v>0</v>
      </c>
      <c r="M27" s="27" t="b">
        <f>Pricing!$E26=Helper!M$20</f>
        <v>0</v>
      </c>
      <c r="N27" s="27" t="b">
        <f>OR(IF(Pricing!J26="",FALSE,AND(OR(Pricing!J26="Split Offset",Pricing!J26="Split Custom",Pricing!J26="Offset",Pricing!J26="Custom",Pricing!J26="Centre"),L27=TRUE,Pricing!J26&lt;&gt;Helper!$Q$20)),AND(E27=TRUE,Pricing!H26="49mm"))</f>
        <v>0</v>
      </c>
      <c r="O27" s="27" t="b">
        <f>IF(Pricing!J26="",FALSE,IF(AND(OR(D27=TRUE,L27=TRUE,M27=TRUE,F27=TRUE,E27=TRUE),OR(Pricing!J26="Silent",Pricing!J26="Silent Split")),TRUE,FALSE))</f>
        <v>0</v>
      </c>
      <c r="P27" s="27" t="b">
        <f>OR(AND(OR(C27=TRUE,G27=TRUE,I27=TRUE,J27=TRUE,K27=TRUE+N("S-Craft Material"),AND(L27=TRUE,Pricing!J26="Clearview",Pricing!N26&gt;1200)),Q27=TRUE),AND(OR(D27=TRUE,F27=TRUE,H27=TRUE,E27=TRUE),Pricing!N26&gt;1300,Pricing!J26="Concealed"),AND(OR(D27=TRUE,F27=TRUE,H27=TRUE),Pricing!N26&gt;1200,Pricing!J26="Hidden")+N("Belize"))</f>
        <v>0</v>
      </c>
      <c r="Q27" s="27" t="b">
        <f>OR(AND(OR(C27=TRUE,G27=TRUE,I27=TRUE,J27=TRUE,K27=TRUE+N("S-Craft Materials")),Pricing!J26=$Q$20),AND(L27=TRUE,Pricing!J26=O20)+N("MAUI"),AND(F27=TRUE,Pricing!J26=Helper!$Q$20),AND(E27=TRUE,Pricing!J26=Helper!$Q$20),AND(D27=TRUE,Pricing!J26=Helper!$Q$20))</f>
        <v>0</v>
      </c>
      <c r="R27" s="46" t="b">
        <f>IF(Matrix2!AJ19=0,FALSE,OR(AND(IF(Pricing!M26/(Matrix2!AJ$19)&lt;152,TRUE,FALSE),Pricing!J26&lt;&gt;"Silent",OR(C27=TRUE,G27=TRUE,I27=TRUE,J27=TRUE,K27=TRUE)+N("S-Craft Materials")),AND(OR(D27=TRUE,M27=TRUE),Pricing!M26/(Matrix2!AJ$19)&lt;250+N("Aruba,Tahiti"),N27=TRUE),AND(L27=TRUE,Pricing!H26="49mm"),AND(H27=TRUE,Pricing!M26&lt;200),AND(F27=TRUE,Pricing!M26=250),AND(E27=TRUE,Pricing!M26=200)))</f>
        <v>0</v>
      </c>
      <c r="S27" s="401" t="b">
        <f>IF(Matrix2!AJ19=0,FALSE,OR(AND(Pricing!M26/(Matrix2!AJ$19)&lt;152+N("S-Craft"),O27=TRUE,OR(C27=TRUE,G27=TRUE,I27=TRUE,J27=TRUE,K27=TRUE)),AND(Pricing!M26/(Matrix2!AJ$19)&lt;170+N("Aruba"),Q27=TRUE),AND(OR(L27=TRUE,M27=TRUE),Pricing!J26=Q20,Pricing!M26/(Matrix2!AJ$19)&lt;250+N("MAUI")),AND(H27=TRUE,OR(Pricing!J26="Supatilt",Pricing!J26="Silent"),Pricing!M26&lt;200)))</f>
        <v>0</v>
      </c>
      <c r="T27" s="91" t="b">
        <f>IF(Matrix2!AJ19=0,FALSE,OR(AND(C27=TRUE,Pricing!H26="47mm",(Pricing!M26/Matrix2!AJ$19)&gt;600),AND(G27=TRUE,Pricing!H26="47mm",(Pricing!M26/Matrix2!AJ$19)&gt;610+N("Bermuda")),AND(G27=TRUE,Pricing!H26="47mm",(Pricing!M26/Matrix2!AJ$19)&gt;750+N("Cuba")),AND(J27=TRUE,Pricing!H26="47mm",(Pricing!M26/Matrix2!AI$19)&gt;750+N("Fiji")),AND(K27=TRUE,Pricing!H26="47mm",(Pricing!M26/Matrix2!AI$19)&gt;550+N("Java")),AND(L27=TRUE,Pricing!H26="47mm"),AND(L27=TRUE,Pricing!H26="47mm",(Pricing!M26/Matrix2!AI$19)&gt;850+N("Tahiti")),AND(H27=TRUE,Pricing!H26="47mm"),AND(F27=TRUE,Pricing!H26="47mm"),AND(E27=TRUE,Pricing!H26="47mm")))</f>
        <v>0</v>
      </c>
      <c r="U27" s="401" t="b">
        <f>IF(Pricing!M26="",FALSE,OR(AND(C27=TRUE,AD27=FALSE,(Pricing!M26/(Matrix2!AJ$19))&gt;750+N("Barbados")),AND(D27=TRUE,Pricing!H26&lt;&gt;"89mm",Pricing!H26&lt;&gt;"114mm",Pricing!M26/Matrix2!AJ$19&gt;800)+N("Aruba"),AND(D27=TRUE,Pricing!H26&lt;&gt;"63mm",Pricing!H26&lt;&gt;"76mm",Pricing!M26/Matrix2!AJ$19&gt;920)+N("Aruba"),AND(G27=TRUE,Pricing!M26/Matrix2!AJ$19&gt;915)+N("Bermuda"),AND(G27=TRUE,Pricing!M26/Matrix2!AJ$19&gt;890)+N("Cuba"),AND(J27=TRUE,OR(AE27=TRUE,AF27=TRUE),(Pricing!M26/Matrix2!AJ$19)&gt;890+N("Fiji")),AND(J27=TRUE,OR(AG27=TRUE,AH27=TRUE),(Pricing!M26/Matrix2!AJ$19)&gt;1047+N("Fiji")),AND(K27=TRUE,OR(AE27=TRUE,AF27=TRUE),(Pricing!M26/Matrix2!AJ$19)&gt;800+N("Java")),AND(K27=TRUE,OR(AG27=TRUE,AH27=TRUE),(Pricing!M26/Matrix2!AJ$19)&gt;890+N("Java")),AND(L27=TRUE,(Pricing!M26/Matrix2!AJ$19)&gt;950+N("Maui")),AND(M27=TRUE,Pricing!H26="63mm",(Pricing!M26/Matrix2!AJ$19)&gt;850+N("Tahiti 63mm")),AND(M27=TRUE,OR(Pricing!H26="76mm",Pricing!H26="89mm",Pricing!H26="114mm"),(Pricing!M26/Matrix2!AJ$19)&gt;950+N("Tahiti 76,89,114mm")),AND(H27=TRUE,(Pricing!M26/Matrix2!AJ$19)&gt;890+N("Capri")),AND(OR(H27=TRUE,F27=TRUE),Pricing!D26="Tracked",(Pricing!M26/Matrix2!AJ$19)&gt;600),AND(H27=TRUE,Pricing!M26&gt;890,LEN(Matrix2!AD28)=1),AND(F27=TRUE,Pricing!M26&gt;750,LEN(Matrix2!AD28)=1,Pricing!H26="63mm"),AND(F27=TRUE,Pricing!M26&gt;890,LEN(Matrix2!AD28)=1,OR(Pricing!H26="76mm",Pricing!H26="89mm",Pricing!H26="114mm")),AND(E27=TRUE,Pricing!M26=700)))</f>
        <v>0</v>
      </c>
      <c r="V27" s="401" t="b">
        <f>IF(OR(Pricing!M26="",Matrix2!AJ19=1),FALSE,OR(AND(OR(Matrix2!AD28="LL",Matrix2!AD28="RR"),Pricing!D26&lt;&gt;"Tracked",OR(C27=TRUE,D27=TRUE,L27=TRUE,M27=TRUE),(Pricing!M26/2)&gt;600,Pricing!D26&lt;&gt;"Tracked"),AND(OR(Matrix2!AD28="LL",Matrix2!AD28="RR"),Pricing!D26&lt;&gt;"Tracked",OR(G27=TRUE,AND(K27=TRUE,Pricing!H26&lt;&gt;"47mm")),(Pricing!M26/Matrix2!$AJ$19)&gt;610)+N("Bermuda, Java"),AND(OR(Matrix2!AD28="LL",Matrix2!AD28="RR"),Pricing!D26&lt;&gt;"Tracked",OR(I27=TRUE,J27=TRUE),(Pricing!M26/Matrix2!$AJ$19)&gt;660)+N("Cuba &amp; Fiji"),AND(OR(Matrix2!AD28="LL",Matrix2!AD28="RR"),Pricing!D26="Tracked",K27=TRUE,Pricing!H26="47mm",(Pricing!M26/Matrix2!$AJ$19)&gt;550)+N("Java"),AND(L27=TRUE,Pricing!D26="Tracked",(Pricing!M26/Matrix2!$AJ$19)&gt;700),AND(H27=TRUE,Pricing!D26&lt;&gt;"Tracked",(Pricing!M26/Matrix2!$AJ$19)&gt;625),AND(H27=TRUE,OR(Matrix2!AD28="LL",Matrix2!AD28="RR"),Pricing!D26&lt;&gt;"Tracked",(Pricing!M26/Matrix2!$AJ$19)&gt;625)+N("Capri Bifold"),AND(H27=TRUE,OR(Matrix2!AD28="LLL",Matrix2!AD28="RRR",Matrix2!AD28="LLLRRR"),Pricing!D26&lt;&gt;"Tracked",(Pricing!M26/Matrix2!$AJ$19)&gt;550)+N("Capri Multifold"),AND(H27=TRUE,Pricing!D26="Tracked",NOT(ISEVEN(LEN(Matrix2!AD28)))),AND(G27=TRUE,OR(Matrix2!AD28="LL",Matrix2!AD28="RR"),Pricing!D26&lt;&gt;"Tracked",(Pricing!M26/Matrix2!$AJ$19)&gt;500),AND(F27=TRUE,Pricing!M26/Matrix2!$AJ$19&gt;500,Pricing!D26&lt;&gt;"Tracked",Matrix2!AD28&lt;&gt;"LR"),AND(F27=TRUE,OR(Matrix2!AD28="LL",Matrix2!AD28="RR"),Pricing!D26&lt;&gt;"Tracked",(Pricing!M26/Matrix2!$AJ$19)&gt;600),AND(F27=TRUE,OR(Matrix2!AD28="LL",Matrix2!AD28="RR",Matrix2!AD28="LLL",Matrix2!AD28="RRR",Matrix2!AD28="LLLLRRRR"),Pricing!D26="Tracked",(Pricing!M26/Matrix2!$AJ$19)&gt;600),AND(E27=TRUE,OR(Matrix2!AD28="LL",Matrix2!AD28="RR"),Pricing!D26&lt;&gt;"Tracked",(Pricing!M26/Matrix2!$AJ$19)&gt;500)+N("Aruba Express")))</f>
        <v>0</v>
      </c>
      <c r="W27" s="401" t="b">
        <f>IF(Pricing!M26="",FALSE,OR(AND(ISERROR(FIND("(",Matrix2!AD28)),LEN(Matrix2!AD28)-LEN(SUBSTITUTE(Matrix2!AD28,"L",""))&gt;2,OR(C27=TRUE,G27=TRUE,K27=TRUE,L27=TRUE,M27=TRUE,F27=TRUE,E27=TRUE)),AND(ISERROR(FIND("(",Matrix2!AD28)),LEN(Matrix2!AD28)-LEN(SUBSTITUTE(Matrix2!AD28,"R",""))&gt;2,OR(C27=TRUE,G27=TRUE,L27=TRUE,M27=TRUE,F27=TRUE,E27=TRUE)),AND(ISERROR(FIND("(",Matrix2!AD28)),LEN(Matrix2!AD28)-LEN(SUBSTITUTE(Matrix2!AD28,"R",""))&gt;4,OR(I27=TRUE,AND(H27=TRUE,Pricing!D26="Tracked")),(Pricing!M26/Matrix2!AJ19)&gt;550),AND(ISERROR(FIND("(",Matrix2!AD28)),LEN(Matrix2!AD28)-LEN(SUBSTITUTE(Matrix2!AD28,"L",""))&gt;4,OR(I27=TRUE,AND(H27=TRUE,Pricing!D26="Tracked")),(Pricing!M26/Matrix2!AJ19)&gt;550),AND(ISERROR(FIND("(",Matrix2!AD28)),LEN(Matrix2!AD28)-LEN(SUBSTITUTE(Matrix2!AD28,"L",""))&gt;3,H27=TRUE),AND(ISERROR(FIND("(",Matrix2!AD28)),LEN(Matrix2!AD28)-LEN(SUBSTITUTE(Matrix2!AD28,"R",""))&gt;3,H27=TRUE)))</f>
        <v>0</v>
      </c>
      <c r="X27" s="46" t="b">
        <f>IF(Pricing!N26="",FALSE,OR(Pricing!N26&lt;250+N("Barbados, Aruba, Bermuda, Cuba, Fiji, Java, Maui, Tahiti, Capri, Aruba Express"),AND(F27=TRUE,Pricing!N26&lt;300)))</f>
        <v>0</v>
      </c>
      <c r="Y27" s="46" t="b">
        <f>OR(Pricing!N26&gt;3000 +N("Barbados, Aruba, Bermuda, Cuba, Fiji, Java, Maui, Tahiti, Capri, Aruba Express"),AND(F27=TRUE,Pricing!N26&gt;2700))</f>
        <v>0</v>
      </c>
      <c r="Z27" s="46" t="b">
        <f>OR(AND(Pricing!D26="Shape",OR(C27=TRUE,G27=TRUE,I27=TRUE,E27=TRUE)+N("Barbados, Bermuda, Cuba, Java, Aruba Express")),AND(Pricing!D26="Shape",D27=TRUE+N("Aruba")))</f>
        <v>0</v>
      </c>
      <c r="AA27" s="46" t="b">
        <f>AND(NOT(ISERROR(FIND("CB",Matrix2!AD28))),(D27=TRUE+N("Aruba")))</f>
        <v>0</v>
      </c>
      <c r="AB27" s="46" t="b">
        <f>AND(O27=TRUE,Pricing!N26&gt;1372,OR(C27=TRUE,G27=TRUE,J27=TRUE,K27=TRUE,I27=TRUE))</f>
        <v>0</v>
      </c>
      <c r="AC27" s="46" t="b">
        <f>OR(AND(OR(C27=TRUE,G27=TRUE,I27=TRUE),Pricing!N26&gt;1879+N("S-Craft")),AND(D27=TRUE,Pricing!N26&gt;1500,Pricing!N26&lt;=2000),AND(J27=TRUE,Pricing!N26&gt;1981),AND(K27=TRUE,Pricing!N26&gt;1828),OR(AND(OR(L27=TRUE,M27=TRUE),Pricing!N26&gt;1800,Pricing!N26&lt;=2500),AND(OR(L27=TRUE,M27=TRUE),Pricing!N26&gt;=2501,Pricing!N26&lt;=3000)),AND(H27=TRUE,Pricing!N26&gt;1799),OR(AND(E27=TRUE,Pricing!N26&gt;1800,Pricing!N26&lt;=2400),AND(E27=TRUE,Pricing!N26&gt;=2401,Pricing!N26&lt;=3000))+N("Aruba Express"))</f>
        <v>0</v>
      </c>
      <c r="AD27" s="46" t="b">
        <f>AND(OR(H27=TRUE,D27=TRUE,E27=TRUE,F27=TRUE,L27=TRUE),Pricing!H26="47mm")</f>
        <v>0</v>
      </c>
      <c r="AE27" s="452"/>
      <c r="AF27" s="452"/>
      <c r="AG27" s="452"/>
      <c r="AH27" s="46" t="b">
        <f>OR(AND(Pricing!H26=AH26,I27=TRUE+N("Cuba")),AND(L27=TRUE,Pricing!H26="114"),AND(E27=TRUE,Pricing!H26="114"))</f>
        <v>0</v>
      </c>
      <c r="AI27" s="46" t="b">
        <f>IF(AND(OR(K27=TRUE,L27=TRUE,M27=TRUE,E27=TRUE),Pricing!D26="S/Shade"),TRUE,AND(Pricing!D26="S/Shade",OR(C27=TRUE,G27=TRUE,I27=TRUE,J27-TRUE,H27=TRUE,F27=TRUE+N("Barbados, Bermuda, Cuba, Fiji, Capri, Belize")),Pricing!I26&lt;&gt;"FFrame"))</f>
        <v>0</v>
      </c>
      <c r="AJ27" s="46" t="b">
        <f>AND(Pricing!D26="French Door Cutout",OR(C27=TRUE,D27=TRUE,E27=TRUE,G27=TRUE,I27=TRUE, K27=TRUE,E27=TRUE+N("Barbados, Bermuda, Cuba, Java, Aruba, Aruba Express")))</f>
        <v>0</v>
      </c>
      <c r="AK27" s="46" t="b">
        <f>AND(Pricing!D26=AK20,OR(E27=TRUE,D27=TRUE))</f>
        <v>0</v>
      </c>
      <c r="AL27" s="27" t="b">
        <f>AND(Pricing!D26="Tier on Tier",Pricing!M26&gt;=1361+N("1219 S-Craft, Pauls Limit"))</f>
        <v>0</v>
      </c>
      <c r="AM27" s="401" t="b">
        <f>AND(Pricing!C26="Bathroom",OR(C27=TRUE,G27=TRUE,I27=TRUE,J27=TRUE,L27=TRUE,M27=TRUE,H27=TRUE,D27=TRUE,E27=TRUE)+N("If not JAVA"))</f>
        <v>0</v>
      </c>
      <c r="AN27" s="27"/>
      <c r="AO27" s="27" t="b">
        <f>AND(K27=TRUE,ISERROR(FIND("Stainless Steel",Pricing!G28)))</f>
        <v>0</v>
      </c>
      <c r="AP27" s="27" t="b" cm="1">
        <f t="array" ref="AP27">IF(Pricing!F26="",FALSE,NOT(OR(AND(C27=TRUE,COUNTIF(Barbados,Pricing!F26)&gt;0),AND(D27=TRUE,COUNTIF(Aruba,Pricing!F26)&gt;0),AND(E27=TRUE,COUNTIF(ArubaExpress,Pricing!F26)&gt;0),AND(F27=TRUE,COUNTIF(Belize,Pricing!F26)&gt;0),AND(G27=TRUE,COUNTIF(Bermuda,Pricing!F26)&gt;0),AND(H27=TRUE,COUNTIF(Capri,Pricing!F26)&gt;0),AND(I27=TRUE,COUNTIF(Cuba,Pricing!F26)&gt;0),AND(J27=TRUE,COUNTIF(Fiji,Pricing!F26)&gt;0),AND(K27=TRUE,COUNTIF(Java,Pricing!F26)&gt;0),AND(L27=TRUE,COUNTIF(Maui,Pricing!F26)&gt;0),AND(M27=TRUE,COUNTIF(Tahiti,Pricing!F26)&gt;0))))</f>
        <v>0</v>
      </c>
      <c r="AQ27" s="27" t="b">
        <f>AND(Pricing!D26=$AQ$20,D27=TRUE,K27=FALSE,J27=FALSE,M27=FALSE,L27=FALSE,H27=FALSE,F27=FALSE)</f>
        <v>0</v>
      </c>
      <c r="AR27" s="27" t="b">
        <f>IF(AND(Pricing!D26="Tracked",COUNTIF(Table19[Tframes],Pricing!D26)=0),TRUE,FALSE)</f>
        <v>0</v>
      </c>
    </row>
    <row r="28" spans="1:44">
      <c r="B28" s="27">
        <v>8</v>
      </c>
      <c r="C28" s="27" t="b">
        <f>Pricing!E29=Helper!$C$20</f>
        <v>0</v>
      </c>
      <c r="D28" s="27" t="b">
        <f>Pricing!E29=Helper!$D$20</f>
        <v>0</v>
      </c>
      <c r="E28" s="27" t="b">
        <f>Pricing!E29="Aruba Express"</f>
        <v>0</v>
      </c>
      <c r="F28" s="27" t="b">
        <f>Pricing!$E29=Helper!F$20</f>
        <v>0</v>
      </c>
      <c r="G28" s="27" t="b">
        <f>Pricing!$E29=Helper!G$20</f>
        <v>0</v>
      </c>
      <c r="H28" s="27" t="b">
        <f>Pricing!$E29=Helper!H$20</f>
        <v>0</v>
      </c>
      <c r="I28" s="27" t="b">
        <f>Pricing!$E29=Helper!I$20</f>
        <v>0</v>
      </c>
      <c r="J28" s="27" t="b">
        <f>Pricing!$E29=Helper!J$20</f>
        <v>0</v>
      </c>
      <c r="K28" s="27" t="b">
        <f>Pricing!$E29=Helper!K$20</f>
        <v>0</v>
      </c>
      <c r="L28" s="27" t="b">
        <f>Pricing!$E29=Helper!L$20</f>
        <v>0</v>
      </c>
      <c r="M28" s="27" t="b">
        <f>Pricing!$E29=Helper!M$20</f>
        <v>0</v>
      </c>
      <c r="N28" s="27" t="b">
        <f>OR(IF(Pricing!J29="",FALSE,AND(OR(Pricing!J29="Split Offset",Pricing!J29="Split Custom",Pricing!J29="Offset",Pricing!J29="Custom",Pricing!J29="Centre"),L28=TRUE,Pricing!J29&lt;&gt;Helper!$Q$20)),AND(E28=TRUE,Pricing!H29="49mm"))</f>
        <v>0</v>
      </c>
      <c r="O28" s="27" t="b">
        <f>IF(Pricing!J29="",FALSE,IF(AND(OR(D28=TRUE,L28=TRUE,M28=TRUE,F28=TRUE,E28=TRUE),OR(Pricing!J29="Silent",Pricing!J29="Silent Split")),TRUE,FALSE))</f>
        <v>0</v>
      </c>
      <c r="P28" s="27" t="b">
        <f>OR(AND(OR(C28=TRUE,G28=TRUE,I28=TRUE,J28=TRUE,K28=TRUE+N("S-Craft Material"),AND(L28=TRUE,Pricing!J29="Clearview",Pricing!N29&gt;1200)),Q28=TRUE),AND(OR(D28=TRUE,F28=TRUE,H28=TRUE,E28=TRUE),Pricing!N29&gt;1300,Pricing!J29="Concealed"),AND(OR(D28=TRUE,F28=TRUE,H28=TRUE),Pricing!N29&gt;1200,Pricing!J29="Hidden")+N("Belize"))</f>
        <v>0</v>
      </c>
      <c r="Q28" s="27" t="b">
        <f>OR(AND(OR(C28=TRUE,G28=TRUE,I28=TRUE,J28=TRUE,K28=TRUE+N("S-Craft Materials")),Pricing!J29=$Q$20),AND(L28=TRUE,Pricing!J29=O20)+N("MAUI"),AND(F28=TRUE,Pricing!J29=Helper!$Q$20),AND(E28=TRUE,Pricing!J29=Helper!$Q$20),AND(D28=TRUE,Pricing!J29=Helper!$Q$20))</f>
        <v>0</v>
      </c>
      <c r="R28" s="46" t="b">
        <f>IF(Matrix2!AK19=0,FALSE,OR(AND(IF(Pricing!M29/(Matrix2!AK$19)&lt;152,TRUE,FALSE),Pricing!J15&lt;&gt;"Silent",OR(C28=TRUE,G28=TRUE,I28=TRUE,J28=TRUE,K28=TRUE)+N("S-Craft Materials")),AND(OR(D28=TRUE,M28=TRUE),Pricing!M29/(Matrix2!AK$19)&lt;250+N("Aruba,Tahiti"),N28=TRUE),AND(L28=TRUE,Pricing!H29="49mm"),AND(H28=TRUE,Pricing!M29&lt;200),AND(F28=TRUE,Pricing!M29=250),AND(E28=TRUE,Pricing!M29=200)))</f>
        <v>0</v>
      </c>
      <c r="S28" s="401" t="b">
        <f>IF(Matrix2!AK19=0,FALSE,OR(AND(Pricing!M29/(Matrix2!AK$19)&lt;152+N("S-Craft"),O28=TRUE,OR(C28=TRUE,G28=TRUE,I28=TRUE,J28=TRUE,K28=TRUE)),AND(Pricing!M29/(Matrix2!AK$19)&lt;170+N("Aruba"),Q28=TRUE),AND(OR(L28=TRUE,M28=TRUE),Pricing!J15=Q20,Pricing!M29/(Matrix2!AK$19)&lt;250+N("MAUI")),AND(H28=TRUE,OR(Pricing!J29="Supatilt",Pricing!J29="Silent"),Pricing!M29&lt;200)))</f>
        <v>0</v>
      </c>
      <c r="T28" s="91" t="b">
        <f>IF(Matrix2!AK19=0,FALSE,OR(AND(C28=TRUE,Pricing!H29="47mm",(Pricing!M29/Matrix2!AK$19)&gt;600),AND(G28=TRUE,Pricing!H29="47mm",(Pricing!M29/Matrix2!AK$19)&gt;610+N("Bermuda")),AND(G28=TRUE,Pricing!H29="47mm",(Pricing!M29/Matrix2!AK$19)&gt;750+N("Cuba")),AND(J28=TRUE,Pricing!H29="47mm",(Pricing!M29/Matrix2!AK$19)&gt;750+N("Fiji")),AND(K28=TRUE,Pricing!H29="47mm",(Pricing!M29/Matrix2!AK$19)&gt;550+N("Java")),AND(L28=TRUE,Pricing!H29="47mm"),AND(L28=TRUE,Pricing!H29="47mm",(Pricing!M29/Matrix2!AJ$19)&gt;850+N("Tahiti")),AND(H28=TRUE,Pricing!H29="47mm"),AND(F28=TRUE,Pricing!H29="47mm"),AND(E28=TRUE,Pricing!H29="47mm")))</f>
        <v>0</v>
      </c>
      <c r="U28" s="401" t="b">
        <f>IF(Pricing!M29="",FALSE,OR(AND(C28=TRUE,AD28=FALSE,(Pricing!M29/(Matrix2!AK$19))&gt;750+N("Barbados")),AND(D28=TRUE,Pricing!H29&lt;&gt;"89mm",Pricing!H29&lt;&gt;"114mm",Pricing!M29/Matrix2!AK$19&gt;800)+N("Aruba"),AND(D28=TRUE,Pricing!H29&lt;&gt;"63mm",Pricing!H29&lt;&gt;"76mm",Pricing!M29/Matrix2!AK$19&gt;920)+N("Aruba"),AND(G28=TRUE,Pricing!M29/Matrix2!AK$19&gt;915)+N("Bermuda"),AND(G28=TRUE,Pricing!M29/Matrix2!AK$19&gt;890)+N("Cuba"),AND(J28=TRUE,OR(AE28=TRUE,AF28=TRUE),(Pricing!M29/Matrix2!AK$19)&gt;890+N("Fiji")),AND(J28=TRUE,OR(AG28=TRUE,AH28=TRUE),(Pricing!M29/Matrix2!AK$19)&gt;1047+N("Fiji")),AND(K28=TRUE,OR(AE28=TRUE,AF28=TRUE),(Pricing!M29/Matrix2!AK$19)&gt;800+N("Java")),AND(K28=TRUE,OR(AG28=TRUE,AH28=TRUE),(Pricing!M29/Matrix2!AK$19)&gt;890+N("Java")),AND(L28=TRUE,(Pricing!M29/Matrix2!AK$19)&gt;950+N("Maui")),AND(M28=TRUE,Pricing!H29="63mm",(Pricing!M29/Matrix2!AK$19)&gt;850+N("Tahiti 63mm")),AND(M28=TRUE,OR(Pricing!H29="76mm",Pricing!H29="89mm",Pricing!H29="114mm"),(Pricing!M29/Matrix2!AK$19)&gt;950+N("Tahiti 76,89,114mm")),AND(H28=TRUE,(Pricing!M29/Matrix2!AK$19)&gt;890+N("Capri")),AND(OR(H28=TRUE,F28=TRUE),Pricing!D29="Tracked",(Pricing!M29/Matrix2!AK$19)&gt;600),AND(H28=TRUE,Pricing!M29&gt;890,LEN(Matrix2!AD29)=1),AND(F28=TRUE,Pricing!M29&gt;750,LEN(Matrix2!AD29)=1,Pricing!H29="63mm"),AND(F28=TRUE,Pricing!M29&gt;890,LEN(Matrix2!AD29)=1,OR(Pricing!H29="76mm",Pricing!H29="89mm",Pricing!H29="114mm")),AND(E28=TRUE,Pricing!M29=700)))</f>
        <v>0</v>
      </c>
      <c r="V28" s="401" t="b">
        <f>IF(OR(Pricing!M29="",Matrix2!AK19=1),FALSE,OR(AND(OR(Matrix2!AD29="LL",Matrix2!AD29="RR"),Pricing!D29&lt;&gt;"Tracked",OR(C28=TRUE,D28=TRUE,L28=TRUE,M28=TRUE),(Pricing!M29/2)&gt;600,Pricing!D29&lt;&gt;"Tracked"),AND(OR(Matrix2!AD29="LL",Matrix2!AD29="RR"),Pricing!D29&lt;&gt;"Tracked",OR(G28=TRUE,AND(K28=TRUE,Pricing!H29&lt;&gt;"47mm")),(Pricing!M29/Matrix2!$AK$19)&gt;610)+N("Bermuda, Java"),AND(OR(Matrix2!AD29="LL",Matrix2!AD29="RR"),Pricing!D29&lt;&gt;"Tracked",OR(I28=TRUE,J28=TRUE),(Pricing!M29/Matrix2!$AK$19)&gt;660)+N("Cuba &amp; Fiji"),AND(OR(Matrix2!AD29="LL",Matrix2!AD29="RR"),Pricing!D29="Tracked",K28=TRUE,Pricing!H29="47mm",(Pricing!M29/Matrix2!$AK$19)&gt;550)+N("Java"),AND(L28=TRUE,Pricing!D29="Tracked",(Pricing!M29/Matrix2!$AK$19)&gt;700),AND(H28=TRUE,Pricing!D29&lt;&gt;"Tracked",(Pricing!M29/Matrix2!$AK$19)&gt;625),AND(H28=TRUE,OR(Matrix2!AD29="LL",Matrix2!AD29="RR"),Pricing!D29&lt;&gt;"Tracked",(Pricing!M29/Matrix2!$AK$19)&gt;625)+N("Capri Bifold"),AND(H28=TRUE,OR(Matrix2!AD29="LLL",Matrix2!AD29="RRR",Matrix2!AD29="LLLRRR"),Pricing!D29&lt;&gt;"Tracked",(Pricing!M29/Matrix2!$AK$19)&gt;550)+N("Capri Multifold"),AND(H28=TRUE,Pricing!D29="Tracked",NOT(ISEVEN(LEN(Matrix2!AD29)))),AND(G28=TRUE,OR(Matrix2!AD29="LL",Matrix2!AD29="RR"),Pricing!D29&lt;&gt;"Tracked",(Pricing!M29/Matrix2!$AK$19)&gt;500),AND(F28=TRUE,Pricing!M29/Matrix2!$AK$19&gt;500,Pricing!D29&lt;&gt;"Tracked",Matrix2!AD29&lt;&gt;"LR"),AND(F28=TRUE,OR(Matrix2!AD29="LL",Matrix2!AD29="RR"),Pricing!D29&lt;&gt;"Tracked",(Pricing!M29/Matrix2!$AK$19)&gt;600),AND(F28=TRUE,OR(Matrix2!AD29="LL",Matrix2!AD29="RR",Matrix2!AD29="LLL",Matrix2!AD29="RRR",Matrix2!AD29="LLLLRRRR"),Pricing!D29="Tracked",(Pricing!M29/Matrix2!$AK$19)&gt;600),AND(E28=TRUE,OR(Matrix2!AD29="LL",Matrix2!AD29="RR"),Pricing!D29&lt;&gt;"Tracked",(Pricing!M29/Matrix2!$AK$19)&gt;500)+N("Aruba Express")))</f>
        <v>0</v>
      </c>
      <c r="W28" s="401" t="b">
        <f>IF(Pricing!M29="",FALSE,OR(AND(ISERROR(FIND("(",Matrix2!AD29)),LEN(Matrix2!AD29)-LEN(SUBSTITUTE(Matrix2!AD29,"L",""))&gt;2,OR(C28=TRUE,G28=TRUE,K28=TRUE,L28=TRUE,M28=TRUE,F28=TRUE,E28=TRUE)),AND(ISERROR(FIND("(",Matrix2!AD29)),LEN(Matrix2!AD29)-LEN(SUBSTITUTE(Matrix2!AD29,"R",""))&gt;2,OR(C28=TRUE,G28=TRUE,L28=TRUE,M28=TRUE,F28=TRUE,E28=TRUE)),AND(ISERROR(FIND("(",Matrix2!AD29)),LEN(Matrix2!AD29)-LEN(SUBSTITUTE(Matrix2!AD29,"R",""))&gt;4,OR(I28=TRUE,AND(H28=TRUE,Pricing!D29="Tracked")),(Pricing!M29/Matrix2!AK19)&gt;550),AND(ISERROR(FIND("(",Matrix2!AD29)),LEN(Matrix2!AD29)-LEN(SUBSTITUTE(Matrix2!AD29,"L",""))&gt;4,OR(I28=TRUE,AND(H28=TRUE,Pricing!D29="Tracked")),(Pricing!M29/Matrix2!AK19)&gt;550),AND(ISERROR(FIND("(",Matrix2!AD29)),LEN(Matrix2!AD29)-LEN(SUBSTITUTE(Matrix2!AD29,"L",""))&gt;3,H28=TRUE),AND(ISERROR(FIND("(",Matrix2!AD29)),LEN(Matrix2!AD29)-LEN(SUBSTITUTE(Matrix2!AD29,"R",""))&gt;3,H28=TRUE)))</f>
        <v>0</v>
      </c>
      <c r="X28" s="46" t="b">
        <f>IF(Pricing!N29="",FALSE,OR(Pricing!N29&lt;250+N("Barbados, Aruba, Bermuda, Cuba, Fiji, Java, Maui, Tahiti, Capri, Aruba Express"),AND(F28=TRUE,Pricing!N29&lt;300)))</f>
        <v>0</v>
      </c>
      <c r="Y28" s="46" t="b">
        <f>OR(Pricing!N29&gt;3000 +N("Barbados, Aruba, Bermuda, Cuba, Fiji, Java, Maui, Tahiti, Capri, Aruba Express"),AND(F28=TRUE,Pricing!N29&gt;2700))</f>
        <v>0</v>
      </c>
      <c r="Z28" s="46" t="b">
        <f>OR(AND(Pricing!D29="Shape",OR(C28=TRUE,G28=TRUE,I28=TRUE,E28=TRUE)+N("Barbados, Bermuda, Cuba, Java, Aruba Express")),AND(Pricing!D29="Shape",D28=TRUE+N("Aruba")))</f>
        <v>0</v>
      </c>
      <c r="AA28" s="46" t="b">
        <f>AND(NOT(ISERROR(FIND("CB",Matrix2!AD29))),(D28=TRUE+N("Aruba")))</f>
        <v>0</v>
      </c>
      <c r="AB28" s="46" t="b">
        <f>AND(O28=TRUE,Pricing!N29&gt;1372,OR(C28=TRUE,G28=TRUE,J28=TRUE,K28=TRUE,I28=TRUE))</f>
        <v>0</v>
      </c>
      <c r="AC28" s="46" t="b">
        <f>OR(AND(OR(C28=TRUE,G28=TRUE,I28=TRUE),Pricing!N29&gt;1879+N("S-Craft")),AND(D28=TRUE,Pricing!N29&gt;1500,Pricing!N29&lt;=2000),AND(J28=TRUE,Pricing!N29&gt;1981),AND(K28=TRUE,Pricing!N29&gt;1828),OR(AND(OR(L28=TRUE,M28=TRUE),Pricing!N29&gt;1800,Pricing!N29&lt;=2500),AND(OR(L28=TRUE,M28=TRUE),Pricing!N29&gt;=2501,Pricing!N29&lt;=3000)),AND(H28=TRUE,Pricing!N29&gt;1799),OR(AND(E28=TRUE,Pricing!N29&gt;1800,Pricing!N29&lt;=2400),AND(E28=TRUE,Pricing!N29&gt;=2401,Pricing!N29&lt;=3000))+N("Aruba Express"))</f>
        <v>0</v>
      </c>
      <c r="AD28" s="46" t="b">
        <f>AND(OR(H28=TRUE,D28=TRUE,E28=TRUE,F28=TRUE,L28=TRUE),Pricing!H29="47mm")</f>
        <v>0</v>
      </c>
      <c r="AE28" s="452"/>
      <c r="AF28" s="452"/>
      <c r="AG28" s="452"/>
      <c r="AH28" s="46" t="b">
        <f>OR(AND(Pricing!H29=AH27,I28=TRUE+N("Cuba")),AND(L28=TRUE,Pricing!H29="114"),AND(E28=TRUE,Pricing!H29="114"))</f>
        <v>0</v>
      </c>
      <c r="AI28" s="46" t="b">
        <f>IF(AND(OR(K28=TRUE,L28=TRUE,M28=TRUE,E28=TRUE),Pricing!D29="S/Shade"),TRUE,AND(Pricing!D29="S/Shade",OR(C28=TRUE,G28=TRUE,I28=TRUE,J28-TRUE,H28=TRUE,F28=TRUE+N("Barbados, Bermuda, Cuba, Fiji, Capri, Belize")),Pricing!I29&lt;&gt;"FFrame"))</f>
        <v>0</v>
      </c>
      <c r="AJ28" s="46" t="b">
        <f>AND(Pricing!D29="French Door Cutout",OR(C28=TRUE,D28=TRUE,E28=TRUE,G28=TRUE,I28=TRUE, K28=TRUE,E28=TRUE+N("Barbados, Bermuda, Cuba, Java, Aruba, Aruba Express")))</f>
        <v>0</v>
      </c>
      <c r="AK28" s="46" t="b">
        <f>AND(Pricing!D29=AK20,OR(E28=TRUE,D28=TRUE))</f>
        <v>0</v>
      </c>
      <c r="AL28" s="27" t="b">
        <f>AND(Pricing!D29="Tier on Tier",Pricing!M29&gt;=1361+N("1219 S-Craft, Pauls Limit"))</f>
        <v>0</v>
      </c>
      <c r="AM28" s="401" t="b">
        <f>AND(Pricing!C29="Bathroom",OR(C28=TRUE,G28=TRUE,I28=TRUE,J28=TRUE,L28=TRUE,M28=TRUE,H28=TRUE,D28=TRUE,E28=TRUE)+N("If not JAVA"))</f>
        <v>0</v>
      </c>
      <c r="AN28" s="27"/>
      <c r="AO28" s="27" t="b">
        <f>AND(K28=TRUE,ISERROR(FIND("Stainless Steel",Pricing!G31)))</f>
        <v>0</v>
      </c>
      <c r="AP28" s="27" t="b" cm="1">
        <f t="array" ref="AP28">IF(Pricing!F29="",FALSE,NOT(OR(AND(C28=TRUE,COUNTIF(Barbados,Pricing!F29)&gt;0),AND(D28=TRUE,COUNTIF(Aruba,Pricing!F29)&gt;0),AND(E28=TRUE,COUNTIF(ArubaExpress,Pricing!F29)&gt;0),AND(F28=TRUE,COUNTIF(Belize,Pricing!F29)&gt;0),AND(G28=TRUE,COUNTIF(Bermuda,Pricing!F29)&gt;0),AND(H28=TRUE,COUNTIF(Capri,Pricing!F29)&gt;0),AND(I28=TRUE,COUNTIF(Cuba,Pricing!F29)&gt;0),AND(J28=TRUE,COUNTIF(Fiji,Pricing!F29)&gt;0),AND(K28=TRUE,COUNTIF(Java,Pricing!F29)&gt;0),AND(L28=TRUE,COUNTIF(Maui,Pricing!F29)&gt;0),AND(M28=TRUE,COUNTIF(Tahiti,Pricing!F29)&gt;0))))</f>
        <v>0</v>
      </c>
      <c r="AQ28" s="27" t="b">
        <f>AND(Pricing!D29=$AQ$20,D28=TRUE,K28=FALSE,J28=FALSE,M28=FALSE,L28=FALSE,H28=FALSE,F28=FALSE)</f>
        <v>0</v>
      </c>
      <c r="AR28" s="27" t="b">
        <f>IF(AND(Pricing!D29="Tracked",COUNTIF(Table19[Tframes],Pricing!D29)=0),TRUE,FALSE)</f>
        <v>0</v>
      </c>
    </row>
    <row r="29" spans="1:44">
      <c r="B29" s="27">
        <v>9</v>
      </c>
      <c r="C29" s="27" t="b">
        <f>Pricing!E32=Helper!$C$20</f>
        <v>0</v>
      </c>
      <c r="D29" s="27" t="b">
        <f>Pricing!E32=Helper!$D$20</f>
        <v>0</v>
      </c>
      <c r="E29" s="27" t="b">
        <f>Pricing!E32="Aruba Express"</f>
        <v>0</v>
      </c>
      <c r="F29" s="27" t="b">
        <f>Pricing!$E32=Helper!F$20</f>
        <v>0</v>
      </c>
      <c r="G29" s="27" t="b">
        <f>Pricing!$E32=Helper!G$20</f>
        <v>0</v>
      </c>
      <c r="H29" s="27" t="b">
        <f>Pricing!$E32=Helper!H$20</f>
        <v>0</v>
      </c>
      <c r="I29" s="27" t="b">
        <f>Pricing!$E32=Helper!I$20</f>
        <v>0</v>
      </c>
      <c r="J29" s="27" t="b">
        <f>Pricing!$E32=Helper!J$20</f>
        <v>0</v>
      </c>
      <c r="K29" s="27" t="b">
        <f>Pricing!$E32=Helper!K$20</f>
        <v>0</v>
      </c>
      <c r="L29" s="27" t="b">
        <f>Pricing!$E32=Helper!L$20</f>
        <v>0</v>
      </c>
      <c r="M29" s="27" t="b">
        <f>Pricing!$E32=Helper!M$20</f>
        <v>0</v>
      </c>
      <c r="N29" s="27" t="b">
        <f>OR(IF(Pricing!J32="",FALSE,AND(OR(Pricing!J32="Split Offset",Pricing!J32="Split Custom",Pricing!J32="Offset",Pricing!J32="Custom",Pricing!J32="Centre"),L29=TRUE,Pricing!J32&lt;&gt;Helper!$Q$20)),AND(E32=TRUE,Pricing!H32="49mm"))</f>
        <v>0</v>
      </c>
      <c r="O29" s="27" t="b">
        <f>IF(Pricing!J32="",FALSE,IF(AND(OR(D29=TRUE,L29=TRUE,M29=TRUE,F29=TRUE,E29=TRUE),OR(Pricing!J32="Silent",Pricing!J32="Silent Split")),TRUE,FALSE))</f>
        <v>0</v>
      </c>
      <c r="P29" s="27" t="b">
        <f>OR(AND(OR(C29=TRUE,G29=TRUE,I29=TRUE,J29=TRUE,K29=TRUE+N("S-Craft Material"),AND(L29=TRUE,Pricing!J32="Clearview",Pricing!N32&gt;1200)),Q29=TRUE),AND(OR(D29=TRUE,F29=TRUE,H29=TRUE,E29=TRUE),Pricing!N32&gt;1300,Pricing!J32="Concealed"),AND(OR(D29=TRUE,F29=TRUE,H29=TRUE),Pricing!N32&gt;1200,Pricing!J32="Hidden")+N("Belize"))</f>
        <v>0</v>
      </c>
      <c r="Q29" s="27" t="b">
        <f>OR(AND(OR(C29=TRUE,G29=TRUE,I29=TRUE,J29=TRUE,K29=TRUE+N("S-Craft Materials")),Pricing!J32=$Q$20),AND(L29=TRUE,Pricing!J32=O20)+N("MAUI"),AND(F29=TRUE,Pricing!J32=Helper!$Q$20),AND(E29=TRUE,Pricing!J32=Helper!$Q$20),AND(D29=TRUE,Pricing!J32=Helper!$Q$20))</f>
        <v>0</v>
      </c>
      <c r="R29" s="46" t="b">
        <f>IF(Matrix2!AL19=0,FALSE,OR(AND(IF(Pricing!M32/(Matrix2!AL$19)&lt;152,TRUE,FALSE),Pricing!J32&lt;&gt;"Silent",OR(C29=TRUE,G29=TRUE,I29=TRUE,J29=TRUE,K29=TRUE)+N("S-Craft Materials")),AND(OR(D29=TRUE,M29=TRUE),Pricing!M32/(Matrix2!AL$19)&lt;250+N("Aruba,Tahiti"),N29=TRUE),AND(L29=TRUE,Pricing!H32="49mm"),AND(H29=TRUE,Pricing!M32&lt;200),AND(F29=TRUE,Pricing!M32=250),AND(E29=TRUE,Pricing!M32=200)))</f>
        <v>0</v>
      </c>
      <c r="S29" s="401" t="b">
        <f>IF(Matrix2!AL19=0,FALSE,OR(AND(Pricing!M32/(Matrix2!AL$19)&lt;152+N("S-Craft"),O29=TRUE,OR(C29=TRUE,G29=TRUE,I29=TRUE,J29=TRUE,K29=TRUE)),AND(Pricing!M32/(Matrix2!AL$19)&lt;170+N("Aruba"),Q29=TRUE),AND(OR(L29=TRUE,M29=TRUE),Pricing!J32=Q20,Pricing!M32/(Matrix2!AL$19)&lt;250+N("MAUI")),AND(H29=TRUE,OR(Pricing!J32="Supatilt",Pricing!J32="Silent"),Pricing!M32&lt;200)))</f>
        <v>0</v>
      </c>
      <c r="T29" s="91" t="b">
        <f>IF(Matrix2!AL19=0,FALSE,OR(AND(C29=TRUE,Pricing!H32="47mm",(Pricing!M32/Matrix2!AL$19)&gt;600),AND(G29=TRUE,Pricing!H16="47mm",(Pricing!M32/Matrix2!AL$19)&gt;610+N("Bermuda")),AND(G29=TRUE,Pricing!H32="47mm",(Pricing!M32/Matrix2!AL$19)&gt;750+N("Cuba")),AND(J29=TRUE,Pricing!H32="47mm",(Pricing!M32/Matrix2!AL$19)&gt;750+N("Fiji")),AND(K29=TRUE,Pricing!H32="47mm",(Pricing!M32/Matrix2!AL$19)&gt;550+N("Java")),AND(L29=TRUE,Pricing!H32="47mm"),AND(L29=TRUE,Pricing!H32="47mm",(Pricing!M32/Matrix2!AL$19)&gt;850+N("Tahiti")),AND(H29=TRUE,Pricing!H32="47mm"),AND(F29=TRUE,Pricing!H32="47mm"),AND(E29=TRUE,Pricing!H32="47mm")))</f>
        <v>0</v>
      </c>
      <c r="U29" s="401" t="b">
        <f>IF(Pricing!M32="",FALSE,OR(AND(C29=TRUE,AD29=FALSE,(Pricing!M32/(Matrix2!AL$19))&gt;750+N("Barbados")),AND(D29=TRUE,Pricing!H32&lt;&gt;"89mm",Pricing!H32&lt;&gt;"114mm",Pricing!M32/Matrix2!AL$19&gt;800)+N("Aruba"),AND(D29=TRUE,Pricing!H32&lt;&gt;"63mm",Pricing!H32&lt;&gt;"76mm",Pricing!M32/Matrix2!AL$19&gt;920)+N("Aruba"),AND(G29=TRUE,Pricing!M32/Matrix2!AL$19&gt;915)+N("Bermuda"),AND(G29=TRUE,Pricing!M32/Matrix2!AL$19&gt;890)+N("Cuba"),AND(J29=TRUE,OR(AE29=TRUE,AF29=TRUE),(Pricing!M32/Matrix2!AL$19)&gt;890+N("Fiji")),AND(J29=TRUE,OR(AG29=TRUE,AH29=TRUE),(Pricing!M32/Matrix2!AL$19)&gt;1047+N("Fiji")),AND(K29=TRUE,OR(AE29=TRUE,AF29=TRUE),(Pricing!M32/Matrix2!AL$19)&gt;800+N("Java")),AND(K29=TRUE,OR(AG29=TRUE,AH29=TRUE),(Pricing!M32/Matrix2!AL$19)&gt;890+N("Java")),AND(L29=TRUE,(Pricing!M32/Matrix2!AL$19)&gt;950+N("Maui")),AND(M29=TRUE,Pricing!H32="63mm",(Pricing!M32/Matrix2!AL$19)&gt;850+N("Tahiti 63mm")),AND(M29=TRUE,OR(Pricing!H32="76mm",Pricing!H32="89mm",Pricing!H32="114mm"),(Pricing!M32/Matrix2!AL$19)&gt;950+N("Tahiti 76,89,114mm")),AND(H29=TRUE,(Pricing!M32/Matrix2!AL$19)&gt;890+N("Capri")),AND(OR(H29=TRUE,F29=TRUE),Pricing!D32="Tracked",(Pricing!M32/Matrix2!AL$19)&gt;600),AND(H29=TRUE,Pricing!M32&gt;890,LEN(Matrix2!AD30)=1),AND(F29=TRUE,Pricing!M32&gt;750,LEN(Matrix2!AD30)=1,Pricing!H32="63mm"),AND(F29=TRUE,Pricing!M32&gt;890,LEN(Matrix2!AD30)=1,OR(Pricing!H32="76mm",Pricing!H32="89mm",Pricing!H32="114mm")),AND(E29=TRUE,Pricing!M32=700)))</f>
        <v>0</v>
      </c>
      <c r="V29" s="401" t="b">
        <f>IF(OR(Pricing!M32="",Matrix2!AL19=1),FALSE,OR(AND(OR(Matrix2!AD30="LL",Matrix2!AD30="RR"),Pricing!D32&lt;&gt;"Tracked",OR(C29=TRUE,D29=TRUE,L29=TRUE,M29=TRUE),(Pricing!M32/2)&gt;600,Pricing!D32&lt;&gt;"Tracked"),AND(OR(Matrix2!AD30="LL",Matrix2!AD30="RR"),Pricing!D32&lt;&gt;"Tracked",OR(G29=TRUE,AND(K29=TRUE,Pricing!H32&lt;&gt;"47mm")),(Pricing!M32/Matrix2!$AL$19)&gt;610)+N("Bermuda, Java"),AND(OR(Matrix2!AD30="LL",Matrix2!AD30="RR"),Pricing!D32&lt;&gt;"Tracked",OR(I29=TRUE,J29=TRUE),(Pricing!M32/Matrix2!$AL$19)&gt;660)+N("Cuba &amp; Fiji"),AND(OR(Matrix2!AD30="LL",Matrix2!AD30="RR"),Pricing!D32="Tracked",K29=TRUE,Pricing!H32="47mm",(Pricing!M32/Matrix2!$AL$19)&gt;550)+N("Java"),AND(L29=TRUE,Pricing!D32="Tracked",(Pricing!M32/Matrix2!$AL$19)&gt;700),AND(H29=TRUE,Pricing!D32&lt;&gt;"Tracked",(Pricing!M32/Matrix2!$AL$19)&gt;625),AND(H29=TRUE,OR(Matrix2!AD30="LL",Matrix2!AD30="RR"),Pricing!D32&lt;&gt;"Tracked",(Pricing!M32/Matrix2!$AL$19)&gt;625)+N("Capri Bifold"),AND(H29=TRUE,OR(Matrix2!AD30="LLL",Matrix2!AD30="RRR",Matrix2!AD30="LLLRRR"),Pricing!D32&lt;&gt;"Tracked",(Pricing!M32/Matrix2!$AL$19)&gt;550)+N("Capri Multifold"),AND(H29=TRUE,Pricing!D32="Tracked",NOT(ISEVEN(LEN(Matrix2!AD30)))),AND(G29=TRUE,OR(Matrix2!AD30="LL",Matrix2!AD30="RR"),Pricing!D32&lt;&gt;"Tracked",(Pricing!M32/Matrix2!$AL$19)&gt;500),AND(F29=TRUE,Pricing!M32/Matrix2!$AL$19&gt;500,Pricing!D32&lt;&gt;"Tracked",Matrix2!AD30&lt;&gt;"LR"),AND(F29=TRUE,OR(Matrix2!AD30="LL",Matrix2!AD30="RR"),Pricing!D32&lt;&gt;"Tracked",(Pricing!M32/Matrix2!$AL$19)&gt;600),AND(F29=TRUE,OR(Matrix2!AD30="LL",Matrix2!AD30="RR",Matrix2!AD30="LLL",Matrix2!AD30="RRR",Matrix2!AD30="LLLLRRRR"),Pricing!D32="Tracked",(Pricing!M32/Matrix2!$AL$19)&gt;600),AND(E29=TRUE,OR(Matrix2!AD30="LL",Matrix2!AD30="RR"),Pricing!D32&lt;&gt;"Tracked",(Pricing!M32/Matrix2!$AL$19)&gt;500)+N("Aruba Express")))</f>
        <v>0</v>
      </c>
      <c r="W29" s="401" t="b">
        <f>IF(Pricing!M32="",FALSE,OR(AND(ISERROR(FIND("(",Matrix2!AD30)),LEN(Matrix2!AD30)-LEN(SUBSTITUTE(Matrix2!AD30,"L",""))&gt;2,OR(C29=TRUE,G29=TRUE,K29=TRUE,L29=TRUE,M29=TRUE,F29=TRUE,E29=TRUE)),AND(ISERROR(FIND("(",Matrix2!AD30)),LEN(Matrix2!AD30)-LEN(SUBSTITUTE(Matrix2!AD30,"R",""))&gt;2,OR(C29=TRUE,G29=TRUE,L29=TRUE,M29=TRUE,F29=TRUE,E29=TRUE)),AND(ISERROR(FIND("(",Matrix2!AD30)),LEN(Matrix2!AD30)-LEN(SUBSTITUTE(Matrix2!AD30,"R",""))&gt;4,OR(I29=TRUE,AND(H29=TRUE,Pricing!D32="Tracked")),(Pricing!M32/Matrix2!AL19)&gt;550),AND(ISERROR(FIND("(",Matrix2!AD30)),LEN(Matrix2!AD30)-LEN(SUBSTITUTE(Matrix2!AD30,"L",""))&gt;4,OR(I29=TRUE,AND(H29=TRUE,Pricing!D32="Tracked")),(Pricing!M32/Matrix2!AL19)&gt;550),AND(ISERROR(FIND("(",Matrix2!AD30)),LEN(Matrix2!AD30)-LEN(SUBSTITUTE(Matrix2!AD30,"L",""))&gt;3,H29=TRUE),AND(ISERROR(FIND("(",Matrix2!AD30)),LEN(Matrix2!AD30)-LEN(SUBSTITUTE(Matrix2!AD30,"R",""))&gt;3,H29=TRUE)))</f>
        <v>0</v>
      </c>
      <c r="X29" s="46" t="b">
        <f>IF(Pricing!N32="",FALSE,OR(Pricing!N32&lt;250+N("Barbados, Aruba, Bermuda, Cuba, Fiji, Java, Maui, Tahiti, Capri, Aruba Express"),AND(F29=TRUE,Pricing!N32&lt;300)))</f>
        <v>0</v>
      </c>
      <c r="Y29" s="46" t="b">
        <f>OR(Pricing!N32&gt;3000 +N("Barbados, Aruba, Bermuda, Cuba, Fiji, Java, Maui, Tahiti, Capri, Aruba Express"),AND(F29=TRUE,Pricing!N32&gt;2700))</f>
        <v>0</v>
      </c>
      <c r="Z29" s="46" t="b">
        <f>OR(AND(Pricing!D32="Shape",OR(C29=TRUE,G29=TRUE,I29=TRUE,E29=TRUE)+N("Barbados, Bermuda, Cuba, Java, Aruba Express")),AND(Pricing!D32="Shape",D29=TRUE+N("Aruba")))</f>
        <v>0</v>
      </c>
      <c r="AA29" s="46" t="b">
        <f>AND(NOT(ISERROR(FIND("CB",Matrix2!AD30))),(D29=TRUE+N("Aruba")))</f>
        <v>0</v>
      </c>
      <c r="AB29" s="46" t="b">
        <f>AND(O29=TRUE,Pricing!N32&gt;1372,OR(C29=TRUE,G29=TRUE,J29=TRUE,K29=TRUE,I29=TRUE))</f>
        <v>0</v>
      </c>
      <c r="AC29" s="46" t="b">
        <f>OR(AND(OR(C29=TRUE,G29=TRUE,I29=TRUE),Pricing!N32&gt;1879+N("S-Craft")),AND(D29=TRUE,Pricing!N32&gt;1500,Pricing!N32&lt;=2000),AND(J29=TRUE,Pricing!N32&gt;1981),AND(K29=TRUE,Pricing!N32&gt;1828),OR(AND(OR(L29=TRUE,M29=TRUE),Pricing!N32&gt;1800,Pricing!N32&lt;=2500),AND(OR(L29=TRUE,M29=TRUE),Pricing!N32&gt;=2501,Pricing!N32&lt;=3000)),AND(H29=TRUE,Pricing!N32&gt;1799),OR(AND(E29=TRUE,Pricing!N32&gt;1800,Pricing!N32&lt;=2400),AND(E29=TRUE,Pricing!N32&gt;=2401,Pricing!N32&lt;=3000))+N("Aruba Express"))</f>
        <v>0</v>
      </c>
      <c r="AD29" s="46" t="b">
        <f>AND(OR(H29=TRUE,D29=TRUE,E29=TRUE,F29=TRUE,L29=TRUE),Pricing!H32="47mm")</f>
        <v>0</v>
      </c>
      <c r="AE29" s="452"/>
      <c r="AF29" s="452"/>
      <c r="AG29" s="452"/>
      <c r="AH29" s="46" t="b">
        <f>OR(AND(Pricing!H32=AH28,I29=TRUE+N("Cuba")),AND(L29=TRUE,Pricing!H32="114"),AND(E29=TRUE,Pricing!H32="114"))</f>
        <v>0</v>
      </c>
      <c r="AI29" s="46" t="b">
        <f>IF(AND(OR(K29=TRUE,L29=TRUE,M29=TRUE,E29=TRUE),Pricing!D32="S/Shade"),TRUE,AND(Pricing!D32="S/Shade",OR(C29=TRUE,G29=TRUE,I29=TRUE,J29-TRUE,H29=TRUE,F29=TRUE+N("Barbados, Bermuda, Cuba, Fiji, Capri, Belize")),Pricing!I32&lt;&gt;"FFrame"))</f>
        <v>0</v>
      </c>
      <c r="AJ29" s="46" t="b">
        <f>AND(Pricing!D32="French Door Cutout",OR(C29=TRUE,D29=TRUE,E29=TRUE,G29=TRUE,I29=TRUE, K29=TRUE,E29=TRUE+N("Barbados, Bermuda, Cuba, Java, Aruba, Aruba Express")))</f>
        <v>0</v>
      </c>
      <c r="AK29" s="46" t="b">
        <f>AND(Pricing!D32=AK20,OR(E29=TRUE,D29=TRUE))</f>
        <v>0</v>
      </c>
      <c r="AL29" s="27" t="b">
        <f>AND(Pricing!D32="Tier on Tier",Pricing!M32&gt;=1361+N("1219 S-Craft, Pauls Limit"))</f>
        <v>0</v>
      </c>
      <c r="AM29" s="401" t="b">
        <f>AND(Pricing!C32="Bathroom",OR(C29=TRUE,G29=TRUE,I29=TRUE,J29=TRUE,L29=TRUE,M29=TRUE,H29=TRUE,D29=TRUE,E29=TRUE)+N("If not JAVA"))</f>
        <v>0</v>
      </c>
      <c r="AN29" s="27"/>
      <c r="AO29" s="27" t="b">
        <f>AND(K29=TRUE,ISERROR(FIND("Stainless Steel",Pricing!G34)))</f>
        <v>0</v>
      </c>
      <c r="AP29" s="27" t="b" cm="1">
        <f t="array" ref="AP29">IF(Pricing!F32="",FALSE,NOT(OR(AND(C29=TRUE,COUNTIF(Barbados,Pricing!F32)&gt;0),AND(D29=TRUE,COUNTIF(Aruba,Pricing!F32)&gt;0),AND(E29=TRUE,COUNTIF(ArubaExpress,Pricing!F32)&gt;0),AND(F29=TRUE,COUNTIF(Belize,Pricing!F32)&gt;0),AND(G29=TRUE,COUNTIF(Bermuda,Pricing!F32)&gt;0),AND(H29=TRUE,COUNTIF(Capri,Pricing!F32)&gt;0),AND(I29=TRUE,COUNTIF(Cuba,Pricing!F32)&gt;0),AND(J29=TRUE,COUNTIF(Fiji,Pricing!F32)&gt;0),AND(K29=TRUE,COUNTIF(Java,Pricing!F32)&gt;0),AND(L29=TRUE,COUNTIF(Maui,Pricing!F32)&gt;0),AND(M29=TRUE,COUNTIF(Tahiti,Pricing!F32)&gt;0))))</f>
        <v>0</v>
      </c>
      <c r="AQ29" s="27" t="b">
        <f>AND(Pricing!D32=$AQ$20,D29=FALSE,K29=FALSE,J29=FALSE,M29=FALSE,L29=FALSE,H29=FALSE,F29=FALSE)</f>
        <v>0</v>
      </c>
      <c r="AR29" s="27" t="b">
        <f>IF(AND(Pricing!D32="Tracked",COUNTIF(Table19[Tframes],Pricing!D32)=0),TRUE,FALSE)</f>
        <v>0</v>
      </c>
    </row>
    <row r="30" spans="1:44">
      <c r="B30" s="27">
        <v>10</v>
      </c>
      <c r="C30" s="27" t="b">
        <f>Pricing!E35=Helper!$C$20</f>
        <v>0</v>
      </c>
      <c r="D30" s="27" t="b">
        <f>Pricing!E35=Helper!$D$20</f>
        <v>0</v>
      </c>
      <c r="E30" s="27" t="b">
        <f>Pricing!E35="Aruba Express"</f>
        <v>0</v>
      </c>
      <c r="F30" s="27" t="b">
        <f>Pricing!$E35=Helper!F$20</f>
        <v>0</v>
      </c>
      <c r="G30" s="27" t="b">
        <f>Pricing!$E35=Helper!G$20</f>
        <v>0</v>
      </c>
      <c r="H30" s="27" t="b">
        <f>Pricing!$E35=Helper!H$20</f>
        <v>0</v>
      </c>
      <c r="I30" s="27" t="b">
        <f>Pricing!$E35=Helper!I$20</f>
        <v>0</v>
      </c>
      <c r="J30" s="27" t="b">
        <f>Pricing!$E35=Helper!J$20</f>
        <v>0</v>
      </c>
      <c r="K30" s="27" t="b">
        <f>Pricing!$E35=Helper!K$20</f>
        <v>0</v>
      </c>
      <c r="L30" s="27" t="b">
        <f>Pricing!$E35=Helper!L$20</f>
        <v>0</v>
      </c>
      <c r="M30" s="27" t="b">
        <f>Pricing!$E35=Helper!M$20</f>
        <v>0</v>
      </c>
      <c r="N30" s="27" t="b">
        <f>OR(IF(Pricing!J35="",FALSE,AND(OR(Pricing!J35="Split Offset",Pricing!J35="Split Custom",Pricing!J35="Offset",Pricing!J35="Custom",Pricing!J35="Centre"),L30=TRUE,Pricing!J35&lt;&gt;Helper!$Q$20)),AND(E30=TRUE,Pricing!H35="49mm"))</f>
        <v>0</v>
      </c>
      <c r="O30" s="27" t="b">
        <f>IF(Pricing!J35="",FALSE,IF(AND(OR(D30=TRUE,L30=TRUE,M30=TRUE,F30=TRUE,E30=TRUE),OR(Pricing!J35="Silent",Pricing!J35="Silent Split")),TRUE,FALSE))</f>
        <v>0</v>
      </c>
      <c r="P30" s="27" t="b">
        <f>OR(AND(OR(C30=TRUE,G30=TRUE,I30=TRUE,J30=TRUE,K30=TRUE+N("S-Craft Material"),AND(L30=TRUE,Pricing!J35="Clearview",Pricing!N35&gt;1200)),Q30=TRUE),AND(OR(D30=TRUE,F30=TRUE,H30=TRUE,E30=TRUE),Pricing!N35&gt;1300,Pricing!J35="Concealed"),AND(OR(D30=TRUE,F30=TRUE,H30=TRUE),Pricing!N35&gt;1200,Pricing!J35="Hidden")+N("Belize"))</f>
        <v>0</v>
      </c>
      <c r="Q30" s="27" t="b">
        <f>OR(AND(OR(C30=TRUE,G30=TRUE,I30=TRUE,J30=TRUE,K30=TRUE+N("S-Craft Materials")),Pricing!J35=$Q$20),AND(L30=TRUE,Pricing!J35=O20)+N("MAUI"),AND(F30=TRUE,Pricing!J35=Helper!$Q$20),AND(E30=TRUE,Pricing!J35=Helper!$Q$20),AND(D30=TRUE,Pricing!J35=Helper!$Q$20))</f>
        <v>0</v>
      </c>
      <c r="R30" s="46" t="b">
        <f>IF(Matrix2!AM19=0,FALSE,OR(AND(IF(Pricing!M35/(Matrix2!AM$19)&lt;152,TRUE,FALSE),Pricing!J35&lt;&gt;"Silent",OR(C30=TRUE,G30=TRUE,I30=TRUE,J30=TRUE,K30=TRUE)+N("S-Craft Materials")),AND(OR(D30=TRUE,M30=TRUE),Pricing!M35/(Matrix2!AM$19)&lt;250+N("Aruba,Tahiti"),N30=TRUE),AND(L30=TRUE,Pricing!H35="49mm"),AND(H30=TRUE,Pricing!M35&lt;200),AND(F30=TRUE,Pricing!M35=250),AND(E30=TRUE,Pricing!M35=200)))</f>
        <v>0</v>
      </c>
      <c r="S30" s="401" t="b">
        <f>IF(Matrix2!AM19=0,FALSE,OR(AND(Pricing!M35/(Matrix2!AM$19)&lt;152+N("S-Craft"),O30=TRUE,OR(C30=TRUE,G30=TRUE,I30=TRUE,J30=TRUE,K30=TRUE)),AND(Pricing!M35/(Matrix2!AM$19)&lt;170+N("Aruba"),Q30=TRUE),AND(OR(L30=TRUE,M30=TRUE),Pricing!J35=Q20,Pricing!M35/(Matrix2!AM$19)&lt;250+N("MAUI")),AND(H30=TRUE,OR(Pricing!J35="Supatilt",Pricing!J35="Silent"),Pricing!M35&lt;200)))</f>
        <v>0</v>
      </c>
      <c r="T30" s="91" t="b">
        <f>IF(Matrix2!AM19=0,FALSE,OR(AND(C30=TRUE,Pricing!H35="47mm",(Pricing!M35/Matrix2!AM$19)&gt;600),AND(G30=TRUE,Pricing!H35="47mm",(Pricing!M35/Matrix2!AM$19)&gt;610+N("Bermuda")),AND(G30=TRUE,Pricing!H35="47mm",(Pricing!M35/Matrix2!AM$19)&gt;750+N("Cuba")),AND(J30=TRUE,Pricing!H35="47mm",(Pricing!M35/Matrix2!AM$19)&gt;750+N("Fiji")),AND(K30=TRUE,Pricing!H35="47mm",(Pricing!M35/Matrix2!AM$19)&gt;550+N("Java")),AND(L30=TRUE,Pricing!H35="47mm"),AND(L30=TRUE,Pricing!H35="47mm",(Pricing!M35/Matrix2!AM$19)&gt;850+N("Tahiti")),AND(H30=TRUE,Pricing!H35="47mm"),AND(F30=TRUE,Pricing!H35="47mm"),AND(E30=TRUE,Pricing!H35="47mm")))</f>
        <v>0</v>
      </c>
      <c r="U30" s="401" t="b">
        <f>IF(Pricing!M35="",FALSE,OR(AND(C30=TRUE,AD30=FALSE,(Pricing!M35/(Matrix2!AM$19))&gt;750+N("Barbados")),AND(D30=TRUE,Pricing!H35&lt;&gt;"89mm",Pricing!H35&lt;&gt;"114mm",Pricing!M35/Matrix2!AM$19&gt;800)+N("Aruba"),AND(D30=TRUE,Pricing!H35&lt;&gt;"63mm",Pricing!H35&lt;&gt;"76mm",Pricing!M35/Matrix2!AM$19&gt;920)+N("Aruba"),AND(G30=TRUE,Pricing!M35/Matrix2!AM$19&gt;915)+N("Bermuda"),AND(G30=TRUE,Pricing!M35/Matrix2!AM$19&gt;890)+N("Cuba"),AND(J30=TRUE,OR(AE30=TRUE,AF30=TRUE),(Pricing!M35/Matrix2!AM$19)&gt;890+N("Fiji")),AND(J30=TRUE,OR(AG30=TRUE,AH30=TRUE),(Pricing!M35/Matrix2!AM$19)&gt;1047+N("Fiji")),AND(K30=TRUE,OR(AE30=TRUE,AF30=TRUE),(Pricing!M35/Matrix2!AM$19)&gt;800+N("Java")),AND(K30=TRUE,OR(AG30=TRUE,AH30=TRUE),(Pricing!M35/Matrix2!AM$19)&gt;890+N("Java")),AND(L30=TRUE,(Pricing!M35/Matrix2!AM$19)&gt;950+N("Maui")),AND(M30=TRUE,Pricing!H35="63mm",(Pricing!M35/Matrix2!AM$19)&gt;850+N("Tahiti 63mm")),AND(M30=TRUE,OR(Pricing!H35="76mm",Pricing!H35="89mm",Pricing!H35="114mm"),(Pricing!M35/Matrix2!AM$19)&gt;950+N("Tahiti 76,89,114mm")),AND(H30=TRUE,(Pricing!M35/Matrix2!AM$19)&gt;890+N("Capri")),AND(OR(H30=TRUE,F30=TRUE),Pricing!D35="Tracked",(Pricing!M35/Matrix2!AM$19)&gt;600),AND(H30=TRUE,Pricing!M35&gt;890,LEN(Matrix2!AD31)=1),AND(F30=TRUE,Pricing!M35&gt;750,LEN(Matrix2!AD31)=1,Pricing!H35="63mm"),AND(F30=TRUE,Pricing!M35&gt;890,LEN(Matrix2!AD31)=1,OR(Pricing!H35="76mm",Pricing!H35="89mm",Pricing!H35="114mm")),AND(E30=TRUE,Pricing!M35=700)))</f>
        <v>0</v>
      </c>
      <c r="V30" s="401" t="b">
        <f>IF(OR(Pricing!M35="",Matrix2!AM19=1),FALSE,OR(AND(OR(Matrix2!AD31="LL",Matrix2!AD31="RR"),Pricing!D35&lt;&gt;"Tracked",OR(C30=TRUE,D30=TRUE,L30=TRUE,M30=TRUE),(Pricing!M35/2)&gt;600,Pricing!D35&lt;&gt;"Tracked"),AND(OR(Matrix2!AD31="LL",Matrix2!AD31="RR"),Pricing!D35&lt;&gt;"Tracked",OR(G30=TRUE,AND(K30=TRUE,Pricing!H35&lt;&gt;"47mm")),(Pricing!M35/Matrix2!$AM$19)&gt;610)+N("Bermuda, Java"),AND(OR(Matrix2!AD31="LL",Matrix2!AD31="RR"),Pricing!D35&lt;&gt;"Tracked",OR(I30=TRUE,J30=TRUE),(Pricing!M35/Matrix2!$AM$19)&gt;660)+N("Cuba &amp; Fiji"),AND(OR(Matrix2!AD31="LL",Matrix2!AD31="RR"),Pricing!D35="Tracked",K30=TRUE,Pricing!H35="47mm",(Pricing!M35/Matrix2!$AM$19)&gt;550)+N("Java"),AND(L30=TRUE,Pricing!D35="Tracked",(Pricing!M35/Matrix2!$AM$19)&gt;700),AND(H30=TRUE,Pricing!D35&lt;&gt;"Tracked",(Pricing!M35/Matrix2!$AM$19)&gt;625),AND(H30=TRUE,OR(Matrix2!AD31="LL",Matrix2!AD31="RR"),Pricing!D35&lt;&gt;"Tracked",(Pricing!M35/Matrix2!$AM$19)&gt;625)+N("Capri Bifold"),AND(H30=TRUE,OR(Matrix2!AD31="LLL",Matrix2!AD31="RRR",Matrix2!AD31="LLLRRR"),Pricing!D35&lt;&gt;"Tracked",(Pricing!M35/Matrix2!$AM$19)&gt;550)+N("Capri Multifold"),AND(H30=TRUE,Pricing!D35="Tracked",NOT(ISEVEN(LEN(Matrix2!AD31)))),AND(G30=TRUE,OR(Matrix2!AD31="LL",Matrix2!AD31="RR"),Pricing!D35&lt;&gt;"Tracked",(Pricing!M35/Matrix2!$AM$19)&gt;500),AND(F30=TRUE,Pricing!M35/Matrix2!$AM$19&gt;500,Pricing!D35&lt;&gt;"Tracked",Matrix2!AD31&lt;&gt;"LR"),AND(F30=TRUE,OR(Matrix2!AD31="LL",Matrix2!AD31="RR"),Pricing!D35&lt;&gt;"Tracked",(Pricing!M35/Matrix2!$AM$19)&gt;600),AND(F30=TRUE,OR(Matrix2!AD31="LL",Matrix2!AD31="RR",Matrix2!AD31="LLL",Matrix2!AD31="RRR",Matrix2!AD31="LLLLRRRR"),Pricing!D33="Tracked",(Pricing!M35/Matrix2!$AM$19)&gt;600),AND(E30=TRUE,OR(Matrix2!AD31="LL",Matrix2!AD31="RR"),Pricing!D35&lt;&gt;"Tracked",(Pricing!M35/Matrix2!$AM$19)&gt;500)+N("Aruba Express")))</f>
        <v>0</v>
      </c>
      <c r="W30" s="401" t="b">
        <f>IF(Pricing!M35="",FALSE,OR(AND(ISERROR(FIND("(",Matrix2!AD31)),LEN(Matrix2!AD31)-LEN(SUBSTITUTE(Matrix2!AD31,"L",""))&gt;2,OR(C30=TRUE,G30=TRUE,K30=TRUE,L30=TRUE,M30=TRUE,F30=TRUE,E30=TRUE)),AND(ISERROR(FIND("(",Matrix2!AD31)),LEN(Matrix2!AD31)-LEN(SUBSTITUTE(Matrix2!AD31,"R",""))&gt;2,OR(C30=TRUE,G30=TRUE,L30=TRUE,M30=TRUE,F30=TRUE,E30=TRUE)),AND(ISERROR(FIND("(",Matrix2!AD31)),LEN(Matrix2!AD31)-LEN(SUBSTITUTE(Matrix2!AD31,"R",""))&gt;4,OR(I30=TRUE,AND(H30=TRUE,Pricing!D35="Tracked")),(Pricing!M35/Matrix2!AM19)&gt;550),AND(ISERROR(FIND("(",Matrix2!AD31)),LEN(Matrix2!AD31)-LEN(SUBSTITUTE(Matrix2!AD31,"L",""))&gt;4,OR(I30=TRUE,AND(H30=TRUE,Pricing!D35="Tracked")),(Pricing!M35/Matrix2!AM19)&gt;550),AND(ISERROR(FIND("(",Matrix2!AD31)),LEN(Matrix2!AD31)-LEN(SUBSTITUTE(Matrix2!AD31,"L",""))&gt;3,H30=TRUE),AND(ISERROR(FIND("(",Matrix2!AD31)),LEN(Matrix2!AD31)-LEN(SUBSTITUTE(Matrix2!AD31,"R",""))&gt;3,H30=TRUE)))</f>
        <v>0</v>
      </c>
      <c r="X30" s="46" t="b">
        <f>IF(Pricing!N35="",FALSE,OR(Pricing!N35&lt;250+N("Barbados, Aruba, Bermuda, Cuba, Fiji, Java, Maui, Tahiti, Capri, Aruba Express"),AND(F30=TRUE,Pricing!N35&lt;300)))</f>
        <v>0</v>
      </c>
      <c r="Y30" s="46" t="b">
        <f>OR(Pricing!N35&gt;3000 +N("Barbados, Aruba, Bermuda, Cuba, Fiji, Java, Maui, Tahiti, Capri, Aruba Express"),AND(F30=TRUE,Pricing!N35&gt;2700))</f>
        <v>0</v>
      </c>
      <c r="Z30" s="46" t="b">
        <f>OR(AND(Pricing!D35="Shape",OR(C30=TRUE,G30=TRUE,I30=TRUE,E30=TRUE)+N("Barbados, Bermuda, Cuba, Java, Aruba Express")),AND(Pricing!D35="Shape",D30=TRUE+N("Aruba")))</f>
        <v>0</v>
      </c>
      <c r="AA30" s="46" t="b">
        <f>AND(NOT(ISERROR(FIND("CB",Matrix2!AD31))),(D30=TRUE+N("Aruba")))</f>
        <v>0</v>
      </c>
      <c r="AB30" s="46" t="b">
        <f>AND(O30=TRUE,Pricing!N35&gt;1372,OR(C30=TRUE,G30=TRUE,J30=TRUE,K30=TRUE,I30=TRUE))</f>
        <v>0</v>
      </c>
      <c r="AC30" s="46" t="b">
        <f>OR(AND(OR(C30=TRUE,G30=TRUE,I30=TRUE),Pricing!N35&gt;1879+N("S-Craft")),AND(D30=TRUE,Pricing!N35&gt;1500,Pricing!N35&lt;=2000),AND(J30=TRUE,Pricing!N35&gt;1981),AND(K30=TRUE,Pricing!N35&gt;1828),OR(AND(OR(L30=TRUE,M30=TRUE),Pricing!N35&gt;1800,Pricing!N35&lt;=2500),AND(OR(L30=TRUE,M30=TRUE),Pricing!N35&gt;=2501,Pricing!N35&lt;=3000)),AND(H30=TRUE,Pricing!N35&gt;1799),OR(AND(E30=TRUE,Pricing!N35&gt;1800,Pricing!N35&lt;=2400),AND(E30=TRUE,Pricing!N35&gt;=2401,Pricing!N35&lt;=3000))+N("Aruba Express"))</f>
        <v>0</v>
      </c>
      <c r="AD30" s="46" t="b">
        <f>AND(OR(H30=TRUE,D30=TRUE,E30=TRUE,F30=TRUE,L30=TRUE),Pricing!H35="47mm")</f>
        <v>0</v>
      </c>
      <c r="AE30" s="452"/>
      <c r="AF30" s="452"/>
      <c r="AG30" s="452"/>
      <c r="AH30" s="46" t="b">
        <f>OR(AND(Pricing!H35=AH29,I30=TRUE+N("Cuba")),AND(L30=TRUE,Pricing!H35="114"),AND(E30=TRUE,Pricing!H35="114"))</f>
        <v>0</v>
      </c>
      <c r="AI30" s="46" t="b">
        <f>IF(AND(OR(K30=TRUE,L30=TRUE,M30=TRUE,E30=TRUE),Pricing!D35="S/Shade"),TRUE,AND(Pricing!D35="S/Shade",OR(C30=TRUE,G30=TRUE,I30=TRUE,J30-TRUE,H30=TRUE,F30=TRUE+N("Barbados, Bermuda, Cuba, Fiji, Capri, Belize")),Pricing!I35&lt;&gt;"FFrame"))</f>
        <v>0</v>
      </c>
      <c r="AJ30" s="46" t="b">
        <f>AND(Pricing!D35="French Door Cutout",OR(C30=TRUE,D30=TRUE,E30=TRUE,G30=TRUE,I30=TRUE, K30=TRUE,E30=TRUE+N("Barbados, Bermuda, Cuba, Java, Aruba, Aruba Express")))</f>
        <v>0</v>
      </c>
      <c r="AK30" s="46" t="b">
        <f>AND(Pricing!D35=AK20,OR(E30=TRUE,D30=TRUE))</f>
        <v>0</v>
      </c>
      <c r="AL30" s="27" t="b">
        <f>AND(Pricing!D35="Tier on Tier",Pricing!M35&gt;=1361+N("1219 S-Craft, Pauls Limit"))</f>
        <v>0</v>
      </c>
      <c r="AM30" s="401" t="b">
        <f>AND(Pricing!C35="Bathroom",OR(C30=TRUE,G30=TRUE,I30=TRUE,J30=TRUE,L30=TRUE,M30=TRUE,H30=TRUE,D30=TRUE,E30=TRUE)+N("If not JAVA"))</f>
        <v>0</v>
      </c>
      <c r="AN30" s="27"/>
      <c r="AO30" s="27" t="b">
        <f>AND(K30=TRUE,ISERROR(FIND("Stainless Steel",Pricing!G37)))</f>
        <v>0</v>
      </c>
      <c r="AP30" s="27" t="b" cm="1">
        <f t="array" ref="AP30">IF(Pricing!F35="",FALSE,NOT(OR(AND(C30=TRUE,COUNTIF(Barbados,Pricing!F35)&gt;0),AND(D30=TRUE,COUNTIF(Aruba,Pricing!F35)&gt;0),AND(E30=TRUE,COUNTIF(ArubaExpress,Pricing!F35)&gt;0),AND(F30=TRUE,COUNTIF(Belize,Pricing!F35)&gt;0),AND(G30=TRUE,COUNTIF(Bermuda,Pricing!F35)&gt;0),AND(H30=TRUE,COUNTIF(Capri,Pricing!F35)&gt;0),AND(I30=TRUE,COUNTIF(Cuba,Pricing!F35)&gt;0),AND(J30=TRUE,COUNTIF(Fiji,Pricing!F35)&gt;0),AND(K30=TRUE,COUNTIF(Java,Pricing!F35)&gt;0),AND(L30=TRUE,COUNTIF(Maui,Pricing!F35)&gt;0),AND(M30=TRUE,COUNTIF(Tahiti,Pricing!F35)&gt;0))))</f>
        <v>0</v>
      </c>
      <c r="AQ30" s="27" t="b">
        <f>AND(Pricing!D35=$AQ$20,D30=FALSE,K30=FALSE,J30=FALSE,M30=FALSE,L30=FALSE,H30=FALSE,F30=FALSE)</f>
        <v>0</v>
      </c>
      <c r="AR30" s="27" t="b">
        <f>IF(AND(Pricing!D35="Tracked",COUNTIF(Table19[Tframes],Pricing!D35)=0),TRUE,FALSE)</f>
        <v>0</v>
      </c>
    </row>
    <row r="31" spans="1:44">
      <c r="B31" s="27">
        <v>11</v>
      </c>
      <c r="C31" s="27" t="b">
        <f>Pricing!E38=Helper!$C$20</f>
        <v>0</v>
      </c>
      <c r="D31" s="27" t="b">
        <f>Pricing!E38=Helper!$D$20</f>
        <v>0</v>
      </c>
      <c r="E31" s="27" t="b">
        <f>Pricing!E38="Aruba Express"</f>
        <v>0</v>
      </c>
      <c r="F31" s="27" t="b">
        <f>Pricing!$E38=Helper!F$20</f>
        <v>0</v>
      </c>
      <c r="G31" s="27" t="b">
        <f>Pricing!$E38=Helper!G$20</f>
        <v>0</v>
      </c>
      <c r="H31" s="27" t="b">
        <f>Pricing!$E38=Helper!H$20</f>
        <v>0</v>
      </c>
      <c r="I31" s="27" t="b">
        <f>Pricing!$E38=Helper!I$20</f>
        <v>0</v>
      </c>
      <c r="J31" s="27" t="b">
        <f>Pricing!$E38=Helper!J$20</f>
        <v>0</v>
      </c>
      <c r="K31" s="27" t="b">
        <f>Pricing!$E38=Helper!K$20</f>
        <v>0</v>
      </c>
      <c r="L31" s="27" t="b">
        <f>Pricing!$E38=Helper!L$20</f>
        <v>0</v>
      </c>
      <c r="M31" s="27" t="b">
        <f>Pricing!$E38=Helper!M$20</f>
        <v>0</v>
      </c>
      <c r="N31" s="27" t="b">
        <f>OR(IF(Pricing!J38="",FALSE,AND(OR(Pricing!J38="Split Offset",Pricing!J38="Split Custom",Pricing!J38="Offset",Pricing!J38="Custom",Pricing!J38="Centre"),L31=TRUE,Pricing!J38&lt;&gt;Helper!$Q$20)),AND(E31=TRUE,Pricing!H38="49mm"))</f>
        <v>0</v>
      </c>
      <c r="O31" s="27" t="b">
        <f>IF(Pricing!J38="",FALSE,IF(AND(OR(D31=TRUE,L31=TRUE,M31=TRUE,F31=TRUE,E31=TRUE),OR(Pricing!J38="Silent",Pricing!J38="Silent Split")),TRUE,FALSE))</f>
        <v>0</v>
      </c>
      <c r="P31" s="27" t="b">
        <f>OR(AND(OR(C31=TRUE,G31=TRUE,I31=TRUE,J31=TRUE,K31=TRUE+N("S-Craft Material"),AND(L31=TRUE,Pricing!J38="Clearview",Pricing!N38&gt;1200)),Q31=TRUE),AND(OR(D31=TRUE,F31=TRUE,H31=TRUE,E31=TRUE),Pricing!N38&gt;1300,Pricing!J38="Concealed"),AND(OR(D31-TRUE,F31=TRUE,H31=TRUE),Pricing!N38&gt;1200,Pricing!J38="Hidden")+N("Belize"))</f>
        <v>0</v>
      </c>
      <c r="Q31" s="27" t="b">
        <f>OR(AND(OR(C31=TRUE,G31=TRUE,I31=TRUE,J31=TRUE,K31=TRUE+N("S-Craft Materials")),Pricing!J38=$Q$20),AND(L31=TRUE,Pricing!J38=O20)+N("MAUI"),AND(F31=TRUE,Pricing!J38=Helper!$Q$20),AND(E31=TRUE,Pricing!J38=Helper!$Q$20),AND(D31=TRUE,Pricing!J38=Helper!$Q$20))</f>
        <v>0</v>
      </c>
      <c r="R31" s="46" t="b">
        <f>IF(Matrix2!AN19=0,FALSE,OR(AND(IF(Pricing!M38/(Matrix2!AN$19)&lt;152,TRUE,FALSE),Pricing!J38&lt;&gt;"Silent",OR(C31=TRUE,G31=TRUE,I31=TRUE,J31=TRUE,K31=TRUE)+N("S-Craft Materials")),AND(OR(D31=TRUE,M31=TRUE),Pricing!M38/(Matrix2!AN$19)&lt;250+N("Aruba,Tahiti"),N31=TRUE),AND(L31=TRUE,Pricing!H38="49mm"),AND(H31=TRUE,Pricing!M38&lt;200),AND(F31=TRUE,Pricing!M38=250),AND(E31=TRUE,Pricing!M38=200)))</f>
        <v>0</v>
      </c>
      <c r="S31" s="401" t="b">
        <f>IF(Matrix2!AN19=0,FALSE,OR(AND(Pricing!M38/(Matrix2!AN$19)&lt;152+N("S-Craft"),O31=TRUE,OR(C31=TRUE,G31=TRUE,I31=TRUE,J31=TRUE,K31=TRUE)),AND(Pricing!M38/(Matrix2!AN$19)&lt;170+N("Aruba"),Q31=TRUE),AND(OR(L31=TRUE,M31=TRUE),Pricing!J38=Q20,Pricing!M38/(Matrix2!AN$19)&lt;250+N("MAUI")),AND(H31=TRUE,OR(Pricing!J38="Supatilt",Pricing!J38="Silent"),Pricing!M38&lt;200)))</f>
        <v>0</v>
      </c>
      <c r="T31" s="91" t="b">
        <f>IF(Matrix2!AN19=0,FALSE,OR(AND(C31=TRUE,Pricing!H38="47mm",(Pricing!M38/Matrix2!AN$19)&gt;600),AND(G31=TRUE,Pricing!H38="47mm",(Pricing!M38/Matrix2!AN$19)&gt;610+N("Bermuda")),AND(G31=TRUE,Pricing!H38="47mm",(Pricing!M38/Matrix2!AN$19)&gt;750+N("Cuba")),AND(J31=TRUE,Pricing!H38="47mm",(Pricing!M38/Matrix2!AN$19)&gt;750+N("Fiji")),AND(K31=TRUE,Pricing!H38="47mm",(Pricing!M38/Matrix2!AN$19)&gt;550+N("Java")),AND(L31=TRUE,Pricing!H38="47mm"),AND(L31=TRUE,Pricing!H38="47mm",(Pricing!M38/Matrix2!AN$19)&gt;850+N("Tahiti")),AND(H31=TRUE,Pricing!H38="47mm"),AND(F31=TRUE,Pricing!H38="47mm"),AND(E31=TRUE,Pricing!H38="47mm")))</f>
        <v>0</v>
      </c>
      <c r="U31" s="401" t="b">
        <f>IF(Pricing!M38="",FALSE,OR(AND(C31=TRUE,AD31=FALSE,(Pricing!M38/(Matrix2!AN$19))&gt;750+N("Barbados")),AND(D31=TRUE,Pricing!H38&lt;&gt;"89mm",Pricing!H38&lt;&gt;"114mm",Pricing!M38/Matrix2!AN$19&gt;800)+N("Aruba"),AND(D31=TRUE,Pricing!H38&lt;&gt;"63mm",Pricing!H38&lt;&gt;"76mm",Pricing!M38/Matrix2!AN$19&gt;920)+N("Aruba"),AND(G31=TRUE,Pricing!M38/Matrix2!AN$19&gt;915)+N("Bermuda"),AND(G31=TRUE,Pricing!M38/Matrix2!AN$19&gt;890)+N("Cuba"),AND(J31=TRUE,OR(AE31=TRUE,AF31=TRUE),(Pricing!M38/Matrix2!AN$19)&gt;890+N("Fiji")),AND(J31=TRUE,OR(AG31=TRUE,AH31=TRUE),(Pricing!M38/Matrix2!AN$19)&gt;1047+N("Fiji")),AND(K31=TRUE,OR(AE31=TRUE,AF31=TRUE),(Pricing!M38/Matrix2!AN$19)&gt;800+N("Java")),AND(K31=TRUE,OR(AG31=TRUE,AH31=TRUE),(Pricing!M38/Matrix2!AN$19)&gt;890+N("Java")),AND(L31=TRUE,(Pricing!M38/Matrix2!AN$19)&gt;950+N("Maui")),AND(M31=TRUE,Pricing!H38="63mm",(Pricing!M38/Matrix2!AN$19)&gt;850+N("Tahiti 63mm")),AND(M31=TRUE,OR(Pricing!H38="76mm",Pricing!H38="89mm",Pricing!H38="114mm"),(Pricing!M38/Matrix2!AN$19)&gt;950+N("Tahiti 76,89,114mm")),AND(H31=TRUE,(Pricing!M38/Matrix2!AN$19)&gt;890+N("Capri")),AND(OR(H31=TRUE,F31=TRUE),Pricing!D38="Tracked",(Pricing!M38/Matrix2!AN$19)&gt;600),AND(H31=TRUE,Pricing!M38&gt;890,LEN(Matrix2!AD32)=1),AND(F31=TRUE,Pricing!M38&gt;750,LEN(Matrix2!AD32)=1,Pricing!H38="63mm"),AND(F31=TRUE,Pricing!M38&gt;890,LEN(Matrix2!AD32)=1,OR(Pricing!H38="76mm",Pricing!H38="89mm",Pricing!H38="114mm")),AND(E31=TRUE,Pricing!M38=700)))</f>
        <v>0</v>
      </c>
      <c r="V31" s="401" t="b">
        <f>IF(OR(Pricing!M38="",Matrix2!AN19=1),FALSE,OR(AND(OR(Matrix2!AD32="LL",Matrix2!AD32="RR"),Pricing!D38&lt;&gt;"Tracked",OR(C31=TRUE,D31=TRUE,L31=TRUE,M31=TRUE),(Pricing!M38/2)&gt;600,Pricing!D38&lt;&gt;"Tracked"),AND(OR(Matrix2!AD32="LL",Matrix2!AD32="RR"),Pricing!D38&lt;&gt;"Tracked",OR(G31=TRUE,AND(K31=TRUE,Pricing!H38&lt;&gt;"47mm")),(Pricing!M38/Matrix2!$AN$19)&gt;610)+N("Bermuda, Java"),AND(OR(Matrix2!AD32="LL",Matrix2!AD32="RR"),Pricing!D38&lt;&gt;"Tracked",OR(I31=TRUE,J31=TRUE),(Pricing!M38/Matrix2!$AN$19)&gt;660)+N("Cuba &amp; Fiji"),AND(OR(Matrix2!AD32="LL",Matrix2!AD32="RR"),Pricing!D38="Tracked",K31=TRUE,Pricing!H38="47mm",(Pricing!M38/Matrix2!$AN$19)&gt;550)+N("Java"),AND(L31=TRUE,Pricing!D38="Tracked",(Pricing!M38/Matrix2!$AN$19)&gt;700),AND(H31=TRUE,Pricing!D38&lt;&gt;"Tracked",(Pricing!M38/Matrix2!$AN$19)&gt;625),AND(H31=TRUE,OR(Matrix2!AD32="LL",Matrix2!AD32="RR"),Pricing!D38&lt;&gt;"Tracked",(Pricing!M38/Matrix2!$AN$19)&gt;625)+N("Capri Bifold"),AND(H31=TRUE,OR(Matrix2!AD32="LLL",Matrix2!AD32="RRR",Matrix2!AD32="LLLRRR"),Pricing!D38&lt;&gt;"Tracked",(Pricing!M38/Matrix2!$AN$19)&gt;550)+N("Capri Multifold"),AND(H31=TRUE,Pricing!D38="Tracked",NOT(ISEVEN(LEN(Matrix2!AD32)))),AND(G31=TRUE,OR(Matrix2!AD32="LL",Matrix2!AD32="RR"),Pricing!D38&lt;&gt;"Tracked",(Pricing!M38/Matrix2!$AN$19)&gt;500),AND(F31=TRUE,Pricing!M38/Matrix2!$AN$19&gt;500,Pricing!D38&lt;&gt;"Tracked",Matrix2!AD32&lt;&gt;"LR"),AND(F31=TRUE,OR(Matrix2!AD32="LL",Matrix2!AD32="RR"),Pricing!D38&lt;&gt;"Tracked",(Pricing!M38/Matrix2!$AN$19)&gt;600),AND(F31=TRUE,OR(Matrix2!AD32="LL",Matrix2!AD32="RR",Matrix2!AD32="LLL",Matrix2!AD32="RRR",Matrix2!AD32="LLLLRRRR"),Pricing!D38="Tracked",(Pricing!M38/Matrix2!$AN$19)&gt;600),AND(E31=TRUE,OR(Matrix2!AD32="LL",Matrix2!AD32="RR"),Pricing!D38&lt;&gt;"Tracked",(Pricing!M38/Matrix2!$AN$19)&gt;500)+N("Aruba Express")))</f>
        <v>0</v>
      </c>
      <c r="W31" s="401" t="b">
        <f>IF(Pricing!M38="",FALSE,OR(AND(ISERROR(FIND("(",Matrix2!AD32)),LEN(Matrix2!AD32)-LEN(SUBSTITUTE(Matrix2!AD32,"L",""))&gt;2,OR(C31=TRUE,G31=TRUE,K31=TRUE,L31=TRUE,M31=TRUE,F31=TRUE,E31=TRUE)),AND(ISERROR(FIND("(",Matrix2!AD32)),LEN(Matrix2!AD32)-LEN(SUBSTITUTE(Matrix2!AD32,"R",""))&gt;2,OR(C31=TRUE,G31=TRUE,L31=TRUE,M31=TRUE,F31=TRUE,E31=TRUE)),AND(ISERROR(FIND("(",Matrix2!AD32)),LEN(Matrix2!AD32)-LEN(SUBSTITUTE(Matrix2!AD32,"R",""))&gt;4,OR(I31=TRUE,AND(H31=TRUE,Pricing!D38="Tracked")),(Pricing!M38/Matrix2!AN19)&gt;550),AND(ISERROR(FIND("(",Matrix2!AD32)),LEN(Matrix2!AD32)-LEN(SUBSTITUTE(Matrix2!AD32,"L",""))&gt;4,OR(I31=TRUE,AND(H31=TRUE,Pricing!D38="Tracked")),(Pricing!M38/Matrix2!AN19)&gt;550),AND(ISERROR(FIND("(",Matrix2!AD32)),LEN(Matrix2!AD32)-LEN(SUBSTITUTE(Matrix2!AD32,"L",""))&gt;3,H31=TRUE),AND(ISERROR(FIND("(",Matrix2!AD32)),LEN(Matrix2!AD32)-LEN(SUBSTITUTE(Matrix2!AD32,"R",""))&gt;3,H31=TRUE)))</f>
        <v>0</v>
      </c>
      <c r="X31" s="46" t="b">
        <f>IF(Pricing!N38="",FALSE,OR(Pricing!N38&lt;250+N("Barbados, Aruba, Bermuda, Cuba, Fiji, Java, Maui, Tahiti, Capri, Aruba Express"),AND(F31=TRUE,Pricing!N38&lt;300)))</f>
        <v>0</v>
      </c>
      <c r="Y31" s="46" t="b">
        <f>OR(Pricing!N38&gt;3000 +N("Barbados, Aruba, Bermuda, Cuba, Fiji, Java, Maui, Tahiti, Capri, Aruba Express"),AND(F31=TRUE,Pricing!N38&gt;2700))</f>
        <v>0</v>
      </c>
      <c r="Z31" s="46" t="b">
        <f>OR(AND(Pricing!D38="Shape",OR(C31=TRUE,G31=TRUE,I31=TRUE,E31=TRUE)+N("Barbados, Bermuda, Cuba, Java, Aruba Express")),AND(Pricing!D38="Shape",D31=TRUE+N("Aruba")))</f>
        <v>0</v>
      </c>
      <c r="AA31" s="46" t="b">
        <f>AND(NOT(ISERROR(FIND("CB",Matrix2!AD32))),(D31=TRUE+N("Aruba")))</f>
        <v>0</v>
      </c>
      <c r="AB31" s="46" t="b">
        <f>AND(O31=TRUE,Pricing!N38&gt;1372,OR(C31=TRUE,G31=TRUE,J31=TRUE,K31=TRUE,I31=TRUE))</f>
        <v>0</v>
      </c>
      <c r="AC31" s="46" t="b">
        <f>OR(AND(OR(C31=TRUE,G31=TRUE,I31=TRUE),Pricing!N38&gt;1879+N("S-Craft")),AND(D31=TRUE,Pricing!N38&gt;1500,Pricing!N38&lt;=2000),AND(J31=TRUE,Pricing!N38&gt;1981),AND(K31=TRUE,Pricing!N38&gt;1828),OR(AND(OR(L31=TRUE,M31=TRUE),Pricing!N38&gt;1800,Pricing!N38&lt;=2500),AND(OR(L31=TRUE,M31=TRUE),Pricing!N38&gt;=2501,Pricing!N38&lt;=3000)),AND(H31=TRUE,Pricing!N38&gt;1799),OR(AND(E31=TRUE,Pricing!N38&gt;1800,Pricing!N38&lt;=2400),AND(E31=TRUE,Pricing!N38&gt;=2401,Pricing!N38&lt;=3000))+N("Aruba Express"))</f>
        <v>0</v>
      </c>
      <c r="AD31" s="46" t="b">
        <f>AND(OR(H31=TRUE,D31=TRUE,E31=TRUE,F31=TRUE,L31=TRUE),Pricing!H38="47mm")</f>
        <v>0</v>
      </c>
      <c r="AE31" s="452"/>
      <c r="AF31" s="452"/>
      <c r="AG31" s="452"/>
      <c r="AH31" s="46" t="b">
        <f>OR(AND(Pricing!H38=AH30,I31=TRUE+N("Cuba")),AND(L31=TRUE,Pricing!H38="114"),AND(E31=TRUE,Pricing!H38="114"))</f>
        <v>0</v>
      </c>
      <c r="AI31" s="46" t="b">
        <f>IF(AND(OR(K31=TRUE,L31=TRUE,M31=TRUE,E31=TRUE),Pricing!D38="S/Shade"),TRUE,AND(Pricing!D38="S/Shade",OR(C31=TRUE,G31=TRUE,I31=TRUE,J31-TRUE,H31=TRUE,F31=TRUE+N("Barbados, Bermuda, Cuba, Fiji, Capri, Belize")),Pricing!I38&lt;&gt;"FFrame"))</f>
        <v>0</v>
      </c>
      <c r="AJ31" s="46" t="b">
        <f>AND(Pricing!D38="French Door Cutout",OR(C31=TRUE,D31=TRUE,E31=TRUE,G31=TRUE,I31=TRUE, K31=TRUE,E31=TRUE+N("Barbados, Bermuda, Cuba, Java, Aruba, Aruba Express")))</f>
        <v>0</v>
      </c>
      <c r="AK31" s="46" t="b">
        <f>AND(Pricing!D38=AK20,OR(E31=TRUE,D31=TRUE))</f>
        <v>0</v>
      </c>
      <c r="AL31" s="27" t="b">
        <f>AND(Pricing!D38="Tier on Tier",Pricing!M38&gt;=1361+N("1219 S-Craft, Pauls Limit"))</f>
        <v>0</v>
      </c>
      <c r="AM31" s="401" t="b">
        <f>AND(Pricing!C38="Bathroom",OR(C31=TRUE,G31=TRUE,I31=TRUE,J31=TRUE,L31=TRUE,M31=TRUE,H31=TRUE,D31=TRUE,E31=TRUE)+N("If not JAVA"))</f>
        <v>0</v>
      </c>
      <c r="AN31" s="27"/>
      <c r="AO31" s="27" t="b">
        <f>AND(K31=TRUE,ISERROR(FIND("Stainless Steel",Pricing!G40)))</f>
        <v>0</v>
      </c>
      <c r="AP31" s="27" t="b" cm="1">
        <f t="array" ref="AP31">IF(Pricing!F38="",FALSE,NOT(OR(AND(C31=TRUE,COUNTIF(Barbados,Pricing!F38)&gt;0),AND(D31=TRUE,COUNTIF(Aruba,Pricing!F38)&gt;0),AND(E31=TRUE,COUNTIF(ArubaExpress,Pricing!F38)&gt;0),AND(F31=TRUE,COUNTIF(Belize,Pricing!F38)&gt;0),AND(G31=TRUE,COUNTIF(Bermuda,Pricing!F38)&gt;0),AND(H31=TRUE,COUNTIF(Capri,Pricing!F38)&gt;0),AND(I31=TRUE,COUNTIF(Cuba,Pricing!F38)&gt;0),AND(J31=TRUE,COUNTIF(Fiji,Pricing!F38)&gt;0),AND(K31=TRUE,COUNTIF(Java,Pricing!F38)&gt;0),AND(L31=TRUE,COUNTIF(Maui,Pricing!F38)&gt;0),AND(M31=TRUE,COUNTIF(Tahiti,Pricing!F38)&gt;0))))</f>
        <v>0</v>
      </c>
      <c r="AQ31" s="27" t="b">
        <f>AND(Pricing!D38=$AQ$20,D31=FALSE,K31=FALSE,J31=FALSE,M31=FALSE,L31=FALSE,H31=FALSE,F31=FALSE)</f>
        <v>0</v>
      </c>
      <c r="AR31" s="27" t="b">
        <f>IF(AND(Pricing!D38="Tracked",COUNTIF(Table19[Tframes],Pricing!D38)=0),TRUE,FALSE)</f>
        <v>0</v>
      </c>
    </row>
    <row r="32" spans="1:44">
      <c r="B32" s="27">
        <v>12</v>
      </c>
      <c r="C32" s="27" t="b">
        <f>Pricing!E41=Helper!$C$20</f>
        <v>0</v>
      </c>
      <c r="D32" s="27" t="b">
        <f>Pricing!E41=Helper!$D$20</f>
        <v>0</v>
      </c>
      <c r="E32" s="27" t="b">
        <f>Pricing!E41="Aruba Express"</f>
        <v>0</v>
      </c>
      <c r="F32" s="27" t="b">
        <f>Pricing!$E41=Helper!F$20</f>
        <v>0</v>
      </c>
      <c r="G32" s="27" t="b">
        <f>Pricing!$E41=Helper!G$20</f>
        <v>0</v>
      </c>
      <c r="H32" s="27" t="b">
        <f>Pricing!$E41=Helper!H$20</f>
        <v>0</v>
      </c>
      <c r="I32" s="27" t="b">
        <f>Pricing!$E41=Helper!I$20</f>
        <v>0</v>
      </c>
      <c r="J32" s="27" t="b">
        <f>Pricing!$E41=Helper!J$20</f>
        <v>0</v>
      </c>
      <c r="K32" s="27" t="b">
        <f>Pricing!$E41=Helper!K$20</f>
        <v>0</v>
      </c>
      <c r="L32" s="27" t="b">
        <f>Pricing!$E41=Helper!L$20</f>
        <v>0</v>
      </c>
      <c r="M32" s="27" t="b">
        <f>Pricing!$E41=Helper!M$20</f>
        <v>0</v>
      </c>
      <c r="N32" s="27" t="b">
        <f>OR(IF(Pricing!J41="",FALSE,AND(OR(Pricing!J14="Split Offset",Pricing!J41="Split Custom",Pricing!J41="Offset",Pricing!J41="Custom",Pricing!J41="Centre"),L32=TRUE,Pricing!J41&lt;&gt;Helper!$Q$20)),AND(E32=TRUE,Pricing!H41="49mm"))</f>
        <v>0</v>
      </c>
      <c r="O32" s="27" t="b">
        <f>IF(Pricing!J41="",FALSE,IF(AND(OR(D32=TRUE,L32=TRUE,M32=TRUE,F32=TRUE,E32=TRUE),OR(Pricing!J41="Silent",Pricing!J41="Silent Split")),TRUE,FALSE))</f>
        <v>0</v>
      </c>
      <c r="P32" s="27" t="b">
        <f>OR(AND(OR(C32=TRUE,G32=TRUE,I32=TRUE,J32=TRUE,K32=TRUE+N("S-Craft Material"),AND(L32=TRUE,Pricing!J41="Clearview",Pricing!N41&gt;1200)),Q32=TRUE),AND(OR(D32=TRUE,F32=TRUE,H32=TRUE,E32=TRUE),Pricing!N41&gt;1300,Pricing!J41="Concealed"),AND(OR(D32=TRUE,F32=TRUE,H32=TRUE),Pricing!N41&gt;1200,Pricing!J41="Hidden")+N("Belize"))</f>
        <v>0</v>
      </c>
      <c r="Q32" s="27" t="b">
        <f>OR(AND(OR(C32=TRUE,G32=TRUE,I32=TRUE,J32=TRUE,K32=TRUE+N("S-Craft Materials")),Pricing!J41=$Q$20),AND(L32=TRUE,Pricing!J41=O20)+N("MAUI"),AND(F32=TRUE,Pricing!J41=Helper!$Q$20),AND(E32=TRUE,Pricing!J41=Helper!$Q$20))</f>
        <v>0</v>
      </c>
      <c r="R32" s="46" t="b">
        <f>IF(Matrix2!AO19=0,FALSE,OR(AND(IF(Pricing!M41/(Matrix2!AO$19)&lt;152,TRUE,FALSE),Pricing!J41&lt;&gt;"Silent",OR(C32=TRUE,G32=TRUE,I32=TRUE,J32=TRUE,K32=TRUE)+N("S-Craft Materials")),AND(OR(D32=TRUE,M32=TRUE),Pricing!M41/(Matrix2!AO$19)&lt;250+N("Aruba,Tahiti"),N32=TRUE),AND(L32=TRUE,Pricing!H41="49mm"),AND(H32=TRUE,Pricing!M41&lt;200),AND(F32=TRUE,Pricing!M41=250),AND(E32=TRUE,Pricing!M41=200)))</f>
        <v>0</v>
      </c>
      <c r="S32" s="401" t="b">
        <f>IF(Matrix2!AO19=0,FALSE,OR(AND(Pricing!M41/(Matrix2!AO$19)&lt;152+N("S-Craft"),O32=TRUE,OR(C32=TRUE,G32=TRUE,I32=TRUE,J32=TRUE,K32=TRUE)),AND(Pricing!M41/(Matrix2!AO$19)&lt;170+N("Aruba"),Q32=TRUE),AND(OR(L32=TRUE,M32=TRUE),Pricing!J41=Q20,Pricing!M41/(Matrix2!AO$19)&lt;250+N("MAUI")),AND(H32=TRUE,OR(Pricing!J41="Supatilt",Pricing!J41="Silent"),Pricing!M41&lt;200)))</f>
        <v>0</v>
      </c>
      <c r="T32" s="91" t="b">
        <f>IF(Matrix2!AO19=0,FALSE,OR(AND(C32=TRUE,Pricing!H41="47mm",(Pricing!M41/Matrix2!AO$19)&gt;600),AND(G32=TRUE,Pricing!H41="47mm",(Pricing!M41/Matrix2!AO$19)&gt;610+N("Bermuda")),AND(G32=TRUE,Pricing!H41="47mm",(Pricing!M41/Matrix2!AO$19)&gt;750+N("Cuba")),AND(J32=TRUE,Pricing!H41="47mm",(Pricing!M41/Matrix2!AO$19)&gt;750+N("Fiji")),AND(K32=TRUE,Pricing!H41="47mm",(Pricing!M41/Matrix2!AO$19)&gt;550+N("Java")),AND(L32=TRUE,Pricing!H41="47mm"),AND(L32=TRUE,Pricing!H41="47mm",(Pricing!M41/Matrix2!AO$19)&gt;850+N("Tahiti")),AND(H32=TRUE,Pricing!H41="47mm"),AND(F32=TRUE,Pricing!H41="47mm"),AND(E32=TRUE,Pricing!H41="47mm")))</f>
        <v>0</v>
      </c>
      <c r="U32" s="401" t="b">
        <f>IF(Pricing!M41="",FALSE,OR(AND(C32=TRUE,AD32=FALSE,(Pricing!M41/(Matrix2!AO$19))&gt;750+N("Barbados")),AND(D32=TRUE,Pricing!H41&lt;&gt;"89mm",Pricing!H41&lt;&gt;"114mm",Pricing!M41/Matrix2!AO$19&gt;800)+N("Aruba"),AND(D32=TRUE,Pricing!H41&lt;&gt;"63mm",Pricing!H41&lt;&gt;"76mm",Pricing!M41/Matrix2!AO$19&gt;920)+N("Aruba"),AND(G32=TRUE,Pricing!M41/Matrix2!AO$19&gt;915)+N("Bermuda"),AND(G32=TRUE,Pricing!M41/Matrix2!AO$19&gt;890)+N("Cuba"),AND(J32=TRUE,OR(AE32=TRUE,AF32=TRUE),(Pricing!M41/Matrix2!AO$19)&gt;890+N("Fiji")),AND(J32=TRUE,OR(AG32=TRUE,AH32=TRUE),(Pricing!M41/Matrix2!AO$19)&gt;1047+N("Fiji")),AND(K32=TRUE,OR(AE32=TRUE,AF32=TRUE),(Pricing!M41/Matrix2!AO$19)&gt;800+N("Java")),AND(K32=TRUE,OR(AG32=TRUE,AH32=TRUE),(Pricing!M41/Matrix2!AO$19)&gt;890+N("Java")),AND(L32=TRUE,(Pricing!M41/Matrix2!AO$19)&gt;950+N("Maui")),AND(M32=TRUE,Pricing!H41="63mm",(Pricing!M41/Matrix2!AO$19)&gt;850+N("Tahiti 63mm")),AND(M32=TRUE,OR(Pricing!H41="76mm",Pricing!H41="89mm",Pricing!H41="114mm"),(Pricing!M41/Matrix2!AO$19)&gt;950+N("Tahiti 76,89,114mm")),AND(H32=TRUE,(Pricing!M41/Matrix2!AO$19)&gt;890+N("Capri")),AND(OR(H32=TRUE,F32=TRUE),Pricing!D41="Tracked",(Pricing!M41/Matrix2!AO$19)&gt;600),AND(H32=TRUE,Pricing!M41&gt;890,LEN(Matrix2!AD33)=1),AND(F32=TRUE,Pricing!M41&gt;750,LEN(Matrix2!AD33)=1,Pricing!H41="63mm"),AND(F32=TRUE,Pricing!M41&gt;890,LEN(Matrix2!AD33)=1,OR(Pricing!H39="76mm",Pricing!H41="89mm",Pricing!H41="114mm")),AND(E32=TRUE,Pricing!M41=700)))</f>
        <v>0</v>
      </c>
      <c r="V32" s="401" t="b">
        <f>IF(OR(Pricing!M41="",Matrix2!AO19=1),FALSE,OR(AND(OR(Matrix2!AD33="LL",Matrix2!AD33="RR"),Pricing!D41&lt;&gt;"Tracked",OR(C32=TRUE,D32=TRUE,L32=TRUE,M32=TRUE),(Pricing!M41/2)&gt;600,Pricing!D41&lt;&gt;"Tracked"),AND(OR(Matrix2!AD33="LL",Matrix2!AD33="RR"),Pricing!D41&lt;&gt;"Tracked",OR(G32=TRUE,AND(K32=TRUE,Pricing!H41&lt;&gt;"47mm")),(Pricing!M41/Matrix2!$AO$19)&gt;610)+N("Bermuda, Java"),AND(OR(Matrix2!AD33="LL",Matrix2!AD33="RR"),Pricing!D41&lt;&gt;"Tracked",OR(I32=TRUE,J32=TRUE),(Pricing!M41/Matrix2!$AO$19)&gt;660)+N("Cuba &amp; Fiji"),AND(OR(Matrix2!AD33="LL",Matrix2!AD33="RR"),Pricing!D41="Tracked",K32=TRUE,Pricing!H41="47mm",(Pricing!M41/Matrix2!$AO$19)&gt;550)+N("Java"),AND(L32=TRUE,Pricing!D41="Tracked",(Pricing!M41/Matrix2!$AO$19)&gt;700),AND(H32=TRUE,Pricing!D41&lt;&gt;"Tracked",(Pricing!M41/Matrix2!$AO$19)&gt;625),AND(H32=TRUE,OR(Matrix2!AD33="LL",Matrix2!AD33="RR"),Pricing!D41&lt;&gt;"Tracked",(Pricing!M41/Matrix2!$AO$19)&gt;625)+N("Capri Bifold"),AND(H32=TRUE,OR(Matrix2!AD33="LLL",Matrix2!AD33="RRR",Matrix2!AD33="LLLRRR"),Pricing!D41&lt;&gt;"Tracked",(Pricing!M41/Matrix2!$AO$19)&gt;550)+N("Capri Multifold"),AND(H32=TRUE,Pricing!D41="Tracked",NOT(ISEVEN(LEN(Matrix2!AD33)))),AND(G32=TRUE,OR(Matrix2!AD33="LL",Matrix2!AD33="RR"),Pricing!D41&lt;&gt;"Tracked",(Pricing!M41/Matrix2!$AO$19)&gt;500),AND(F32=TRUE,Pricing!M41/Matrix2!$AO$19&gt;500,Pricing!D41&lt;&gt;"Tracked",Matrix2!AD33&lt;&gt;"LR"),AND(F32=TRUE,OR(Matrix2!AD33="LL",Matrix2!AD33="RR"),Pricing!D41&lt;&gt;"Tracked",(Pricing!M41/Matrix2!$AO$19)&gt;600),AND(F32=TRUE,OR(Matrix2!AD33="LL",Matrix2!AD33="RR",Matrix2!AD33="LLL",Matrix2!AD33="RRR",Matrix2!AD33="LLLLRRRR"),Pricing!D41="Tracked",(Pricing!M41/Matrix2!$AO$19)&gt;600),AND(E32=TRUE,OR(Matrix2!AD33="LL",Matrix2!AD33="RR"),Pricing!D41&lt;&gt;"Tracked",(Pricing!M41/Matrix2!$AO$19)&gt;500)+N("Aruba Express")))</f>
        <v>0</v>
      </c>
      <c r="W32" s="401" t="b">
        <f>IF(Pricing!M41="",FALSE,OR(AND(ISERROR(FIND("(",Matrix2!AD33)),LEN(Matrix2!AD33)-LEN(SUBSTITUTE(Matrix2!AD33,"L",""))&gt;2,OR(C32=TRUE,G32=TRUE,K32=TRUE,L32=TRUE,M32=TRUE,F32=TRUE,E32=TRUE)),AND(ISERROR(FIND("(",Matrix2!AD33)),LEN(Matrix2!AD33)-LEN(SUBSTITUTE(Matrix2!AD33,"R",""))&gt;2,OR(C32=TRUE,G32=TRUE,L32=TRUE,M32=TRUE,F32=TRUE,E32=TRUE)),AND(ISERROR(FIND("(",Matrix2!AD33)),LEN(Matrix2!AD33)-LEN(SUBSTITUTE(Matrix2!AD33,"R",""))&gt;4,OR(I32=TRUE,AND(H32=TRUE,Pricing!D41="Tracked")),(Pricing!M41/Matrix2!AO19)&gt;550),AND(ISERROR(FIND("(",Matrix2!AD33)),LEN(Matrix2!AD33)-LEN(SUBSTITUTE(Matrix2!AD33,"L",""))&gt;4,OR(I32=TRUE,AND(H32=TRUE,Pricing!D41="Tracked")),(Pricing!M41/Matrix2!AO19)&gt;550),AND(ISERROR(FIND("(",Matrix2!AD33)),LEN(Matrix2!AD33)-LEN(SUBSTITUTE(Matrix2!AD33,"L",""))&gt;3,H32=TRUE),AND(ISERROR(FIND("(",Matrix2!AD33)),LEN(Matrix2!AD33)-LEN(SUBSTITUTE(Matrix2!AD33,"R",""))&gt;3,H32=TRUE)))</f>
        <v>0</v>
      </c>
      <c r="X32" s="46" t="b">
        <f>IF(Pricing!N41="",FALSE,OR(Pricing!N41&lt;250+N("Barbados, Aruba, Bermuda, Cuba, Fiji, Java, Maui, Tahiti, Capri, Aruba Express"),AND(F32=TRUE,Pricing!N41&lt;300)))</f>
        <v>0</v>
      </c>
      <c r="Y32" s="46" t="b">
        <f>OR(Pricing!N41&gt;3000 +N("Barbados, Aruba, Bermuda, Cuba, Fiji, Java, Maui, Tahiti, Capri, Aruba Express"),AND(F32=TRUE,Pricing!N41&gt;2700))</f>
        <v>0</v>
      </c>
      <c r="Z32" s="46" t="b">
        <f>OR(AND(Pricing!D41="Shape",OR(C32=TRUE,G32=TRUE,I32=TRUE,E32=TRUE)+N("Barbados, Bermuda, Cuba, Java, Aruba Express")),AND(Pricing!D41="Shape",D32=TRUE+N("Aruba")))</f>
        <v>0</v>
      </c>
      <c r="AA32" s="46" t="b">
        <f>AND(NOT(ISERROR(FIND("CB",Matrix2!AD33))),(D32=TRUE+N("Aruba")))</f>
        <v>0</v>
      </c>
      <c r="AB32" s="46" t="b">
        <f>AND(O32=TRUE,Pricing!N41&gt;1372,OR(C32=TRUE,G32=TRUE,J32=TRUE,K32=TRUE,I32=TRUE))</f>
        <v>0</v>
      </c>
      <c r="AC32" s="46" t="b">
        <f>OR(AND(OR(C32=TRUE,G32=TRUE,I32=TRUE),Pricing!N41&gt;1879+N("S-Craft")),AND(D32=TRUE,Pricing!N41&gt;1500,Pricing!N41&lt;=2000),AND(J32=TRUE,Pricing!N41&gt;1981),AND(K32=TRUE,Pricing!N41&gt;1828),OR(AND(OR(L32=TRUE,M32=TRUE),Pricing!N41&gt;1800,Pricing!N41&lt;=2500),AND(OR(L32=TRUE,M32=TRUE),Pricing!N41&gt;=2501,Pricing!N41&lt;=3000)),AND(H32=TRUE,Pricing!N41&gt;1799),OR(AND(E32=TRUE,Pricing!N41&gt;1800,Pricing!N41&lt;=2400),AND(E32=TRUE,Pricing!N41&gt;=2401,Pricing!N41&lt;=3000))+N("Aruba Express"))</f>
        <v>0</v>
      </c>
      <c r="AD32" s="46" t="b">
        <f>AND(OR(H32=TRUE,D32=TRUE,E32=TRUE,F32=TRUE,L32=TRUE),Pricing!H41="47mm")</f>
        <v>0</v>
      </c>
      <c r="AE32" s="452"/>
      <c r="AF32" s="452"/>
      <c r="AG32" s="452"/>
      <c r="AH32" s="46" t="b">
        <f>OR(AND(Pricing!H41=AH31,I32=TRUE+N("Cuba")),AND(L32=TRUE,Pricing!H41="114"),AND(E32=TRUE,Pricing!H41="114"))</f>
        <v>0</v>
      </c>
      <c r="AI32" s="46" t="b">
        <f>IF(AND(OR(K32=TRUE,L32=TRUE,M32=TRUE,E32=TRUE),Pricing!D41="S/Shade"),TRUE,AND(Pricing!D41="S/Shade",OR(C32=TRUE,G32=TRUE,I32=TRUE,J32-TRUE,H32=TRUE,F32=TRUE+N("Barbados, Bermuda, Cuba, Fiji, Capri, Belize")),Pricing!I41&lt;&gt;"FFrame"))</f>
        <v>0</v>
      </c>
      <c r="AJ32" s="46" t="b">
        <f>AND(Pricing!D41="French Door Cutout",OR(C32=TRUE,D32=TRUE,E32=TRUE,G32=TRUE,I32=TRUE, K32=TRUE,E32=TRUE+N("Barbados, Bermuda, Cuba, Java, Aruba, Aruba Express")))</f>
        <v>0</v>
      </c>
      <c r="AK32" s="46" t="b">
        <f>AND(Pricing!D41=AK20,OR(E32=TRUE,D32=TRUE))</f>
        <v>0</v>
      </c>
      <c r="AL32" s="27" t="b">
        <f>AND(Pricing!D41="Tier on Tier",Pricing!M41&gt;=1361+N("1219 S-Craft, Pauls Limit"))</f>
        <v>0</v>
      </c>
      <c r="AM32" s="401" t="b">
        <f>AND(Pricing!C41="Bathroom",OR(C32=TRUE,G32=TRUE,I32=TRUE,J32=TRUE,L32=TRUE,M32=TRUE,H32=TRUE,D32=TRUE,E32=TRUE)+N("If not JAVA"))</f>
        <v>0</v>
      </c>
      <c r="AN32" s="27"/>
      <c r="AO32" s="27" t="b">
        <f>AND(K32=TRUE,ISERROR(FIND("Stainless Steel",Pricing!G43)))</f>
        <v>0</v>
      </c>
      <c r="AP32" s="27" t="b" cm="1">
        <f t="array" ref="AP32">IF(Pricing!F41="",FALSE,NOT(OR(AND(C32=TRUE,COUNTIF(Barbados,Pricing!F41)&gt;0),AND(D32=TRUE,COUNTIF(Aruba,Pricing!F41)&gt;0),AND(E32=TRUE,COUNTIF(ArubaExpress,Pricing!F41)&gt;0),AND(F32=TRUE,COUNTIF(Belize,Pricing!F41)&gt;0),AND(G32=TRUE,COUNTIF(Bermuda,Pricing!F41)&gt;0),AND(H32=TRUE,COUNTIF(Capri,Pricing!F41)&gt;0),AND(I32=TRUE,COUNTIF(Cuba,Pricing!F41)&gt;0),AND(J32=TRUE,COUNTIF(Fiji,Pricing!F41)&gt;0),AND(K32=TRUE,COUNTIF(Java,Pricing!F41)&gt;0),AND(L32=TRUE,COUNTIF(Maui,Pricing!F41)&gt;0),AND(M32=TRUE,COUNTIF(Tahiti,Pricing!F41)&gt;0))))</f>
        <v>0</v>
      </c>
      <c r="AQ32" s="27" t="b">
        <f>AND(Pricing!D41=$AQ$20,D32=FALSE,K32=FALSE,J32=FALSE,M32=FALSE,L32=FALSE,H32=FALSE,F32=FALSE)</f>
        <v>0</v>
      </c>
      <c r="AR32" s="27" t="b">
        <f>IF(AND(Pricing!D41="Tracked",COUNTIF(Table19[Tframes],Pricing!D41)=0),TRUE,FALSE)</f>
        <v>0</v>
      </c>
    </row>
    <row r="33" spans="2:44">
      <c r="B33" s="27">
        <v>13</v>
      </c>
      <c r="C33" s="27" t="b">
        <f>Pricing!E44=Helper!$C$20</f>
        <v>0</v>
      </c>
      <c r="D33" s="27" t="b">
        <f>Pricing!E44=Helper!$D$20</f>
        <v>0</v>
      </c>
      <c r="E33" s="27" t="b">
        <f>Pricing!E44="Aruba Express"</f>
        <v>0</v>
      </c>
      <c r="F33" s="27" t="b">
        <f>Pricing!$E44=Helper!F$20</f>
        <v>0</v>
      </c>
      <c r="G33" s="27" t="b">
        <f>Pricing!$E44=Helper!G$20</f>
        <v>0</v>
      </c>
      <c r="H33" s="27" t="b">
        <f>Pricing!$E44=Helper!H$20</f>
        <v>0</v>
      </c>
      <c r="I33" s="27" t="b">
        <f>Pricing!$E44=Helper!I$20</f>
        <v>0</v>
      </c>
      <c r="J33" s="27" t="b">
        <f>Pricing!$E44=Helper!J$20</f>
        <v>0</v>
      </c>
      <c r="K33" s="27" t="b">
        <f>Pricing!$E44=Helper!K$20</f>
        <v>0</v>
      </c>
      <c r="L33" s="27" t="b">
        <f>Pricing!$E44=Helper!L$20</f>
        <v>0</v>
      </c>
      <c r="M33" s="27" t="b">
        <f>Pricing!$E44=Helper!M$20</f>
        <v>0</v>
      </c>
      <c r="N33" s="27" t="b">
        <f>OR(IF(Pricing!J44="",FALSE,AND(OR(Pricing!J44="Split Offset",Pricing!J44="Split Custom",Pricing!J44="Offset",Pricing!J44="Custom",Pricing!J44="Centre"),L33=TRUE,Pricing!J44&lt;&gt;Helper!$Q$20)),AND(E33=TRUE,Pricing!H44="49mm"))</f>
        <v>0</v>
      </c>
      <c r="O33" s="27" t="b">
        <f>IF(Pricing!J44="",FALSE,IF(AND(OR(D33=TRUE,L33=TRUE,M33=TRUE,F33=TRUE,E33=TRUE),OR(Pricing!J44="Silent",Pricing!J44="Silent Split")),TRUE,FALSE))</f>
        <v>0</v>
      </c>
      <c r="P33" s="27" t="b">
        <f>OR(AND(OR(C33=TRUE,G33=TRUE,I33=TRUE,J33=TRUE,K33=TRUE+N("S-Craft Material"),AND(L33=TRUE,Pricing!J44="Clearview",Pricing!N44&gt;1200)),Q33=TRUE),AND(OR(D33=TRUE, F33=TRUE,H33=TRUE,E33=TRUE),Pricing!N44&gt;1300,Pricing!J44="Concealed"),AND(OR(D33=TRUE,F33=TRUE,H33=TRUE),Pricing!N44&gt;1200,Pricing!J44="Hidden")+N("Belize"))</f>
        <v>0</v>
      </c>
      <c r="Q33" s="27" t="b">
        <f>OR(AND(OR(C33=TRUE,G33=TRUE,I33=TRUE,J33=TRUE,K33=TRUE+N("S-Craft Materials")),Pricing!J44=$Q$20),AND(L33=TRUE,Pricing!J44=O20)+N("MAUI"),AND(F33=TRUE,Pricing!J44=Helper!$Q$20),AND(E33=TRUE,Pricing!J44=Helper!$Q$20),AND(D33=TRUE,Pricing!J44=Helper!$Q$20))</f>
        <v>0</v>
      </c>
      <c r="R33" s="46" t="b">
        <f>IF(Matrix2!AP19=0,FALSE,OR(AND(IF(Pricing!M44/(Matrix2!AP$19)&lt;152,TRUE,FALSE),Pricing!J44&lt;&gt;"Silent",OR(C33=TRUE,G33=TRUE,I33=TRUE,J33=TRUE,K33=TRUE)+N("S-Craft Materials")),AND(OR(D33=TRUE,M33=TRUE),Pricing!M44/(Matrix2!AP$19)&lt;250+N("Aruba,Tahiti"),N33=TRUE),AND(L33=TRUE,Pricing!H44="49mm"),AND(H33=TRUE,Pricing!M44&lt;200),AND(F33=TRUE,Pricing!M44=250),AND(E33=TRUE,Pricing!M44=200)))</f>
        <v>0</v>
      </c>
      <c r="S33" s="401" t="b">
        <f>IF(Matrix2!AP19=0,FALSE,OR(AND(Pricing!M44/(Matrix2!AP$19)&lt;152+N("S-Craft"),O33=TRUE,OR(C33=TRUE,G33=TRUE,I33=TRUE,J33=TRUE,K33=TRUE)),AND(Pricing!M44/(Matrix2!AP$19)&lt;170+N("Aruba"),Q33=TRUE),AND(OR(L33=TRUE,M33=TRUE),Pricing!J44=Q20,Pricing!M44/(Matrix2!AP$19)&lt;250+N("MAUI")),AND(H33=TRUE,OR(Pricing!J44="Supatilt",Pricing!J44="Silent"),Pricing!M44&lt;200)))</f>
        <v>0</v>
      </c>
      <c r="T33" s="91" t="b">
        <f>IF(Matrix2!AP19=0,FALSE,OR(AND(C33=TRUE,Pricing!H44="47mm",(Pricing!M44/Matrix2!AP$19)&gt;600),AND(G33=TRUE,Pricing!H44="47mm",(Pricing!M44/Matrix2!AP$19)&gt;610+N("Bermuda")),AND(G33=TRUE,Pricing!H44="47mm",(Pricing!M44/Matrix2!AP$19)&gt;750+N("Cuba")),AND(J33=TRUE,Pricing!H44="47mm",(Pricing!M44/Matrix2!AP$19)&gt;750+N("Fiji")),AND(K33=TRUE,Pricing!H44="47mm",(Pricing!M44/Matrix2!AP$19)&gt;550+N("Java")),AND(L33=TRUE,Pricing!H44="47mm"),AND(L33=TRUE,Pricing!H44="47mm",(Pricing!M44/Matrix2!AP$19)&gt;850+N("Tahiti")),AND(H33=TRUE,Pricing!H44="47mm"),AND(F33=TRUE,Pricing!H44="47mm"),AND(E33=TRUE,Pricing!H44="47mm")))</f>
        <v>0</v>
      </c>
      <c r="U33" s="401" t="b">
        <f>IF(Pricing!M44="",FALSE,OR(AND(C33=TRUE,AD33=FALSE,(Pricing!M44/(Matrix2!AP$19))&gt;750+N("Barbados")),AND(D33=TRUE,Pricing!H44&lt;&gt;"89mm",Pricing!H44&lt;&gt;"114mm",Pricing!M44/Matrix2!AP$19&gt;800)+N("Aruba"),AND(D33=TRUE,Pricing!H44&lt;&gt;"63mm",Pricing!H44&lt;&gt;"76mm",Pricing!M44/Matrix2!AP$19&gt;920)+N("Aruba"),AND(G33=TRUE,Pricing!M44/Matrix2!AP$19&gt;915)+N("Bermuda"),AND(G33=TRUE,Pricing!M44/Matrix2!AP$19&gt;890)+N("Cuba"),AND(J33=TRUE,OR(AE33=TRUE,AF33=TRUE),(Pricing!M44/Matrix2!AP$19)&gt;890+N("Fiji")),AND(J33=TRUE,OR(AG33=TRUE,AH33=TRUE),(Pricing!M44/Matrix2!AP$19)&gt;1047+N("Fiji")),AND(K33=TRUE,OR(AE33=TRUE,AF33=TRUE),(Pricing!M44/Matrix2!AP$19)&gt;800+N("Java")),AND(K33=TRUE,OR(AG33=TRUE,AH33=TRUE),(Pricing!M44/Matrix2!AP$19)&gt;890+N("Java")),AND(L33=TRUE,(Pricing!M44/Matrix2!AP$19)&gt;950+N("Maui")),AND(M33=TRUE,Pricing!H44="63mm",(Pricing!M44/Matrix2!AP$19)&gt;850+N("Tahiti 63mm")),AND(M33=TRUE,OR(Pricing!H44="76mm",Pricing!H44="89mm",Pricing!H44="114mm"),(Pricing!M44/Matrix2!AP$19)&gt;950+N("Tahiti 76,89,114mm")),AND(H33=TRUE,(Pricing!M44/Matrix2!AP$19)&gt;890+N("Capri")),AND(OR(H33=TRUE,F33=TRUE),Pricing!D44="Tracked",(Pricing!M44/Matrix2!AP$19)&gt;600),AND(H33=TRUE,Pricing!M44&gt;890,LEN(Matrix2!AD34)=1),AND(F33=TRUE,Pricing!M44&gt;750,LEN(Matrix2!AD34)=1,Pricing!H44="63mm"),AND(F33=TRUE,Pricing!M44&gt;890,LEN(Matrix2!AD34)=1,OR(Pricing!H44="76mm",Pricing!H44="89mm",Pricing!H44="114mm")),AND(E33=TRUE,Pricing!M44=700)))</f>
        <v>0</v>
      </c>
      <c r="V33" s="401" t="b">
        <f>IF(OR(Pricing!M44="",Matrix2!AP19=1),FALSE,OR(AND(OR(Matrix2!AD34="LL",Matrix2!AD34="RR"),Pricing!D44&lt;&gt;"Tracked",OR(C33=TRUE,D33=TRUE,L33=TRUE,M33=TRUE),(Pricing!M44/2)&gt;600,Pricing!D44&lt;&gt;"Tracked"),AND(OR(Matrix2!AD34="LL",Matrix2!AD34="RR"),Pricing!D44&lt;&gt;"Tracked",OR(G33=TRUE,AND(K33=TRUE,Pricing!H44&lt;&gt;"47mm")),(Pricing!M44/Matrix2!$AP$19)&gt;610)+N("Bermuda, Java"),AND(OR(Matrix2!AD34="LL",Matrix2!AD34="RR"),Pricing!D44&lt;&gt;"Tracked",OR(I33=TRUE,J33=TRUE),(Pricing!M44/Matrix2!$AP$19)&gt;660)+N("Cuba &amp; Fiji"),AND(OR(Matrix2!AD34="LL",Matrix2!AD34="RR"),Pricing!D44="Tracked",K33=TRUE,Pricing!H44="47mm",(Pricing!M44/Matrix2!$AP$19)&gt;550)+N("Java"),AND(L33=TRUE,Pricing!D44="Tracked",(Pricing!M44/Matrix2!$AP$19)&gt;700),AND(H33=TRUE,Pricing!D44&lt;&gt;"Tracked",(Pricing!M44/Matrix2!$AP$19)&gt;625),AND(H33=TRUE,OR(Matrix2!AD34="LL",Matrix2!AD34="RR"),Pricing!D44&lt;&gt;"Tracked",(Pricing!M44/Matrix2!$AP$19)&gt;625)+N("Capri Bifold"),AND(H33=TRUE,OR(Matrix2!AD34="LLL",Matrix2!AD34="RRR",Matrix2!AD34="LLLRRR"),Pricing!D44&lt;&gt;"Tracked",(Pricing!M44/Matrix2!$AP$19)&gt;550)+N("Capri Multifold"),AND(H33=TRUE,Pricing!D44="Tracked",NOT(ISEVEN(LEN(Matrix2!AD34)))),AND(G33=TRUE,OR(Matrix2!AD34="LL",Matrix2!AD34="RR"),Pricing!D44&lt;&gt;"Tracked",(Pricing!M44/Matrix2!$AP$19)&gt;500),AND(F33=TRUE,Pricing!M44/Matrix2!$AP$19&gt;500,Pricing!D44&lt;&gt;"Tracked",Matrix2!AD34&lt;&gt;"LR"),AND(F33=TRUE,OR(Matrix2!AD34="LL",Matrix2!AD34="RR"),Pricing!D44&lt;&gt;"Tracked",(Pricing!M44/Matrix2!$AP$19)&gt;600),AND(F33=TRUE,OR(Matrix2!AD34="LL",Matrix2!AD34="RR",Matrix2!AD34="LLL",Matrix2!AD34="RRR",Matrix2!AD34="LLLLRRRR"),Pricing!D44="Tracked",(Pricing!M44/Matrix2!$AP$19)&gt;600),AND(E33=TRUE,OR(Matrix2!AD34="LL",Matrix2!AD34="RR"),Pricing!D44&lt;&gt;"Tracked",(Pricing!M44/Matrix2!$AP$19)&gt;500)+N("Aruba Express")))</f>
        <v>0</v>
      </c>
      <c r="W33" s="401" t="b">
        <f>IF(Pricing!M44="",FALSE,OR(AND(ISERROR(FIND("(",Matrix2!AD34)),LEN(Matrix2!AD34)-LEN(SUBSTITUTE(Matrix2!AD34,"L",""))&gt;2,OR(C33=TRUE,G33=TRUE,K33=TRUE,L33=TRUE,M33=TRUE,F33=TRUE,E33=TRUE)),AND(ISERROR(FIND("(",Matrix2!AD34)),LEN(Matrix2!AD34)-LEN(SUBSTITUTE(Matrix2!AD34,"R",""))&gt;2,OR(C33=TRUE,G33=TRUE,L33=TRUE,M33=TRUE,F33=TRUE,E33=TRUE)),AND(ISERROR(FIND("(",Matrix2!AD34)),LEN(Matrix2!AD34)-LEN(SUBSTITUTE(Matrix2!AD34,"R",""))&gt;4,OR(I33=TRUE,AND(H33=TRUE,Pricing!D44="Tracked")),(Pricing!M44/Matrix2!AP19)&gt;550),AND(ISERROR(FIND("(",Matrix2!AD34)),LEN(Matrix2!AD34)-LEN(SUBSTITUTE(Matrix2!AD34,"L",""))&gt;4,OR(I33=TRUE,AND(H33=TRUE,Pricing!D44="Tracked")),(Pricing!M44/Matrix2!AP19)&gt;550),AND(ISERROR(FIND("(",Matrix2!AD34)),LEN(Matrix2!AD34)-LEN(SUBSTITUTE(Matrix2!AD34,"L",""))&gt;3,H33=TRUE),AND(ISERROR(FIND("(",Matrix2!AD34)),LEN(Matrix2!AD34)-LEN(SUBSTITUTE(Matrix2!AD34,"R",""))&gt;3,H33=TRUE)))</f>
        <v>0</v>
      </c>
      <c r="X33" s="46" t="b">
        <f>IF(Pricing!N44="",FALSE,OR(Pricing!N44&lt;250+N("Barbados, Aruba, Bermuda, Cuba, Fiji, Java, Maui, Tahiti, Capri, Aruba Express"),AND(F33=TRUE,Pricing!N44&lt;300)))</f>
        <v>0</v>
      </c>
      <c r="Y33" s="46" t="b">
        <f>OR(Pricing!N44&gt;3000 +N("Barbados, Aruba, Bermuda, Cuba, Fiji, Java, Maui, Tahiti, Capri, Aruba Express"),AND(F33=TRUE,Pricing!N44&gt;2700))</f>
        <v>0</v>
      </c>
      <c r="Z33" s="46" t="b">
        <f>OR(AND(Pricing!D44="Shape",OR(C33=TRUE,G33=TRUE,I33=TRUE,E33=TRUE)+N("Barbados, Bermuda, Cuba, Java, Aruba Express")),AND(Pricing!D44="Shape",D33=TRUE+N("Aruba")))</f>
        <v>0</v>
      </c>
      <c r="AA33" s="46" t="b">
        <f>AND(NOT(ISERROR(FIND("CB",Matrix2!AD34))),(D33=TRUE+N("Aruba")))</f>
        <v>0</v>
      </c>
      <c r="AB33" s="46" t="b">
        <f>AND(O33=TRUE,Pricing!N44&gt;1372,OR(C33=TRUE,G33=TRUE,J33=TRUE,K33=TRUE,I33=TRUE))</f>
        <v>0</v>
      </c>
      <c r="AC33" s="46" t="b">
        <f>OR(AND(OR(C33=TRUE,G33=TRUE,I33=TRUE),Pricing!N44&gt;1879+N("S-Craft")),AND(D33=TRUE,Pricing!N44&gt;1500,Pricing!N44&lt;=2000),AND(J33=TRUE,Pricing!N44&gt;1981),AND(K33=TRUE,Pricing!N44&gt;1828),OR(AND(OR(L33=TRUE,M33=TRUE),Pricing!N44&gt;1800,Pricing!N44&lt;=2500),AND(OR(L33=TRUE,M33=TRUE),Pricing!N44&gt;=2501,Pricing!N44&lt;=3000)),AND(H33=TRUE,Pricing!N44&gt;1799),OR(AND(E33=TRUE,Pricing!N44&gt;1800,Pricing!N44&lt;=2400),AND(E33=TRUE,Pricing!N44&gt;=2401,Pricing!N44&lt;=3000))+N("Aruba Express"))</f>
        <v>0</v>
      </c>
      <c r="AD33" s="46" t="b">
        <f>AND(OR(H33=TRUE,D33=TRUE,E33=TRUE,F33=TRUE,L33=TRUE),Pricing!H44="47mm")</f>
        <v>0</v>
      </c>
      <c r="AE33" s="452"/>
      <c r="AF33" s="452"/>
      <c r="AG33" s="452"/>
      <c r="AH33" s="46" t="b">
        <f>OR(AND(Pricing!H44=AH32,I33=TRUE+N("Cuba")),AND(L33=TRUE,Pricing!H44="114"),AND(E33=TRUE,Pricing!H44="114"))</f>
        <v>0</v>
      </c>
      <c r="AI33" s="46" t="b">
        <f>IF(AND(OR(K33=TRUE,L33=TRUE,M33=TRUE,E33=TRUE),Pricing!D44="S/Shade"),TRUE,AND(Pricing!D44="S/Shade",OR(C33=TRUE,G33=TRUE,I33=TRUE,J33-TRUE,H33=TRUE,F33=TRUE+N("Barbados, Bermuda, Cuba, Fiji, Capri, Belize")),Pricing!I44&lt;&gt;"FFrame"))</f>
        <v>0</v>
      </c>
      <c r="AJ33" s="46" t="b">
        <f>AND(Pricing!D44="French Door Cutout",OR(C33=TRUE,D33=TRUE,E33=TRUE,G33=TRUE,I33=TRUE, K33=TRUE,E33=TRUE+N("Barbados, Bermuda, Cuba, Java, Aruba, Aruba Express")))</f>
        <v>0</v>
      </c>
      <c r="AK33" s="46" t="b">
        <f>AND(Pricing!D44=AK20,OR(E33=TRUE,D33=TRUE))</f>
        <v>0</v>
      </c>
      <c r="AL33" s="27" t="b">
        <f>AND(Pricing!D44="Tier on Tier",Pricing!M44&gt;=1361+N("1219 S-Craft, Pauls Limit"))</f>
        <v>0</v>
      </c>
      <c r="AM33" s="401" t="b">
        <f>AND(Pricing!C44="Bathroom",OR(C33=TRUE,G33=TRUE,I33=TRUE,J33=TRUE,L33=TRUE,M33=TRUE,H33=TRUE,D33=TRUE,E33=TRUE)+N("If not JAVA"))</f>
        <v>0</v>
      </c>
      <c r="AN33" s="27"/>
      <c r="AO33" s="27" t="b">
        <f>AND(K33=TRUE,ISERROR(FIND("Stainless Steel",Pricing!G46)))</f>
        <v>0</v>
      </c>
      <c r="AP33" s="27" t="b" cm="1">
        <f t="array" ref="AP33">IF(Pricing!F44="",FALSE,NOT(OR(AND(C33=TRUE,COUNTIF(Barbados,Pricing!F44)&gt;0),AND(D33=TRUE,COUNTIF(Aruba,Pricing!F44)&gt;0),AND(E33=TRUE,COUNTIF(ArubaExpress,Pricing!F44)&gt;0),AND(F33=TRUE,COUNTIF(Belize,Pricing!F44)&gt;0),AND(G33=TRUE,COUNTIF(Bermuda,Pricing!F44)&gt;0),AND(H33=TRUE,COUNTIF(Capri,Pricing!F44)&gt;0),AND(I33=TRUE,COUNTIF(Cuba,Pricing!F44)&gt;0),AND(J33=TRUE,COUNTIF(Fiji,Pricing!F44)&gt;0),AND(K33=TRUE,COUNTIF(Java,Pricing!F44)&gt;0),AND(L33=TRUE,COUNTIF(Maui,Pricing!F44)&gt;0),AND(M33=TRUE,COUNTIF(Tahiti,Pricing!F44)&gt;0))))</f>
        <v>0</v>
      </c>
      <c r="AQ33" s="27" t="b">
        <f>AND(Pricing!D44=$AQ$20,D33=FALSE,K33=FALSE,J33=FALSE,M33=FALSE,L33=FALSE,H33=FALSE,F33=FALSE)</f>
        <v>0</v>
      </c>
      <c r="AR33" s="27" t="b">
        <f>IF(AND(Pricing!D44="Tracked",COUNTIF(Table19[Tframes],Pricing!D44)=0),TRUE,FALSE)</f>
        <v>0</v>
      </c>
    </row>
    <row r="34" spans="2:44">
      <c r="B34" s="27">
        <v>14</v>
      </c>
      <c r="C34" s="27" t="b">
        <f>Pricing!E47=Helper!$C$20</f>
        <v>0</v>
      </c>
      <c r="D34" s="27" t="b">
        <f>Pricing!E47=Helper!$D$20</f>
        <v>0</v>
      </c>
      <c r="E34" s="27" t="b">
        <f>Pricing!E47="Aruba Express"</f>
        <v>0</v>
      </c>
      <c r="F34" s="27" t="b">
        <f>Pricing!$E47=Helper!F$20</f>
        <v>0</v>
      </c>
      <c r="G34" s="27" t="b">
        <f>Pricing!$E47=Helper!G$20</f>
        <v>0</v>
      </c>
      <c r="H34" s="27" t="b">
        <f>Pricing!$E47=Helper!H$20</f>
        <v>0</v>
      </c>
      <c r="I34" s="27" t="b">
        <f>Pricing!$E47=Helper!I$20</f>
        <v>0</v>
      </c>
      <c r="J34" s="27" t="b">
        <f>Pricing!$E47=Helper!J$20</f>
        <v>0</v>
      </c>
      <c r="K34" s="27" t="b">
        <f>Pricing!$E47=Helper!K$20</f>
        <v>0</v>
      </c>
      <c r="L34" s="27" t="b">
        <f>Pricing!$E47=Helper!L$20</f>
        <v>0</v>
      </c>
      <c r="M34" s="27" t="b">
        <f>Pricing!$E47=Helper!M$20</f>
        <v>0</v>
      </c>
      <c r="N34" s="27" t="b">
        <f>OR(IF(Pricing!J47="",FALSE,AND(OR(Pricing!J47="Split Offset",Pricing!J47="Split Custom",Pricing!J47="Offset",Pricing!J47="Custom",Pricing!J47="Centre"),L34=TRUE,Pricing!J47&lt;&gt;Helper!$Q$20)),AND(E34=TRUE,Pricing!H47="49mm"))</f>
        <v>0</v>
      </c>
      <c r="O34" s="27" t="b">
        <f>IF(Pricing!J47="",FALSE,IF(AND(OR(D34=TRUE,L34=TRUE,M34=TRUE,F34=TRUE,E34=TRUE),OR(Pricing!J47="Silent",Pricing!J47="Silent Split")),TRUE,FALSE))</f>
        <v>0</v>
      </c>
      <c r="P34" s="27" t="b">
        <f>OR(AND(OR(C34=TRUE,G34=TRUE,I34=TRUE,J34=TRUE,K34=TRUE+N("S-Craft Material"),AND(L34=TRUE,Pricing!J47="Clearview",Pricing!N47&gt;1200)),Q34=TRUE),AND(OR(D34=TRUE,F34=TRUE,H34=TRUE,E34=TRUE),Pricing!N47&gt;1300,Pricing!J47="Concealed"),AND(OR(D34=TRUE,F34=TRUE,H34=TRUE),Pricing!N47&gt;1200,Pricing!J47="Hidden")+N("Belize"))</f>
        <v>0</v>
      </c>
      <c r="Q34" s="27" t="b">
        <f>OR(AND(OR(C34=TRUE,G34=TRUE,I34=TRUE,J34=TRUE,K34=TRUE+N("S-Craft Materials")),Pricing!J47=$Q$20),AND(L34=TRUE,Pricing!J47=O20)+N("MAUI"),AND(F34=TRUE,Pricing!J47=Helper!$Q$20),AND(E34=TRUE,Pricing!J47=Helper!$Q$20),AND(D34=TRUE,Pricing!J47=Helper!$Q$20))</f>
        <v>0</v>
      </c>
      <c r="R34" s="46" t="b">
        <f>IF(Matrix2!AQ19=0,FALSE,OR(AND(IF(Pricing!M47/(Matrix2!AQ$19)&lt;152,TRUE,FALSE),Pricing!J47&lt;&gt;"Silent",OR(C34=TRUE,G34=TRUE,I34=TRUE,J34=TRUE,K34=TRUE)+N("S-Craft Materials")),AND(OR(D34=TRUE,M34=TRUE),Pricing!M47/(Matrix2!AQ$19)&lt;250+N("Aruba,Tahiti"),N34=TRUE),AND(L34=TRUE,Pricing!H47="49mm"),AND(H34=TRUE,Pricing!M47&lt;200),AND(F34=TRUE,Pricing!M47=250),AND(E34=TRUE,Pricing!M47=200)))</f>
        <v>0</v>
      </c>
      <c r="S34" s="401" t="b">
        <f>IF(Matrix2!AQ19=0,FALSE,OR(AND(Pricing!M47/(Matrix2!AQ$19)&lt;152+N("S-Craft"),O34=TRUE,OR(C34=TRUE,G34=TRUE,I34=TRUE,J34=TRUE,K34=TRUE)),AND(Pricing!M47/(Matrix2!AQ$19)&lt;170+N("Aruba"),Q34=TRUE),AND(OR(L34=TRUE,M34=TRUE),Pricing!J47=Q20,Pricing!M47/(Matrix2!AQ$19)&lt;250+N("MAUI")),AND(H34=TRUE,OR(Pricing!J47="Supatilt",Pricing!J47="Silent"),Pricing!M47&lt;200)))</f>
        <v>0</v>
      </c>
      <c r="T34" s="91" t="b">
        <f>IF(Matrix2!AQ19=0,FALSE,OR(AND(C34=TRUE,Pricing!H47="47mm",(Pricing!M47/Matrix2!AQ$19)&gt;600),AND(G34=TRUE,Pricing!H47="47mm",(Pricing!M47/Matrix2!AQ$19)&gt;610+N("Bermuda")),AND(G34=TRUE,Pricing!H47="47mm",(Pricing!M47/Matrix2!AQ$19)&gt;750+N("Cuba")),AND(J34=TRUE,Pricing!H47="47mm",(Pricing!M47/Matrix2!AQ$19)&gt;750+N("Fiji")),AND(K34=TRUE,Pricing!H47="47mm",(Pricing!M47/Matrix2!AQ$19)&gt;550+N("Java")),AND(L34=TRUE,Pricing!H47="47mm"),AND(L34=TRUE,Pricing!H47="47mm",(Pricing!M47/Matrix2!AQ$19)&gt;850+N("Tahiti")),AND(H34=TRUE,Pricing!H47="47mm"),AND(F34=TRUE,Pricing!H47="47mm"),AND(E34=TRUE,Pricing!H47="47mm")))</f>
        <v>0</v>
      </c>
      <c r="U34" s="401" t="b">
        <f>IF(Pricing!M47="",FALSE,OR(AND(C34=TRUE,AD34=FALSE,(Pricing!M47/(Matrix2!AQ$19))&gt;750+N("Barbados")),AND(D34=TRUE,Pricing!H47&lt;&gt;"89mm",Pricing!H47&lt;&gt;"114mm",Pricing!M47/Matrix2!AQ$19&gt;800)+N("Aruba"),AND(D34=TRUE,Pricing!H47&lt;&gt;"63mm",Pricing!H47&lt;&gt;"76mm",Pricing!M47/Matrix2!AQ$19&gt;920)+N("Aruba"),AND(G34=TRUE,Pricing!M47/Matrix2!AQ$19&gt;915)+N("Bermuda"),AND(G34=TRUE,Pricing!M47/Matrix2!AQ$19&gt;890)+N("Cuba"),AND(J34=TRUE,OR(AE34=TRUE,AF34=TRUE),(Pricing!M47/Matrix2!AQ$19)&gt;890+N("Fiji")),AND(J34=TRUE,OR(AG34=TRUE,AH34=TRUE),(Pricing!M47/Matrix2!AQ$19)&gt;1047+N("Fiji")),AND(K34=TRUE,OR(AE34=TRUE,AF34=TRUE),(Pricing!M47/Matrix2!AQ$19)&gt;800+N("Java")),AND(K34=TRUE,OR(AG34=TRUE,AH34=TRUE),(Pricing!M47/Matrix2!AQ$19)&gt;890+N("Java")),AND(L34=TRUE,(Pricing!M47/Matrix2!AQ$19)&gt;950+N("Maui")),AND(M34=TRUE,Pricing!H47="63mm",(Pricing!M47/Matrix2!AQ$19)&gt;850+N("Tahiti 63mm")),AND(M34=TRUE,OR(Pricing!H47="76mm",Pricing!H47="89mm",Pricing!H47="114mm"),(Pricing!M47/Matrix2!AQ$19)&gt;950+N("Tahiti 76,89,114mm")),AND(H34=TRUE,(Pricing!M47/Matrix2!AQ$19)&gt;890+N("Capri")),AND(OR(H34=TRUE,F34=TRUE),Pricing!D47="Tracked",(Pricing!M47/Matrix2!AQ$19)&gt;600),AND(H34=TRUE,Pricing!M47&gt;890,LEN(Matrix2!AD35)=1),AND(F34=TRUE,Pricing!M47&gt;750,LEN(Matrix2!AD35)=1,Pricing!H47="63mm"),AND(F34=TRUE,Pricing!M47&gt;890,LEN(Matrix2!AD35)=1,OR(Pricing!H47="76mm",Pricing!H47="89mm",Pricing!H47="114mm")),AND(E34=TRUE,Pricing!M47=700)))</f>
        <v>0</v>
      </c>
      <c r="V34" s="401" t="b">
        <f>IF(OR(Pricing!M47="",Matrix2!AQ19=1),FALSE,OR(AND(OR(Matrix2!AD35="LL",Matrix2!AD35="RR"),Pricing!D47&lt;&gt;"Tracked",OR(C34=TRUE,D34=TRUE,L34=TRUE,M34=TRUE),(Pricing!M47/2)&gt;600,Pricing!D47&lt;&gt;"Tracked"),AND(OR(Matrix2!AD35="LL",Matrix2!AD35="RR"),Pricing!D47&lt;&gt;"Tracked",OR(G34=TRUE,AND(K34=TRUE,Pricing!H47&lt;&gt;"47mm")),(Pricing!M47/Matrix2!$AQ$19)&gt;610)+N("Bermuda, Java"),AND(OR(Matrix2!AD35="LL",Matrix2!AD35="RR"),Pricing!D47&lt;&gt;"Tracked",OR(I34=TRUE,J34=TRUE),(Pricing!M47/Matrix2!$AQ$19)&gt;660)+N("Cuba &amp; Fiji"),AND(OR(Matrix2!AD35="LL",Matrix2!AD35="RR"),Pricing!D47="Tracked",K34=TRUE,Pricing!H47="47mm",(Pricing!M47/Matrix2!$AQ$19)&gt;550)+N("Java"),AND(L34=TRUE,Pricing!D47="Tracked",(Pricing!M47/Matrix2!$AQ$19)&gt;700),AND(H34=TRUE,Pricing!D47&lt;&gt;"Tracked",(Pricing!M47/Matrix2!$AQ$19)&gt;625),AND(H34=TRUE,OR(Matrix2!AD35="LL",Matrix2!AD35="RR"),Pricing!D47&lt;&gt;"Tracked",(Pricing!M47/Matrix2!$AQ$19)&gt;625)+N("Capri Bifold"),AND(H34=TRUE,OR(Matrix2!AD35="LLL",Matrix2!AD35="RRR",Matrix2!AD35="LLLRRR"),Pricing!D47&lt;&gt;"Tracked",(Pricing!M47/Matrix2!$AQ$19)&gt;550)+N("Capri Multifold"),AND(H34=TRUE,Pricing!D47="Tracked",NOT(ISEVEN(LEN(Matrix2!AD35)))),AND(G34=TRUE,OR(Matrix2!AD35="LL",Matrix2!AD35="RR"),Pricing!D47&lt;&gt;"Tracked",(Pricing!M47/Matrix2!$AQ$19)&gt;500),AND(F34=TRUE,Pricing!M47/Matrix2!$AQ$19&gt;500,Pricing!D47&lt;&gt;"Tracked",Matrix2!AD35&lt;&gt;"LR"),AND(F34=TRUE,OR(Matrix2!AD35="LL",Matrix2!AD35="RR"),Pricing!D47&lt;&gt;"Tracked",(Pricing!M47/Matrix2!$AQ$19)&gt;600),AND(F34=TRUE,OR(Matrix2!AD35="LL",Matrix2!AD35="RR",Matrix2!AD35="LLL",Matrix2!AD35="RRR",Matrix2!AD35="LLLLRRRR"),Pricing!D47="Tracked",(Pricing!M47/Matrix2!$AQ$19)&gt;600),AND(E34=TRUE,OR(Matrix2!AD35="LL",Matrix2!AD35="RR"),Pricing!D47&lt;&gt;"Tracked",(Pricing!M47/Matrix2!$AQ$19)&gt;500)+N("Aruba Express")))</f>
        <v>0</v>
      </c>
      <c r="W34" s="401" t="b">
        <f>IF(Pricing!M47="",FALSE,OR(AND(ISERROR(FIND("(",Matrix2!AD35)),LEN(Matrix2!AD35)-LEN(SUBSTITUTE(Matrix2!AD35,"L",""))&gt;2,OR(C34=TRUE,G34=TRUE,K34=TRUE,L34=TRUE,M34=TRUE,F34=TRUE,E34=TRUE)),AND(ISERROR(FIND("(",Matrix2!AD35)),LEN(Matrix2!AD35)-LEN(SUBSTITUTE(Matrix2!AD35,"R",""))&gt;2,OR(C34=TRUE,G34=TRUE,L34=TRUE,M34=TRUE,F34=TRUE,E34=TRUE)),AND(ISERROR(FIND("(",Matrix2!AD35)),LEN(Matrix2!AD35)-LEN(SUBSTITUTE(Matrix2!AD35,"R",""))&gt;4,OR(I34=TRUE,AND(H34=TRUE,Pricing!D47="Tracked")),(Pricing!M47/Matrix2!AQ19)&gt;550),AND(ISERROR(FIND("(",Matrix2!AD35)),LEN(Matrix2!AD35)-LEN(SUBSTITUTE(Matrix2!AD35,"L",""))&gt;4,OR(I34=TRUE,AND(H34=TRUE,Pricing!D47="Tracked")),(Pricing!M47/Matrix2!AQ19)&gt;550),AND(ISERROR(FIND("(",Matrix2!AD35)),LEN(Matrix2!AD35)-LEN(SUBSTITUTE(Matrix2!AD35,"L",""))&gt;3,H34=TRUE),AND(ISERROR(FIND("(",Matrix2!AD35)),LEN(Matrix2!AD35)-LEN(SUBSTITUTE(Matrix2!AD35,"R",""))&gt;3,H34=TRUE)))</f>
        <v>0</v>
      </c>
      <c r="X34" s="46" t="b">
        <f>IF(Pricing!N47="",FALSE,OR(Pricing!N47&lt;250+N("Barbados, Aruba, Bermuda, Cuba, Fiji, Java, Maui, Tahiti, Capri, Aruba Express"),AND(F34=TRUE,Pricing!N47&lt;300)))</f>
        <v>0</v>
      </c>
      <c r="Y34" s="46" t="b">
        <f>OR(Pricing!N47&gt;3000 +N("Barbados, Aruba, Bermuda, Cuba, Fiji, Java, Maui, Tahiti, Capri, Aruba Express"),AND(F34=TRUE,Pricing!N47&gt;2700))</f>
        <v>0</v>
      </c>
      <c r="Z34" s="46" t="b">
        <f>OR(AND(Pricing!D47="Shape",OR(C34=TRUE,G34=TRUE,I34=TRUE,E34=TRUE)+N("Barbados, Bermuda, Cuba, Java, Aruba Express")),AND(Pricing!D47="Shape",D34=TRUE+N("Aruba")))</f>
        <v>0</v>
      </c>
      <c r="AA34" s="46" t="b">
        <f>AND(NOT(ISERROR(FIND("CB",Matrix2!AD35))),(D34=TRUE+N("Aruba")))</f>
        <v>0</v>
      </c>
      <c r="AB34" s="46" t="b">
        <f>AND(O34=TRUE,Pricing!N47&gt;1372,OR(C34=TRUE,G34=TRUE,J34=TRUE,K34=TRUE,I34=TRUE))</f>
        <v>0</v>
      </c>
      <c r="AC34" s="46" t="b">
        <f>OR(AND(OR(C34=TRUE,G34=TRUE,I34=TRUE),Pricing!N47&gt;1879+N("S-Craft")),AND(D34=TRUE,Pricing!N47&gt;1500,Pricing!N47&lt;=2000),AND(J34=TRUE,Pricing!N47&gt;1981),AND(K34=TRUE,Pricing!N47&gt;1828),OR(AND(OR(L34=TRUE,M34=TRUE),Pricing!N47&gt;1800,Pricing!N47&lt;=2500),AND(OR(L34=TRUE,M34=TRUE),Pricing!N47&gt;=2501,Pricing!N47&lt;=3000)),AND(H34=TRUE,Pricing!N47&gt;1799),OR(AND(E34=TRUE,Pricing!N47&gt;1800,Pricing!N47&lt;=2400),AND(E34=TRUE,Pricing!N47&gt;=2401,Pricing!N47&lt;=3000))+N("Aruba Express"))</f>
        <v>0</v>
      </c>
      <c r="AD34" s="46" t="b">
        <f>AND(OR(H34=TRUE,D34=TRUE,E34=TRUE,F34=TRUE,L34=TRUE),Pricing!H47="47mm")</f>
        <v>0</v>
      </c>
      <c r="AE34" s="452"/>
      <c r="AF34" s="452"/>
      <c r="AG34" s="452"/>
      <c r="AH34" s="46" t="b">
        <f>OR(AND(Pricing!H47=AH33,I34=TRUE+N("Cuba")),AND(L34=TRUE,Pricing!H47="114"),AND(E34=TRUE,Pricing!H47="114"))</f>
        <v>0</v>
      </c>
      <c r="AI34" s="46" t="b">
        <f>IF(AND(OR(K34=TRUE,L34=TRUE,M34=TRUE,E34=TRUE),Pricing!D47="S/Shade"),TRUE,AND(Pricing!D47="S/Shade",OR(C34=TRUE,G34=TRUE,I34=TRUE,J34-TRUE,H34=TRUE,F34=TRUE+N("Barbados, Bermuda, Cuba, Fiji, Capri, Belize")),Pricing!I47&lt;&gt;"FFrame"))</f>
        <v>0</v>
      </c>
      <c r="AJ34" s="46" t="b">
        <f>AND(Pricing!D47="French Door Cutout",OR(C34=TRUE,D34=TRUE,E34=TRUE,G34=TRUE,I34=TRUE, K34=TRUE,E34=TRUE+N("Barbados, Bermuda, Cuba, Java, Aruba, Aruba Express")))</f>
        <v>0</v>
      </c>
      <c r="AK34" s="46" t="b">
        <f>AND(Pricing!D47=AK20,OR(E34=TRUE,D34=TRUE))</f>
        <v>0</v>
      </c>
      <c r="AL34" s="27" t="b">
        <f>AND(Pricing!D47="Tier on Tier",Pricing!M47&gt;=1361+N("1219 S-Craft, Pauls Limit"))</f>
        <v>0</v>
      </c>
      <c r="AM34" s="401" t="b">
        <f>AND(Pricing!C47="Bathroom",OR(C34=TRUE,G34=TRUE,I34=TRUE,J34=TRUE,L34=TRUE,M34=TRUE,H34=TRUE,D34=TRUE,E34=TRUE)+N("If not JAVA"))</f>
        <v>0</v>
      </c>
      <c r="AN34" s="27"/>
      <c r="AO34" s="27" t="b">
        <f>AND(K34=TRUE,ISERROR(FIND("Stainless Steel",Pricing!G49)))</f>
        <v>0</v>
      </c>
      <c r="AP34" s="27" t="b" cm="1">
        <f t="array" ref="AP34">IF(Pricing!F47="",FALSE,NOT(OR(AND(C34=TRUE,COUNTIF(Barbados,Pricing!F47)&gt;0),AND(D34=TRUE,COUNTIF(Aruba,Pricing!F47)&gt;0),AND(E34=TRUE,COUNTIF(ArubaExpress,Pricing!F47)&gt;0),AND(F34=TRUE,COUNTIF(Belize,Pricing!F47)&gt;0),AND(G34=TRUE,COUNTIF(Bermuda,Pricing!F47)&gt;0),AND(H34=TRUE,COUNTIF(Capri,Pricing!F47)&gt;0),AND(I34=TRUE,COUNTIF(Cuba,Pricing!F47)&gt;0),AND(J34=TRUE,COUNTIF(Fiji,Pricing!F47)&gt;0),AND(K34=TRUE,COUNTIF(Java,Pricing!F47)&gt;0),AND(L34=TRUE,COUNTIF(Maui,Pricing!F47)&gt;0),AND(M34=TRUE,COUNTIF(Tahiti,Pricing!F47)&gt;0))))</f>
        <v>0</v>
      </c>
      <c r="AQ34" s="27" t="b">
        <f>AND(Pricing!D47=$AQ$20,D34=FALSE,K34=FALSE,J34=FALSE,M34=FALSE,L34=FALSE,H34=FALSE,F34=FALSE)</f>
        <v>0</v>
      </c>
      <c r="AR34" s="27" t="b">
        <f>IF(AND(Pricing!D47="Tracked",COUNTIF(Table19[Tframes],Pricing!D47)=0),TRUE,FALSE)</f>
        <v>0</v>
      </c>
    </row>
    <row r="35" spans="2:44">
      <c r="B35" s="27">
        <v>15</v>
      </c>
      <c r="C35" s="27" t="b">
        <f>Pricing!E50=Helper!$C$20</f>
        <v>0</v>
      </c>
      <c r="D35" s="27" t="b">
        <f>Pricing!$E50=Helper!$D$20</f>
        <v>0</v>
      </c>
      <c r="E35" s="27" t="b">
        <f>Pricing!$E50="Aruba Express"</f>
        <v>0</v>
      </c>
      <c r="F35" s="27" t="b">
        <f>Pricing!$E50=Helper!F$20</f>
        <v>0</v>
      </c>
      <c r="G35" s="27" t="b">
        <f>Pricing!$E50=Helper!G$20</f>
        <v>0</v>
      </c>
      <c r="H35" s="27" t="b">
        <f>Pricing!$E50=Helper!H$20</f>
        <v>0</v>
      </c>
      <c r="I35" s="27" t="b">
        <f>Pricing!$E50=Helper!I$20</f>
        <v>0</v>
      </c>
      <c r="J35" s="27" t="b">
        <f>Pricing!$E50=Helper!J$20</f>
        <v>0</v>
      </c>
      <c r="K35" s="27" t="b">
        <f>Pricing!$E50=Helper!K$20</f>
        <v>0</v>
      </c>
      <c r="L35" s="27" t="b">
        <f>Pricing!$E50=Helper!L$20</f>
        <v>0</v>
      </c>
      <c r="M35" s="27" t="b">
        <f>Pricing!$E50=Helper!M$20</f>
        <v>0</v>
      </c>
      <c r="N35" s="27" t="b">
        <f>OR(IF(Pricing!J50="",FALSE,AND(OR(Pricing!J50="Split Offset",Pricing!J50="Split Custom",Pricing!J50="Offset",Pricing!J50="Custom",Pricing!J50="Centre"),L35=TRUE,Pricing!J50&lt;&gt;Helper!$Q$20)),AND(E35=TRUE,Pricing!H50="49mm"))</f>
        <v>0</v>
      </c>
      <c r="O35" s="27" t="b">
        <f>IF(Pricing!J50="",FALSE,IF(AND(OR(D35=TRUE,L35=TRUE,M35=TRUE,F35=TRUE,E35=TRUE),OR(Pricing!J50="Silent",Pricing!J50="Silent Split")),TRUE,FALSE))</f>
        <v>0</v>
      </c>
      <c r="P35" s="27" t="b">
        <f>OR(AND(OR(C35=TRUE,G35=TRUE,I35=TRUE,J35=TRUE,K35=TRUE+N("S-Craft Material"),AND(L35=TRUE,Pricing!J50="Clearview",Pricing!N50&gt;1200)),Q35=TRUE),AND(OR(D35=TRUE,F35=TRUE,H35=TRUE,E35=TRUE),Pricing!N50&gt;1300,Pricing!J50="Concealed"),AND(OR(D35=TRUE,F35=TRUE,H35=TRUE),Pricing!N50&gt;1200,Pricing!J50="Hidden")+N("Belize"))</f>
        <v>0</v>
      </c>
      <c r="Q35" s="27" t="b">
        <f>OR(AND(OR(C35=TRUE,G35=TRUE,I35=TRUE,J35=TRUE,K35=TRUE+N("S-Craft Materials")),Pricing!J50=$Q$20),AND(L35=TRUE,Pricing!J50=O20)+N("MAUI"),AND(F35=TRUE,Pricing!J50=Helper!$Q$20),AND(E35=TRUE,Pricing!J50=Helper!$Q$20),AND(D35=TRUE,Pricing!J50=Helper!$Q$20))</f>
        <v>0</v>
      </c>
      <c r="R35" s="46" t="b">
        <f>IF(Matrix2!AR19=0,FALSE,OR(AND(IF(Pricing!M50/(Matrix2!AR$19)&lt;152,TRUE,FALSE),Pricing!J50&lt;&gt;"Silent",OR(C35=TRUE,G35=TRUE,I35=TRUE,J35=TRUE,K35=TRUE)+N("S-Craft Materials")),AND(OR(D35=TRUE,M35=TRUE),Pricing!M50/(Matrix2!AR$19)&lt;250+N("Aruba,Tahiti"),N35=TRUE),AND(L35=TRUE,Pricing!H50="49mm"),AND(H35=TRUE,Pricing!M50&lt;200),AND(F35=TRUE,Pricing!M50=250),AND(E35=TRUE,Pricing!M50=200)))</f>
        <v>0</v>
      </c>
      <c r="S35" s="401" t="b">
        <f>IF(Matrix2!AR19=0,FALSE,OR(AND(Pricing!M50/(Matrix2!AR$19)&lt;152+N("S-Craft"),O35=TRUE,OR(C35=TRUE,G35=TRUE,I35=TRUE,J35=TRUE,K35=TRUE)),AND(Pricing!M50/(Matrix2!AR$19)&lt;170+N("Aruba"),Q35=TRUE),AND(OR(L35=TRUE,M35=TRUE),Pricing!J50=Q20,Pricing!M50/(Matrix2!AR$19)&lt;250+N("MAUI")),AND(H35=TRUE,OR(Pricing!J50="Supatilt",Pricing!J50="Silent"),Pricing!M50&lt;200)))</f>
        <v>0</v>
      </c>
      <c r="T35" s="91" t="b">
        <f>IF(Matrix2!AR19=0,FALSE,OR(AND(C35=TRUE,Pricing!H50="47mm",(Pricing!M50/Matrix2!AR$19)&gt;600),AND(G35=TRUE,Pricing!H50="47mm",(Pricing!M50/Matrix2!AR$19)&gt;610+N("Bermuda")),AND(G35=TRUE,Pricing!H50="47mm",(Pricing!M50/Matrix2!AR$19)&gt;750+N("Cuba")),AND(J35=TRUE,Pricing!H50="47mm",(Pricing!M50/Matrix2!AR$19)&gt;750+N("Fiji")),AND(K35=TRUE,Pricing!H50="47mm",(Pricing!M50/Matrix2!AR$19)&gt;550+N("Java")),AND(L35=TRUE,Pricing!H50="47mm"),AND(L35=TRUE,Pricing!H50="47mm",(Pricing!M50/Matrix2!AR$19)&gt;850+N("Tahiti")),AND(H35=TRUE,Pricing!H50="47mm"),AND(F35=TRUE,Pricing!H50="47mm"),AND(E35=TRUE,Pricing!H50="47mm")))</f>
        <v>0</v>
      </c>
      <c r="U35" s="401" t="b">
        <f>IF(Pricing!M50="",FALSE,OR(AND(C35=TRUE,AD35=FALSE,(Pricing!M50/(Matrix2!AR$19))&gt;750+N("Barbados")),AND(D35=TRUE,Pricing!H50&lt;&gt;"89mm",Pricing!H50&lt;&gt;"114mm",Pricing!M50/Matrix2!AR$19&gt;800)+N("Aruba"),AND(D35=TRUE,Pricing!H50&lt;&gt;"63mm",Pricing!H50&lt;&gt;"76mm",Pricing!M50/Matrix2!AR$19&gt;920)+N("Aruba"),AND(G35=TRUE,Pricing!M50/Matrix2!AR$19&gt;915)+N("Bermuda"),AND(G35=TRUE,Pricing!M50/Matrix2!AR$19&gt;890)+N("Cuba"),AND(J35=TRUE,OR(AE35=TRUE,AF35=TRUE),(Pricing!M50/Matrix2!AR$19)&gt;890+N("Fiji")),AND(J35=TRUE,OR(AG35=TRUE,AH35=TRUE),(Pricing!M50/Matrix2!AR$19)&gt;1047+N("Fiji")),AND(K35=TRUE,OR(AE35=TRUE,AF35=TRUE),(Pricing!M50/Matrix2!AR$19)&gt;800+N("Java")),AND(K35=TRUE,OR(AG35=TRUE,AH35=TRUE),(Pricing!M50/Matrix2!AR$19)&gt;890+N("Java")),AND(L35=TRUE,(Pricing!M50/Matrix2!AR$19)&gt;950+N("Maui")),AND(M35=TRUE,Pricing!H50="63mm",(Pricing!M50/Matrix2!AR$19)&gt;850+N("Tahiti 63mm")),AND(M35=TRUE,OR(Pricing!H50="76mm",Pricing!H50="89mm",Pricing!H50="114mm"),(Pricing!M50/Matrix2!AR$19)&gt;950+N("Tahiti 76,89,114mm")),AND(H35=TRUE,(Pricing!M50/Matrix2!AR$19)&gt;890+N("Capri")),AND(OR(H35=TRUE,F35=TRUE),Pricing!D50="Tracked",(Pricing!M50/Matrix2!AR$19)&gt;600),AND(H35=TRUE,Pricing!M50&gt;890,LEN(Matrix2!AD36)=1),AND(F35=TRUE,Pricing!M50&gt;750,LEN(Matrix2!AD36)=1,Pricing!H50="63mm"),AND(F35=TRUE,Pricing!M50&gt;890,LEN(Matrix2!AD36)=1,OR(Pricing!H50="76mm",Pricing!H50="89mm",Pricing!H50="114mm")),AND(E35=TRUE,Pricing!M50=700)))</f>
        <v>0</v>
      </c>
      <c r="V35" s="401" t="b">
        <f>IF(OR(Pricing!M50="",Matrix2!AR19),FALSE,OR(AND(OR(Matrix2!AD36="LL",Matrix2!AD36="RR"),Pricing!D50&lt;&gt;"Tracked",OR(C35=TRUE,D35=TRUE,L35=TRUE,M35=TRUE),(Pricing!M50/2)&gt;600,Pricing!D50&lt;&gt;"Tracked"),AND(OR(Matrix2!AD36="LL",Matrix2!AD36="RR"),Pricing!D50&lt;&gt;"Tracked",OR(G35=TRUE,AND(K35=TRUE,Pricing!H50&lt;&gt;"47mm")),(Pricing!M50/Matrix2!$AR$19)&gt;610)+N("Bermuda, Java"),AND(OR(Matrix2!AD36="LL",Matrix2!AD36="RR"),Pricing!D50&lt;&gt;"Tracked",OR(I35=TRUE,J35=TRUE),(Pricing!M50/Matrix2!$AR$19)&gt;660)+N("Cuba &amp; Fiji"),AND(OR(Matrix2!AD36="LL",Matrix2!AD36="RR"),Pricing!D50="Tracked",K35=TRUE,Pricing!H50="47mm",(Pricing!M50/Matrix2!$AR$19)&gt;550)+N("Java"),AND(L35=TRUE,Pricing!D50="Tracked",(Pricing!M50/Matrix2!$AR$19)&gt;700),AND(H35=TRUE,Pricing!D50&lt;&gt;"Tracked",(Pricing!M50/Matrix2!$AR$19)&gt;625),AND(H35=TRUE,OR(Matrix2!AD36="LL",Matrix2!AD36="RR"),Pricing!D50&lt;&gt;"Tracked",(Pricing!M50/Matrix2!$AR$19)&gt;625)+N("Capri Bifold"),AND(H35=TRUE,OR(Matrix2!AD36="LLL",Matrix2!AD36="RRR",Matrix2!AD36="LLLRRR"),Pricing!D50&lt;&gt;"Tracked",(Pricing!M50/Matrix2!$AR$19)&gt;550)+N("Capri Multifold"),AND(H35=TRUE,Pricing!D50="Tracked",NOT(ISEVEN(LEN(Matrix2!AD36)))),AND(G35=TRUE,OR(Matrix2!AD36="LL",Matrix2!AD36="RR"),Pricing!D50&lt;&gt;"Tracked",(Pricing!M50/Matrix2!$AR$19)&gt;500),AND(F35=TRUE,Pricing!M50/Matrix2!$AR$19&gt;500,Pricing!D50&lt;&gt;"Tracked",Matrix2!AD36&lt;&gt;"LR"),AND(F35=TRUE,OR(Matrix2!AD36="LL",Matrix2!AD36="RR"),Pricing!D50&lt;&gt;"Tracked",(Pricing!M50/Matrix2!$AR$19)&gt;600),AND(F35=TRUE,OR(Matrix2!AD36="LL",Matrix2!AD36="RR",Matrix2!AD36="LLL",Matrix2!AD36="RRR",Matrix2!AD36="LLLLRRRR"),Pricing!D50="Tracked",(Pricing!M50/Matrix2!$AR$19)&gt;600),AND(E35=TRUE,OR(Matrix2!AD36="LL",Matrix2!AD36="RR"),Pricing!D50&lt;&gt;"Tracked",(Pricing!M50/Matrix2!$AR$19)&gt;500)+N("Aruba Express")))</f>
        <v>0</v>
      </c>
      <c r="W35" s="401" t="b">
        <f>IF(Pricing!M50="",FALSE,OR(AND(ISERROR(FIND("(",Matrix2!AD36)),LEN(Matrix2!AD36)-LEN(SUBSTITUTE(Matrix2!AD36,"L",""))&gt;2,OR(C35=TRUE,G35=TRUE,K35=TRUE,L35=TRUE,M35=TRUE,F35=TRUE,E35=TRUE)),AND(ISERROR(FIND("(",Matrix2!AD36)),LEN(Matrix2!AD36)-LEN(SUBSTITUTE(Matrix2!AD36,"R",""))&gt;2,OR(C35=TRUE,G35=TRUE,L35=TRUE,M35=TRUE,F35=TRUE,E35=TRUE)),AND(ISERROR(FIND("(",Matrix2!AD36)),LEN(Matrix2!AD36)-LEN(SUBSTITUTE(Matrix2!AD36,"R",""))&gt;4,OR(I35=TRUE,AND(H35=TRUE,Pricing!D50="Tracked")),(Pricing!M50/Matrix2!AR19)&gt;550),AND(ISERROR(FIND("(",Matrix2!AD36)),LEN(Matrix2!AD36)-LEN(SUBSTITUTE(Matrix2!AD36,"L",""))&gt;4,OR(I35=TRUE,AND(H35=TRUE,Pricing!D50="Tracked")),(Pricing!M50/Matrix2!AR19)&gt;550),AND(ISERROR(FIND("(",Matrix2!AD36)),LEN(Matrix2!AD36)-LEN(SUBSTITUTE(Matrix2!AD36,"L",""))&gt;3,H35=TRUE),AND(ISERROR(FIND("(",Matrix2!AD36)),LEN(Matrix2!AD36)-LEN(SUBSTITUTE(Matrix2!AD36,"R",""))&gt;3,H35=TRUE)))</f>
        <v>0</v>
      </c>
      <c r="X35" s="46" t="b">
        <f>IF(Pricing!N50="",FALSE,OR(Pricing!N50&lt;250+N("Barbados, Aruba, Bermuda, Cuba, Fiji, Java, Maui, Tahiti, Capri, Aruba Express"),AND(F35=TRUE,Pricing!N50&lt;300)))</f>
        <v>0</v>
      </c>
      <c r="Y35" s="46" t="b">
        <f>OR(Pricing!N50&gt;3000 +N("Barbados, Aruba, Bermuda, Cuba, Fiji, Java, Maui, Tahiti, Capri, Aruba Express"),AND(F35=TRUE,Pricing!N50&gt;2700))</f>
        <v>0</v>
      </c>
      <c r="Z35" s="46" t="b">
        <f>OR(AND(Pricing!D50="Shape",OR(C35=TRUE,G35=TRUE,I35=TRUE,E35=TRUE)+N("Barbados, Bermuda, Cuba, Java, Aruba Express")),AND(Pricing!D50="Shape",D35=TRUE+N("Aruba")))</f>
        <v>0</v>
      </c>
      <c r="AA35" s="46" t="b">
        <f>AND(NOT(ISERROR(FIND("CB",Matrix2!AD36))),(D35=TRUE+N("Aruba")))</f>
        <v>0</v>
      </c>
      <c r="AB35" s="46" t="b">
        <f>AND(O35=TRUE,Pricing!N50&gt;1372,OR(C35=TRUE,G35=TRUE,J35=TRUE,K35=TRUE,I35=TRUE))</f>
        <v>0</v>
      </c>
      <c r="AC35" s="46" t="b">
        <f>OR(AND(OR(C35=TRUE,G35=TRUE,I35=TRUE),Pricing!N50&gt;1879+N("S-Craft")),AND(D35=TRUE,Pricing!N50&gt;1500,Pricing!N50&lt;=2000),AND(J35=TRUE,Pricing!N50&gt;1981),AND(K35=TRUE,Pricing!N50&gt;1828),OR(AND(OR(L35=TRUE,M35=TRUE),Pricing!N50&gt;1800,Pricing!N50&lt;=2500),AND(OR(L35=TRUE,M35=TRUE),Pricing!N50&gt;=2501,Pricing!N50&lt;=3000)),AND(H35=TRUE,Pricing!N50&gt;1799),OR(AND(E35=TRUE,Pricing!N50&gt;1800,Pricing!N50&lt;=2400),AND(E35=TRUE,Pricing!N50&gt;=2401,Pricing!N50&lt;=3000))+N("Aruba Express"))</f>
        <v>0</v>
      </c>
      <c r="AD35" s="46" t="b">
        <f>AND(OR(H35=TRUE,D35=TRUE,E35=TRUE,F35=TRUE,L35=TRUE),Pricing!H50="47mm")</f>
        <v>0</v>
      </c>
      <c r="AE35" s="452"/>
      <c r="AF35" s="452"/>
      <c r="AG35" s="452"/>
      <c r="AH35" s="46" t="b">
        <f>OR(AND(Pricing!H50=AH34,I35=TRUE+N("Cuba")),AND(L35=TRUE,Pricing!H50="114"),AND(E35=TRUE,Pricing!H50="114"))</f>
        <v>0</v>
      </c>
      <c r="AI35" s="46" t="b">
        <f>IF(AND(OR(K35=TRUE,L35=TRUE,M35=TRUE,E35=TRUE),Pricing!D50="S/Shade"),TRUE,AND(Pricing!D50="S/Shade",OR(C35=TRUE,G35=TRUE,I35=TRUE,J35-TRUE,H35=TRUE,F35=TRUE+N("Barbados, Bermuda, Cuba, Fiji, Capri, Belize")),Pricing!I50&lt;&gt;"FFrame"))</f>
        <v>0</v>
      </c>
      <c r="AJ35" s="46" t="b">
        <f>AND(Pricing!D50="French Door Cutout",OR(C35=TRUE,D35=TRUE,E35=TRUE,G35=TRUE,I35=TRUE, K35=TRUE,E35=TRUE+N("Barbados, Bermuda, Cuba, Java, Aruba, Aruba Express")))</f>
        <v>0</v>
      </c>
      <c r="AK35" s="46" t="b">
        <f>AND(Pricing!D50=AK20,OR(E35=TRUE,D35=TRUE))</f>
        <v>0</v>
      </c>
      <c r="AL35" s="27" t="b">
        <f>AND(Pricing!D50="Tier on Tier",Pricing!M50&gt;=1361+N("1219 S-Craft, Pauls Limit"))</f>
        <v>0</v>
      </c>
      <c r="AM35" s="401" t="b">
        <f>AND(Pricing!C50="Bathroom",OR(C35=TRUE,G35=TRUE,I35=TRUE,J35=TRUE,L35=TRUE,M35=TRUE,H35=TRUE,D35=TRUE,E35=TRUE)+N("If not JAVA"))</f>
        <v>0</v>
      </c>
      <c r="AN35" s="27"/>
      <c r="AO35" s="27" t="b">
        <f>AND(K35=TRUE,ISERROR(FIND("Stainless Steel",Pricing!G52)))</f>
        <v>0</v>
      </c>
      <c r="AP35" s="27" t="b" cm="1">
        <f t="array" ref="AP35">IF(Pricing!F50="",FALSE,NOT(OR(AND(C35=TRUE,COUNTIF(Barbados,Pricing!F50)&gt;0),AND(D35=TRUE,COUNTIF(Aruba,Pricing!F50)&gt;0),AND(E35=TRUE,COUNTIF(ArubaExpress,Pricing!F50)&gt;0),AND(F35=TRUE,COUNTIF(Belize,Pricing!F50)&gt;0),AND(G35=TRUE,COUNTIF(Bermuda,Pricing!F50)&gt;0),AND(H35=TRUE,COUNTIF(Capri,Pricing!F50)&gt;0),AND(I35=TRUE,COUNTIF(Cuba,Pricing!F50)&gt;0),AND(J35=TRUE,COUNTIF(Fiji,Pricing!F50)&gt;0),AND(K35=TRUE,COUNTIF(Java,Pricing!F50)&gt;0),AND(L35=TRUE,COUNTIF(Maui,Pricing!F50)&gt;0),AND(M35=TRUE,COUNTIF(Tahiti,Pricing!F50)&gt;0))))</f>
        <v>0</v>
      </c>
      <c r="AQ35" s="27" t="b">
        <f>AND(Pricing!D50=$AQ$20,D35=FALSE,K35=FALSE,J35=FALSE,M35=FALSE,L35=FALSE,H35=FALSE,F35=FALSE)</f>
        <v>0</v>
      </c>
      <c r="AR35" s="27" t="b">
        <f>IF(AND(Pricing!D50="Tracked",COUNTIF(Table19[Tframes],Pricing!D50)=0),TRUE,FALSE)</f>
        <v>0</v>
      </c>
    </row>
    <row r="36" spans="2:44">
      <c r="AM36" s="411"/>
    </row>
    <row r="40" spans="2:44">
      <c r="B40" t="s">
        <v>931</v>
      </c>
      <c r="C40" s="1009" t="s">
        <v>932</v>
      </c>
      <c r="D40" s="1009"/>
    </row>
    <row r="41" spans="2:44">
      <c r="B41" s="27" t="s">
        <v>933</v>
      </c>
      <c r="C41" s="970" t="str">
        <f>IFERROR(IF(V21=TRUE,"Max Bifold Width Exceeded",IF(W21=TRUE,"Max bifold panel width exceeded",IF(X21=TRUE,"Less than minimum panel height",IF(Y21=TRUE,"Max panel height exceeded",IF(OR(T21=TRUE,U21=TRUE),"Max single panel width exceeded",IF(R21=TRUE,"Minimum single panel width exceeded",IF(AR21=TRUE,"Incorrect frame type",IF(AP21=TRUE,"Invalid Colour",IF(AQ21=TRUE,"Shape not available in this material",IF(AD21=TRUE,"47mm Louvre NOT available",IF(AK21=TRUE,"S/Shade NOT available",IF(AND(AC21=TRUE,OR(Pricing!O8="Please Select", Pricing!O8="No")),"Mid Rail Required",IF(AJ21=TRUE,"French Door Custout NOT available",IF(AND(AM21=TRUE,OR(K21=FALSE,F21=FALSE)),"Recomend Java or Belize",IF(AO21=TRUE,"S/Steel Hinges required",IF(AL21=TRUE,"Horizontal T post too wide!","")))))))))))))))),"")</f>
        <v>Incorrect frame type</v>
      </c>
      <c r="D41" s="970"/>
      <c r="E41" s="970"/>
    </row>
    <row r="42" spans="2:44">
      <c r="B42" s="27" t="s">
        <v>934</v>
      </c>
      <c r="C42" s="970" t="str">
        <f>IFERROR(IF(V22=TRUE,"Max Bifold Width Exceeded",IF(W22=TRUE,"Max bifold panels together exceeded",IF(X22=TRUE,"Less than minimum panel height",IF(Y22=TRUE,"Max panel height exceeded",IF(OR(T22=TRUE,U22=TRUE),"Max single panel width exceeded",IF(R22=TRUE,"Minimum single panel width exceeded",IF(AR22=TRUE,"Incorrect frame type",IF(AP22=TRUE,"Invalid Colour",IF(AQ22=TRUE,"Shape not availavle in this material",IF(AD22=TRUE,"47mm Louvre NOT available",IF(AK22=TRUE,"S/Shade NOT available",IF(AND(AC22=TRUE,OR(Pricing!O11="Please Select",Pricing!O11="No")),"Mid Rail Required",IF(AJ22=TRUE,"French Door Custout NOT available",IF(AND(AM22=TRUE,OR(K22=FALSE,F22=FALSE)),"Recomend Java or Belize",IF(AO22=TRUE,"S/Steel Hinges required",IF(AL22=TRUE,"Horizontal T post too wide!","")))))))))))))))),"")</f>
        <v/>
      </c>
      <c r="D42" s="970"/>
      <c r="E42" s="970"/>
    </row>
    <row r="43" spans="2:44">
      <c r="B43" s="27" t="s">
        <v>935</v>
      </c>
      <c r="C43" s="970" t="str">
        <f>IFERROR(IF(V23=TRUE,"Max Bifold Width Exceeded",IF(W23=TRUE,"Max bifold panels together exceeded",IF(X23=TRUE,"Less than minimum panel height",IF(Y23=TRUE,"Max panel height exceeded",IF(OR(T23=TRUE,U23=TRUE),"Max single panel width exceeded",IF(R23=TRUE,"Minimum single panel width exceeded",IF(AR23=TRUE,"Incorrect frame type",IF(AP23=TRUE,"Invalid Colour",IF(AQ23=TRUE,"Shape not availavle in this material",IF(AD23=TRUE,"47mm Louvre NOT available",IF(AK23=TRUE,"S/Shade NOT available",IF(AND(AC23=TRUE,OR(Pricing!O14="Please Select",Pricing!O14="No")),"Mid Rail Required",IF(AJ23=TRUE,"French Door Custout NOT available",IF(AND(AM23=TRUE,OR(K23=FALSE,F23=FALSE)),"Recomend Java or Belize",IF(AO23=TRUE,"S/Steel Hinges required",IF(AL23=TRUE,"Horizontal T post too wide!","")))))))))))))))),"")</f>
        <v/>
      </c>
      <c r="D43" s="970"/>
      <c r="E43" s="970"/>
    </row>
    <row r="44" spans="2:44">
      <c r="B44" s="27" t="s">
        <v>936</v>
      </c>
      <c r="C44" s="970" t="str">
        <f>IFERROR(IF(V24=TRUE,"Max Bifold Width Exceeded",IF(W24=TRUE,"Max bifold panels together exceeded",IF(X24=TRUE,"Less than minimum panel height",IF(Y24=TRUE,"Max panel height exceeded",IF(OR(T24=TRUE,U24=TRUE),"Max single panel width exceeded",IF(R24=TRUE,"Minimum single panel width exceeded",IF(AR24=TRUE,"Incorrect frame type",IF(AP24=TRUE,"Invalid Colour",IF(AQ24=TRUE,"Shape not availavle in this material",IF(AD24=TRUE,"47mm Louvre NOT available",IF(AK24=TRUE,"S/Shade NOT available",IF(AND(AC24=TRUE,OR(Pricing!O17="Please Select",Pricing!O17="No")),"Mid Rail Required",IF(AJ24=TRUE,"French Door Custout NOT available",IF(AND(AM24=TRUE,OR(K24=FALSE,F24=FALSE)),"Recomend Java or Belize",IF(AO24=TRUE,"S/Steel Hinges required",IF(AL24=TRUE,"Horizontal T post too wide!","")))))))))))))))),"")</f>
        <v/>
      </c>
      <c r="D44" s="970"/>
      <c r="E44" s="970"/>
    </row>
    <row r="45" spans="2:44">
      <c r="B45" s="27" t="s">
        <v>937</v>
      </c>
      <c r="C45" s="970" t="str">
        <f>IFERROR(IF(V25=TRUE,"Max Bifold Width Exceeded",IF(W25=TRUE,"Max bifold panels together exceeded",IF(X25=TRUE,"Less than minimum panel height",IF(Y25=TRUE,"Max panel height exceeded",IF(OR(T25=TRUE,U25=TRUE),"Max single panel width exceeded",IF(R25=TRUE,"Minimum single panel width exceeded",IF(AR25=TRUE,"Incorrect frame type",IF(AP25=TRUE,"Invalid Colour",IF(AQ25=TRUE,"Shape not availavle in this material",IF(AD25=TRUE,"47mm Louvre NOT available",IF(AK25=TRUE,"S/Shade NOT available",IF(AND(AC25=TRUE,OR(Pricing!O20="Please Select", Pricing!O20="No")),"Mid Rail Required",IF(AJ25=TRUE,"French Door Custout NOT available",IF(AND(AM25=TRUE,OR(K25=FALSE,F25=FALSE)),"Recomend Java or Belize",IF(AO25=TRUE,"S/Steel Hinges required",IF(AL25=TRUE,"Horizontal T post too wide!","")))))))))))))))),"")</f>
        <v/>
      </c>
      <c r="D45" s="970"/>
      <c r="E45" s="970"/>
    </row>
    <row r="46" spans="2:44">
      <c r="B46" s="27" t="s">
        <v>938</v>
      </c>
      <c r="C46" s="970" t="str">
        <f>IFERROR(IF(V26=TRUE,"Max Bifold Width Exceeded",IF(W26=TRUE,"Max bifold panels together exceeded",IF(X26=TRUE,"Less than minimum panel height",IF(Y26=TRUE,"Max panel height exceeded",IF(OR(T26=TRUE,U26=TRUE),"Max single panel width exceeded",IF(R26=TRUE,"Minimum single panel width exceeded",IF(AR26=TRUE,"Incorrect frame type",IF(AP26=TRUE,"Invalid Colour",IF(AQ26=TRUE,"Shape not availavle in this material",IF(AD26=TRUE,"47mm Louvre NOT available",IF(AK26=TRUE,"S/Shade NOT available",IF(AND(AC26=TRUE,OR(Pricing!O23="Please Select",Pricing!O23="No")),"Mid Rail Required",IF(AJ26=TRUE,"French Door Custout NOT available",IF(AND(AM26=TRUE,OR(K26=FALSE,F26=FALSE)),"Recomend Java or Belize",IF(AO26=TRUE,"S/Steel Hinges required",IF(AL26=TRUE,"Horizontal T post too wide!","")))))))))))))))),"")</f>
        <v/>
      </c>
      <c r="D46" s="970"/>
      <c r="E46" s="970"/>
    </row>
    <row r="47" spans="2:44">
      <c r="B47" s="27" t="s">
        <v>939</v>
      </c>
      <c r="C47" s="970" t="str">
        <f>IFERROR(IF(V27=TRUE,"Max Bifold Width Exceeded",IF(W27=TRUE,"Max bifold panels together exceeded",IF(X27=TRUE,"Less than minimum panel height",IF(Y27=TRUE,"Max panel height exceeded",IF(OR(T27=TRUE,U27=TRUE),"Max single panel width exceeded",IF(R27=TRUE,"Minimum single panel width exceeded",IF(AR27=TRUE,"Incorrect frame type",IF(AP27=TRUE,"Invalid Colour",IF(AQ27=TRUE,"Shape not availavle in this material",IF(AD27=TRUE,"47mm Louvre NOT available",IF(AK27=TRUE,"S/Shade NOT available",IF(AND(AC27=TRUE,OR(Pricing!O26="Please Select",Pricing!O26="No")),"Mid Rail Required",IF(AJ27=TRUE,"French Door Custout NOT available",IF(AND(AM27=TRUE,OR(K27=FALSE,F27=FALSE)),"Recomend Java or Belize",IF(AO27=TRUE,"S/Steel Hinges required",IF(AL27=TRUE,"Horizontal T post too wide!","")))))))))))))))),"")</f>
        <v/>
      </c>
      <c r="D47" s="970"/>
      <c r="E47" s="970"/>
    </row>
    <row r="48" spans="2:44">
      <c r="B48" s="27" t="s">
        <v>940</v>
      </c>
      <c r="C48" s="970" t="str">
        <f>IFERROR(IF(V28=TRUE,"Max Bifold Width Exceeded",IF(W28=TRUE,"Max bifold panels together exceeded",IF(X28=TRUE,"Less than minimum panel height",IF(Y28=TRUE,"Max panel height exceeded",IF(OR(T28=TRUE,U28=TRUE),"Max single panel width exceeded",IF(R28=TRUE,"Minimum single panel width exceeded",IF(AR28=TRUE,"Incorrect frame type",IF(AP28=TRUE,"Invalid Colour",IF(AQ28=TRUE,"Shape not availavle in this material",IF(AD28=TRUE,"47mm Louvre NOT available",IF(AK28=TRUE,"S/Shade NOT available",IF(AND(AC28=TRUE,OR(Pricing!O29="Please Select",Pricing!O29="No")),"Mid Rail Required",IF(AJ28=TRUE,"French Door Custout NOT available",IF(AND(AM28=TRUE,OR(K28=FALSE,F28=FALSE)),"Recomend Java or Belize",IF(AO28=TRUE,"S/Steel Hinges required",IF(AL28=TRUE,"Horizontal T post too wide!","")))))))))))))))),"")</f>
        <v/>
      </c>
      <c r="D48" s="970"/>
      <c r="E48" s="970"/>
    </row>
    <row r="49" spans="2:5">
      <c r="B49" s="27" t="s">
        <v>941</v>
      </c>
      <c r="C49" s="970" t="str">
        <f>IFERROR(IF(V29=TRUE,"Max Bifold Width Exceeded",IF(W29=TRUE,"Max bifold panels together exceeded",IF(X29=TRUE,"Less than minimum panel height",IF(Y29=TRUE,"Max panel height exceeded",IF(OR(T29=TRUE,U29=TRUE),"Max single panel width exceeded",IF(R29=TRUE,"Minimum single panel width exceeded",IF(AR29=TRUE,"Incorrect frame type",IF(AP29=TRUE,"Invalid Colour",IF(AQ29=TRUE,"Shape not availavle in this material",IF(AD29=TRUE,"47mm Louvre NOT available",IF(AK29=TRUE,"S/Shade NOT available",IF(AND(AC29=TRUE,OR(Pricing!O32="Please Select",Pricing!O32="No")),"Mid Rail Required",IF(AJ29=TRUE,"French Door Custout NOT available",IF(AND(AM29=TRUE,OR(K29=FALSE,F29=FALSE)),"Recomend Java or Belize",IF(AO29=TRUE,"S/Steel Hinges required",IF(AL29=TRUE,"Horizontal T post too wide!","")))))))))))))))),"")</f>
        <v/>
      </c>
      <c r="D49" s="970"/>
      <c r="E49" s="970"/>
    </row>
    <row r="50" spans="2:5">
      <c r="B50" s="27" t="s">
        <v>942</v>
      </c>
      <c r="C50" s="970" t="str">
        <f>IFERROR(IF(V30=TRUE,"Max Bifold Width Exceeded",IF(W30=TRUE,"Max bifold panels together exceeded",IF(X30=TRUE,"Less than minimum panel height",IF(Y30=TRUE,"Max panel height exceeded",IF(OR(T30=TRUE,U30=TRUE),"Max single panel width exceeded",IF(R30=TRUE,"Minimum single panel width exceeded",IF(AR30=TRUE,"Incorrect frame type",IF(AP30=TRUE,"Invalid Colour",IF(AQ30=TRUE,"Shape not availavle in this material",IF(AD30=TRUE,"47mm Louvre NOT available",IF(AK30=TRUE,"S/Shade NOT available",IF(AND(AC30=TRUE,OR(Pricing!O35="Please Select",Pricing!O35="No")),"Mid Rail Required",IF(AJ30=TRUE,"French Door Custout NOT available",IF(AND(AM30=TRUE,OR(K30=FALSE,F30=FALSE)),"Recomend Java or Belize",IF(AO30=TRUE,"S/Steel Hinges required",IF(AL30=TRUE,"Horizontal T post too wide!","")))))))))))))))),"")</f>
        <v/>
      </c>
      <c r="D50" s="970"/>
      <c r="E50" s="970"/>
    </row>
    <row r="51" spans="2:5">
      <c r="B51" s="27" t="s">
        <v>943</v>
      </c>
      <c r="C51" s="970" t="str">
        <f>IFERROR(IF(V31=TRUE,"Max Bifold Width Exceeded",IF(W31=TRUE,"Max bifold panels together exceeded",IF(X31=TRUE,"Less than minimum panel height",IF(Y31=TRUE,"Max panel height exceeded",IF(OR(T31=TRUE,U31=TRUE),"Max single panel width exceeded",IF(R31=TRUE,"Minimum single panel width exceeded",IF(AR31=TRUE,"Incorrect frame type",IF(AP31=TRUE,"Invalid Colour",IF(AQ31=TRUE,"Shape not availavle in this material",IF(AD31=TRUE,"47mm Louvre NOT available",IF(AK31=TRUE,"S/Shade NOT available",IF(AND(AC31=TRUE,OR(Pricing!O38="Please Select",Pricing!O38="No")),"Mid Rail Required",IF(AJ31=TRUE,"French Door Custout NOT available",IF(AND(AM31=TRUE,OR(K31=FALSE,F31=FALSE)),"Recomend Java or Belize",IF(AO31=TRUE,"S/Steel Hinges required",IF(AL31=TRUE,"Horizontal T post too wide!","")))))))))))))))),"")</f>
        <v/>
      </c>
      <c r="D51" s="970"/>
      <c r="E51" s="970"/>
    </row>
    <row r="52" spans="2:5">
      <c r="B52" s="27" t="s">
        <v>944</v>
      </c>
      <c r="C52" s="970" t="str">
        <f>IFERROR(IF(V32=TRUE,"Max Bifold Width Exceeded",IF(W32=TRUE,"Max bifold panels together exceeded",IF(X32=TRUE,"Less than minimum panel height",IF(Y32=TRUE,"Max panel height exceeded",IF(OR(T32=TRUE,U32=TRUE),"Max single panel width exceeded",IF(R32=TRUE,"Minimum single panel width exceeded",IF(AR32=TRUE,"Incorrect frame type",IF(AP32=TRUE,"Invalid Colour",IF(AQ32=TRUE,"Shape not availavle in this material",IF(AD32=TRUE,"47mm Louvre NOT available",IF(AK32=TRUE,"S/Shade NOT available",IF(AND(AC32=TRUE,OR(Pricing!O41="Please Select",Pricing!O41="No")),"Mid Rail Required",IF(AJ32=TRUE,"French Door Custout NOT available",IF(AND(AM32=TRUE,OR(K32=FALSE,F32=FALSE)),"Recomend Java or Belize",IF(AO32=TRUE,"S/Steel Hinges required",IF(AL32=TRUE,"Horizontal T post too wide!","")))))))))))))))),"")</f>
        <v/>
      </c>
      <c r="D52" s="970"/>
      <c r="E52" s="970"/>
    </row>
    <row r="53" spans="2:5">
      <c r="B53" s="27" t="s">
        <v>945</v>
      </c>
      <c r="C53" s="970" t="str">
        <f>IFERROR(IF(V33=TRUE,"Max Bifold Width Exceeded",IF(W33=TRUE,"Max bifold panels together exceeded",IF(X33=TRUE,"Less than minimum panel height",IF(Y33=TRUE,"Max panel height exceeded",IF(OR(T33=TRUE,U33=TRUE),"Max single panel width exceeded",IF(R33=TRUE,"Minimum single panel width exceeded",IF(AR33=TRUE,"Incorrect frame type",IF(AP33=TRUE,"Invalid Colour",IF(AQ33=TRUE,"Shape not availavle in this material",IF(AD33=TRUE,"47mm Louvre NOT available",IF(AK33=TRUE,"S/Shade NOT available",IF(AND(AC33=TRUE,OR(Pricing!O44="Please Select",Pricing!O44="No")),"Mid Rail Required",IF(AJ33=TRUE,"French Door Custout NOT available",IF(AND(AM33=TRUE,OR(K33=FALSE,F33=FALSE)),"Recomend Java or Belize",IF(AO33=TRUE,"S/Steel Hinges required",IF(AL33=TRUE,"Horizontal T post too wide!","")))))))))))))))),"")</f>
        <v/>
      </c>
      <c r="D53" s="970"/>
      <c r="E53" s="970"/>
    </row>
    <row r="54" spans="2:5">
      <c r="B54" s="27" t="s">
        <v>946</v>
      </c>
      <c r="C54" s="970" t="str">
        <f>IFERROR(IF(V34=TRUE,"Max Bifold Width Exceeded",IF(W34=TRUE,"Max bifold panels together exceeded",IF(X34=TRUE,"Less than minimum panel height",IF(Y34=TRUE,"Max panel height exceeded",IF(OR(T34=TRUE,U34=TRUE),"Max single panel width exceeded",IF(R34=TRUE,"Minimum single panel width exceeded",IF(AR34=TRUE,"Incorrect frame type",IF(AP34=TRUE,"Invalid Colour",IF(AQ34=TRUE,"Shape not availavle in this material",IF(AD34=TRUE,"47mm Louvre NOT available",IF(AK34=TRUE,"S/Shade NOT available",IF(AND(AC34=TRUE,OR(Pricing!O47="Please Select",Pricing!O47="No")),"Mid Rail Required",IF(AJ34=TRUE,"French Door Custout NOT available",IF(AND(AM34=TRUE,OR(K34=FALSE,F34=FALSE)),"Recomend Java or Belize",IF(AO34=TRUE,"S/Steel Hinges required",IF(AL34=TRUE,"Horizontal T post too wide!","")))))))))))))))),"")</f>
        <v/>
      </c>
      <c r="D54" s="970"/>
      <c r="E54" s="970"/>
    </row>
    <row r="55" spans="2:5">
      <c r="B55" s="27" t="s">
        <v>947</v>
      </c>
      <c r="C55" s="970" t="str">
        <f>IFERROR(IF(V35=TRUE,"Max Bifold Width Exceeded",IF(W35=TRUE,"Max bifold panels together exceeded",IF(X35=TRUE,"Less than minimum panel height",IF(Y35=TRUE,"Max panel height exceeded",IF(OR(T35=TRUE,U35=TRUE),"Max single panel width exceeded",IF(R35=TRUE,"Minimum single panel width exceeded",IF(AR35=TRUE,"Incorrect frame type",IF(AP35=TRUE,"Invalid Colour",IF(AQ35=TRUE,"Shape not availavle in this material",IF(AD35=TRUE,"47mm Louvre NOT available",IF(AK35=TRUE,"S/Shade NOT available",IF(AND(AC35=TRUE,OR(Pricing!O50="Please Select",Pricing!O50="No")),"Mid Rail Required",IF(AJ35=TRUE,"French Door Custout NOT available",IF(AND(AM35=TRUE,OR(K35=FALSE,F35=FALSE)),"Recomend Java or Belize",IF(AO35=TRUE,"S/Steel Hinges required",IF(AL35=TRUE,"Horizontal T post too wide!","")))))))))))))))),"")</f>
        <v/>
      </c>
      <c r="D55" s="970"/>
      <c r="E55" s="970"/>
    </row>
    <row r="66" spans="2:44">
      <c r="B66" t="s">
        <v>948</v>
      </c>
    </row>
    <row r="67" spans="2:44">
      <c r="U67" s="1546" t="s">
        <v>949</v>
      </c>
      <c r="V67" s="1546"/>
      <c r="W67" s="1546"/>
    </row>
    <row r="68" spans="2:44" ht="72.599999999999994">
      <c r="B68" s="405" t="s">
        <v>915</v>
      </c>
      <c r="C68" s="406" t="s">
        <v>18</v>
      </c>
      <c r="D68" s="406" t="s">
        <v>63</v>
      </c>
      <c r="E68" s="406" t="s">
        <v>916</v>
      </c>
      <c r="F68" s="406" t="s">
        <v>120</v>
      </c>
      <c r="G68" s="406" t="s">
        <v>122</v>
      </c>
      <c r="H68" s="406" t="s">
        <v>91</v>
      </c>
      <c r="I68" s="406" t="s">
        <v>123</v>
      </c>
      <c r="J68" s="406" t="s">
        <v>124</v>
      </c>
      <c r="K68" s="406" t="s">
        <v>125</v>
      </c>
      <c r="L68" s="406" t="s">
        <v>121</v>
      </c>
      <c r="M68" s="406" t="s">
        <v>92</v>
      </c>
      <c r="N68" s="407" t="s">
        <v>912</v>
      </c>
      <c r="O68" s="407" t="s">
        <v>22</v>
      </c>
      <c r="P68" s="407" t="s">
        <v>917</v>
      </c>
      <c r="Q68" s="407" t="s">
        <v>918</v>
      </c>
      <c r="R68" s="408" t="s">
        <v>919</v>
      </c>
      <c r="S68" s="406" t="s">
        <v>920</v>
      </c>
      <c r="T68" s="406" t="s">
        <v>921</v>
      </c>
      <c r="U68" s="406" t="s">
        <v>147</v>
      </c>
      <c r="V68" s="406" t="s">
        <v>922</v>
      </c>
      <c r="W68" s="406" t="s">
        <v>923</v>
      </c>
      <c r="X68" s="406" t="s">
        <v>154</v>
      </c>
      <c r="Y68" s="407" t="s">
        <v>155</v>
      </c>
      <c r="Z68" s="407" t="s">
        <v>924</v>
      </c>
      <c r="AA68" s="407" t="s">
        <v>925</v>
      </c>
      <c r="AB68" s="407" t="s">
        <v>926</v>
      </c>
      <c r="AC68" s="407" t="s">
        <v>927</v>
      </c>
      <c r="AD68" s="399" t="s">
        <v>599</v>
      </c>
      <c r="AE68" s="399" t="s">
        <v>600</v>
      </c>
      <c r="AF68" s="399" t="s">
        <v>20</v>
      </c>
      <c r="AG68" s="399" t="s">
        <v>610</v>
      </c>
      <c r="AH68" s="399" t="s">
        <v>639</v>
      </c>
      <c r="AI68" s="406" t="s">
        <v>425</v>
      </c>
      <c r="AJ68" s="406" t="s">
        <v>168</v>
      </c>
      <c r="AK68" s="400" t="s">
        <v>425</v>
      </c>
      <c r="AL68" s="406" t="s">
        <v>626</v>
      </c>
      <c r="AM68" s="406" t="s">
        <v>652</v>
      </c>
      <c r="AN68" s="407" t="s">
        <v>928</v>
      </c>
      <c r="AO68" s="406" t="s">
        <v>929</v>
      </c>
      <c r="AP68" s="406" t="s">
        <v>930</v>
      </c>
      <c r="AQ68" s="406" t="s">
        <v>525</v>
      </c>
      <c r="AR68" s="406" t="s">
        <v>17</v>
      </c>
    </row>
    <row r="69" spans="2:44">
      <c r="B69" s="27">
        <v>1</v>
      </c>
      <c r="C69" s="27" t="b">
        <f>'Survey Front'!$E$12=C$68</f>
        <v>1</v>
      </c>
      <c r="D69" s="27" t="b">
        <f>'Survey Front'!$E$12=D$68</f>
        <v>0</v>
      </c>
      <c r="E69" s="27" t="b">
        <f>'Survey Front'!$E$12=E$68</f>
        <v>0</v>
      </c>
      <c r="F69" s="27" t="b">
        <f>'Survey Front'!$E$12=F$68</f>
        <v>0</v>
      </c>
      <c r="G69" s="27" t="b">
        <f>'Survey Front'!$E$12=G$68</f>
        <v>0</v>
      </c>
      <c r="H69" s="27" t="b">
        <f>'Survey Front'!$E$12=H$68</f>
        <v>0</v>
      </c>
      <c r="I69" s="27" t="b">
        <f>'Survey Front'!$E$12=I$68</f>
        <v>0</v>
      </c>
      <c r="J69" s="27" t="b">
        <f>'Survey Front'!$E$12=J$68</f>
        <v>0</v>
      </c>
      <c r="K69" s="27" t="b">
        <f>'Survey Front'!$E$12=K$68</f>
        <v>0</v>
      </c>
      <c r="L69" s="27" t="b">
        <f>'Survey Front'!$E$12=L$68</f>
        <v>0</v>
      </c>
      <c r="M69" s="27" t="b">
        <f>'Survey Front'!$E$12=M$68</f>
        <v>0</v>
      </c>
      <c r="N69" s="27" t="b">
        <f>OR(IF('Survey Front'!L12="",FALSE,AND(OR('Survey Front'!L12="Split Offset",'Survey Front'!L12="Split Custom",'Survey Front'!L12="Offset",'Survey Front'!L12="Custom",'Survey Front'!L12="Centre"),L69=TRUE,'Survey Front'!L12&lt;&gt;Helper!$Q$68)),AND(E69=TRUE,'Survey Front'!L12="49mm"))</f>
        <v>0</v>
      </c>
      <c r="O69" s="27" t="b">
        <f>IF('Survey Front'!L12="",FALSE,IF(AND(OR(D69=TRUE,L69=TRUE,M69=TRUE,F69=TRUE,E69=TRUE),OR('Survey Front'!L12="Silent",'Survey Front'!L12="Silent Split")),TRUE,FALSE))</f>
        <v>0</v>
      </c>
      <c r="P69" s="27" t="b">
        <f>OR(AND(OR(C69=TRUE,G69=TRUE,I69=TRUE,J69=TRUE,K69=TRUE+N("S-Craft Material"),AND(L69=TRUE,'Survey Front'!L12="Clearview",'Survey Front'!N12&gt;1200)),Q69=TRUE),AND(OR(F69=TRUE,H69=TRUE,E69=TRUE),'Survey Front'!N12&gt;1200,'Survey Front'!L12="Concealed"),AND(OR(F69=TRUE,H69=TRUE),'Survey Front'!N12&gt;1300,'Survey Front'!L12="Hidden")+N("Belize"))</f>
        <v>0</v>
      </c>
      <c r="Q69" s="27" t="b">
        <f>OR(AND(OR(C69=TRUE,G69=TRUE,I69=TRUE,J69=TRUE,K69=TRUE+N("S-Craft Materials")),'Survey Front'!L12=$Q$68),AND(L69=TRUE,'Survey Front'!L12=$O$68)+N("MAUI"),AND(F69=TRUE,'Survey Front'!L12=Helper!$Q$68),AND(E69=TRUE,'Survey Front'!L12=Helper!$Q$68))</f>
        <v>0</v>
      </c>
      <c r="R69" s="46" t="e">
        <f>IF(Matrix2!AD19=0,FALSE,OR(AND(IF('Survey Front'!M12/(Matrix2!AD$19)&lt;152,TRUE,FALSE),'Survey Front'!K12&lt;&gt;"Silent",OR(C69=TRUE,G69=TRUE,I69=TRUE,J69=TRUE,K69=TRUE)+N("S-Craft Materials")),AND(OR(D69=TRUE,M69=TRUE),'Survey Front'!M12/(Matrix2!AD$19)&lt;250+N("Aruba,Tahiti"),N69=TRUE),AND(L69=TRUE,'Survey Front'!H12="49mm"),AND(H69=TRUE,'Survey Front'!M12&lt;200),AND(F69=TRUE,'Survey Front'!M12=250),AND(E69=TRUE,'Survey Front'!M12=200)))</f>
        <v>#VALUE!</v>
      </c>
      <c r="S69" s="401" t="b">
        <f>IF(Matrix2!AD67=0,FALSE,OR(AND('Survey Front'!M12/(Matrix2!AD$19)&lt;152+N("S-Craft"),O69=TRUE,OR(C69=TRUE,G69=TRUE,I69=TRUE,J69=TRUE,K69=TRUE)),AND('Survey Front'!M12/(Matrix2!AD$19)&lt;170+N("Aruba"),Q69=TRUE),AND(OR(L69=TRUE,M69=TRUE),'Survey Front'!L12=Q68,Pricing!M56/(Matrix2!AD$19)&lt;250+N("MAUI")),AND(H69=TRUE,OR('Survey Front'!L12="Supatilt",'Survey Front'!L12="Silent"),'Survey Front'!M12&lt;200)))</f>
        <v>0</v>
      </c>
      <c r="T69" s="91" t="b">
        <f>IF(Matrix2!AD67=0,FALSE,OR(AND(C69=TRUE,'Survey Front'!H12="47mm",('Survey Front'!M12/Matrix2!AD$19)&gt;600),AND(G69=TRUE,'Survey Front'!H12="47mm",('Survey Front'!M12/Matrix2!AD$19)&gt;610+N("Bermuda")),AND(G69=TRUE,'Survey Front'!H12="47mm",('Survey Front'!M12/Matrix2!AD$19)&gt;750+N("Cuba")),AND(J69=TRUE,'Survey Front'!H12="47mm",('Survey Front'!M12/Matrix2!AD$19)&gt;750+N("Fiji")),AND(K69=TRUE,'Survey Front'!H12="47mm",('Survey Front'!M12/Matrix2!AD$19)&gt;550+N("Java")),AND(L69=TRUE,Pricing!H56="47mm"),AND(L69=TRUE,'Survey Front'!H12="47mm",('Survey Front'!M12/Matrix2!AD$19)&gt;850+N("Tahiti")),AND(H69=TRUE,'Survey Front'!H12="47mm"),AND(F69=TRUE,'Survey Front'!H12="47mm"),AND(E69=TRUE,'Survey Front'!H12="47mm")))</f>
        <v>0</v>
      </c>
      <c r="U69" s="401" t="b">
        <f>IF('Survey Front'!M12="",FALSE,OR(AND(C69=TRUE,AD69=FALSE,('Survey Front'!M12/(Matrix2!AD$19))&gt;750+N("Barbados")),AND(D69=TRUE,'Survey Front'!H12&lt;&gt;"89mm",'Survey Front'!H12&lt;&gt;"114mm",'Survey Front'!M12/Matrix2!AD67&gt;800)+N("Aruba"),AND(D69=TRUE,'Survey Front'!H12&lt;&gt;"63mm",'Survey Front'!H12&lt;&gt;"76mm",'Survey Front'!M12/Matrix2!AD67&gt;920)+N("Aruba"),AND(G69=TRUE,'Survey Front'!M12/Matrix2!AD67&gt;915)+N("Bermuda"),AND(G69=TRUE,'Survey Front'!M12/Matrix2!AD67&gt;890)+N("Cuba"),AND(J69=TRUE,OR(AE69=TRUE,AF69=TRUE),('Survey Front'!M12/Matrix2!AD67)&gt;890+N("Fiji")),AND(J69=TRUE,OR(AG69=TRUE,AH69=TRUE),('Survey Front'!M12/Matrix2!AD67)&gt;1047+N("Fiji")),AND(K69=TRUE,OR(AE69=TRUE,AF69=TRUE),('Survey Front'!M12/Matrix2!AD67)&gt;800+N("Java")),AND(K69=TRUE,OR(AG69=TRUE,AH69=TRUE),('Survey Front'!M12/Matrix2!AD67)&gt;890+N("Java")),AND(L69=TRUE,('Survey Front'!M12/Matrix2!AD67)&gt;950+N("Maui")),AND(M69=TRUE,'Survey Front'!H12="63mm",('Survey Front'!M12/Matrix2!AD67)&gt;850+N("Tahiti 63mm")),AND(M69=TRUE,OR(Pricing!H56="76mm",Pricing!H56="89mm",Pricing!H56="114mm"),(Pricing!M56/Matrix2!AD67)&gt;950+N("Tahiti 76,89,114mm")),AND(H69=TRUE,(Pricing!M56/Matrix2!AD67)&gt;890+N("Capri")),AND(OR(H69=TRUE,F69=TRUE),'Survey Front'!D12="Tracked",('Survey Front'!M12/Matrix2!AD67)&gt;600),AND(H69=TRUE,'Survey Front'!M12&gt;890,LEN(Matrix2!AD70)=1),AND(F69=TRUE,'Survey Front'!M12&gt;750,LEN(Matrix2!AD$22)=1,'Survey Front'!H12="63mm"),AND(F69=TRUE,'Survey Front'!M12&gt;890,LEN(Matrix2!AD70)=1,OR('Survey Front'!H12="76mm",'Survey Front'!H12="89mm",'Survey Front'!H12="114mm")),AND(E69=TRUE,'Survey Front'!M12=700)))</f>
        <v>0</v>
      </c>
      <c r="V69" s="401" t="b">
        <f>IF('Survey Front'!M12="",FALSE,OR(AND(OR(Matrix2!AD70="LL",Matrix2!AD70="RR"),'Survey Front'!D12&lt;&gt;"Tracked",OR(C69=TRUE,D69=TRUE,L69=TRUE,M69=TRUE),('Survey Front'!M12/2)&gt;600,'Survey Front'!D12&lt;&gt;"Tracked"),AND(OR(Matrix2!AD70="LL",Matrix2!AD70="RR"),'Survey Front'!D12&lt;&gt;"Tracked",OR(G69=TRUE,AND(K69=TRUE,'Survey Front'!H12&lt;&gt;"47mm")),('Survey Front'!M12/Matrix2!AD67)&gt;610)+N("Bermuda, Java"),AND(OR(Matrix2!AD70="LL",Matrix2!AD70="RR"),'Survey Front'!D12&lt;&gt;"Tracked",OR(I69=TRUE,J69=TRUE),('Survey Front'!M12/Matrix2!AD67)&gt;660)+N("Cuba &amp; Fiji"),AND(OR(Matrix2!AD70="LL",Matrix2!AD70="RR"),'Survey Front'!D12="Tracked",K69=TRUE,'Survey Front'!H12="47mm",('Survey Front'!M12/Matrix2!AD67)&gt;550)+N("Java"),AND(L69=TRUE,'Survey Front'!D12="Tracked",('Survey Front'!M12/Matrix2!AD67)&gt;700),AND(H69=TRUE,'Survey Front'!D12&lt;&gt;"Tracked",('Survey Front'!M12/Matrix2!AD67)&gt;625),AND(H69=TRUE,OR(Matrix2!AD70="LL",Matrix2!AD70="RR"),'Survey Front'!D12&lt;&gt;"Tracked",('Survey Front'!M12/Matrix2!AD67)&gt;625)+N("Capri Bifold"),AND(H69=TRUE,OR(Matrix2!AD70="LLL",Matrix2!AD70="RRR",Matrix2!AD70="LLLRRR"),'Survey Front'!D12&lt;&gt;"Tracked",('Survey Front'!M12/Matrix2!AD67)&gt;550)+N("Capri Multifold"),AND(H69=TRUE,'Survey Front'!D12="Tracked",NOT(ISEVEN(LEN(Matrix2!AD70)))),AND(G69=TRUE,OR(Matrix2!AD70="LL",Matrix2!AD70="RR"),'Survey Front'!D12&lt;&gt;"Tracked",('Survey Front'!M12/Matrix2!AD67)&gt;500),AND(F69=TRUE,'Survey Front'!M12/Matrix2!AD67&gt;500,'Survey Front'!D12&lt;&gt;"Tracked"),AND(F69=TRUE,OR(Matrix2!AD70="LL",Matrix2!AD70="RR"),'Survey Front'!D12&lt;&gt;"Tracked",('Survey Front'!M12/Matrix2!AD67)&gt;600),AND(F69=TRUE,OR(Matrix2!AD70="LL",Matrix2!AD70="RR",Matrix2!AD70="LLL",Matrix2!AD70="RRR",Matrix2!AD70="LLLLRRRR"),'Survey Front'!D12="Tracked",('Survey Front'!M12/Matrix2!AD67)&gt;600),AND(E69=TRUE,OR(Matrix2!AD70="LL",Matrix2!AD70="RR"),'Survey Front'!D12&lt;&gt;"Tracked",('Survey Front'!M12/Matrix2!AD67)&gt;500)+N("Aruba Express")))</f>
        <v>0</v>
      </c>
      <c r="W69" s="401" t="b">
        <f>IF(Pricing!M56="",FALSE,OR(AND(ISERROR(FIND("(",Matrix2!AD70)),LEN(Matrix2!AD70)-LEN(SUBSTITUTE(Matrix2!AD70,"L",""))&gt;2,OR(C69=TRUE,G69=TRUE,K69=TRUE,L69=TRUE,M69=TRUE,F69=TRUE,E69=TRUE)),AND(ISERROR(FIND("(",Matrix2!AD70)),LEN(Matrix2!AD70)-LEN(SUBSTITUTE(Matrix2!AD70,"R",""))&gt;2,OR(C69=TRUE,G69=TRUE,L69=TRUE,M69=TRUE,F69=TRUE,E69=TRUE)),AND(ISERROR(FIND("(",Matrix2!AD70)),LEN(Matrix2!AD70)-LEN(SUBSTITUTE(Matrix2!AD70,"R",""))&gt;4,OR(I69=TRUE,AND(H69=TRUE,Pricing!D56="Tracked")),(Pricing!M56/Matrix2!AD67)&gt;550),AND(ISERROR(FIND("(",Matrix2!AD70)),LEN(Matrix2!AD70)-LEN(SUBSTITUTE(Matrix2!AD70,"L",""))&gt;4,OR(I69=TRUE,AND(H69=TRUE,Pricing!D56="Tracked")),(Pricing!M56/Matrix2!AD67)&gt;550),AND(ISERROR(FIND("(",Matrix2!AD70)),LEN(Matrix2!AD70)-LEN(SUBSTITUTE(Matrix2!AD70,"L",""))&gt;3,H69=TRUE),AND(ISERROR(FIND("(",Matrix2!AD70)),LEN(Matrix2!AD70)-LEN(SUBSTITUTE(Matrix2!AD70,"R",""))&gt;3,H69=TRUE)))</f>
        <v>0</v>
      </c>
      <c r="X69" s="46" t="b">
        <f>IF('Survey Front'!N12="",FALSE,OR('Survey Front'!N12&lt;250+N("Barbados, Aruba, Bermuda, Cuba, Fiji, Java, Maui, Tahiti, Capri, Aruba Express"),AND(F69=TRUE,'Survey Front'!N12&lt;300)))</f>
        <v>0</v>
      </c>
      <c r="Y69" s="46" t="b">
        <f>IF('Survey Front'!N12="",FALSE,OR('Survey Front'!N12&gt;3000 +N("Barbados, Aruba, Bermuda, Cuba, Fiji, Java, Maui, Tahiti, Capri, Aruba Express"),AND(F69=TRUE,'Survey Front'!N12&gt;2700+N("Belize"))))</f>
        <v>0</v>
      </c>
      <c r="Z69" s="46" t="b">
        <f>OR(AND('Survey Front'!D12="Shape",OR(C69=TRUE,G69=TRUE,I69=TRUE,E69=TRUE)+N("Barbados, Bermuda, Cuba, Java, Aruba Express")),AND('Survey Front'!D12="Shape",D69=TRUE+N("Aruba")))</f>
        <v>0</v>
      </c>
      <c r="AA69" s="46" t="b">
        <f>AND(NOT(ISERROR(FIND("CB",Matrix2!AJ22))),(D69=TRUE+N("Aruba")))</f>
        <v>0</v>
      </c>
      <c r="AB69" s="46" t="b">
        <f>AND(O69=TRUE,'Survey Front'!N12&gt;1372,OR(C69=TRUE,G69=TRUE,J69=TRUE,K69=TRUE,I69=TRUE))</f>
        <v>0</v>
      </c>
      <c r="AC69" s="46" t="b">
        <f>OR(AND(OR(C69=TRUE,G69=TRUE,I69=TRUE),'Survey Front'!N12&gt;1879+N("S-Craft")),AND(D69=TRUE,'Survey Front'!N12&gt;1500,'Survey Front'!N12&lt;=2000),AND(J69=TRUE,'Survey Front'!N12&gt;1981),AND(K69=TRUE,'Survey Front'!N12&gt;1828),OR(AND(OR(L69=TRUE,M69=TRUE),'Survey Front'!N12&gt;1800,'Survey Front'!N12&lt;=2500),AND(OR(L69=TRUE,M69=TRUE),'Survey Front'!N12&gt;=2501,'Survey Front'!N12&lt;=3000)),AND(H69=TRUE,'Survey Front'!N12&gt;1799),OR(AND(E69=TRUE,'Survey Front'!N12&gt;1800,'Survey Front'!N12&lt;=2400),AND(E69=TRUE,'Survey Front'!N12&gt;=2401,'Survey Front'!N12&lt;=3000))+N("Aruba Express"))</f>
        <v>1</v>
      </c>
      <c r="AD69" s="46" t="b">
        <f>AND(OR(H69=TRUE,D69=TRUE,E69=TRUE,F69=TRUE,L69=TRUE),'Survey Front'!H12="47mm")</f>
        <v>0</v>
      </c>
      <c r="AE69" s="452" t="b">
        <f>AND(Pricing!H56=AE68,L69=TRUE)</f>
        <v>0</v>
      </c>
      <c r="AF69" s="452" t="b">
        <f>Pricing!H56=AF68</f>
        <v>0</v>
      </c>
      <c r="AG69" s="452" t="b">
        <f>Pricing!H56=AG68</f>
        <v>0</v>
      </c>
      <c r="AH69" s="46" t="b">
        <f>OR(AND('Survey Front'!H12=$AH$68,I69=TRUE+N("Cuba")),AND(L69=TRUE,'Survey Front'!H12=$AH$68),AND(E69=TRUE,'Survey Front'!H12=$AH$68))</f>
        <v>0</v>
      </c>
      <c r="AI69" s="46" t="b">
        <f>IF(AND(OR(K69=TRUE,L69=TRUE,M69=TRUE,E69=TRUE),'Survey Front'!D12="S/Shade"),TRUE,AND('Survey Front'!D12="S/Shade",OR(C69=TRUE,G69=TRUE,I69=TRUE,J69-TRUE,H69=TRUE,F69=TRUE+N("Barbados, Bermuda, Cuba, Fiji, Capri, Belize")),'Survey Front'!I12&lt;&gt;"FFrame"))</f>
        <v>0</v>
      </c>
      <c r="AJ69" s="46" t="b">
        <f>AND('Survey Front'!D12="French Door Cutout",OR(C69=TRUE,D69=TRUE,E69=TRUE,G69=TRUE,I69=TRUE, K69=TRUE,E69=TRUE+N("Barbados, Bermuda, Cuba, Java, Aruba,AK21 Aruba Express")))</f>
        <v>0</v>
      </c>
      <c r="AK69" s="46" t="b">
        <f>AND('Survey Front'!D12=AK68,OR(E69=TRUE,D69=TRUE))</f>
        <v>0</v>
      </c>
      <c r="AL69" s="27" t="b">
        <f>AND('Survey Front'!D12="Tier on Tier",'Survey Front'!M12&gt;=1361+N("1219 S-Craft, Pauls Limit"))</f>
        <v>0</v>
      </c>
      <c r="AM69" s="401" t="b">
        <f>AND('Survey Front'!C12="Bathroom",OR(C69=TRUE,G69=TRUE,I69=TRUE,J69=TRUE,L69=TRUE,M69=TRUE,H69=TRUE,D69=TRUE,E69=TRUE)+N("If not JAVA OR Belize"))</f>
        <v>0</v>
      </c>
      <c r="AN69" s="27" t="b">
        <f>OR(AND(Pricing!S61&lt;&gt;"Finance Please Select",Pricing!N122="10% Promo"))</f>
        <v>0</v>
      </c>
      <c r="AO69" s="27" t="b">
        <f>AND(K69=TRUE,ISERROR(FIND("Stainless Steel",Pricing!G58)))</f>
        <v>0</v>
      </c>
      <c r="AP69" s="27" t="b" cm="1">
        <f t="array" ref="AP69">IF('Survey Front'!F12="",FALSE,NOT(OR(AND(C69=TRUE,COUNTIF(Barbados,'Survey Front'!F12)&gt;0),AND(D69=TRUE,COUNTIF(Aruba,'Survey Front'!F12)&gt;0),AND(E69=TRUE,COUNTIF(ArubaExpress,'Survey Front'!F12)&gt;0),AND(F69=TRUE,COUNTIF(Belize,'Survey Front'!F12)&gt;0),AND(G69=TRUE,COUNTIF(Bermuda,'Survey Front'!F12)&gt;0),AND(H69=TRUE,COUNTIF(Capri,'Survey Front'!F12)&gt;0),AND(I69=TRUE,COUNTIF(Cuba,'Survey Front'!F12)&gt;0),AND(J69=TRUE,COUNTIF(Fiji,'Survey Front'!F12)&gt;0),AND(K69=TRUE,COUNTIF(Java,'Survey Front'!F12)&gt;0),AND(L69=TRUE,COUNTIF(Maui,'Survey Front'!F12)&gt;0),AND(M69=TRUE,COUNTIF(Tahiti,'Survey Front'!F12)&gt;0))))</f>
        <v>0</v>
      </c>
      <c r="AQ69" s="27" t="b">
        <f>AND('Survey Front'!D12=$AQ$20,K69=FALSE,J69=FALSE,M69=FALSE,L69=FALSE,H69=FALSE,F69=FALSE)</f>
        <v>0</v>
      </c>
      <c r="AR69" s="27" t="b">
        <f>IF(AND('Survey Front'!D12="Tracked",COUNTIF(Table19[Tframes],'Survey Front'!D12)=0),TRUE,FALSE)</f>
        <v>1</v>
      </c>
    </row>
    <row r="70" spans="2:44">
      <c r="B70" s="27">
        <v>2</v>
      </c>
      <c r="C70" s="27" t="b">
        <f>'Survey Front'!$E$15=C$68</f>
        <v>1</v>
      </c>
      <c r="D70" s="27" t="b">
        <f>'Survey Front'!$E$15=D$68</f>
        <v>0</v>
      </c>
      <c r="E70" s="27" t="b">
        <f>'Survey Front'!$E$15=E$68</f>
        <v>0</v>
      </c>
      <c r="F70" s="27" t="b">
        <f>'Survey Front'!$E$15=F$68</f>
        <v>0</v>
      </c>
      <c r="G70" s="27" t="b">
        <f>'Survey Front'!$E$15=G$68</f>
        <v>0</v>
      </c>
      <c r="H70" s="27" t="b">
        <f>'Survey Front'!$E$15=H$68</f>
        <v>0</v>
      </c>
      <c r="I70" s="27" t="b">
        <f>'Survey Front'!$E$15=I$68</f>
        <v>0</v>
      </c>
      <c r="J70" s="27" t="b">
        <f>'Survey Front'!$E$15=J$68</f>
        <v>0</v>
      </c>
      <c r="K70" s="27" t="b">
        <f>'Survey Front'!$E$15=K$68</f>
        <v>0</v>
      </c>
      <c r="L70" s="27" t="b">
        <f>'Survey Front'!$E$15=L$68</f>
        <v>0</v>
      </c>
      <c r="M70" s="27" t="b">
        <f>'Survey Front'!$E$15=M$68</f>
        <v>0</v>
      </c>
      <c r="N70" s="27" t="b">
        <f>OR(IF('Survey Front'!L15="",FALSE,AND(OR('Survey Front'!L15="Split Offset",'Survey Front'!L15="Split Custom",'Survey Front'!L15="Offset",'Survey Front'!L15="Custom",'Survey Front'!L15="Centre"),L70=TRUE,'Survey Front'!L15&lt;&gt;Helper!$Q$68)),AND(E70=TRUE,'Survey Front'!L15="49mm"))</f>
        <v>0</v>
      </c>
      <c r="O70" s="27" t="b">
        <f>IF('Survey Front'!L15="",FALSE,IF(AND(OR(D70=TRUE,L70=TRUE,M70=TRUE,F70=TRUE,E70=TRUE),OR('Survey Front'!L15="Silent",'Survey Front'!L15="Silent Split")),TRUE,FALSE))</f>
        <v>0</v>
      </c>
      <c r="P70" s="27" t="b">
        <f>OR(AND(OR(C70=TRUE,G70=TRUE,I70=TRUE,J70=TRUE,K70=TRUE+N("S-Craft Material"),AND(L70=TRUE,'Survey Front'!L15="Clearview",'Survey Front'!N15&gt;1200)),Q70=TRUE),AND(OR(F70=TRUE,H70=TRUE,E70=TRUE),'Survey Front'!N15&gt;1200,'Survey Front'!L15="Concealed"),AND(OR(F70=TRUE,H70=TRUE),'Survey Front'!N15&gt;1300,'Survey Front'!L15="Hidden")+N("Belize"))</f>
        <v>0</v>
      </c>
      <c r="Q70" s="27" t="b">
        <f>OR(AND(OR(C70=TRUE,G70=TRUE,I70=TRUE,J70=TRUE,K70=TRUE+N("S-Craft Materials")),'Survey Front'!L15=$Q$68),AND(L70=TRUE,'Survey Front'!L15=$O$68)+N("MAUI"),AND(F70=TRUE,'Survey Front'!L15=Helper!$Q$68),AND(E70=TRUE,'Survey Front'!L15=Helper!$Q$68))</f>
        <v>0</v>
      </c>
      <c r="R70" s="46" t="e">
        <f>IF(Matrix2!AE19=0,FALSE,OR(AND(IF('Survey Front'!M15/(Matrix2!AE$19)&lt;152,TRUE,FALSE),'Survey Front'!L15&lt;&gt;"Silent",OR(C70=TRUE,G70=TRUE,I70=TRUE,J70=TRUE,K70=TRUE)+N("S-Craft Materials")),AND(OR(D70=TRUE,M70=TRUE),'Survey Front'!M15/(Matrix2!AE$19)&lt;250+N("Aruba,Tahiti"),N70=TRUE),AND(L70=TRUE,'Survey Front'!H15="49mm"),AND(H70=TRUE,'Survey Front'!M15&lt;200),AND(F70=TRUE,'Survey Front'!M15=250),AND(E70=TRUE,'Survey Front'!M15=200)))</f>
        <v>#VALUE!</v>
      </c>
      <c r="S70" s="401" t="b">
        <f>IF(Matrix2!AE67=0,FALSE,OR(AND('Survey Front'!M15/(Matrix2!AE$19)&lt;152+N("S-Craft"),O70=TRUE,OR(C70=TRUE,G70=TRUE,I70=TRUE,J70=TRUE,K70=TRUE)),AND('Survey Front'!M15/(Matrix2!AE$19)&lt;170+N("Aruba"),Q70=TRUE),AND(OR(L70=TRUE,M70=TRUE),'Survey Front'!L15=Q68,'Survey Front'!M15/(Matrix2!AE$19)&lt;250+N("MAUI")),AND(H70=TRUE,OR('Survey Front'!L15="Supatilt",'Survey Front'!L15="Silent"),'Survey Front'!M15&lt;200)))</f>
        <v>0</v>
      </c>
      <c r="T70" s="91" t="b">
        <f>IF(Matrix2!AE67=0,FALSE,OR(AND(C70=TRUE,'Survey Front'!H15="47mm",('Survey Front'!M15/Matrix2!AE$19)&gt;600),AND(G70=TRUE,'Survey Front'!H15="47mm",('Survey Front'!M15/Matrix2!AE$19)&gt;610+N("Bermuda")),AND(G70=TRUE,'Survey Front'!H15="47mm",('Survey Front'!M15/Matrix2!AE$19)&gt;750+N("Cuba")),AND(J70=TRUE,'Survey Front'!H15="47mm",('Survey Front'!M15/Matrix2!AE$19)&gt;750+N("Fiji")),AND(K70=TRUE,'Survey Front'!H15="47mm",('Survey Front'!M15/Matrix2!AE$19)&gt;550+N("Java")),AND(L70=TRUE,'Survey Front'!H15="47mm"),AND(L70=TRUE,'Survey Front'!H15="47mm",('Survey Front'!M15/Matrix2!AE$19)&gt;850+N("Tahiti")),AND(H70=TRUE,'Survey Front'!H15="47mm"),AND(F70=TRUE,'Survey Front'!H15="47mm"),AND(E70=TRUE,'Survey Front'!H15="47mm")))</f>
        <v>0</v>
      </c>
      <c r="U70" s="401" t="b">
        <f>IF('Survey Front'!M15="",FALSE,OR(AND(C70=TRUE,AD70=FALSE,('Survey Front'!M15/(Matrix2!AE$19))&gt;750+N("Barbados")),AND(D70=TRUE,'Survey Front'!H15&lt;&gt;"89mm",'Survey Front'!H15&lt;&gt;"114mm",'Survey Front'!M15/Matrix2!AE$19&gt;800)+N("Aruba"),AND(D70=TRUE,'Survey Front'!H15&lt;&gt;"63mm",'Survey Front'!H15&lt;&gt;"76mm",'Survey Front'!M15/Matrix2!AE$19&gt;920)+N("Aruba"),AND(G70=TRUE,'Survey Front'!M15/Matrix2!AE$19&gt;915)+N("Bermuda"),AND(G70=TRUE,'Survey Front'!M15/Matrix2!AE$19&gt;890)+N("Cuba"),AND(J70=TRUE,OR(AE70=TRUE,AF70=TRUE),('Survey Front'!M15/Matrix2!AE$19)&gt;890+N("Fiji")),AND(J70=TRUE,OR(AG70=TRUE,AH70=TRUE),('Survey Front'!M15/Matrix2!AE$19)&gt;1047+N("Fiji")),AND(K70=TRUE,OR(AE70=TRUE,AF70=TRUE),('Survey Front'!M15/Matrix2!AE$19)&gt;800+N("Java")),AND(K70=TRUE,OR(AG70=TRUE,AH70=TRUE),('Survey Front'!M15/Matrix2!AE$19)&gt;890+N("Java")),AND(L70=TRUE,('Survey Front'!M15/Matrix2!AE$19)&gt;950+N("Maui")),AND(M70=TRUE,'Survey Front'!H15="63mm",('Survey Front'!M15/Matrix2!AE$19)&gt;850+N("Tahiti 63mm")),AND(M70=TRUE,OR('Survey Front'!H15="76mm",'Survey Front'!H15="89mm",'Survey Front'!H15="114mm"),('Survey Front'!M15/Matrix2!AE$19)&gt;950+N("Tahiti 76,89,114mm")),AND(H70=TRUE,('Survey Front'!M15/Matrix2!AE$19)&gt;890+N("Capri")),AND(OR(H70=TRUE,F70=TRUE),Pricing!D59="Tracked",(Pricing!M59/Matrix2!AE$19)&gt;600),AND(H70=TRUE,Pricing!M59&gt;890,LEN(Matrix2!AD71)=1),AND(F70=TRUE,Pricing!M59&gt;750,LEN(Matrix2!AD71)=1,Pricing!H59="63mm"),AND(F70=TRUE,'Survey Front'!M15&gt;890,LEN(Matrix2!AD71)=1,OR('Survey Front'!H15="76mm",'Survey Front'!H15="89mm",'Survey Front'!H15="114mm")),AND(E70=TRUE,'Survey Front'!M15=700)))</f>
        <v>0</v>
      </c>
      <c r="V70" s="401" t="b">
        <f>IF('Survey Front'!M15="",FALSE,OR(AND(OR(Matrix2!AD71="LL",Matrix2!AD71="RR"),'Survey Front'!D15&lt;&gt;"Tracked",OR(C70=TRUE,D70=TRUE,L70=TRUE,M70=TRUE),('Survey Front'!M15/2)&gt;600,'Survey Front'!D15&lt;&gt;"Tracked"),AND(OR(Matrix2!AD71="LL",Matrix2!AD71="RR"),'Survey Front'!D15&lt;&gt;"Tracked",OR(G70=TRUE,AND(K70=TRUE,'Survey Front'!H15&lt;&gt;"47mm")),('Survey Front'!M15/Matrix2!$AE$19)&gt;610)+N("Bermuda, Java"),AND(OR(Matrix2!AD71="LL",Matrix2!AD71="RR"),'Survey Front'!D15&lt;&gt;"Tracked",OR(I70=TRUE,J70=TRUE),('Survey Front'!M15/Matrix2!$AE$19)&gt;660)+N("Cuba &amp; Fiji"),AND(OR(Matrix2!AD71="LL",Matrix2!AD71="RR"),'Survey Front'!D15="Tracked",K70=TRUE,'Survey Front'!H15="47mm",('Survey Front'!M15/Matrix2!$AE$19)&gt;550)+N("Java"),AND(L70=TRUE,'Survey Front'!D15="Tracked",('Survey Front'!M15/Matrix2!$AE$19)&gt;700),AND(H70=TRUE,'Survey Front'!D15&lt;&gt;"Tracked",('Survey Front'!M15/Matrix2!$AE$19)&gt;625),AND(H70=TRUE,OR(Matrix2!AD71="LL",Matrix2!AD71="RR"),'Survey Front'!D15&lt;&gt;"Tracked",('Survey Front'!M15/Matrix2!$AE$19)&gt;625)+N("Capri Bifold"),AND(H70=TRUE,OR(Matrix2!AD71="LLL",Matrix2!AD71="RRR",Matrix2!AD71="LLLRRR"),'Survey Front'!D15&lt;&gt;"Tracked",('Survey Front'!M15/Matrix2!$AE$19)&gt;550)+N("Capri Multifold"),AND(H70=TRUE,'Survey Front'!D15="Tracked",NOT(ISEVEN(LEN(Matrix2!AD71)))),AND(G70=TRUE,OR(Matrix2!AD71="LL",Matrix2!AD71="RR"),'Survey Front'!D15&lt;&gt;"Tracked",('Survey Front'!M15/Matrix2!$AE$19)&gt;500),AND(F70=TRUE,'Survey Front'!M15/Matrix2!$AE$19&gt;500,'Survey Front'!D15&lt;&gt;"Tracked"),AND(F70=TRUE,OR(Matrix2!AD71="LL",Matrix2!AD71="RR"),'Survey Front'!D15&lt;&gt;"Tracked",('Survey Front'!M15/Matrix2!$AE$19)&gt;600),AND(F70=TRUE,OR(Matrix2!AD71="LL",Matrix2!AD71="RR",Matrix2!AD71="LLL",Matrix2!AD71="RRR",Matrix2!AD71="LLLLRRRR"),'Survey Front'!D15="Tracked",('Survey Front'!M15/Matrix2!$AE$19)&gt;600),AND(E70=TRUE,OR(Matrix2!AD71="LL",Matrix2!AD71="RR"),'Survey Front'!D15&lt;&gt;"Tracked",('Survey Front'!M15/Matrix2!$AE$19)&gt;500)+N("Aruba Express")))</f>
        <v>0</v>
      </c>
      <c r="W70" s="401" t="b">
        <f>IF(Pricing!M59="",FALSE,OR(AND(ISERROR(FIND("(",Matrix2!AD71)),LEN(Matrix2!AD71)-LEN(SUBSTITUTE(Matrix2!AD71,"L",""))&gt;2,OR(C70=TRUE,G70=TRUE,K70=TRUE,L70=TRUE,M70=TRUE,F70=TRUE,E70=TRUE)),AND(ISERROR(FIND("(",Matrix2!AD71)),LEN(Matrix2!AD71)-LEN(SUBSTITUTE(Matrix2!AD71,"R",""))&gt;2,OR(C70=TRUE,G70=TRUE,L70=TRUE,M70=TRUE,F70=TRUE,E70=TRUE)),AND(ISERROR(FIND("(",Matrix2!AD71)),LEN(Matrix2!AD71)-LEN(SUBSTITUTE(Matrix2!AD71,"R",""))&gt;4,OR(I70=TRUE,AND(H70=TRUE,Pricing!D59="Tracked")),(Pricing!M59/Matrix2!AE67)&gt;550),AND(ISERROR(FIND("(",Matrix2!AD71)),LEN(Matrix2!AD71)-LEN(SUBSTITUTE(Matrix2!AD71,"L",""))&gt;4,OR(I70=TRUE,AND(H70=TRUE,Pricing!D59="Tracked")),(Pricing!M59/Matrix2!AE67)&gt;550),AND(ISERROR(FIND("(",Matrix2!AD71)),LEN(Matrix2!AD71)-LEN(SUBSTITUTE(Matrix2!AD71,"L",""))&gt;3,H70=TRUE),AND(ISERROR(FIND("(",Matrix2!AD71)),LEN(Matrix2!AD71)-LEN(SUBSTITUTE(Matrix2!AD71,"R",""))&gt;3,H70=TRUE)))</f>
        <v>0</v>
      </c>
      <c r="X70" s="46" t="b">
        <f>IF('Survey Front'!N15="",FALSE,OR('Survey Front'!N15&lt;250+N("Barbados, Aruba, Bermuda, Cuba, Fiji, Java, Maui, Tahiti, Capri, Aruba Express"),AND(F70=TRUE,'Survey Front'!N15&lt;300)))</f>
        <v>0</v>
      </c>
      <c r="Y70" s="46" t="b">
        <f>IF('Survey Front'!N15="",FALSE,OR('Survey Front'!N15&gt;3000 +N("Barbados, Aruba, Bermuda, Cuba, Fiji, Java, Maui, Tahiti, Capri, Aruba Express"),AND(F70=TRUE,'Survey Front'!N15&gt;2700+N("Belize"))))</f>
        <v>0</v>
      </c>
      <c r="Z70" s="46" t="b">
        <f>OR(AND('Survey Front'!D15="Shape",OR(C70=TRUE,G70=TRUE,I70=TRUE,E70=TRUE)+N("Barbados, Bermuda, Cuba, Java, Aruba Express")),AND('Survey Front'!D15="Shape",D70=TRUE+N("Aruba")))</f>
        <v>0</v>
      </c>
      <c r="AA70" s="46" t="b">
        <f>AND(NOT(ISERROR(FIND("CB",Matrix2!AJ23))),(D70=TRUE+N("Aruba")))</f>
        <v>0</v>
      </c>
      <c r="AB70" s="46" t="b">
        <f>AND(O70=TRUE,'Survey Front'!N15&gt;1372,OR(C70=TRUE,G70=TRUE,J70=TRUE,K70=TRUE,I70=TRUE))</f>
        <v>0</v>
      </c>
      <c r="AC70" s="46" t="b">
        <f>OR(AND(OR(C70=TRUE,G70=TRUE,I70=TRUE),'Survey Front'!N15&gt;1879+N("S-Craft")),AND(D70=TRUE,'Survey Front'!N15&gt;1500,'Survey Front'!N15&lt;=2000),AND(J70=TRUE,'Survey Front'!N15&gt;1981),AND(K70=TRUE,'Survey Front'!N15&gt;1828),OR(AND(OR(L70=TRUE,M70=TRUE),'Survey Front'!N15&gt;1800,'Survey Front'!N15&lt;=2500),AND(OR(L70=TRUE,M70=TRUE),'Survey Front'!N15&gt;=2501,'Survey Front'!N13&lt;=3000)),AND(H70=TRUE,'Survey Front'!N15&gt;1799),OR(AND(E70=TRUE,'Survey Front'!N15&gt;1800,'Survey Front'!N15&lt;=2400),AND(E70=TRUE,'Survey Front'!N15&gt;=2401,'Survey Front'!N15&lt;=3000))+N("Aruba Express"))</f>
        <v>1</v>
      </c>
      <c r="AD70" s="46" t="b">
        <f>AND(OR(H70=TRUE,D70=TRUE,E70=TRUE,F70=TRUE,L70=TRUE),'Survey Front'!H15="47mm")</f>
        <v>0</v>
      </c>
      <c r="AE70" s="452"/>
      <c r="AF70" s="452"/>
      <c r="AG70" s="452"/>
      <c r="AH70" s="46" t="b">
        <f>OR(AND('Survey Front'!H15=$AH$68,I70=TRUE+N("Cuba")),AND(L70=TRUE,'Survey Front'!H15=$AH$68),AND(E70=TRUE,'Survey Front'!H15=$AH$68))</f>
        <v>0</v>
      </c>
      <c r="AI70" s="46" t="b">
        <f>IF(AND(OR(K70=TRUE,L70=TRUE,M70=TRUE,E70=TRUE),'Survey Front'!D15="S/Shade"),TRUE,AND('Survey Front'!D15="S/Shade",OR(C70=TRUE,G70=TRUE,I70=TRUE,J70-TRUE,H70=TRUE,F70=TRUE+N("Barbados, Bermuda, Cuba, Fiji, Capri, Belize")),'Survey Front'!I15&lt;&gt;"FFrame"))</f>
        <v>0</v>
      </c>
      <c r="AJ70" s="46" t="b">
        <f>AND('Survey Front'!D15="French Door Cutout",OR(C70=TRUE,D70=TRUE,E70=TRUE,G70=TRUE,I70=TRUE, K70=TRUE,E70=TRUE+N("Barbados, Bermuda, Cuba, Java, Aruba,AK21 Aruba Express")))</f>
        <v>0</v>
      </c>
      <c r="AK70" s="46" t="b">
        <f>AND('Survey Front'!D15=AK69,OR(E70=TRUE,D70=TRUE))</f>
        <v>0</v>
      </c>
      <c r="AL70" s="27" t="b">
        <f>AND('Survey Front'!D15="Tier on Tier",'Survey Front'!M15&gt;=1361+N("1219 S-Craft, Pauls Limit"))</f>
        <v>0</v>
      </c>
      <c r="AM70" s="401" t="b">
        <f>AND('Survey Front'!C15="Bathroom",OR(C70=TRUE,G70=TRUE,I70=TRUE,J70=TRUE,L70=TRUE,M70=TRUE,H70=TRUE,D70=TRUE,E70=TRUE)+N("If not JAVA OR Belize"))</f>
        <v>0</v>
      </c>
      <c r="AN70" s="27"/>
      <c r="AO70" s="27" t="b">
        <f>AND(K70=TRUE,ISERROR(FIND("Stainless Steel",Pricing!G61)))</f>
        <v>0</v>
      </c>
      <c r="AP70" s="27" t="b" cm="1">
        <f t="array" ref="AP70">IF('Survey Front'!F15="",FALSE,NOT(OR(AND(C70=TRUE,COUNTIF(Barbados,'Survey Front'!F15)&gt;0),AND(D70=TRUE,COUNTIF(Aruba,'Survey Front'!F15)&gt;0),AND(E70=TRUE,COUNTIF(ArubaExpress,'Survey Front'!F15)&gt;0),AND(F70=TRUE,COUNTIF(Belize,'Survey Front'!F15)&gt;0),AND(G70=TRUE,COUNTIF(Bermuda,'Survey Front'!F15)&gt;0),AND(H70=TRUE,COUNTIF(Capri,'Survey Front'!F15)&gt;0),AND(I70=TRUE,COUNTIF(Cuba,'Survey Front'!F15)&gt;0),AND(J70=TRUE,COUNTIF(Fiji,'Survey Front'!F15)&gt;0),AND(K70=TRUE,COUNTIF(Java,'Survey Front'!F15)&gt;0),AND(L70=TRUE,COUNTIF(Maui,'Survey Front'!F15)&gt;0),AND(M70=TRUE,COUNTIF(Tahiti,'Survey Front'!F15)&gt;0))))</f>
        <v>0</v>
      </c>
      <c r="AQ70" s="27" t="b">
        <f>AND('Survey Front'!D15=$AQ$20,K70=FALSE,J70=FALSE,M70=FALSE,L70=FALSE,H70=FALSE,F70=FALSE)</f>
        <v>0</v>
      </c>
      <c r="AR70" s="27" t="b">
        <f>IF(AND('Survey Front'!D15="Tracked",COUNTIF(Table19[Tframes],'Survey Front'!D15)=0),TRUE,FALSE)</f>
        <v>0</v>
      </c>
    </row>
    <row r="71" spans="2:44">
      <c r="B71" s="27">
        <v>3</v>
      </c>
      <c r="C71" s="27" t="b">
        <f>'Survey Front'!$E$18=C$68</f>
        <v>1</v>
      </c>
      <c r="D71" s="27" t="b">
        <f>'Survey Front'!$E$18=D$68</f>
        <v>0</v>
      </c>
      <c r="E71" s="27" t="b">
        <f>'Survey Front'!$E$18=E$68</f>
        <v>0</v>
      </c>
      <c r="F71" s="27" t="b">
        <f>'Survey Front'!$E$18=F$68</f>
        <v>0</v>
      </c>
      <c r="G71" s="27" t="b">
        <f>'Survey Front'!$E$18=G$68</f>
        <v>0</v>
      </c>
      <c r="H71" s="27" t="b">
        <f>'Survey Front'!$E$18=H$68</f>
        <v>0</v>
      </c>
      <c r="I71" s="27" t="b">
        <f>'Survey Front'!$E$18=I$68</f>
        <v>0</v>
      </c>
      <c r="J71" s="27" t="b">
        <f>'Survey Front'!$E$18=J$68</f>
        <v>0</v>
      </c>
      <c r="K71" s="27" t="b">
        <f>'Survey Front'!$E$18=K$68</f>
        <v>0</v>
      </c>
      <c r="L71" s="27" t="b">
        <f>'Survey Front'!$E$18=L$68</f>
        <v>0</v>
      </c>
      <c r="M71" s="27" t="b">
        <f>'Survey Front'!$E$18=M$68</f>
        <v>0</v>
      </c>
      <c r="N71" s="27" t="b">
        <f>OR(IF('Survey Front'!L18="",FALSE,AND(OR('Survey Front'!L18="Split Offset",'Survey Front'!L18="Split Custom",'Survey Front'!L18="Offset",'Survey Front'!L18="Custom",'Survey Front'!L18="Centre"),L71=TRUE,'Survey Front'!L18&lt;&gt;Helper!$Q$68)),AND(E71=TRUE,'Survey Front'!L18="49mm"))</f>
        <v>0</v>
      </c>
      <c r="O71" s="27" t="b">
        <f>IF('Survey Front'!L18="",FALSE,IF(AND(OR(D71=TRUE,L71=TRUE,M71=TRUE,F71=TRUE,E71=TRUE),OR('Survey Front'!L18="Silent",'Survey Front'!L18="Silent Split")),TRUE,FALSE))</f>
        <v>0</v>
      </c>
      <c r="P71" s="27" t="b">
        <f>OR(AND(OR(C71=TRUE,G71=TRUE,I71=TRUE,J71=TRUE,K71=TRUE+N("S-Craft Material"),AND(L71=TRUE,'Survey Front'!L18="Clearview",'Survey Front'!N18&gt;1200)),Q71=TRUE),AND(OR(F71=TRUE,H71=TRUE,E71=TRUE),'Survey Front'!N18&gt;1200,'Survey Front'!L18="Concealed"),AND(OR(F71=TRUE,H71=TRUE),'Survey Front'!N18&gt;1300,'Survey Front'!L18="Hidden")+N("Belize"))</f>
        <v>0</v>
      </c>
      <c r="Q71" s="27" t="b">
        <f>OR(AND(OR(C71=TRUE,G71=TRUE,I71=TRUE,J71=TRUE,K71=TRUE+N("S-Craft Materials")),'Survey Front'!L18=$Q$68),AND(L71=TRUE,'Survey Front'!L18=$O$68)+N("MAUI"),AND(F71=TRUE,'Survey Front'!L18=Helper!$Q$68),AND(E71=TRUE,'Survey Front'!L18=Helper!$Q$68))</f>
        <v>0</v>
      </c>
      <c r="R71" s="46" t="e">
        <f>IF(Matrix2!AF19=0,FALSE,OR(AND(IF('Survey Front'!M18/(Matrix2!AF$19)&lt;152,TRUE,FALSE),'Survey Front'!L18&lt;&gt;"Silent",OR(C71=TRUE,G71=TRUE,I71=TRUE,J71=TRUE,K71=TRUE)+N("S-Craft Materials")),AND(OR(D71=TRUE,M71=TRUE),'Survey Front'!M18/(Matrix2!AF$19)&lt;250+N("Aruba,Tahiti"),N71=TRUE),AND(L71=TRUE,'Survey Front'!H18="49mm"),AND(H71=TRUE,'Survey Front'!M18&lt;200),AND(F71=TRUE,'Survey Front'!M18=250),AND(E71=TRUE,'Survey Front'!M18=200)))</f>
        <v>#VALUE!</v>
      </c>
      <c r="S71" s="401" t="b">
        <f>IF(Matrix2!AF67=0,FALSE,OR(AND('Survey Front'!M18/(Matrix2!AF$19)&lt;152+N("S-Craft"),O71=TRUE,OR(C71=TRUE,G71=TRUE,I71=TRUE,J71=TRUE,K71=TRUE)),AND('Survey Front'!M18/(Matrix2!AF$19)&lt;170+N("Aruba"),Q71=TRUE),AND(OR(L71=TRUE,M71=TRUE),'Survey Front'!L18=Q68,'Survey Front'!M18/(Matrix2!AF$19)&lt;250+N("MAUI")),AND(H71=TRUE,OR('Survey Front'!L18="Supatilt",'Survey Front'!L18="Silent"),'Survey Front'!M18&lt;200)))</f>
        <v>0</v>
      </c>
      <c r="T71" s="91" t="b">
        <f>IF(Matrix2!AF67=0,FALSE,OR(AND(C71=TRUE,'Survey Front'!H18="47mm",('Survey Front'!M18/Matrix2!AF$19)&gt;600),AND(G71=TRUE,'Survey Front'!H18="47mm",('Survey Front'!M18/Matrix2!AF$19)&gt;610+N("Bermuda")),AND(G71=TRUE,'Survey Front'!H18="47mm",('Survey Front'!M18/Matrix2!AF$19)&gt;750+N("Cuba")),AND(J71=TRUE,'Survey Front'!H18="47mm",('Survey Front'!M18/Matrix2!AF$19)&gt;750+N("Fiji")),AND(K71=TRUE,'Survey Front'!H18="47mm",('Survey Front'!M18/Matrix2!AF$19)&gt;550+N("Java")),AND(L71=TRUE,'Survey Front'!H18="47mm"),AND(L71=TRUE,'Survey Front'!H18="47mm",('Survey Front'!M18/Matrix2!AF$19)&gt;850+N("Tahiti")),AND(H71=TRUE,'Survey Front'!H18="47mm"),AND(F71=TRUE,'Survey Front'!H18="47mm"),AND(E71=TRUE,'Survey Front'!H18="47mm")))</f>
        <v>0</v>
      </c>
      <c r="U71" s="401" t="b">
        <f>IF('Survey Front'!M18="",FALSE,OR(AND(C71=TRUE,AD71=FALSE,('Survey Front'!M18/(Matrix2!AF$19))&gt;750+N("Barbados")),AND(D71=TRUE,'Survey Front'!H18&lt;&gt;"89mm",'Survey Front'!H18&lt;&gt;"114mm",'Survey Front'!M18/Matrix2!AF$19&gt;800)+N("Aruba"),AND(D71=TRUE,'Survey Front'!H18&lt;&gt;"63mm",'Survey Front'!H18&lt;&gt;"76mm",'Survey Front'!M18/Matrix2!AF$19&gt;920)+N("Aruba"),AND(G71=TRUE,'Survey Front'!M18/Matrix2!AF$19&gt;915)+N("Bermuda"),AND(G71=TRUE,'Survey Front'!M18/Matrix2!AF$19&gt;890)+N("Cuba"),AND(J71=TRUE,OR(AE71=TRUE,AF71=TRUE),('Survey Front'!M18/Matrix2!AF$19)&gt;890+N("Fiji")),AND(J71=TRUE,OR(AG71=TRUE,AH71=TRUE),('Survey Front'!M18/Matrix2!AF$19)&gt;1047+N("Fiji")),AND(K71=TRUE,OR(AE71=TRUE,AF71=TRUE),('Survey Front'!M18/Matrix2!AF$19)&gt;800+N("Java")),AND(K71=TRUE,OR(AG71=TRUE,AH71=TRUE),('Survey Front'!M18/Matrix2!AF$19)&gt;890+N("Java")),AND(L71=TRUE,('Survey Front'!M18/Matrix2!AF$19)&gt;950+N("Maui")),AND(M71=TRUE,'Survey Front'!H18="63mm",('Survey Front'!M18/Matrix2!AF$19)&gt;850+N("Tahiti 63mm")),AND(M71=TRUE,OR('Survey Front'!H18="76mm",'Survey Front'!H18="89mm",'Survey Front'!H18="114mm"),('Survey Front'!M18/Matrix2!AF$19)&gt;950+N("Tahiti 76,89,114mm")),AND(H71=TRUE,('Survey Front'!M18/Matrix2!AF$19)&gt;890+N("Capri")),AND(OR(H71=TRUE,F71=TRUE),'Survey Front'!D18="Tracked",('Survey Front'!M18/Matrix2!AF$19)&gt;600),AND(H71=TRUE,'Survey Front'!M18&gt;890,LEN(Matrix2!AD72)=1),AND(F71=TRUE,'Survey Front'!M18&gt;750,LEN(Matrix2!AD72)=1,'Survey Front'!H18="63mm"),AND(F71=TRUE,'Survey Front'!H18&gt;890,LEN(Matrix2!AD72)=1,OR('Survey Front'!H18="76mm",'Survey Front'!H18="89mm",'Survey Front'!H18="114mm")),AND(E71=TRUE,'Survey Front'!M18=700)))</f>
        <v>0</v>
      </c>
      <c r="V71" s="401" t="b">
        <f>IF('Survey Front'!M18="",FALSE,OR(AND(OR(Matrix2!AD72="LL",Matrix2!AD72="RR"),'Survey Front'!D18&lt;&gt;"Tracked",OR(C71=TRUE,D71=TRUE,L71=TRUE,M71=TRUE),('Survey Front'!M18/2)&gt;600,'Survey Front'!D18&lt;&gt;"Tracked"),AND(OR(Matrix2!AD72="LL",Matrix2!AD72="RR"),'Survey Front'!D18&lt;&gt;"Tracked",OR(G71=TRUE,AND(K71=TRUE,'Survey Front'!H18&lt;&gt;"47mm")),('Survey Front'!M18/Matrix2!$AF$19)&gt;610)+N("Bermuda, Java"),AND(OR(Matrix2!AD72="LL",Matrix2!AD72="RR"),'Survey Front'!D18&lt;&gt;"Tracked",OR(I71=TRUE,J71=TRUE),('Survey Front'!M18/Matrix2!$AF$19)&gt;660)+N("Cuba &amp; Fiji"),AND(OR(Matrix2!AD72="LL",Matrix2!AD72="RR"),'Survey Front'!D18="Tracked",K71=TRUE,'Survey Front'!H18="47mm",('Survey Front'!M18/Matrix2!$AF$19)&gt;550)+N("Java"),AND(L71=TRUE,'Survey Front'!D18="Tracked",('Survey Front'!M18/Matrix2!$AF$19)&gt;700),AND(H71=TRUE,'Survey Front'!D18&lt;&gt;"Tracked",('Survey Front'!M18/Matrix2!$AF$19)&gt;625),AND(H71=TRUE,OR(Matrix2!AD72="LL",Matrix2!AD72="RR"),'Survey Front'!D18&lt;&gt;"Tracked",('Survey Front'!M18/Matrix2!$AF$19)&gt;625)+N("Capri Bifold"),AND(H71=TRUE,OR(Matrix2!AD72="LLL",Matrix2!AD72="RRR",Matrix2!AD72="LLLRRR"),'Survey Front'!D18&lt;&gt;"Tracked",('Survey Front'!M18/Matrix2!$AF$19)&gt;550)+N("Capri Multifold"),AND(H71=TRUE,'Survey Front'!D18="Tracked",NOT(ISEVEN(LEN(Matrix2!AD72)))),AND(G71=TRUE,OR(Matrix2!AD72="LL",Matrix2!AD72="RR"),'Survey Front'!D18&lt;&gt;"Tracked",('Survey Front'!M18/Matrix2!$AF$19)&gt;500),AND(F71=TRUE,'Survey Front'!M18/Matrix2!$AF$19&gt;500,'Survey Front'!D18&lt;&gt;"Tracked"),AND(F71=TRUE,OR(Matrix2!AD72="LL",Matrix2!AD72="RR"),'Survey Front'!D18&lt;&gt;"Tracked",('Survey Front'!M18/Matrix2!$AF$19)&gt;600),AND(F71=TRUE,OR(Matrix2!AD72="LL",Matrix2!AD72="RR",Matrix2!AD72="LLL",Matrix2!AD72="RRR",Matrix2!AD72="LLLLRRRR"),'Survey Front'!D18="Tracked",('Survey Front'!M18/Matrix2!$AF$19)&gt;600),AND(E71=TRUE,OR(Matrix2!AD72="LL",Matrix2!AD72="RR"),'Survey Front'!D18&lt;&gt;"Tracked",('Survey Front'!M18/Matrix2!$AF$19)&gt;500)+N("Aruba Express")))</f>
        <v>0</v>
      </c>
      <c r="W71" s="401" t="b">
        <f>IF(Pricing!M62="",FALSE,OR(AND(ISERROR(FIND("(",Matrix2!AD72)),LEN(Matrix2!AD72)-LEN(SUBSTITUTE(Matrix2!AD72,"L",""))&gt;2,OR(C71=TRUE,G71=TRUE,K71=TRUE,L71=TRUE,M71=TRUE,F71=TRUE,E71=TRUE)),AND(ISERROR(FIND("(",Matrix2!AD72)),LEN(Matrix2!AD72)-LEN(SUBSTITUTE(Matrix2!AD72,"R",""))&gt;2,OR(C71=TRUE,G71=TRUE,L71=TRUE,M71=TRUE,F71=TRUE,E71=TRUE)),AND(ISERROR(FIND("(",Matrix2!AD72)),LEN(Matrix2!AD72)-LEN(SUBSTITUTE(Matrix2!AD72,"R",""))&gt;4,OR(I71=TRUE,AND(H71=TRUE,Pricing!D62="Tracked")),(Pricing!M62/Matrix2!AF67)&gt;550),AND(ISERROR(FIND("(",Matrix2!AD72)),LEN(Matrix2!AD72)-LEN(SUBSTITUTE(Matrix2!AD72,"L",""))&gt;4,OR(I71=TRUE,AND(H71=TRUE,Pricing!D62="Tracked")),(Pricing!M62/Matrix2!AF67)&gt;550),AND(ISERROR(FIND("(",Matrix2!AD72)),LEN(Matrix2!AD72)-LEN(SUBSTITUTE(Matrix2!AD72,"L",""))&gt;3,H71=TRUE),AND(ISERROR(FIND("(",Matrix2!AD72)),LEN(Matrix2!AD72)-LEN(SUBSTITUTE(Matrix2!AD72,"R",""))&gt;3,H71=TRUE)))</f>
        <v>0</v>
      </c>
      <c r="X71" s="46" t="b">
        <f>IF('Survey Front'!N18="",FALSE,OR('Survey Front'!N18&lt;250+N("Barbados, Aruba, Bermuda, Cuba, Fiji, Java, Maui, Tahiti, Capri, Aruba Express"),AND(F71=TRUE,'Survey Front'!N18&lt;300)))</f>
        <v>0</v>
      </c>
      <c r="Y71" s="46" t="b">
        <f>IF('Survey Front'!N18="",FALSE,OR('Survey Front'!N18&gt;3000 +N("Barbados, Aruba, Bermuda, Cuba, Fiji, Java, Maui, Tahiti, Capri, Aruba Express"),AND(F71=TRUE,'Survey Front'!N18&gt;2700+N("Belize"))))</f>
        <v>0</v>
      </c>
      <c r="Z71" s="46" t="b">
        <f>OR(AND('Survey Front'!D18="Shape",OR(C71=TRUE,G71=TRUE,I71=TRUE,E71=TRUE)+N("Barbados, Bermuda, Cuba, Java, Aruba Express")),AND('Survey Front'!D18="Shape",D71=TRUE+N("Aruba")))</f>
        <v>0</v>
      </c>
      <c r="AA71" s="46" t="b">
        <f>AND(NOT(ISERROR(FIND("CB",Matrix2!AJ24))),(D71=TRUE+N("Aruba")))</f>
        <v>0</v>
      </c>
      <c r="AB71" s="46" t="b">
        <f>AND(O71=TRUE,'Survey Front'!N18&gt;1372,OR(C71=TRUE,G71=TRUE,J71=TRUE,K71=TRUE,I71=TRUE))</f>
        <v>0</v>
      </c>
      <c r="AC71" s="46" t="b">
        <f>OR(AND(OR(C71=TRUE,G71=TRUE,I71=TRUE),'Survey Front'!N18&gt;1879+N("S-Craft")),AND(D71=TRUE,'Survey Front'!N18&gt;1500,'Survey Front'!N18&lt;=2000),AND(J71=TRUE,'Survey Front'!N18&gt;1981),AND(K71=TRUE,'Survey Front'!N18&gt;1828),OR(AND(OR(L71=TRUE,M71=TRUE),'Survey Front'!N18&gt;1800,'Survey Front'!N18&lt;=2500),AND(OR(L71=TRUE,M71=TRUE),'Survey Front'!N18&gt;=2501,'Survey Front'!N18&lt;=3000)),AND(H71=TRUE,'Survey Front'!N18&gt;1799),OR(AND(E71=TRUE,'Survey Front'!N18&gt;1800,'Survey Front'!N18&lt;=2400),AND(E71=TRUE,'Survey Front'!N18&gt;=2401,'Survey Front'!N18&lt;=3000))+N("Aruba Express"))</f>
        <v>1</v>
      </c>
      <c r="AD71" s="46" t="b">
        <f>AND(OR(H71=TRUE,D71=TRUE,E71=TRUE,F71=TRUE,L71=TRUE),'Survey Front'!H18="47mm")</f>
        <v>0</v>
      </c>
      <c r="AE71" s="452"/>
      <c r="AF71" s="452"/>
      <c r="AG71" s="452"/>
      <c r="AH71" s="46" t="b">
        <f>OR(AND('Survey Front'!H18=$AH$68,I71=TRUE+N("Cuba")),AND(L71=TRUE,'Survey Front'!H18=$AH$68),AND(E71=TRUE,'Survey Front'!H18=$AH$68))</f>
        <v>0</v>
      </c>
      <c r="AI71" s="46" t="b">
        <f>IF(AND(OR(K71=TRUE,L71=TRUE,M71=TRUE,E71=TRUE),'Survey Front'!D18="S/Shade"),TRUE,AND('Survey Front'!D18="S/Shade",OR(C71=TRUE,G71=TRUE,I71=TRUE,J71-TRUE,H71=TRUE,F71=TRUE+N("Barbados, Bermuda, Cuba, Fiji, Capri, Belize")),'Survey Front'!I18&lt;&gt;"FFrame"))</f>
        <v>0</v>
      </c>
      <c r="AJ71" s="46" t="b">
        <f>AND('Survey Front'!D18="French Door Cutout",OR(C71=TRUE,D71=TRUE,E71=TRUE,G71=TRUE,I71=TRUE, K71=TRUE,E71=TRUE+N("Barbados, Bermuda, Cuba, Java, Aruba,AK21 Aruba Express")))</f>
        <v>0</v>
      </c>
      <c r="AK71" s="46" t="b">
        <f>AND('Survey Front'!D18=AK70,OR(E71=TRUE,D71=TRUE))</f>
        <v>0</v>
      </c>
      <c r="AL71" s="27" t="b">
        <f>AND('Survey Front'!D18="Tier on Tier",'Survey Front'!M18&gt;=1361+N("1219 S-Craft, Pauls Limit"))</f>
        <v>0</v>
      </c>
      <c r="AM71" s="401" t="b">
        <f>AND('Survey Front'!C18="Bathroom",OR(C71=TRUE,G71=TRUE,I71=TRUE,J71=TRUE,L71=TRUE,M71=TRUE,H71=TRUE,D71=TRUE,E71=TRUE)+N("If not JAVA OR Belize"))</f>
        <v>0</v>
      </c>
      <c r="AN71" s="27"/>
      <c r="AO71" s="27" t="b">
        <f>AND(K71=TRUE,ISERROR(FIND("Stainless Steel",Pricing!G64)))</f>
        <v>0</v>
      </c>
      <c r="AP71" s="27" t="b" cm="1">
        <f t="array" ref="AP71">IF('Survey Front'!F18="",FALSE,NOT(OR(AND(C71=TRUE,COUNTIF(Barbados,'Survey Front'!F18)&gt;0),AND(D71=TRUE,COUNTIF(Aruba,'Survey Front'!F18)&gt;0),AND(E71=TRUE,COUNTIF(ArubaExpress,'Survey Front'!F18)&gt;0),AND(F71=TRUE,COUNTIF(Belize,'Survey Front'!F18)&gt;0),AND(G71=TRUE,COUNTIF(Bermuda,'Survey Front'!F18)&gt;0),AND(H71=TRUE,COUNTIF(Capri,'Survey Front'!F18)&gt;0),AND(I71=TRUE,COUNTIF(Cuba,'Survey Front'!F18)&gt;0),AND(J71=TRUE,COUNTIF(Fiji,'Survey Front'!F18)&gt;0),AND(K71=TRUE,COUNTIF(Java,'Survey Front'!F18)&gt;0),AND(L71=TRUE,COUNTIF(Maui,'Survey Front'!F18)&gt;0),AND(M71=TRUE,COUNTIF(Tahiti,'Survey Front'!F18)&gt;0))))</f>
        <v>0</v>
      </c>
      <c r="AQ71" s="27" t="b">
        <f>AND('Survey Front'!D18=$AQ$20,K71=FALSE,J71=FALSE,M71=FALSE,L71=FALSE,H71=FALSE,F71=FALSE)</f>
        <v>0</v>
      </c>
      <c r="AR71" s="27" t="b">
        <f>IF(AND('Survey Front'!D18="Tracked",COUNTIF(Table19[Tframes],'Survey Front'!D18)=0),TRUE,FALSE)</f>
        <v>0</v>
      </c>
    </row>
    <row r="72" spans="2:44">
      <c r="B72" s="27">
        <v>4</v>
      </c>
      <c r="C72" s="27" t="b">
        <f>'Survey Front'!$E$21=C$68</f>
        <v>1</v>
      </c>
      <c r="D72" s="27" t="b">
        <f>'Survey Front'!$E$21=D$68</f>
        <v>0</v>
      </c>
      <c r="E72" s="27" t="b">
        <f>'Survey Front'!$E$121=E$68</f>
        <v>0</v>
      </c>
      <c r="F72" s="27" t="b">
        <f>'Survey Front'!$E$121=F$68</f>
        <v>0</v>
      </c>
      <c r="G72" s="27" t="b">
        <f>'Survey Front'!$E$121=G$68</f>
        <v>0</v>
      </c>
      <c r="H72" s="27" t="b">
        <f>'Survey Front'!$E$21=H$68</f>
        <v>0</v>
      </c>
      <c r="I72" s="27" t="b">
        <f>'Survey Front'!$E$121=I$68</f>
        <v>0</v>
      </c>
      <c r="J72" s="27" t="b">
        <f>'Survey Front'!$E$121=J$68</f>
        <v>0</v>
      </c>
      <c r="K72" s="27" t="b">
        <f>'Survey Front'!$E$121=K$68</f>
        <v>0</v>
      </c>
      <c r="L72" s="27" t="b">
        <f>'Survey Front'!$E$121=L$68</f>
        <v>0</v>
      </c>
      <c r="M72" s="27" t="b">
        <f>'Survey Front'!$E$121=M$68</f>
        <v>0</v>
      </c>
      <c r="N72" s="27" t="b">
        <f>OR(IF('Survey Front'!L21="",FALSE,AND(OR('Survey Front'!L21="Split Offset",'Survey Front'!L21="Split Custom",'Survey Front'!L21="Offset",'Survey Front'!L21="Custom",'Survey Front'!L21="Centre"),L72=TRUE,'Survey Front'!L21&lt;&gt;Helper!$Q$68)),AND(E72=TRUE,'Survey Front'!L21="49mm"))</f>
        <v>0</v>
      </c>
      <c r="O72" s="27" t="b">
        <f>IF('Survey Front'!L21="",FALSE,IF(AND(OR(D72=TRUE,L72=TRUE,M72=TRUE,F72=TRUE,E72=TRUE),OR('Survey Front'!L21="Silent",'Survey Front'!L21="Silent Split")),TRUE,FALSE))</f>
        <v>0</v>
      </c>
      <c r="P72" s="27" t="b">
        <f>OR(AND(OR(C72=TRUE,G72=TRUE,I72=TRUE,J72=TRUE,K72=TRUE+N("S-Craft Material"),AND(L72=TRUE,'Survey Front'!L21="Clearview",'Survey Front'!N21&gt;1200)),Q72=TRUE),AND(OR(F72=TRUE,H72=TRUE,E72=TRUE),'Survey Front'!N21&gt;1200,'Survey Front'!L21="Concealed"),AND(OR(F72=TRUE,H72=TRUE),'Survey Front'!N21&gt;1300,'Survey Front'!L21="Hidden")+N("Belize"))</f>
        <v>0</v>
      </c>
      <c r="Q72" s="27" t="b">
        <f>OR(AND(OR(C72=TRUE,G72=TRUE,I72=TRUE,J72=TRUE,K72=TRUE+N("S-Craft Materials")),'Survey Front'!L21=$Q$68),AND(L72=TRUE,'Survey Front'!L21=$O$68)+N("MAUI"),AND(F72=TRUE,'Survey Front'!L21=Helper!$Q$68),AND(E72=TRUE,'Survey Front'!L21=Helper!$Q$68))</f>
        <v>0</v>
      </c>
      <c r="R72" s="46" t="e">
        <f>IF(Matrix2!AG19=0,FALSE,OR(AND(IF('Survey Front'!M21/(Matrix2!AG$19)&lt;152,TRUE,FALSE),'Survey Front'!L21&lt;&gt;"Silent",OR(C72=TRUE,G72=TRUE,I72=TRUE,J72=TRUE,K72=TRUE)+N("S-Craft Materials")),AND(OR(D72=TRUE,M72=TRUE),'Survey Front'!M21/(Matrix2!AG$19)&lt;250+N("Aruba,Tahiti"),N72=TRUE),AND(L72=TRUE,'Survey Front'!H21="49mm"),AND(H72=TRUE,'Survey Front'!M21&lt;200),AND(F72=TRUE,'Survey Front'!M21=250),AND(E72=TRUE,'Survey Front'!M21=200)))</f>
        <v>#VALUE!</v>
      </c>
      <c r="S72" s="401" t="b">
        <f>IF(Matrix2!AG67=0,FALSE,OR(AND('Survey Front'!M21/(Matrix2!AG$19)&lt;152+N("S-Craft"),O72=TRUE,OR(C72=TRUE,G72=TRUE,I72=TRUE,J72=TRUE,K72=TRUE)),AND('Survey Front'!M21/(Matrix2!AG$19)&lt;170+N("Aruba"),Q72=TRUE),AND(OR(L72=TRUE,M72=TRUE),'Survey Front'!L21=Q68,'Survey Front'!M21/(Matrix2!AG$19)&lt;250+N("MAUI")),AND(H72=TRUE,OR('Survey Front'!L21="Supatilt",'Survey Front'!L21="Silent"),'Survey Front'!L21&lt;200)))</f>
        <v>0</v>
      </c>
      <c r="T72" s="91" t="b">
        <f>IF(Matrix2!AG67=0,FALSE,OR(AND(C72=TRUE,'Survey Front'!H21="47mm",('Survey Front'!M21/Matrix2!AG$19)&gt;600),AND(G72=TRUE,'Survey Front'!H21="47mm",('Survey Front'!M21/Matrix2!AG$19)&gt;610+N("Bermuda")),AND(G72=TRUE,'Survey Front'!H21="47mm",('Survey Front'!M21/Matrix2!AG$19)&gt;750+N("Cuba")),AND(J72=TRUE,'Survey Front'!H21="47mm",('Survey Front'!M21/Matrix2!AG$19)&gt;750+N("Fiji")),AND(K72=TRUE,'Survey Front'!H21="47mm",('Survey Front'!M21/Matrix2!AG$19)&gt;550+N("Java")),AND(L72=TRUE,'Survey Front'!H21="47mm"),AND(L72=TRUE,'Survey Front'!H21="47mm",('Survey Front'!M21/Matrix2!AD$19)&gt;850+N("Tahiti")),AND(H72=TRUE,'Survey Front'!H21="47mm"),AND(F72=TRUE,'Survey Front'!H21="47mm"),AND(E72=TRUE,'Survey Front'!H21="47mm")))</f>
        <v>0</v>
      </c>
      <c r="U72" s="401" t="b">
        <f>IF('Survey Front'!M21="",FALSE,OR(AND(C72=TRUE,AD72=FALSE,('Survey Front'!M21/(Matrix2!AG$19))&gt;750+N("Barbados")),AND(D72=TRUE,'Survey Front'!H21&lt;&gt;"89mm",'Survey Front'!H21&lt;&gt;"114mm",'Survey Front'!M21/Matrix2!AG$19&gt;800)+N("Aruba"),AND(D72=TRUE,'Survey Front'!H21&lt;&gt;"63mm",'Survey Front'!H21&lt;&gt;"76mm",'Survey Front'!H21/Matrix2!AG$19&gt;920)+N("Aruba"),AND(G72=TRUE,'Survey Front'!M21/Matrix2!AG$19&gt;915)+N("Bermuda"),AND(G72=TRUE,'Survey Front'!M21/Matrix2!AG$19&gt;890)+N("Cuba"),AND(J72=TRUE,OR(AE72=TRUE,AF72=TRUE),('Survey Front'!M21/Matrix2!AG$19)&gt;890+N("Fiji")),AND(J72=TRUE,OR(AG72=TRUE,AH72=TRUE),('Survey Front'!M21/Matrix2!AG$19)&gt;1047+N("Fiji")),AND(K72=TRUE,OR(AE72=TRUE,AF72=TRUE),('Survey Front'!M21/Matrix2!AG$19)&gt;800+N("Java")),AND(K72=TRUE,OR(AG72=TRUE,AH72=TRUE),(Pricing!M65/Matrix2!AG$19)&gt;890+N("Java")),AND(L72=TRUE,(Pricing!M65/Matrix2!AG$19)&gt;950+N("Maui")),AND(M72=TRUE,Pricing!H65="63mm",(Pricing!M65/Matrix2!AG$19)&gt;850+N("Tahiti 63mm")),AND(M72=TRUE,OR('Survey Front'!H21="76mm",'Survey Front'!H21="89mm",'Survey Front'!H21="114mm"),('Survey Front'!M21/Matrix2!AG$19)&gt;950+N("Tahiti 76,89,114mm")),AND(H72=TRUE,('Survey Front'!M21/Matrix2!AG$19)&gt;890+N("Capri")),AND(OR(H72=TRUE,F72=TRUE),'Survey Front'!D21="Tracked",('Survey Front'!M21/Matrix2!AG$19)&gt;600),AND(H72=TRUE,'Survey Front'!M21&gt;890,LEN(Matrix2!AD73)=1),AND(F72=TRUE,'Survey Front'!M21&gt;750,LEN(Matrix2!AD73)=1,'Survey Front'!H21="63mm"),AND(F72=TRUE,'Survey Front'!M21&gt;890,LEN(Matrix2!AD73)=1,OR('Survey Front'!H21="76mm",'Survey Front'!H21="89mm",'Survey Front'!H21="114mm")),AND(E72=TRUE,'Survey Front'!M21=700)))</f>
        <v>0</v>
      </c>
      <c r="V72" s="401" t="b">
        <f>IF(Pricing!M65="",FALSE,OR(AND(OR(Matrix2!AD73="LL",Matrix2!AD73="RR"),Pricing!D65&lt;&gt;"Tracked",OR(C72=TRUE,D72=TRUE,L72=TRUE,M72=TRUE),(Pricing!M65/2)&gt;600,Pricing!D65&lt;&gt;"Tracked"),AND(OR(Matrix2!AD73="LL",Matrix2!AD73="RR"),Pricing!D65&lt;&gt;"Tracked",OR(G72=TRUE,AND(K72=TRUE,Pricing!H65&lt;&gt;"47mm")),(Pricing!M65/Matrix2!$AG$19)&gt;610)+N("Bermuda, Java"),AND(OR(Matrix2!AD73="LL",Matrix2!AD73="RR"),Pricing!D65&lt;&gt;"Tracked",OR(I72=TRUE,J72=TRUE),(Pricing!M65/Matrix2!$AG$19)&gt;660)+N("Cuba &amp; Fiji"),AND(OR(Matrix2!AD73="LL",Matrix2!AD73="RR"),Pricing!D65="Tracked",K72=TRUE,Pricing!H65="47mm",(Pricing!M65/Matrix2!$AG$19)&gt;550)+N("Java"),AND(L72=TRUE,Pricing!D65="Tracked",(Pricing!M65/Matrix2!$AG$19)&gt;700),AND(H72=TRUE,Pricing!D65&lt;&gt;"Tracked",(Pricing!M65/Matrix2!$AG$19)&gt;625),AND(H72=TRUE,OR(Matrix2!AD73="LL",Matrix2!AD73="RR"),Pricing!D65&lt;&gt;"Tracked",(Pricing!M65/Matrix2!$AG$19)&gt;625)+N("Capri Bifold"),AND(H72=TRUE,OR(Matrix2!AD73="LLL",Matrix2!AD73="RRR",Matrix2!AD73="LLLRRR"),Pricing!D65&lt;&gt;"Tracked",(Pricing!M65/Matrix2!$AG$19)&gt;550)+N("Capri Multifold"),AND(H72=TRUE,Pricing!D65="Tracked",NOT(ISEVEN(LEN(Matrix2!AD73)))),AND(G72=TRUE,OR(Matrix2!AD73="LL",Matrix2!AD73="RR"),Pricing!D65&lt;&gt;"Tracked",(Pricing!M65/Matrix2!$AG$19)&gt;500),AND(F72=TRUE,Pricing!M65/Matrix2!$AG$19&gt;500,Pricing!D65&lt;&gt;"Tracked"),AND(F72=TRUE,OR(Matrix2!AD73="LL",Matrix2!AD73="RR"),Pricing!D65&lt;&gt;"Tracked",(Pricing!M65/Matrix2!$AG$19)&gt;600),AND(F72=TRUE,OR(Matrix2!AD73="LL",Matrix2!AD73="RR",Matrix2!AD73="LLL",Matrix2!AD73="RRR",Matrix2!AD73="LLLLRRRR"),Pricing!D65="Tracked",(Pricing!M65/Matrix2!$AG$19)&gt;600),AND(E72=TRUE,OR(Matrix2!AD73="LL",Matrix2!AD73="RR"),Pricing!D65&lt;&gt;"Tracked",(Pricing!M65/Matrix2!$AG$19)&gt;500)+N("Aruba Express")))</f>
        <v>0</v>
      </c>
      <c r="W72" s="401" t="b">
        <f>IF(Pricing!M65="",FALSE,OR(AND(ISERROR(FIND("(",Matrix2!AD73)),LEN(Matrix2!AD73)-LEN(SUBSTITUTE(Matrix2!AD73,"L",""))&gt;2,OR(C72=TRUE,G72=TRUE,K72=TRUE,L72=TRUE,M72=TRUE,F72=TRUE,E72=TRUE)),AND(ISERROR(FIND("(",Matrix2!AD73)),LEN(Matrix2!AD73)-LEN(SUBSTITUTE(Matrix2!AD73,"R",""))&gt;2,OR(C72=TRUE,G72=TRUE,L72=TRUE,M72=TRUE,F72=TRUE,E72=TRUE)),AND(ISERROR(FIND("(",Matrix2!AD73)),LEN(Matrix2!AD73)-LEN(SUBSTITUTE(Matrix2!AD73,"R",""))&gt;4,OR(I72=TRUE,AND(H72=TRUE,Pricing!D65="Tracked")),(Pricing!M65/Matrix2!AG67)&gt;550),AND(ISERROR(FIND("(",Matrix2!AD73)),LEN(Matrix2!AD73)-LEN(SUBSTITUTE(Matrix2!AD73,"L",""))&gt;4,OR(I72=TRUE,AND(H72=TRUE,Pricing!D65="Tracked")),(Pricing!M65/Matrix2!AG67)&gt;550),AND(ISERROR(FIND("(",Matrix2!AD73)),LEN(Matrix2!AD73)-LEN(SUBSTITUTE(Matrix2!AD73,"L",""))&gt;3,H72=TRUE),AND(ISERROR(FIND("(",Matrix2!AD73)),LEN(Matrix2!AD73)-LEN(SUBSTITUTE(Matrix2!AD73,"R",""))&gt;3,H72=TRUE)))</f>
        <v>0</v>
      </c>
      <c r="X72" s="46" t="b">
        <f>IF('Survey Front'!N21="",FALSE,OR('Survey Front'!N21&lt;250+N("Barbados, Aruba, Bermuda, Cuba, Fiji, Java, Maui, Tahiti, Capri, Aruba Express"),AND(F72=TRUE,'Survey Front'!N21&lt;300)))</f>
        <v>0</v>
      </c>
      <c r="Y72" s="46" t="b">
        <f>IF('Survey Front'!N21="",FALSE,OR('Survey Front'!N21&gt;3000 +N("Barbados, Aruba, Bermuda, Cuba, Fiji, Java, Maui, Tahiti, Capri, Aruba Express"),AND(F72=TRUE,'Survey Front'!N21&gt;2700+N("Belize"))))</f>
        <v>0</v>
      </c>
      <c r="Z72" s="46" t="b">
        <f>OR(AND('Survey Front'!D21="Shape",OR(C72=TRUE,G72=TRUE,I72=TRUE,E72=TRUE)+N("Barbados, Bermuda, Cuba, Java, Aruba Express")),AND('Survey Front'!D21="Shape",D72=TRUE+N("Aruba")))</f>
        <v>0</v>
      </c>
      <c r="AA72" s="46" t="b">
        <f>AND(NOT(ISERROR(FIND("CB",Matrix2!AJ25))),(D72=TRUE+N("Aruba")))</f>
        <v>0</v>
      </c>
      <c r="AB72" s="46" t="b">
        <f>AND(O72=TRUE,'Survey Front'!N21&gt;1372,OR(C72=TRUE,G72=TRUE,J72=TRUE,K72=TRUE,I72=TRUE))</f>
        <v>0</v>
      </c>
      <c r="AC72" s="46" t="b">
        <f>OR(AND(OR(C72=TRUE,G72=TRUE,I72=TRUE),'Survey Front'!N21&gt;1879+N("S-Craft")),AND(D72=TRUE,'Survey Front'!N21&gt;1500,'Survey Front'!N21&lt;=2000),AND(J72=TRUE,'Survey Front'!N21&gt;1981),AND(K72=TRUE,'Survey Front'!N21&gt;1828),OR(AND(OR(L72=TRUE,M72=TRUE),'Survey Front'!N21&gt;1800,'Survey Front'!N21&lt;=2500),AND(OR(L72=TRUE,M72=TRUE),'Survey Front'!N21&gt;=2501,'Survey Front'!N21&lt;=3000)),AND(H72=TRUE,'Survey Front'!N21&gt;1799),OR(AND(E72=TRUE,'Survey Front'!N21&gt;1800,'Survey Front'!N21&lt;=2400),AND(E72=TRUE,'Survey Front'!N21&gt;=2401,'Survey Front'!N21&lt;=3000))+N("Aruba Express"))</f>
        <v>1</v>
      </c>
      <c r="AD72" s="46" t="b">
        <f>AND(OR(H72=TRUE,D72=TRUE,E72=TRUE,F72=TRUE,L72=TRUE),'Survey Front'!H21="47mm")</f>
        <v>0</v>
      </c>
      <c r="AE72" s="452"/>
      <c r="AF72" s="452"/>
      <c r="AG72" s="452"/>
      <c r="AH72" s="46" t="b">
        <f>OR(AND('Survey Front'!H21=$AH$68,I72=TRUE+N("Cuba")),AND(L72=TRUE,'Survey Front'!H21=$AH$68),AND(E72=TRUE,'Survey Front'!H21=$AH$68))</f>
        <v>0</v>
      </c>
      <c r="AI72" s="46" t="b">
        <f>IF(AND(OR(K72=TRUE,L72=TRUE,M72=TRUE,E72=TRUE),'Survey Front'!D21="S/Shade"),TRUE,AND('Survey Front'!D21="S/Shade",OR(C72=TRUE,G72=TRUE,I72=TRUE,J72-TRUE,H72=TRUE,F72=TRUE+N("Barbados, Bermuda, Cuba, Fiji, Capri, Belize")),'Survey Front'!I21&lt;&gt;"FFrame"))</f>
        <v>0</v>
      </c>
      <c r="AJ72" s="46" t="b">
        <f>AND('Survey Front'!D21="French Door Cutout",OR(C72=TRUE,D72=TRUE,E72=TRUE,G72=TRUE,I72=TRUE, K72=TRUE,E72=TRUE+N("Barbados, Bermuda, Cuba, Java, Aruba,AK21 Aruba Express")))</f>
        <v>0</v>
      </c>
      <c r="AK72" s="46" t="b">
        <f>AND('Survey Front'!D21=AK71,OR(E72=TRUE,D72=TRUE))</f>
        <v>0</v>
      </c>
      <c r="AL72" s="27" t="b">
        <f>AND('Survey Front'!D21="Tier on Tier",'Survey Front'!M21&gt;=1361+N("1219 S-Craft, Pauls Limit"))</f>
        <v>0</v>
      </c>
      <c r="AM72" s="401" t="b">
        <f>AND('Survey Front'!C21="Bathroom",OR(C72=TRUE,G72=TRUE,I72=TRUE,J72=TRUE,L72=TRUE,M72=TRUE,H72=TRUE,D72=TRUE,E72=TRUE)+N("If not JAVA OR Belize"))</f>
        <v>0</v>
      </c>
      <c r="AN72" s="27"/>
      <c r="AO72" s="27" t="b">
        <f>AND(K72=TRUE,ISERROR(FIND("Stainless Steel",Pricing!G67)))</f>
        <v>0</v>
      </c>
      <c r="AP72" s="27" t="b" cm="1">
        <f t="array" ref="AP72">IF('Survey Front'!F21="",FALSE,NOT(OR(AND(C72=TRUE,COUNTIF(Barbados,'Survey Front'!F21)&gt;0),AND(D72=TRUE,COUNTIF(Aruba,'Survey Front'!F21)&gt;0),AND(E72=TRUE,COUNTIF(ArubaExpress,'Survey Front'!F21)&gt;0),AND(F72=TRUE,COUNTIF(Belize,'Survey Front'!F21)&gt;0),AND(G72=TRUE,COUNTIF(Bermuda,'Survey Front'!F21)&gt;0),AND(H72=TRUE,COUNTIF(Capri,'Survey Front'!F21)&gt;0),AND(I72=TRUE,COUNTIF(Cuba,'Survey Front'!F21)&gt;0),AND(J72=TRUE,COUNTIF(Fiji,'Survey Front'!F21)&gt;0),AND(K72=TRUE,COUNTIF(Java,'Survey Front'!F21)&gt;0),AND(L72=TRUE,COUNTIF(Maui,'Survey Front'!F21)&gt;0),AND(M72=TRUE,COUNTIF(Tahiti,'Survey Front'!F21)&gt;0))))</f>
        <v>0</v>
      </c>
      <c r="AQ72" s="27" t="b">
        <f>AND('Survey Front'!D21=$AQ$20,K72=FALSE,J72=FALSE,M72=FALSE,L72=FALSE,H72=FALSE,F72=FALSE)</f>
        <v>0</v>
      </c>
      <c r="AR72" s="27" t="b">
        <f>IF(AND('Survey Front'!D21="Tracked",COUNTIF(Table19[Tframes],'Survey Front'!D21)=0),TRUE,FALSE)</f>
        <v>0</v>
      </c>
    </row>
    <row r="73" spans="2:44">
      <c r="B73" s="27">
        <v>5</v>
      </c>
      <c r="C73" s="27" t="b">
        <f>'Survey Front'!$E$24=C$68</f>
        <v>0</v>
      </c>
      <c r="D73" s="27" t="b">
        <f>'Survey Front'!$E$24=D$68</f>
        <v>0</v>
      </c>
      <c r="E73" s="27" t="b">
        <f>'Survey Front'!$E$24=E$68</f>
        <v>0</v>
      </c>
      <c r="F73" s="27" t="b">
        <f>'Survey Front'!$E$24=F$68</f>
        <v>0</v>
      </c>
      <c r="G73" s="27" t="b">
        <f>'Survey Front'!$E$24=G$68</f>
        <v>0</v>
      </c>
      <c r="H73" s="27" t="b">
        <f>'Survey Front'!$E$24=H$68</f>
        <v>0</v>
      </c>
      <c r="I73" s="27" t="b">
        <f>'Survey Front'!$E$24=I$68</f>
        <v>0</v>
      </c>
      <c r="J73" s="27" t="b">
        <f>'Survey Front'!$E$24=J$68</f>
        <v>0</v>
      </c>
      <c r="K73" s="27" t="b">
        <f>'Survey Front'!$E$24=K$68</f>
        <v>0</v>
      </c>
      <c r="L73" s="27" t="b">
        <f>'Survey Front'!$E$24=L$68</f>
        <v>0</v>
      </c>
      <c r="M73" s="27" t="b">
        <f>'Survey Front'!$E$24=M$68</f>
        <v>0</v>
      </c>
      <c r="N73" s="27" t="b">
        <f>OR(IF('Survey Front'!L24="",FALSE,AND(OR('Survey Front'!L24="Split Offset",'Survey Front'!L24="Split Custom",'Survey Front'!L24="Offset",'Survey Front'!L24="Custom",'Survey Front'!L24="Centre"),L73=TRUE,'Survey Front'!L24&lt;&gt;Helper!$Q$68)),AND(E73=TRUE,'Survey Front'!L24="49mm"))</f>
        <v>0</v>
      </c>
      <c r="O73" s="27" t="b">
        <f>IF('Survey Front'!L24="",FALSE,IF(AND(OR(D73=TRUE,L73=TRUE,M73=TRUE,F73=TRUE,E73=TRUE),OR('Survey Front'!L24="Silent",'Survey Front'!L24="Silent Split")),TRUE,FALSE))</f>
        <v>0</v>
      </c>
      <c r="P73" s="27" t="b">
        <f>OR(AND(OR(C73=TRUE,G73=TRUE,I73=TRUE,J73=TRUE,K73=TRUE+N("S-Craft Material"),AND(L73=TRUE,'Survey Front'!L24="Clearview",'Survey Front'!N24&gt;1200)),Q73=TRUE),AND(OR(F73=TRUE,H73=TRUE,E73=TRUE),'Survey Front'!N24&gt;1200,'Survey Front'!L24="Concealed"),AND(OR(F73=TRUE,H73=TRUE),'Survey Front'!N24&gt;1300,'Survey Front'!L24="Hidden")+N("Belize"))</f>
        <v>0</v>
      </c>
      <c r="Q73" s="27" t="b">
        <f>OR(AND(OR(C73=TRUE,G73=TRUE,I73=TRUE,J73=TRUE,K73=TRUE+N("S-Craft Materials")),'Survey Front'!L24=$Q$68),AND(L73=TRUE,'Survey Front'!L24=$O$68)+N("MAUI"),AND(F73=TRUE,'Survey Front'!L24=Helper!$Q$68),AND(E73=TRUE,'Survey Front'!L24=Helper!$Q$68))</f>
        <v>0</v>
      </c>
      <c r="R73" s="46" t="b">
        <f>IF(Matrix2!AH19=0,FALSE,OR(AND(IF('Survey Front'!M24/(Matrix2!AH$19)&lt;152,TRUE,FALSE),'Survey Front'!L24&lt;&gt;"Silent",OR(C73=TRUE,G73=TRUE,I73=TRUE,J73=TRUE,K73=TRUE)+N("S-Craft Materials")),AND(OR(D73=TRUE,M73=TRUE),'Survey Front'!M24/(Matrix2!AH$19)&lt;250+N("Aruba,Tahiti"),N73=TRUE),AND(L73=TRUE,Pricing!H68="49mm"),AND(H73=TRUE,Pricing!M60&lt;200),AND(F73=TRUE,Pricing!M68=250),AND(E73=TRUE,Pricing!M68=200)))</f>
        <v>0</v>
      </c>
      <c r="S73" s="401" t="b">
        <f>IF(Matrix2!AH67=0,FALSE,OR(AND('Survey Front'!M24/(Matrix2!AH$19)&lt;152+N("S-Craft"),O73=TRUE,OR(C73=TRUE,G73=TRUE,I73=TRUE,J73=TRUE,K73=TRUE)),AND('Survey Front'!M24/(Matrix2!AH$19)&lt;170+N("Aruba"),Q73=TRUE),AND(OR(L73=TRUE,M73=TRUE),'Survey Front'!L24=Q68,'Survey Front'!M24/(Matrix2!AH$19)&lt;250+N("MAUI")),AND(H73=TRUE,OR('Survey Front'!L24="Supatilt",'Survey Front'!L24="Silent"),'Survey Front'!M24&lt;200)))</f>
        <v>0</v>
      </c>
      <c r="T73" s="91" t="b">
        <f>IF(Matrix2!AH67=0,FALSE,OR(AND(C73=TRUE,'Survey Front'!H24="47mm",('Survey Front'!M24/Matrix2!AH$19)&gt;600),AND(G73=TRUE,'Survey Front'!H24="47mm",('Survey Front'!M24/Matrix2!AH$19)&gt;610+N("Bermuda")),AND(G73=TRUE,'Survey Front'!H24="47mm",('Survey Front'!M24/Matrix2!AH$19)&gt;750+N("Cuba")),AND(J73=TRUE,'Survey Front'!H24="47mm",('Survey Front'!M24/Matrix2!AH$19)&gt;750+N("Fiji")),AND(K73=TRUE,'Survey Front'!H24="47mm",('Survey Front'!M24/Matrix2!AH$19)&gt;550+N("Java")),AND(L73=TRUE,'Survey Front'!H24="47mm"),AND(L73=TRUE,'Survey Front'!H24="47mm",('Survey Front'!M24/Matrix2!AH$19)&gt;850+N("Tahiti")),AND(H73=TRUE,'Survey Front'!H24="47mm"),AND(F73=TRUE,'Survey Front'!H24="47mm"),AND(E73=TRUE,'Survey Front'!H24="47mm")))</f>
        <v>0</v>
      </c>
      <c r="U73" s="401" t="b">
        <f>IF('Survey Front'!M24="",FALSE,OR(AND(C73=TRUE,AD73=FALSE,('Survey Front'!M24/(Matrix2!AH$19))&gt;750+N("Barbados")),AND(D73=TRUE,'Survey Front'!H24&lt;&gt;"89mm",'Survey Front'!H24&lt;&gt;"114mm",'Survey Front'!M24/Matrix2!AH$19&gt;800)+N("Aruba"),AND(D73=TRUE,'Survey Front'!H24&lt;&gt;"63mm",'Survey Front'!H24&lt;&gt;"76mm",'Survey Front'!M24/Matrix2!AH$19&gt;920)+N("Aruba"),AND(G73=TRUE,'Survey Front'!M24/Matrix2!AH$19&gt;915)+N("Bermuda"),AND(G73=TRUE,'Survey Front'!M24/Matrix2!AH$19&gt;890)+N("Cuba"),AND(J73=TRUE,OR(AE73=TRUE,AF73=TRUE),('Survey Front'!M24/Matrix2!AH$19)&gt;890+N("Fiji")),AND(J73=TRUE,OR(AG73=TRUE,AH73=TRUE),('Survey Front'!M24/Matrix2!AH$19)&gt;1047+N("Fiji")),AND(K73=TRUE,OR(AE73=TRUE,AF73=TRUE),('Survey Front'!M24/Matrix2!AH$19)&gt;800+N("Java")),AND(K73=TRUE,OR(AG73=TRUE,AH73=TRUE),('Survey Front'!M24/Matrix2!AH$19)&gt;890+N("Java")),AND(L73=TRUE,('Survey Front'!M24/Matrix2!AH$19)&gt;950+N("Maui")),AND(M73=TRUE,'Survey Front'!H24="63mm",('Survey Front'!M24/Matrix2!AH$19)&gt;850+N("Tahiti 63mm")),AND(M73=TRUE,OR('Survey Front'!H24="76mm",'Survey Front'!H24="89mm",'Survey Front'!H24="114mm"),('Survey Front'!M24/Matrix2!AH$19)&gt;950+N("Tahiti 76,89,114mm")),AND(H73=TRUE,('Survey Front'!M24/Matrix2!AH$19)&gt;890+N("Capri")),AND(OR(H73=TRUE,F73=TRUE),'Survey Front'!D24="Tracked",('Survey Front'!M24/Matrix2!AH$19)&gt;600),AND(H73=TRUE,'Survey Front'!M24&gt;890,LEN(Matrix2!AD74)=1),AND(F73=TRUE,'Survey Front'!M24&gt;750,LEN(Matrix2!AD74)=1,'Survey Front'!H24="63mm"),AND(F73=TRUE,'Survey Front'!M24&gt;890,LEN(Matrix2!AD74)=1,OR('Survey Front'!H24="76mm",'Survey Front'!H24="89mm",'Survey Front'!H24="114mm")),AND(E73=TRUE,'Survey Front'!M24=700)))</f>
        <v>0</v>
      </c>
      <c r="V73" s="401" t="b" cm="1">
        <f t="array" ref="V73">IF('Survey Front'!M24="",FALSE,OR(AND(OR(Matrix2!AD74="LL",Matrix2!AD74="RR"),'Survey Front'!D24&lt;&gt;"Tracked",OR(C73=TRUE,D73=TRUE,L73=TRUE,M73=TRUE),('Survey Front'!M24/2)&gt;600,'Survey Front'!D24&lt;&gt;"Tracked"),AND(OR(Matrix2!AD74="LL",Matrix2!AD74="RR"),'Survey Front'!D24&lt;&gt;"Tracked",OR(G73=TRUE,AND(K73=TRUE,'Survey Front'!H24&lt;&gt;"47mm")),('Survey Front'!M24/Matrix2!$AH$19)&gt;610)+N("Bermuda, Java"),AND(OR(Matrix2!AD74="LL",Matrix2!AD74="RR"),'Survey Front'!D24&lt;&gt;"Tracked",OR(I73=TRUE,J73=TRUE),('Survey Front'!M24/Matrix2!$AH$19)&gt;660)+N("Cuba &amp; Fiji"),AND(OR(Matrix2!AD74="LL",Matrix2!AD74="RR"),'Survey Front'!D24="Tracked",K73=TRUE,'Survey Front'!H24="47mm",('Survey Front'!M24/Matrix2!$AH$19)&gt;550)+N("Java"),AND(L73=TRUE,'Survey Front'!D24="Tracked",('Survey Front'!M24/Matrix2!$AH$19)&gt;700),AND(H73=TRUE,'Survey Front'!D24&lt;&gt;"Tracked",('Survey Front'!M24/Matrix2!$AH$19)&gt;625),AND(H73=TRUE,OR(Matrix2!AD74="LL",Matrix2!AD74="RR"),'Survey Front'!D24&lt;&gt;"Tracked",('Survey Front'!M24/Matrix2!$AH$19)&gt;625)+N("Capri Bifold"),AND(H73=TRUE,OR(Matrix2!AD74="LLL",Matrix2!AD74="RRR",Matrix2!AD74="LLLRRR"),'Survey Front'!D24&lt;&gt;"Tracked",('Survey Front'!M24/Matrix2!$AH$19)&gt;550)+N("Capri Multifold"),AND(H73=TRUE,'Survey Front'!D24="Tracked",NOT(ISEVEN(LEN(Matrix2!AD74)))),AND(G73=TRUE,OR(Matrix2!AD74="LL",Matrix2!AD74="RR"),'Survey Front'!D24&lt;&gt;"Tracked",('Survey Front'!M24/Matrix2!$AH$19)&gt;500),AND(F73=TRUE,'Survey Front'!M24/Matrix2!$AH$19&gt;500,'Survey Front'!D24&lt;&gt;"Tracked"),AND(F73=TRUE,OR(Matrix2!AD74="LL",Matrix2!AD74="RR"),'Survey Front'!D24&lt;&gt;"Tracked",('Survey Front'!M24/Matrix2!$AH$19)&gt;600),AND(F73=TRUE,OR(Matrix2!AD74="LL",Matrix2!AD74="RR",Matrix2!AD74="LLL",Matrix2!AD74="RRR",Matrix2!AD74="LLLLRRRR"),'Survey Front'!D24="Tracked",('Survey Front'!M24/Matrix2!$AH$19)&gt;600),AND(E73=TRUE,OR(Matrix2!AD74="LL",Matrix2!AD74="RR"),'Survey Front'!M24&lt;&gt;"Tracked",('Survey Front'!M24:M26/Matrix2!$AH$19)&gt;500)+N("Aruba Express")))</f>
        <v>0</v>
      </c>
      <c r="W73" s="401" t="b">
        <f>IF(Pricing!M68="",FALSE,OR(AND(ISERROR(FIND("(",Matrix2!AD74)),LEN(Matrix2!AD74)-LEN(SUBSTITUTE(Matrix2!AD74,"L",""))&gt;2,OR(C73=TRUE,G73=TRUE,K73=TRUE,L73=TRUE,M73=TRUE,F73=TRUE,E73=TRUE)),AND(ISERROR(FIND("(",Matrix2!AD74)),LEN(Matrix2!AD74)-LEN(SUBSTITUTE(Matrix2!AD74,"R",""))&gt;2,OR(C73=TRUE,G73=TRUE,L73=TRUE,M73=TRUE,F73=TRUE,E73=TRUE)),AND(ISERROR(FIND("(",Matrix2!AD74)),LEN(Matrix2!AD74)-LEN(SUBSTITUTE(Matrix2!AD74,"R",""))&gt;4,OR(I73=TRUE,AND(H73=TRUE,Pricing!D68="Tracked")),(Pricing!M68/Matrix2!AH67)&gt;550),AND(ISERROR(FIND("(",Matrix2!AD74)),LEN(Matrix2!AD74)-LEN(SUBSTITUTE(Matrix2!AD74,"L",""))&gt;4,OR(I73=TRUE,AND(H73=TRUE,Pricing!D68="Tracked")),(Pricing!M68/Matrix2!AH67)&gt;550),AND(ISERROR(FIND("(",Matrix2!AD74)),LEN(Matrix2!AD74)-LEN(SUBSTITUTE(Matrix2!AD74,"L",""))&gt;3,H73=TRUE),AND(ISERROR(FIND("(",Matrix2!AD74)),LEN(Matrix2!AD74)-LEN(SUBSTITUTE(Matrix2!AD74,"R",""))&gt;3,H73=TRUE)))</f>
        <v>0</v>
      </c>
      <c r="X73" s="46" t="b">
        <f>IF('Survey Front'!N24="",FALSE,OR('Survey Front'!N24&lt;250+N("Barbados, Aruba, Bermuda, Cuba, Fiji, Java, Maui, Tahiti, Capri, Aruba Express"),AND(F73=TRUE,'Survey Front'!N24&lt;300)))</f>
        <v>0</v>
      </c>
      <c r="Y73" s="46" t="b">
        <f>IF('Survey Front'!N24="",FALSE,OR('Survey Front'!N24&gt;3000 +N("Barbados, Aruba, Bermuda, Cuba, Fiji, Java, Maui, Tahiti, Capri, Aruba Express"),AND(F73=TRUE,'Survey Front'!N24&gt;2700+N("Belize"))))</f>
        <v>0</v>
      </c>
      <c r="Z73" s="46" t="b">
        <f>OR(AND('Survey Front'!D24="Shape",OR(C73=TRUE,G73=TRUE,I73=TRUE,E73=TRUE)+N("Barbados, Bermuda, Cuba, Java, Aruba Express")),AND('Survey Front'!D24="Shape",D73=TRUE+N("Aruba")))</f>
        <v>0</v>
      </c>
      <c r="AA73" s="46" t="b">
        <f>AND(NOT(ISERROR(FIND("CB",Matrix2!AJ26))),(D73=TRUE+N("Aruba")))</f>
        <v>0</v>
      </c>
      <c r="AB73" s="46" t="b">
        <f>AND(O73=TRUE,'Survey Front'!N24&gt;1372,OR(C73=TRUE,G73=TRUE,J73=TRUE,K73=TRUE,I73=TRUE))</f>
        <v>0</v>
      </c>
      <c r="AC73" s="46" t="b">
        <f>OR(AND(OR(C73=TRUE,G73=TRUE,I73=TRUE),'Survey Front'!N24&gt;1879+N("S-Craft")),AND(D73=TRUE,'Survey Front'!N24&gt;1500,'Survey Front'!N24&lt;=2000),AND(J73=TRUE,'Survey Front'!N24&gt;1981),AND(K73=TRUE,'Survey Front'!N24&gt;1828),OR(AND(OR(L73=TRUE,M73=TRUE),'Survey Front'!N24&gt;1800,'Survey Front'!N24&lt;=2500),AND(OR(L73=TRUE,M73=TRUE),'Survey Front'!N24&gt;=2501,'Survey Front'!N24&lt;=3000)),AND(H73=TRUE,'Survey Front'!N24&gt;1799),OR(AND(E73=TRUE,'Survey Front'!N24&gt;1800,'Survey Front'!N24&lt;=2400),AND(E73=TRUE,'Survey Front'!N24&gt;=2401,'Survey Front'!N24&lt;=3000))+N("Aruba Express"))</f>
        <v>0</v>
      </c>
      <c r="AD73" s="46" t="b">
        <f>AND(OR(H73=TRUE,D73=TRUE,E73=TRUE,F73=TRUE,L73=TRUE),'Survey Front'!H24="47mm")</f>
        <v>0</v>
      </c>
      <c r="AE73" s="452"/>
      <c r="AF73" s="452"/>
      <c r="AG73" s="452"/>
      <c r="AH73" s="46" t="b">
        <f>OR(AND('Survey Front'!H24=$AH$68,I73=TRUE+N("Cuba")),AND(L73=TRUE,'Survey Front'!H24=$AH$68),AND(E73=TRUE,'Survey Front'!H24=$AH$68))</f>
        <v>0</v>
      </c>
      <c r="AI73" s="46" t="b">
        <f>IF(AND(OR(K73=TRUE,L73=TRUE,M73=TRUE,E73=TRUE),'Survey Front'!D24="S/Shade"),TRUE,AND('Survey Front'!D24="S/Shade",OR(C73=TRUE,G73=TRUE,I73=TRUE,J73-TRUE,H73=TRUE,F73=TRUE+N("Barbados, Bermuda, Cuba, Fiji, Capri, Belize")),'Survey Front'!I24&lt;&gt;"FFrame"))</f>
        <v>0</v>
      </c>
      <c r="AJ73" s="46" t="b">
        <f>AND('Survey Front'!D24="French Door Cutout",OR(C73=TRUE,D73=TRUE,E73=TRUE,G73=TRUE,I73=TRUE, K73=TRUE,E73=TRUE+N("Barbados, Bermuda, Cuba, Java, Aruba,AK21 Aruba Express")))</f>
        <v>0</v>
      </c>
      <c r="AK73" s="46" t="b">
        <f>AND('Survey Front'!D24=AK72,OR(E73=TRUE,D73=TRUE))</f>
        <v>0</v>
      </c>
      <c r="AL73" s="27" t="b">
        <f>AND('Survey Front'!D24="Tier on Tier",'Survey Front'!M24&gt;=1361+N("1219 S-Craft, Pauls Limit"))</f>
        <v>0</v>
      </c>
      <c r="AM73" s="401" t="b">
        <f>AND('Survey Front'!C24="Bathroom",OR(C73=TRUE,G73=TRUE,I73=TRUE,J73=TRUE,L73=TRUE,M73=TRUE,H73=TRUE,D73=TRUE,E73=TRUE)+N("If not JAVA OR Belize"))</f>
        <v>0</v>
      </c>
      <c r="AN73" s="27"/>
      <c r="AO73" s="27" t="b">
        <f>AND(K73=TRUE,ISERROR(FIND("Stainless Steel",Pricing!G70)))</f>
        <v>0</v>
      </c>
      <c r="AP73" s="27" t="b" cm="1">
        <f t="array" ref="AP73">IF('Survey Front'!F24="",FALSE,NOT(OR(AND(C73=TRUE,COUNTIF(Barbados,'Survey Front'!F24)&gt;0),AND(D73=TRUE,COUNTIF(Aruba,'Survey Front'!F24)&gt;0),AND(E73=TRUE,COUNTIF(ArubaExpress,'Survey Front'!F24)&gt;0),AND(F73=TRUE,COUNTIF(Belize,'Survey Front'!F24)&gt;0),AND(G73=TRUE,COUNTIF(Bermuda,'Survey Front'!F24)&gt;0),AND(H73=TRUE,COUNTIF(Capri,'Survey Front'!F24)&gt;0),AND(I73=TRUE,COUNTIF(Cuba,'Survey Front'!F24)&gt;0),AND(J73=TRUE,COUNTIF(Fiji,'Survey Front'!F24)&gt;0),AND(K73=TRUE,COUNTIF(Java,'Survey Front'!F24)&gt;0),AND(L73=TRUE,COUNTIF(Maui,'Survey Front'!F24)&gt;0),AND(M73=TRUE,COUNTIF(Tahiti,'Survey Front'!F24)&gt;0))))</f>
        <v>0</v>
      </c>
      <c r="AQ73" s="27" t="b">
        <f>AND('Survey Front'!D24=$AQ$20,K73=FALSE,J73=FALSE,M73=FALSE,L73=FALSE,H73=FALSE,F73=FALSE)</f>
        <v>0</v>
      </c>
      <c r="AR73" s="27" t="b">
        <f>IF(AND('Survey Front'!D24="Tracked",COUNTIF(Table19[Tframes],'Survey Front'!D24)=0),TRUE,FALSE)</f>
        <v>0</v>
      </c>
    </row>
    <row r="74" spans="2:44">
      <c r="B74" s="27">
        <v>6</v>
      </c>
      <c r="C74" s="27" t="b">
        <f>'Survey Front'!$E$27=C$68</f>
        <v>0</v>
      </c>
      <c r="D74" s="27" t="b">
        <f>'Survey Front'!$E$27=D$68</f>
        <v>0</v>
      </c>
      <c r="E74" s="27" t="b">
        <f>'Survey Front'!$E$27=E$68</f>
        <v>0</v>
      </c>
      <c r="F74" s="27" t="b">
        <f>'Survey Front'!$E$27=F$68</f>
        <v>0</v>
      </c>
      <c r="G74" s="27" t="b">
        <f>'Survey Front'!$E$27=G$68</f>
        <v>0</v>
      </c>
      <c r="H74" s="27" t="b">
        <f>'Survey Front'!$E$27=H$68</f>
        <v>0</v>
      </c>
      <c r="I74" s="27" t="b">
        <f>'Survey Front'!$E$27=I$68</f>
        <v>0</v>
      </c>
      <c r="J74" s="27" t="b">
        <f>'Survey Front'!$E$27=J$68</f>
        <v>0</v>
      </c>
      <c r="K74" s="27" t="b">
        <f>'Survey Front'!$E$27=K$68</f>
        <v>0</v>
      </c>
      <c r="L74" s="27" t="b">
        <f>'Survey Front'!$E$27=L$68</f>
        <v>0</v>
      </c>
      <c r="M74" s="27" t="b">
        <f>'Survey Front'!$E$27=M$68</f>
        <v>0</v>
      </c>
      <c r="N74" s="27" t="b">
        <f>OR(IF('Survey Front'!L27="",FALSE,AND(OR('Survey Front'!L27="Split Offset",'Survey Front'!L27="Split Custom",'Survey Front'!L27="Offset",'Survey Front'!L27="Custom",'Survey Front'!L27="Centre"),L74=TRUE,'Survey Front'!L27&lt;&gt;Helper!$Q$68)),AND(E74=TRUE,'Survey Front'!L27="49mm"))</f>
        <v>0</v>
      </c>
      <c r="O74" s="27" t="b">
        <f>IF('Survey Front'!L27="",FALSE,IF(AND(OR(D74=TRUE,L74=TRUE,M74=TRUE,F74=TRUE,E74=TRUE),OR('Survey Front'!L27="Silent",'Survey Front'!L27="Silent Split")),TRUE,FALSE))</f>
        <v>0</v>
      </c>
      <c r="P74" s="27" t="b">
        <f>OR(AND(OR(C74=TRUE,G74=TRUE,I74=TRUE,J74=TRUE,K74=TRUE+N("S-Craft Material"),AND(L74=TRUE,'Survey Front'!L27="Clearview",'Survey Front'!N27&gt;1200)),Q74=TRUE),AND(OR(F74=TRUE,H74=TRUE,E74=TRUE),'Survey Front'!N27&gt;1200,'Survey Front'!L27="Concealed"),AND(OR(F74=TRUE,H74=TRUE),'Survey Front'!N27&gt;1300,'Survey Front'!L27="Hidden")+N("Belize"))</f>
        <v>0</v>
      </c>
      <c r="Q74" s="27" t="b">
        <f>OR(AND(OR(C74=TRUE,G74=TRUE,I74=TRUE,J74=TRUE,K74=TRUE+N("S-Craft Materials")),'Survey Front'!L27=$Q$68),AND(L74=TRUE,'Survey Front'!L27=$O$68)+N("MAUI"),AND(F74=TRUE,'Survey Front'!L27=Helper!$Q$68),AND(E74=TRUE,'Survey Front'!L27=Helper!$Q$68))</f>
        <v>0</v>
      </c>
      <c r="R74" s="46" t="b">
        <f>IF(Matrix2!AI19=0,FALSE,OR(AND(IF('Survey Front'!M27/(Matrix2!AI$19)&lt;152,TRUE,FALSE),'Survey Front'!L27&lt;&gt;"Silent",OR(C74=TRUE,G74=TRUE,I74=TRUE,J74=TRUE,K74=TRUE)+N("S-Craft Materials")),AND(OR(D74=TRUE,M74=TRUE),'Survey Front'!M27/(Matrix2!AI$19)&lt;250+N("Aruba,Tahiti"),N74=TRUE),AND(L74=TRUE,'Survey Front'!H27="49mm"),AND(H74=TRUE,'Survey Front'!M27&lt;200),AND(F74=TRUE,'Survey Front'!M27=250),AND(E74=TRUE,'Survey Front'!M27=200)))</f>
        <v>0</v>
      </c>
      <c r="S74" s="401" t="b">
        <f>IF(Matrix2!AI67=0,FALSE,OR(AND('Survey Front'!M27/(Matrix2!AI$19)&lt;152+N("S-Craft"),O74=TRUE,OR(C74=TRUE,G74=TRUE,I74=TRUE,J74=TRUE,K74=TRUE)),AND('Survey Front'!M27/(Matrix2!AI$19)&lt;170+N("Aruba"),Q74=TRUE),AND(OR(L74=TRUE,M74=TRUE),'Survey Front'!L27=Q68,'Survey Front'!M27/(Matrix2!AI$19)&lt;250+N("MAUI")),AND(H74=TRUE,OR('Survey Front'!L27="Supatilt",'Survey Front'!L27="Silent"),'Survey Front'!M27&lt;200)))</f>
        <v>0</v>
      </c>
      <c r="T74" s="91" t="b">
        <f>IF(Matrix2!AI67=0,FALSE,OR(AND(C74=TRUE,'Survey Front'!H27="47mm",('Survey Front'!M27/Matrix2!AI$19)&gt;600),AND(G74=TRUE,'Survey Front'!H27="47mm",('Survey Front'!M27/Matrix2!AI$19)&gt;610+N("Bermuda")),AND(G74=TRUE,'Survey Front'!H27="47mm",('Survey Front'!M27/Matrix2!AI$19)&gt;750+N("Cuba")),AND(J74=TRUE,'Survey Front'!H27="47mm",('Survey Front'!M27/Matrix2!AI$19)&gt;750+N("Fiji")),AND(K74=TRUE,'Survey Front'!H27="47mm",('Survey Front'!M27/Matrix2!AI$19)&gt;550+N("Java")),AND(L74=TRUE,'Survey Front'!H27="47mm"),AND(L74=TRUE,'Survey Front'!H27="47mm",('Survey Front'!M27/Matrix2!AI$19)&gt;850+N("Tahiti")),AND(H74=TRUE,'Survey Front'!H27="47mm"),AND(F74=TRUE,'Survey Front'!H27="47mm"),AND(E74=TRUE,'Survey Front'!H27="47mm")))</f>
        <v>0</v>
      </c>
      <c r="U74" s="401" t="b">
        <f>IF('Survey Front'!M27="",FALSE,OR(AND(C74=TRUE,AD74=FALSE,('Survey Front'!M27/(Matrix2!AI$19))&gt;750+N("Barbados")),AND(D74=TRUE,'Survey Front'!H27&lt;&gt;"89mm",'Survey Front'!H27&lt;&gt;"114mm",'Survey Front'!M27/Matrix2!AI$19&gt;800)+N("Aruba"),AND(D74=TRUE,'Survey Front'!H27&lt;&gt;"63mm",'Survey Front'!H27&lt;&gt;"76mm",'Survey Front'!M27/Matrix2!AI$19&gt;920)+N("Aruba"),AND(G74=TRUE,'Survey Front'!M27/Matrix2!AI$19&gt;915)+N("Bermuda"),AND(G74=TRUE,'Survey Front'!M27/Matrix2!AI$19&gt;890)+N("Cuba"),AND(J74=TRUE,OR(AE74=TRUE,AF74=TRUE),('Survey Front'!M27/Matrix2!AI$19)&gt;890+N("Fiji")),AND(J74=TRUE,OR(AG74=TRUE,AH74=TRUE),('Survey Front'!M27/Matrix2!AI$19)&gt;1047+N("Fiji")),AND(K74=TRUE,OR(AE74=TRUE,AF74=TRUE),('Survey Front'!M27/Matrix2!AI$19)&gt;800+N("Java")),AND(K74=TRUE,OR(AG74=TRUE,AH74=TRUE),('Survey Front'!M27/Matrix2!AI$19)&gt;890+N("Java")),AND(L74=TRUE,('Survey Front'!M27/Matrix2!AI$19)&gt;950+N("Maui")),AND(M74=TRUE,'Survey Front'!H27="63mm",('Survey Front'!M27/Matrix2!AI$19)&gt;850+N("Tahiti 63mm")),AND(M74=TRUE,OR('Survey Front'!H27="76mm",'Survey Front'!H27="89mm",'Survey Front'!H27="114mm"),('Survey Front'!M27/Matrix2!AI$19)&gt;950+N("Tahiti 76,89,114mm")),AND(H74=TRUE,('Survey Front'!M27/Matrix2!AI$19)&gt;890+N("Capri")),AND(OR(H74=TRUE,F74=TRUE),'Survey Front'!D27="Tracked",('Survey Front'!M27/Matrix2!AI$19)&gt;600),AND(H74=TRUE,'Survey Front'!M27&gt;890,LEN(Matrix2!AD75)=1),AND(F74=TRUE,'Survey Front'!M27&gt;750,LEN(Matrix2!AD75)=1,'Survey Front'!H27="63mm"),AND(F74=TRUE,'Survey Front'!M27&gt;890,LEN(Matrix2!AD75)=1,OR('Survey Front'!H27="76mm",'Survey Front'!H27="89mm",'Survey Front'!H27="114mm")),AND(E74=TRUE,'Survey Front'!M27=700)))</f>
        <v>0</v>
      </c>
      <c r="V74" s="401" t="b">
        <f>IF('Survey Front'!M27="",FALSE,OR(AND(OR(Matrix2!AD75="LL",Matrix2!AD75="RR"),'Survey Front'!D27&lt;&gt;"Tracked",OR(C74=TRUE,D74=TRUE,L74=TRUE,M74=TRUE),('Survey Front'!M27/2)&gt;600,'Survey Front'!D27&lt;&gt;"Tracked"),AND(OR(Matrix2!AD75="LL",Matrix2!AD75="RR"),'Survey Front'!D27&lt;&gt;"Tracked",OR(G74=TRUE,AND(K74=TRUE,'Survey Front'!H27&lt;&gt;"47mm")),('Survey Front'!M27/Matrix2!$AI$19)&gt;610)+N("Bermuda, Java"),AND(OR(Matrix2!AD75="LL",Matrix2!AD75="RR"),'Survey Front'!D27&lt;&gt;"Tracked",OR(I74=TRUE,J74=TRUE),('Survey Front'!M27/Matrix2!$AI$19)&gt;660)+N("Cuba &amp; Fiji"),AND(OR(Matrix2!AD75="LL",Matrix2!AD75="RR"),'Survey Front'!D27="Tracked",K74=TRUE,'Survey Front'!H27="47mm",('Survey Front'!M27/Matrix2!$AI$19)&gt;550)+N("Java"),AND(L74=TRUE,'Survey Front'!D27="Tracked",('Survey Front'!M27/Matrix2!$AI$19)&gt;700),AND(H74=TRUE,'Survey Front'!D27&lt;&gt;"Tracked",('Survey Front'!M27/Matrix2!$AI$19)&gt;625),AND(H74=TRUE,OR(Matrix2!AD75="LL",Matrix2!AD75="RR"),'Survey Front'!D27&lt;&gt;"Tracked",('Survey Front'!M27/Matrix2!$AI$19)&gt;625)+N("Capri Bifold"),AND(H74=TRUE,OR(Matrix2!AD75="LLL",Matrix2!AD75="RRR",Matrix2!AD75="LLLRRR"),'Survey Front'!D27&lt;&gt;"Tracked",('Survey Front'!M27/Matrix2!$AI$19)&gt;550)+N("Capri Multifold"),AND(H74=TRUE,'Survey Front'!D27="Tracked",NOT(ISEVEN(LEN(Matrix2!AD75)))),AND(G74=TRUE,OR(Matrix2!AD75="LL",Matrix2!AD75="RR"),'Survey Front'!D27&lt;&gt;"Tracked",('Survey Front'!M27/Matrix2!$AI$19)&gt;500),AND(F74=TRUE,'Survey Front'!M27/Matrix2!$AI$19&gt;500,'Survey Front'!D27&lt;&gt;"Tracked"),AND(F74=TRUE,OR(Matrix2!AD75="LL",Matrix2!AD75="RR"),'Survey Front'!D27&lt;&gt;"Tracked",('Survey Front'!M27/Matrix2!$AI$19)&gt;600),AND(F74=TRUE,OR(Matrix2!AD75="LL",Matrix2!AD75="RR",Matrix2!AD75="LLL",Matrix2!AD75="RRR",Matrix2!AD75="LLLLRRRR"),'Survey Front'!D27="Tracked",('Survey Front'!M27/Matrix2!$AI$19)&gt;600),AND(E74=TRUE,OR(Matrix2!AD75="LL",Matrix2!AD75="RR"),'Survey Front'!D27&lt;&gt;"Tracked",('Survey Front'!M27/Matrix2!$AI$19)&gt;500)+N("Aruba Express")))</f>
        <v>0</v>
      </c>
      <c r="W74" s="401" t="b">
        <f>IF(Pricing!M71="",FALSE,OR(AND(ISERROR(FIND("(",Matrix2!AD75)),LEN(Matrix2!AD75)-LEN(SUBSTITUTE(Matrix2!AD75,"L",""))&gt;2,OR(C74=TRUE,G74=TRUE,K74=TRUE,L74=TRUE,M74=TRUE,F74=TRUE,E74=TRUE)),AND(ISERROR(FIND("(",Matrix2!AD75)),LEN(Matrix2!AD75)-LEN(SUBSTITUTE(Matrix2!AD75,"R",""))&gt;2,OR(C74=TRUE,G74=TRUE,L74=TRUE,M74=TRUE,F74=TRUE,E74=TRUE)),AND(ISERROR(FIND("(",Matrix2!AD75)),LEN(Matrix2!AD75)-LEN(SUBSTITUTE(Matrix2!AD75,"R",""))&gt;4,OR(I74=TRUE,AND(H74=TRUE,Pricing!D71="Tracked")),(Pricing!M71/Matrix2!AI67)&gt;550),AND(ISERROR(FIND("(",Matrix2!AD75)),LEN(Matrix2!AD75)-LEN(SUBSTITUTE(Matrix2!AD75,"L",""))&gt;4,OR(I74=TRUE,AND(H74=TRUE,Pricing!D71="Tracked")),(Pricing!M71/Matrix2!AI67)&gt;550),AND(ISERROR(FIND("(",Matrix2!AD75)),LEN(Matrix2!AD75)-LEN(SUBSTITUTE(Matrix2!AD75,"L",""))&gt;3,H74=TRUE),AND(ISERROR(FIND("(",Matrix2!AD75)),LEN(Matrix2!AD75)-LEN(SUBSTITUTE(Matrix2!AD75,"R",""))&gt;3,H74=TRUE)))</f>
        <v>0</v>
      </c>
      <c r="X74" s="46" t="b">
        <f>IF('Survey Front'!N27="",FALSE,OR('Survey Front'!N27&lt;250+N("Barbados, Aruba, Bermuda, Cuba, Fiji, Java, Maui, Tahiti, Capri, Aruba Express"),AND(F74=TRUE,'Survey Front'!N27&lt;300)))</f>
        <v>0</v>
      </c>
      <c r="Y74" s="46" t="b">
        <f>IF('Survey Front'!N27="",FALSE,OR('Survey Front'!N27&gt;3000 +N("Barbados, Aruba, Bermuda, Cuba, Fiji, Java, Maui, Tahiti, Capri, Aruba Express"),AND(F74=TRUE,'Survey Front'!N27&gt;2700+N("Belize"))))</f>
        <v>0</v>
      </c>
      <c r="Z74" s="46" t="b">
        <f>OR(AND('Survey Front'!D27="Shape",OR(C74=TRUE,G74=TRUE,I74=TRUE,E74=TRUE)+N("Barbados, Bermuda, Cuba, Java, Aruba Express")),AND('Survey Front'!D27="Shape",D74=TRUE+N("Aruba")))</f>
        <v>0</v>
      </c>
      <c r="AA74" s="46" t="b">
        <f>AND(NOT(ISERROR(FIND("CB",Matrix2!AJ27))),(D74=TRUE+N("Aruba")))</f>
        <v>0</v>
      </c>
      <c r="AB74" s="46" t="b">
        <f>AND(O74=TRUE,'Survey Front'!N27&gt;1372,OR(C74=TRUE,G74=TRUE,J74=TRUE,K74=TRUE,I74=TRUE))</f>
        <v>0</v>
      </c>
      <c r="AC74" s="46" t="b">
        <f>OR(AND(OR(C74=TRUE,G74=TRUE,I74=TRUE),'Survey Front'!N27&gt;1879+N("S-Craft")),AND(D74=TRUE,'Survey Front'!N27&gt;1500,'Survey Front'!N27&lt;=2000),AND(J74=TRUE,'Survey Front'!N27&gt;1981),AND(K74=TRUE,'Survey Front'!N27&gt;1828),OR(AND(OR(L74=TRUE,M74=TRUE),'Survey Front'!N27&gt;1800,'Survey Front'!N27&lt;=2500),AND(OR(L74=TRUE,M74=TRUE),'Survey Front'!N27&gt;=2501,'Survey Front'!N27&lt;=3000)),AND(H74=TRUE,'Survey Front'!N27&gt;1799),OR(AND(E74=TRUE,'Survey Front'!N27&gt;1800,'Survey Front'!N27&lt;=2400),AND(E74=TRUE,'Survey Front'!N27&gt;=2401,'Survey Front'!N27&lt;=3000))+N("Aruba Express"))</f>
        <v>0</v>
      </c>
      <c r="AD74" s="46" t="b">
        <f>AND(OR(H74=TRUE,D74=TRUE,E74=TRUE,F74=TRUE,L74=TRUE),'Survey Front'!H27="47mm")</f>
        <v>0</v>
      </c>
      <c r="AE74" s="452"/>
      <c r="AF74" s="452"/>
      <c r="AG74" s="452"/>
      <c r="AH74" s="46" t="b">
        <f>OR(AND('Survey Front'!H27=$AH$68,I74=TRUE+N("Cuba")),AND(L74=TRUE,'Survey Front'!H27=$AH$68),AND(E74=TRUE,'Survey Front'!H27=$AH$68))</f>
        <v>0</v>
      </c>
      <c r="AI74" s="46" t="b">
        <f>IF(AND(OR(K74=TRUE,L74=TRUE,M74=TRUE,E74=TRUE),'Survey Front'!D27="S/Shade"),TRUE,AND('Survey Front'!D27="S/Shade",OR(C74=TRUE,G74=TRUE,I74=TRUE,J74-TRUE,H74=TRUE,F74=TRUE+N("Barbados, Bermuda, Cuba, Fiji, Capri, Belize")),'Survey Front'!I27&lt;&gt;"FFrame"))</f>
        <v>0</v>
      </c>
      <c r="AJ74" s="46" t="b">
        <f>AND('Survey Front'!D27="French Door Cutout",OR(C74=TRUE,D74=TRUE,E74=TRUE,G74=TRUE,I74=TRUE, K74=TRUE,E74=TRUE+N("Barbados, Bermuda, Cuba, Java, Aruba,AK21 Aruba Express")))</f>
        <v>0</v>
      </c>
      <c r="AK74" s="46" t="b">
        <f>AND('Survey Front'!D27=AK73,OR(E74=TRUE,D74=TRUE))</f>
        <v>0</v>
      </c>
      <c r="AL74" s="27" t="b">
        <f>AND('Survey Front'!D27="Tier on Tier",'Survey Front'!M27&gt;=1361+N("1219 S-Craft, Pauls Limit"))</f>
        <v>0</v>
      </c>
      <c r="AM74" s="401" t="b">
        <f>AND('Survey Front'!C27="Bathroom",OR(C74=TRUE,G74=TRUE,I74=TRUE,J74=TRUE,L74=TRUE,M74=TRUE,H74=TRUE,D74=TRUE,E74=TRUE)+N("If not JAVA OR Belize"))</f>
        <v>0</v>
      </c>
      <c r="AN74" s="27"/>
      <c r="AO74" s="27" t="b">
        <f>AND(K74=TRUE,ISERROR(FIND("Stainless Steel",Pricing!G73)))</f>
        <v>0</v>
      </c>
      <c r="AP74" s="27" t="b" cm="1">
        <f t="array" ref="AP74">IF('Survey Front'!F27="",FALSE,NOT(OR(AND(C74=TRUE,COUNTIF(Barbados,'Survey Front'!F27)&gt;0),AND(D74=TRUE,COUNTIF(Aruba,'Survey Front'!F27)&gt;0),AND(E74=TRUE,COUNTIF(ArubaExpress,'Survey Front'!F27)&gt;0),AND(F74=TRUE,COUNTIF(Belize,'Survey Front'!F27)&gt;0),AND(G74=TRUE,COUNTIF(Bermuda,'Survey Front'!F27)&gt;0),AND(H74=TRUE,COUNTIF(Capri,'Survey Front'!F27)&gt;0),AND(I74=TRUE,COUNTIF(Cuba,'Survey Front'!F27)&gt;0),AND(J74=TRUE,COUNTIF(Fiji,'Survey Front'!F27)&gt;0),AND(K74=TRUE,COUNTIF(Java,'Survey Front'!F27)&gt;0),AND(L74=TRUE,COUNTIF(Maui,'Survey Front'!F27)&gt;0),AND(M74=TRUE,COUNTIF(Tahiti,'Survey Front'!F27)&gt;0))))</f>
        <v>0</v>
      </c>
      <c r="AQ74" s="27" t="b">
        <f>AND('Survey Front'!D27=$AQ$20,K74=FALSE,J74=FALSE,M74=FALSE,L74=FALSE,H74=FALSE,F74=FALSE)</f>
        <v>0</v>
      </c>
      <c r="AR74" s="27" t="b">
        <f>IF(AND('Survey Front'!D27="Tracked",COUNTIF(Table19[Tframes],'Survey Front'!D27)=0),TRUE,FALSE)</f>
        <v>0</v>
      </c>
    </row>
    <row r="75" spans="2:44">
      <c r="B75" s="27">
        <v>7</v>
      </c>
      <c r="C75" s="27" t="b">
        <f>'Survey Front'!$E$30=C$68</f>
        <v>0</v>
      </c>
      <c r="D75" s="27" t="b">
        <f>'Survey Front'!$E$30=D$68</f>
        <v>0</v>
      </c>
      <c r="E75" s="27" t="b">
        <f>'Survey Front'!$E$30=E$68</f>
        <v>0</v>
      </c>
      <c r="F75" s="27" t="b">
        <f>'Survey Front'!$E$30=F$68</f>
        <v>0</v>
      </c>
      <c r="G75" s="27" t="b">
        <f>'Survey Front'!$E$30=G$68</f>
        <v>0</v>
      </c>
      <c r="H75" s="27" t="b">
        <f>'Survey Front'!$E$30=H$68</f>
        <v>0</v>
      </c>
      <c r="I75" s="27" t="b">
        <f>'Survey Front'!$E$30=I$68</f>
        <v>0</v>
      </c>
      <c r="J75" s="27" t="b">
        <f>'Survey Front'!$E$30=J$68</f>
        <v>0</v>
      </c>
      <c r="K75" s="27" t="b">
        <f>'Survey Front'!$E$30=K$68</f>
        <v>0</v>
      </c>
      <c r="L75" s="27" t="b">
        <f>'Survey Front'!$E$30=L$68</f>
        <v>0</v>
      </c>
      <c r="M75" s="27" t="b">
        <f>'Survey Front'!$E$30=M$68</f>
        <v>0</v>
      </c>
      <c r="N75" s="27" t="b">
        <f>OR(IF('Survey Front'!L30="",FALSE,AND(OR('Survey Front'!L30="Split Offset",'Survey Front'!L30="Split Custom",'Survey Front'!L30="Offset",'Survey Front'!L30="Custom",'Survey Front'!L30="Centre"),L75=TRUE,'Survey Front'!L30&lt;&gt;Helper!$Q$68)),AND(E75=TRUE,'Survey Front'!L30="49mm"))</f>
        <v>0</v>
      </c>
      <c r="O75" s="27" t="b">
        <f>IF('Survey Front'!L30="",FALSE,IF(AND(OR(D75=TRUE,L75=TRUE,M75=TRUE,F75=TRUE,E75=TRUE),OR('Survey Front'!L30="Silent",'Survey Front'!L30="Silent Split")),TRUE,FALSE))</f>
        <v>0</v>
      </c>
      <c r="P75" s="27" t="b">
        <f>OR(AND(OR(C75=TRUE,G75=TRUE,I75=TRUE,J75=TRUE,K75=TRUE+N("S-Craft Material"),AND(L75=TRUE,'Survey Front'!L30="Clearview",'Survey Front'!N30&gt;1200)),Q75=TRUE),AND(OR(F75=TRUE,H75=TRUE,E75=TRUE),'Survey Front'!N30&gt;1200,'Survey Front'!L30="Concealed"),AND(OR(F75=TRUE,H75=TRUE),'Survey Front'!N30&gt;1300,'Survey Front'!L30="Hidden")+N("Belize"))</f>
        <v>0</v>
      </c>
      <c r="Q75" s="27" t="b">
        <f>OR(AND(OR(C75=TRUE,G75=TRUE,I75=TRUE,J75=TRUE,K75=TRUE+N("S-Craft Materials")),'Survey Front'!L30=$Q$68),AND(L75=TRUE,'Survey Front'!L30=$O$68)+N("MAUI"),AND(F75=TRUE,'Survey Front'!L30=Helper!$Q$68),AND(E75=TRUE,'Survey Front'!L30=Helper!$Q$68))</f>
        <v>0</v>
      </c>
      <c r="R75" s="46" t="b">
        <f>IF(Matrix2!AJ19=0,FALSE,OR(AND(IF('Survey Front'!M30/(Matrix2!AJ$19)&lt;152,TRUE,FALSE),'Survey Front'!L30&lt;&gt;"Silent",OR(C75=TRUE,G75=TRUE,I75=TRUE,J75=TRUE,K75=TRUE)+N("S-Craft Materials")),AND(OR(D75=TRUE,M75=TRUE),'Survey Front'!M30/(Matrix2!AJ$19)&lt;250+N("Aruba,Tahiti"),N75=TRUE),AND(L75=TRUE,'Survey Front'!H30="49mm"),AND(H75=TRUE,'Survey Front'!M30&lt;200),AND(F75=TRUE,'Survey Front'!M30=250),AND(E75=TRUE,'Survey Front'!M30=200)))</f>
        <v>0</v>
      </c>
      <c r="S75" s="401" t="b">
        <f>IF(Matrix2!AJ67=0,FALSE,OR(AND('Survey Front'!M30/(Matrix2!AJ$19)&lt;152+N("S-Craft"),O75=TRUE,OR(C75=TRUE,G75=TRUE,I75=TRUE,J75=TRUE,K75=TRUE)),AND('Survey Front'!M30/(Matrix2!AJ$19)&lt;170+N("Aruba"),Q75=TRUE),AND(OR(L75=TRUE,M75=TRUE),'Survey Front'!L30=Q68,'Survey Front'!M30/(Matrix2!AJ$19)&lt;250+N("MAUI")),AND(H75=TRUE,OR('Survey Front'!L30="Supatilt",'Survey Front'!L30="Silent"),'Survey Front'!M30&lt;200)))</f>
        <v>0</v>
      </c>
      <c r="T75" s="91" t="b">
        <f>IF(Matrix2!AJ67=0,FALSE,OR(AND(C75=TRUE,'Survey Front'!H30="47mm",('Survey Front'!M30/Matrix2!AJ$19)&gt;600),AND(G75=TRUE,'Survey Front'!H30="47mm",('Survey Front'!M30/Matrix2!AJ$19)&gt;610+N("Bermuda")),AND(G75=TRUE,'Survey Front'!H30="47mm",('Survey Front'!M30/Matrix2!AJ$19)&gt;750+N("Cuba")),AND(J75=TRUE,'Survey Front'!H30="47mm",('Survey Front'!M30/Matrix2!AI$19)&gt;750+N("Fiji")),AND(K75=TRUE,'Survey Front'!H30="47mm",('Survey Front'!M30/Matrix2!AI$19)&gt;550+N("Java")),AND(L75=TRUE,'Survey Front'!H30="47mm"),AND(L75=TRUE,'Survey Front'!H30="47mm",('Survey Front'!M30/Matrix2!AI$19)&gt;850+N("Tahiti")),AND(H75=TRUE,'Survey Front'!H30="47mm"),AND(F75=TRUE,'Survey Front'!H30="47mm"),AND(E75=TRUE,'Survey Front'!H30="47mm")))</f>
        <v>0</v>
      </c>
      <c r="U75" s="401" t="b">
        <f>IF('Survey Front'!M30="",FALSE,OR(AND(C75=TRUE,AD75=FALSE,('Survey Front'!M30/(Matrix2!AJ$19))&gt;750+N("Barbados")),AND(D75=TRUE,'Survey Front'!H30&lt;&gt;"89mm",'Survey Front'!H30&lt;&gt;"114mm",'Survey Front'!M30/Matrix2!AJ$19&gt;800)+N("Aruba"),AND(D75=TRUE,'Survey Front'!H30&lt;&gt;"63mm",'Survey Front'!H30&lt;&gt;"76mm",'Survey Front'!M30/Matrix2!AJ$19&gt;920)+N("Aruba"),AND(G75=TRUE,'Survey Front'!M30/Matrix2!AJ$19&gt;915)+N("Bermuda"),AND(G75=TRUE,'Survey Front'!M30/Matrix2!AJ$19&gt;890)+N("Cuba"),AND(J75=TRUE,OR(AE75=TRUE,AF75=TRUE),('Survey Front'!M30/Matrix2!AJ$19)&gt;890+N("Fiji")),AND(J75=TRUE,OR(AG75=TRUE,AH75=TRUE),('Survey Front'!M30/Matrix2!AJ$19)&gt;1047+N("Fiji")),AND(K75=TRUE,OR(AE75=TRUE,AF75=TRUE),('Survey Front'!M30/Matrix2!AJ$19)&gt;800+N("Java")),AND(K75=TRUE,OR(AG75=TRUE,AH75=TRUE),('Survey Front'!M30/Matrix2!AJ$19)&gt;890+N("Java")),AND(L75=TRUE,('Survey Front'!M30/Matrix2!AJ$19)&gt;950+N("Maui")),AND(M75=TRUE,'Survey Front'!H30="63mm",('Survey Front'!M30/Matrix2!AJ$19)&gt;850+N("Tahiti 63mm")),AND(M75=TRUE,OR('Survey Front'!H30="76mm",'Survey Front'!H30="89mm",'Survey Front'!H30="114mm"),('Survey Front'!M30/Matrix2!AJ$19)&gt;950+N("Tahiti 76,89,114mm")),AND(H75=TRUE,('Survey Front'!M30/Matrix2!AJ$19)&gt;890+N("Capri")),AND(OR(H75=TRUE,F75=TRUE),'Survey Front'!D30="Tracked",('Survey Front'!M30/Matrix2!AJ$19)&gt;600),AND(H75=TRUE,'Survey Front'!M30&gt;890,LEN(Matrix2!AD76)=1),AND(F75=TRUE,'Survey Front'!M30&gt;750,LEN(Matrix2!AD76)=1,'Survey Front'!H30="63mm"),AND(F75=TRUE,'Survey Front'!M30&gt;890,LEN(Matrix2!AD76)=1,OR('Survey Front'!H30="76mm",'Survey Front'!H30="89mm",'Survey Front'!H30="114mm")),AND(E75=TRUE,'Survey Front'!M30=700)))</f>
        <v>0</v>
      </c>
      <c r="V75" s="401" t="b">
        <f>IF('Survey Front'!M30="",FALSE,OR(AND(OR(Matrix2!AD76="LL",Matrix2!AD76="RR"),'Survey Front'!D30&lt;&gt;"Tracked",OR(C75=TRUE,D75=TRUE,L75=TRUE,M75=TRUE),('Survey Front'!M30/2)&gt;600,'Survey Front'!D30&lt;&gt;"Tracked"),AND(OR(Matrix2!AD76="LL",Matrix2!AD76="RR"),'Survey Front'!D30&lt;&gt;"Tracked",OR(G75=TRUE,AND(K75=TRUE,'Survey Front'!H30&lt;&gt;"47mm")),('Survey Front'!M30/Matrix2!$AJ$19)&gt;610)+N("Bermuda, Java"),AND(OR(Matrix2!AD76="LL",Matrix2!AD76="RR"),'Survey Front'!D30&lt;&gt;"Tracked",OR(I75=TRUE,J75=TRUE),('Survey Front'!M30/Matrix2!$AJ$19)&gt;660)+N("Cuba &amp; Fiji"),AND(OR(Matrix2!AD76="LL",Matrix2!AD76="RR"),'Survey Front'!D30="Tracked",K75=TRUE,'Survey Front'!H30="47mm",('Survey Front'!M30/Matrix2!$AJ$19)&gt;550)+N("Java"),AND(L75=TRUE,'Survey Front'!D30="Tracked",('Survey Front'!M30/Matrix2!$AJ$19)&gt;700),AND(H75=TRUE,'Survey Front'!D30&lt;&gt;"Tracked",('Survey Front'!M30/Matrix2!$AJ$19)&gt;625),AND(H75=TRUE,OR(Matrix2!AD76="LL",Matrix2!AD76="RR"),'Survey Front'!D30&lt;&gt;"Tracked",('Survey Front'!M30/Matrix2!$AJ$19)&gt;625)+N("Capri Bifold"),AND(H75=TRUE,OR(Matrix2!AD76="LLL",Matrix2!AD76="RRR",Matrix2!AD76="LLLRRR"),'Survey Front'!D30&lt;&gt;"Tracked",('Survey Front'!M30/Matrix2!$AJ$19)&gt;550)+N("Capri Multifold"),AND(H75=TRUE,'Survey Front'!D30="Tracked",NOT(ISEVEN(LEN(Matrix2!AD76)))),AND(G75=TRUE,OR(Matrix2!AD76="LL",Matrix2!AD76="RR"),'Survey Front'!D30&lt;&gt;"Tracked",('Survey Front'!M30/Matrix2!$AJ$19)&gt;500),AND(F75=TRUE,'Survey Front'!M30/Matrix2!$AJ$19&gt;500,'Survey Front'!D30&lt;&gt;"Tracked"),AND(F75=TRUE,OR(Matrix2!AD76="LL",Matrix2!AD76="RR"),'Survey Front'!D30&lt;&gt;"Tracked",('Survey Front'!M30/Matrix2!$AJ$19)&gt;600),AND(F75=TRUE,OR(Matrix2!AD76="LL",Matrix2!AD76="RR",Matrix2!AD76="LLL",Matrix2!AD76="RRR",Matrix2!AD76="LLLLRRRR"),'Survey Front'!D30="Tracked",('Survey Front'!M30/Matrix2!$AJ$19)&gt;600),AND(E75=TRUE,OR(Matrix2!AD76="LL",Matrix2!AD76="RR"),'Survey Front'!D30&lt;&gt;"Tracked",('Survey Front'!M30/Matrix2!$AJ$19)&gt;500)+N("Aruba Express")))</f>
        <v>0</v>
      </c>
      <c r="W75" s="401" t="b">
        <f>IF(Pricing!M74="",FALSE,OR(AND(ISERROR(FIND("(",Matrix2!AD76)),LEN(Matrix2!AD76)-LEN(SUBSTITUTE(Matrix2!AD76,"L",""))&gt;2,OR(C75=TRUE,G75=TRUE,K75=TRUE,L75=TRUE,M75=TRUE,F75=TRUE,E75=TRUE)),AND(ISERROR(FIND("(",Matrix2!AD76)),LEN(Matrix2!AD76)-LEN(SUBSTITUTE(Matrix2!AD76,"R",""))&gt;2,OR(C75=TRUE,G75=TRUE,L75=TRUE,M75=TRUE,F75=TRUE,E75=TRUE)),AND(ISERROR(FIND("(",Matrix2!AD76)),LEN(Matrix2!AD76)-LEN(SUBSTITUTE(Matrix2!AD76,"R",""))&gt;4,OR(I75=TRUE,AND(H75=TRUE,Pricing!D74="Tracked")),(Pricing!M74/Matrix2!AJ67)&gt;550),AND(ISERROR(FIND("(",Matrix2!AD76)),LEN(Matrix2!AD76)-LEN(SUBSTITUTE(Matrix2!AD76,"L",""))&gt;4,OR(I75=TRUE,AND(H75=TRUE,Pricing!D74="Tracked")),(Pricing!M74/Matrix2!AJ67)&gt;550),AND(ISERROR(FIND("(",Matrix2!AD76)),LEN(Matrix2!AD76)-LEN(SUBSTITUTE(Matrix2!AD76,"L",""))&gt;3,H75=TRUE),AND(ISERROR(FIND("(",Matrix2!AD76)),LEN(Matrix2!AD76)-LEN(SUBSTITUTE(Matrix2!AD76,"R",""))&gt;3,H75=TRUE)))</f>
        <v>0</v>
      </c>
      <c r="X75" s="46" t="b">
        <f>IF('Survey Front'!N30="",FALSE,OR('Survey Front'!N30&lt;250+N("Barbados, Aruba, Bermuda, Cuba, Fiji, Java, Maui, Tahiti, Capri, Aruba Express"),AND(F75=TRUE,'Survey Front'!N30&lt;300)))</f>
        <v>0</v>
      </c>
      <c r="Y75" s="46" t="b">
        <f>IF('Survey Front'!N30="",FALSE,OR('Survey Front'!N30&gt;3000 +N("Barbados, Aruba, Bermuda, Cuba, Fiji, Java, Maui, Tahiti, Capri, Aruba Express"),AND(F75=TRUE,'Survey Front'!N30&gt;2700+N("Belize"))))</f>
        <v>0</v>
      </c>
      <c r="Z75" s="46" t="b">
        <f>OR(AND('Survey Front'!D30="Shape",OR(C75=TRUE,G75=TRUE,I75=TRUE,E75=TRUE)+N("Barbados, Bermuda, Cuba, Java, Aruba Express")),AND('Survey Front'!D30="Shape",D75=TRUE+N("Aruba")))</f>
        <v>0</v>
      </c>
      <c r="AA75" s="46" t="b">
        <f>AND(NOT(ISERROR(FIND("CB",Matrix2!AJ28))),(D75=TRUE+N("Aruba")))</f>
        <v>0</v>
      </c>
      <c r="AB75" s="46" t="b">
        <f>AND(O75=TRUE,'Survey Front'!N30&gt;1372,OR(C75=TRUE,G75=TRUE,J75=TRUE,K75=TRUE,I75=TRUE))</f>
        <v>0</v>
      </c>
      <c r="AC75" s="46" t="b">
        <f>OR(AND(OR(C75=TRUE,G75=TRUE,I75=TRUE),'Survey Front'!N30&gt;1879+N("S-Craft")),AND(D75=TRUE,'Survey Front'!N30&gt;1500,'Survey Front'!N30&lt;=2000),AND(J75=TRUE,'Survey Front'!N30&gt;1981),AND(K75=TRUE,'Survey Front'!N30&gt;1828),OR(AND(OR(L75=TRUE,M75=TRUE),'Survey Front'!N30&gt;1800,'Survey Front'!N30&lt;=2500),AND(OR(L75=TRUE,M75=TRUE),'Survey Front'!N30&gt;=2501,'Survey Front'!N30&lt;=3000)),AND(H75=TRUE,'Survey Front'!N30&gt;1799),OR(AND(E75=TRUE,'Survey Front'!N30&gt;1800,'Survey Front'!N30&lt;=2400),AND(E75=TRUE,'Survey Front'!N30&gt;=2401,'Survey Front'!N30&lt;=3000))+N("Aruba Express"))</f>
        <v>0</v>
      </c>
      <c r="AD75" s="46" t="b">
        <f>AND(OR(H75=TRUE,D75=TRUE,E75=TRUE,F75=TRUE,L75=TRUE),'Survey Front'!H18="30mm")</f>
        <v>0</v>
      </c>
      <c r="AE75" s="452"/>
      <c r="AF75" s="452"/>
      <c r="AG75" s="452"/>
      <c r="AH75" s="46" t="b">
        <f>OR(AND('Survey Front'!H30=$AH$68,I75=TRUE+N("Cuba")),AND(L75=TRUE,'Survey Front'!H30=$AH$68),AND(E75=TRUE,'Survey Front'!H30=$AH$68))</f>
        <v>0</v>
      </c>
      <c r="AI75" s="46" t="b">
        <f>IF(AND(OR(K75=TRUE,L75=TRUE,M75=TRUE,E75=TRUE),'Survey Front'!D30="S/Shade"),TRUE,AND('Survey Front'!D30="S/Shade",OR(C75=TRUE,G75=TRUE,I75=TRUE,J75-TRUE,H75=TRUE,F75=TRUE+N("Barbados, Bermuda, Cuba, Fiji, Capri, Belize")),'Survey Front'!I30&lt;&gt;"FFrame"))</f>
        <v>0</v>
      </c>
      <c r="AJ75" s="46" t="b">
        <f>AND('Survey Front'!D30="French Door Cutout",OR(C75=TRUE,D75=TRUE,E75=TRUE,G75=TRUE,I75=TRUE, K75=TRUE,E75=TRUE+N("Barbados, Bermuda, Cuba, Java, Aruba,AK21 Aruba Express")))</f>
        <v>0</v>
      </c>
      <c r="AK75" s="46" t="b">
        <f>AND('Survey Front'!D30=AK74,OR(E75=TRUE,D75=TRUE))</f>
        <v>0</v>
      </c>
      <c r="AL75" s="27" t="b">
        <f>AND('Survey Front'!D30="Tier on Tier",'Survey Front'!M30&gt;=1361+N("1219 S-Craft, Pauls Limit"))</f>
        <v>0</v>
      </c>
      <c r="AM75" s="401" t="b">
        <f>AND('Survey Front'!C30="Bathroom",OR(C75=TRUE,G75=TRUE,I75=TRUE,J75=TRUE,L75=TRUE,M75=TRUE,H75=TRUE,D75=TRUE,E75=TRUE)+N("If not JAVA OR Belize"))</f>
        <v>0</v>
      </c>
      <c r="AN75" s="27"/>
      <c r="AO75" s="27" t="b">
        <f>AND(K75=TRUE,ISERROR(FIND("Stainless Steel",Pricing!G76)))</f>
        <v>0</v>
      </c>
      <c r="AP75" s="27" t="b" cm="1">
        <f t="array" ref="AP75">IF('Survey Front'!F30="",FALSE,NOT(OR(AND(C75=TRUE,COUNTIF(Barbados,'Survey Front'!F30)&gt;0),AND(D75=TRUE,COUNTIF(Aruba,'Survey Front'!F30)&gt;0),AND(E75=TRUE,COUNTIF(ArubaExpress,'Survey Front'!F30)&gt;0),AND(F75=TRUE,COUNTIF(Belize,'Survey Front'!F30)&gt;0),AND(G75=TRUE,COUNTIF(Bermuda,'Survey Front'!F30)&gt;0),AND(H75=TRUE,COUNTIF(Capri,'Survey Front'!F30)&gt;0),AND(I75=TRUE,COUNTIF(Cuba,'Survey Front'!F30)&gt;0),AND(J75=TRUE,COUNTIF(Fiji,'Survey Front'!F30)&gt;0),AND(K75=TRUE,COUNTIF(Java,'Survey Front'!F30)&gt;0),AND(L75=TRUE,COUNTIF(Maui,'Survey Front'!F30)&gt;0),AND(M75=TRUE,COUNTIF(Tahiti,'Survey Front'!F30)&gt;0))))</f>
        <v>0</v>
      </c>
      <c r="AQ75" s="27" t="b">
        <f>AND('Survey Front'!D30=$AQ$20,K75=FALSE,J75=FALSE,M75=FALSE,L75=FALSE,H75=FALSE,F75=FALSE)</f>
        <v>0</v>
      </c>
      <c r="AR75" s="27" t="b">
        <f>IF(AND('Survey Front'!D30="Tracked",COUNTIF(Table19[Tframes],'Survey Front'!D30)=0),TRUE,FALSE)</f>
        <v>0</v>
      </c>
    </row>
    <row r="76" spans="2:44">
      <c r="B76" s="27">
        <v>8</v>
      </c>
      <c r="C76" s="27" t="b">
        <f>'Survey Front'!$E$33=C$68</f>
        <v>0</v>
      </c>
      <c r="D76" s="27" t="b">
        <f>'Survey Front'!$E$33=D$68</f>
        <v>0</v>
      </c>
      <c r="E76" s="27" t="b">
        <f>'Survey Front'!$E$33=E$68</f>
        <v>0</v>
      </c>
      <c r="F76" s="27" t="b">
        <f>'Survey Front'!$E$33=F$68</f>
        <v>0</v>
      </c>
      <c r="G76" s="27" t="b">
        <f>'Survey Front'!$E$33=G$68</f>
        <v>0</v>
      </c>
      <c r="H76" s="27" t="b">
        <f>'Survey Front'!$E$33=H$68</f>
        <v>0</v>
      </c>
      <c r="I76" s="27" t="b">
        <f>'Survey Front'!$E$33=I$68</f>
        <v>0</v>
      </c>
      <c r="J76" s="27" t="b">
        <f>'Survey Front'!$E$33=J$68</f>
        <v>0</v>
      </c>
      <c r="K76" s="27" t="b">
        <f>'Survey Front'!$E$33=K$68</f>
        <v>0</v>
      </c>
      <c r="L76" s="27" t="b">
        <f>'Survey Front'!$E$33=L$68</f>
        <v>0</v>
      </c>
      <c r="M76" s="27" t="b">
        <f>'Survey Front'!$E$33=M$68</f>
        <v>0</v>
      </c>
      <c r="N76" s="27" t="b">
        <f>OR(IF('Survey Front'!L33="",FALSE,AND(OR('Survey Front'!L33="Split Offset",'Survey Front'!L33="Split Custom",'Survey Front'!L33="Offset",'Survey Front'!L33="Custom",'Survey Front'!L33="Centre"),L76=TRUE,'Survey Front'!L33&lt;&gt;Helper!$Q$68)),AND(E76=TRUE,'Survey Front'!L33="49mm"))</f>
        <v>0</v>
      </c>
      <c r="O76" s="27" t="b">
        <f>IF('Survey Front'!L33="",FALSE,IF(AND(OR(D76=TRUE,L76=TRUE,M76=TRUE,F76=TRUE,E76=TRUE),OR('Survey Front'!L33="Silent",'Survey Front'!L33="Silent Split")),TRUE,FALSE))</f>
        <v>0</v>
      </c>
      <c r="P76" s="27" t="b">
        <f>OR(AND(OR(C76=TRUE,G76=TRUE,I76=TRUE,J76=TRUE,K76=TRUE+N("S-Craft Material"),AND(L76=TRUE,'Survey Front'!L33="Clearview",'Survey Front'!N33&gt;1200)),Q76=TRUE),AND(OR(F76=TRUE,H76=TRUE,E76=TRUE),'Survey Front'!N33&gt;1200,'Survey Front'!L33="Concealed"),AND(OR(F76=TRUE,H76=TRUE),'Survey Front'!N33&gt;1300,'Survey Front'!L33="Hidden")+N("Belize"))</f>
        <v>0</v>
      </c>
      <c r="Q76" s="27" t="b">
        <f>OR(AND(OR(C76=TRUE,G76=TRUE,I76=TRUE,J76=TRUE,K76=TRUE+N("S-Craft Materials")),'Survey Front'!L33=$Q$68),AND(L76=TRUE,'Survey Front'!L33=$O$68)+N("MAUI"),AND(F76=TRUE,'Survey Front'!L33=Helper!$Q$68),AND(E76=TRUE,'Survey Front'!L33=Helper!$Q$68))</f>
        <v>0</v>
      </c>
      <c r="R76" s="46" t="b">
        <f>IF(Matrix2!AK19=0,FALSE,OR(AND(IF('Survey Front'!M33/(Matrix2!AK$19)&lt;152,TRUE,FALSE),'Survey Front'!L33&lt;&gt;"Silent",OR(C76=TRUE,G76=TRUE,I76=TRUE,J76=TRUE,K76=TRUE)+N("S-Craft Materials")),AND(OR(D76=TRUE,M76=TRUE),'Survey Front'!M33/(Matrix2!AK$19)&lt;250+N("Aruba,Tahiti"),N76=TRUE),AND(L76=TRUE,Pricing!H77="49mm"),AND(H76=TRUE,'Survey Front'!M33&lt;200),AND(F76=TRUE,'Survey Front'!M33=250),AND(E76=TRUE,'Survey Front'!M33=200)))</f>
        <v>0</v>
      </c>
      <c r="S76" s="401" t="b">
        <f>IF(Matrix2!AK67=0,FALSE,OR(AND('Survey Front'!M33/(Matrix2!AK$19)&lt;152+N("S-Craft"),O76=TRUE,OR(C76=TRUE,G76=TRUE,I76=TRUE,J76=TRUE,K76=TRUE)),AND('Survey Front'!M33/(Matrix2!AK$19)&lt;170+N("Aruba"),Q76=TRUE),AND(OR(L76=TRUE,M76=TRUE),'Survey Front'!L33=Q68,'Survey Front'!M33/(Matrix2!AK$19)&lt;250+N("MAUI")),AND(H76=TRUE,OR('Survey Front'!L33="Supatilt",'Survey Front'!L33="Silent"),'Survey Front'!M33&lt;200)))</f>
        <v>0</v>
      </c>
      <c r="T76" s="91" t="b">
        <f>IF(Matrix2!AK67=0,FALSE,OR(AND(C76=TRUE,'Survey Front'!H33="47mm",('Survey Front'!M33/Matrix2!AK$19)&gt;600),AND(G76=TRUE,'Survey Front'!H33="47mm",('Survey Front'!M33/Matrix2!AK$19)&gt;610+N("Bermuda")),AND(G76=TRUE,'Survey Front'!H33="47mm",('Survey Front'!M33/Matrix2!AK$19)&gt;750+N("Cuba")),AND(J76=TRUE,'Survey Front'!H33="47mm",('Survey Front'!M33/Matrix2!AK$19)&gt;750+N("Fiji")),AND(K76=TRUE,'Survey Front'!H33="47mm",('Survey Front'!M33/Matrix2!AK$19)&gt;550+N("Java")),AND(L76=TRUE,'Survey Front'!H33="47mm"),AND(L76=TRUE,'Survey Front'!H33="47mm",('Survey Front'!M33/Matrix2!AJ$19)&gt;850+N("Tahiti")),AND(H76=TRUE,'Survey Front'!H33="47mm"),AND(F76=TRUE,'Survey Front'!H33="47mm"),AND(E76=TRUE,'Survey Front'!H33="47mm")))</f>
        <v>0</v>
      </c>
      <c r="U76" s="401" t="b">
        <f>IF('Survey Front'!M33="",FALSE,OR(AND(C76=TRUE,AD76=FALSE,('Survey Front'!M33/(Matrix2!AK$19))&gt;750+N("Barbados")),AND(D76=TRUE,'Survey Front'!H33&lt;&gt;"89mm",'Survey Front'!H33&lt;&gt;"114mm",'Survey Front'!M33/Matrix2!AK$19&gt;800)+N("Aruba"),AND(D76=TRUE,'Survey Front'!H33&lt;&gt;"63mm",'Survey Front'!H33&lt;&gt;"76mm",'Survey Front'!M33/Matrix2!AK$19&gt;920)+N("Aruba"),AND(G76=TRUE,'Survey Front'!M33/Matrix2!AK$19&gt;915)+N("Bermuda"),AND(G76=TRUE,'Survey Front'!M33/Matrix2!AK$19&gt;890)+N("Cuba"),AND(J76=TRUE,OR(AE76=TRUE,AF76=TRUE),('Survey Front'!M33/Matrix2!AK$19)&gt;890+N("Fiji")),AND(J76=TRUE,OR(AG76=TRUE,AH76=TRUE),('Survey Front'!M33/Matrix2!AK$19)&gt;1047+N("Fiji")),AND(K76=TRUE,OR(AE76=TRUE,AF76=TRUE),('Survey Front'!M33/Matrix2!AK$19)&gt;800+N("Java")),AND(K76=TRUE,OR(AG76=TRUE,AH76=TRUE),('Survey Front'!M33/Matrix2!AK$19)&gt;890+N("Java")),AND(L76=TRUE,('Survey Front'!M33/Matrix2!AK$19)&gt;950+N("Maui")),AND(M76=TRUE,'Survey Front'!H33="63mm",('Survey Front'!M33/Matrix2!AK$19)&gt;850+N("Tahiti 63mm")),AND(M76=TRUE,OR('Survey Front'!H33="76mm",'Survey Front'!H33="89mm",'Survey Front'!H33="114mm"),('Survey Front'!M33/Matrix2!AK$19)&gt;950+N("Tahiti 76,89,114mm")),AND(H76=TRUE,('Survey Front'!M33/Matrix2!AK$19)&gt;890+N("Capri")),AND(OR(H76=TRUE,F76=TRUE),'Survey Front'!D33="Tracked",('Survey Front'!M33/Matrix2!AK$19)&gt;600),AND(H76=TRUE,'Survey Front'!M33&gt;890,LEN(Matrix2!AD77)=1),AND(F76=TRUE,'Survey Front'!M33&gt;750,LEN(Matrix2!AD77)=1,'Survey Front'!H33="63mm"),AND(F76=TRUE,'Survey Front'!M33&gt;890,LEN(Matrix2!AD77)=1,OR('Survey Front'!H33="76mm",'Survey Front'!H33="89mm",'Survey Front'!H33="114mm")),AND(E76=TRUE,'Survey Front'!M33=700)))</f>
        <v>0</v>
      </c>
      <c r="V76" s="401" t="b">
        <f>IF('Survey Front'!M33="",FALSE,OR(AND(OR(Matrix2!AD77="LL",Matrix2!AD77="RR"),'Survey Front'!D33&lt;&gt;"Tracked",OR(C76=TRUE,D76=TRUE,L76=TRUE,M76=TRUE),('Survey Front'!M33/2)&gt;600,'Survey Front'!D33&lt;&gt;"Tracked"),AND(OR(Matrix2!AD77="LL",Matrix2!AD77="RR"),'Survey Front'!D33&lt;&gt;"Tracked",OR(G76=TRUE,AND(K76=TRUE,'Survey Front'!H33&lt;&gt;"47mm")),('Survey Front'!M33/Matrix2!$AK$19)&gt;610)+N("Bermuda, Java"),AND(OR(Matrix2!AD77="LL",Matrix2!AD77="RR"),'Survey Front'!D33&lt;&gt;"Tracked",OR(I76=TRUE,J76=TRUE),('Survey Front'!M33/Matrix2!$AK$19)&gt;660)+N("Cuba &amp; Fiji"),AND(OR(Matrix2!AD77="LL",Matrix2!AD77="RR"),'Survey Front'!D33="Tracked",K76=TRUE,'Survey Front'!H33="47mm",('Survey Front'!M33/Matrix2!$AK$19)&gt;550)+N("Java"),AND(L76=TRUE,'Survey Front'!D33="Tracked",('Survey Front'!M33/Matrix2!$AK$19)&gt;700),AND(H76=TRUE,'Survey Front'!D33&lt;&gt;"Tracked",('Survey Front'!M33/Matrix2!$AK$19)&gt;625),AND(H76=TRUE,OR(Matrix2!AD77="LL",Matrix2!AD77="RR"),'Survey Front'!D33&lt;&gt;"Tracked",('Survey Front'!M33/Matrix2!$AK$19)&gt;625)+N("Capri Bifold"),AND(H76=TRUE,OR(Matrix2!AD77="LLL",Matrix2!AD77="RRR",Matrix2!AD77="LLLRRR"),'Survey Front'!D33&lt;&gt;"Tracked",('Survey Front'!M33/Matrix2!$AK$19)&gt;550)+N("Capri Multifold"),AND(H76=TRUE,'Survey Front'!D33="Tracked",NOT(ISEVEN(LEN(Matrix2!AD77)))),AND(G76=TRUE,OR(Matrix2!AD77="LL",Matrix2!AD77="RR"),'Survey Front'!D33&lt;&gt;"Tracked",('Survey Front'!M33/Matrix2!$AK$19)&gt;500),AND(F76=TRUE,'Survey Front'!M33/Matrix2!$AK$19&gt;500,'Survey Front'!D33&lt;&gt;"Tracked"),AND(F76=TRUE,OR(Matrix2!AD77="LL",Matrix2!AD77="RR"),'Survey Front'!D33&lt;&gt;"Tracked",('Survey Front'!M33/Matrix2!$AK$19)&gt;600),AND(F76=TRUE,OR(Matrix2!AD77="LL",Matrix2!AD77="RR",Matrix2!AD77="LLL",Matrix2!AD77="RRR",Matrix2!AD77="LLLLRRRR"),'Survey Front'!D33="Tracked",('Survey Front'!M33/Matrix2!$AK$19)&gt;600),AND(E76=TRUE,OR(Matrix2!AD77="LL",Matrix2!AD77="RR"),'Survey Front'!D33&lt;&gt;"Tracked",('Survey Front'!M33/Matrix2!$AK$19)&gt;500)+N("Aruba Express")))</f>
        <v>0</v>
      </c>
      <c r="W76" s="401" t="b">
        <f>IF(Pricing!M77="",FALSE,OR(AND(ISERROR(FIND("(",Matrix2!AD77)),LEN(Matrix2!AD77)-LEN(SUBSTITUTE(Matrix2!AD77,"L",""))&gt;2,OR(C76=TRUE,G76=TRUE,K76=TRUE,L76=TRUE,M76=TRUE,F76=TRUE,E76=TRUE)),AND(ISERROR(FIND("(",Matrix2!AD77)),LEN(Matrix2!AD77)-LEN(SUBSTITUTE(Matrix2!AD77,"R",""))&gt;2,OR(C76=TRUE,G76=TRUE,L76=TRUE,M76=TRUE,F76=TRUE,E76=TRUE)),AND(ISERROR(FIND("(",Matrix2!AD77)),LEN(Matrix2!AD77)-LEN(SUBSTITUTE(Matrix2!AD77,"R",""))&gt;4,OR(I76=TRUE,AND(H76=TRUE,Pricing!D77="Tracked")),(Pricing!M77/Matrix2!AK67)&gt;550),AND(ISERROR(FIND("(",Matrix2!AD77)),LEN(Matrix2!AD77)-LEN(SUBSTITUTE(Matrix2!AD77,"L",""))&gt;4,OR(I76=TRUE,AND(H76=TRUE,Pricing!D77="Tracked")),(Pricing!M77/Matrix2!AK67)&gt;550),AND(ISERROR(FIND("(",Matrix2!AD77)),LEN(Matrix2!AD77)-LEN(SUBSTITUTE(Matrix2!AD77,"L",""))&gt;3,H76=TRUE),AND(ISERROR(FIND("(",Matrix2!AD77)),LEN(Matrix2!AD77)-LEN(SUBSTITUTE(Matrix2!AD77,"R",""))&gt;3,H76=TRUE)))</f>
        <v>0</v>
      </c>
      <c r="X76" s="46" t="b">
        <f>IF('Survey Front'!N33="",FALSE,OR('Survey Front'!N33&lt;250+N("Barbados, Aruba, Bermuda, Cuba, Fiji, Java, Maui, Tahiti, Capri, Aruba Express"),AND(F76=TRUE,'Survey Front'!N33&lt;300)))</f>
        <v>0</v>
      </c>
      <c r="Y76" s="46" t="b">
        <f>IF('Survey Front'!N33="",FALSE,OR('Survey Front'!N33&gt;3000 +N("Barbados, Aruba, Bermuda, Cuba, Fiji, Java, Maui, Tahiti, Capri, Aruba Express"),AND(F76=TRUE,'Survey Front'!N33&gt;2700+N("Belize"))))</f>
        <v>0</v>
      </c>
      <c r="Z76" s="46" t="b">
        <f>OR(AND('Survey Front'!D33="Shape",OR(C76=TRUE,G76=TRUE,I76=TRUE,E76=TRUE)+N("Barbados, Bermuda, Cuba, Java, Aruba Express")),AND('Survey Front'!D33="Shape",D76=TRUE+N("Aruba")))</f>
        <v>0</v>
      </c>
      <c r="AA76" s="46" t="b">
        <f>AND(NOT(ISERROR(FIND("CB",Matrix2!AJ29))),(D76=TRUE+N("Aruba")))</f>
        <v>0</v>
      </c>
      <c r="AB76" s="46" t="b">
        <f>AND(O76=TRUE,'Survey Front'!N33&gt;1372,OR(C76=TRUE,G76=TRUE,J76=TRUE,K76=TRUE,I76=TRUE))</f>
        <v>0</v>
      </c>
      <c r="AC76" s="46" t="b">
        <f>OR(AND(OR(C76=TRUE,G76=TRUE,I76=TRUE),'Survey Front'!N33&gt;1879+N("S-Craft")),AND(D76=TRUE,'Survey Front'!N33&gt;1500,'Survey Front'!N33&lt;=2000),AND(J76=TRUE,'Survey Front'!N33&gt;1981),AND(K76=TRUE,'Survey Front'!N33&gt;1828),OR(AND(OR(L76=TRUE,M76=TRUE),'Survey Front'!N33&gt;1800,'Survey Front'!N33&lt;=2500),AND(OR(L76=TRUE,M76=TRUE),'Survey Front'!N33&gt;=2501,'Survey Front'!N33&lt;=3000)),AND(H76=TRUE,'Survey Front'!N33&gt;1799),OR(AND(E76=TRUE,'Survey Front'!N33&gt;1800,'Survey Front'!N33&lt;=2400),AND(E76=TRUE,'Survey Front'!N33&gt;=2401,'Survey Front'!N33&lt;=3000))+N("Aruba Express"))</f>
        <v>0</v>
      </c>
      <c r="AD76" s="46" t="b">
        <f>AND(OR(H76=TRUE,D76=TRUE,E76=TRUE,F76=TRUE,L76=TRUE),'Survey Front'!H33="47mm")</f>
        <v>0</v>
      </c>
      <c r="AE76" s="452"/>
      <c r="AF76" s="452"/>
      <c r="AG76" s="452"/>
      <c r="AH76" s="46" t="b">
        <f>OR(AND('Survey Front'!H33=$AH$68,I76=TRUE+N("Cuba")),AND(L76=TRUE,'Survey Front'!H33=$AH$68),AND(E76=TRUE,'Survey Front'!H33=$AH$68))</f>
        <v>0</v>
      </c>
      <c r="AI76" s="46" t="b">
        <f>IF(AND(OR(K76=TRUE,L76=TRUE,M76=TRUE,E76=TRUE),'Survey Front'!D33="S/Shade"),TRUE,AND('Survey Front'!D33="S/Shade",OR(C76=TRUE,G76=TRUE,I76=TRUE,J76-TRUE,H76=TRUE,F76=TRUE+N("Barbados, Bermuda, Cuba, Fiji, Capri, Belize")),'Survey Front'!I33&lt;&gt;"FFrame"))</f>
        <v>0</v>
      </c>
      <c r="AJ76" s="46" t="b">
        <f>AND('Survey Front'!D33="French Door Cutout",OR(C76=TRUE,D76=TRUE,E76=TRUE,G76=TRUE,I76=TRUE, K76=TRUE,E76=TRUE+N("Barbados, Bermuda, Cuba, Java, Aruba,AK21 Aruba Express")))</f>
        <v>0</v>
      </c>
      <c r="AK76" s="46" t="b">
        <f>AND('Survey Front'!D33=AK75,OR(E76=TRUE,D76=TRUE))</f>
        <v>0</v>
      </c>
      <c r="AL76" s="27" t="b">
        <f>AND('Survey Front'!D33="Tier on Tier",'Survey Front'!M33&gt;=1361+N("1219 S-Craft, Pauls Limit"))</f>
        <v>0</v>
      </c>
      <c r="AM76" s="401" t="b">
        <f>AND('Survey Front'!C33="Bathroom",OR(C76=TRUE,G76=TRUE,I76=TRUE,J76=TRUE,L76=TRUE,M76=TRUE,H76=TRUE,D76=TRUE,E76=TRUE)+N("If not JAVA OR Belize"))</f>
        <v>0</v>
      </c>
      <c r="AN76" s="27"/>
      <c r="AO76" s="27" t="b">
        <f>AND(K76=TRUE,ISERROR(FIND("Stainless Steel",Pricing!G79)))</f>
        <v>0</v>
      </c>
      <c r="AP76" s="27" t="b" cm="1">
        <f t="array" ref="AP76">IF('Survey Front'!F33="",FALSE,NOT(OR(AND(C76=TRUE,COUNTIF(Barbados,'Survey Front'!F33)&gt;0),AND(D76=TRUE,COUNTIF(Aruba,'Survey Front'!F33)&gt;0),AND(E76=TRUE,COUNTIF(ArubaExpress,'Survey Front'!F33)&gt;0),AND(F76=TRUE,COUNTIF(Belize,'Survey Front'!F33)&gt;0),AND(G76=TRUE,COUNTIF(Bermuda,'Survey Front'!F33)&gt;0),AND(H76=TRUE,COUNTIF(Capri,'Survey Front'!F33)&gt;0),AND(I76=TRUE,COUNTIF(Cuba,'Survey Front'!F33)&gt;0),AND(J76=TRUE,COUNTIF(Fiji,'Survey Front'!F33)&gt;0),AND(K76=TRUE,COUNTIF(Java,'Survey Front'!F33)&gt;0),AND(L76=TRUE,COUNTIF(Maui,'Survey Front'!F33)&gt;0),AND(M76=TRUE,COUNTIF(Tahiti,'Survey Front'!F33)&gt;0))))</f>
        <v>0</v>
      </c>
      <c r="AQ76" s="27" t="b">
        <f>AND('Survey Front'!D33=$AQ$20,K76=FALSE,J76=FALSE,M76=FALSE,L76=FALSE,H76=FALSE,F76=FALSE)</f>
        <v>0</v>
      </c>
      <c r="AR76" s="27" t="b">
        <f>IF(AND('Survey Front'!D33="Tracked",COUNTIF(Table19[Tframes],'Survey Front'!D33)=0),TRUE,FALSE)</f>
        <v>0</v>
      </c>
    </row>
    <row r="77" spans="2:44">
      <c r="B77" s="27">
        <v>9</v>
      </c>
      <c r="C77" s="27" t="b">
        <f>'Survey Front'!$E$36=C$68</f>
        <v>0</v>
      </c>
      <c r="D77" s="27" t="b">
        <f>'Survey Front'!$E$36=D$68</f>
        <v>0</v>
      </c>
      <c r="E77" s="27" t="b">
        <f>'Survey Front'!$E$36=E$68</f>
        <v>0</v>
      </c>
      <c r="F77" s="27" t="b">
        <f>'Survey Front'!$E$36=F$68</f>
        <v>0</v>
      </c>
      <c r="G77" s="27" t="b">
        <f>'Survey Front'!$E$36=G$68</f>
        <v>0</v>
      </c>
      <c r="H77" s="27" t="b">
        <f>'Survey Front'!$E$36=H$68</f>
        <v>0</v>
      </c>
      <c r="I77" s="27" t="b">
        <f>'Survey Front'!$E$36=I$68</f>
        <v>0</v>
      </c>
      <c r="J77" s="27" t="b">
        <f>'Survey Front'!$E$36=J$68</f>
        <v>0</v>
      </c>
      <c r="K77" s="27" t="b">
        <f>'Survey Front'!$E$36=K$68</f>
        <v>0</v>
      </c>
      <c r="L77" s="27" t="b">
        <f>'Survey Front'!$E$36=L$68</f>
        <v>0</v>
      </c>
      <c r="M77" s="27" t="b">
        <f>'Survey Front'!$E$36=M$68</f>
        <v>0</v>
      </c>
      <c r="N77" s="27" t="b">
        <f>OR(IF('Survey Front'!L36="",FALSE,AND(OR('Survey Front'!L36="Split Offset",'Survey Front'!L36="Split Custom",'Survey Front'!L36="Offset",'Survey Front'!L36="Custom",'Survey Front'!L36="Centre"),L77=TRUE,'Survey Front'!L36&lt;&gt;Helper!$Q$68)),AND(E77=TRUE,'Survey Front'!L36="49mm"))</f>
        <v>0</v>
      </c>
      <c r="O77" s="27" t="b">
        <f>IF('Survey Front'!L36="",FALSE,IF(AND(OR(D77=TRUE,L77=TRUE,M77=TRUE,F77=TRUE,E77=TRUE),OR('Survey Front'!L36="Silent",'Survey Front'!L36="Silent Split")),TRUE,FALSE))</f>
        <v>0</v>
      </c>
      <c r="P77" s="27" t="b">
        <f>OR(AND(OR(C77=TRUE,G77=TRUE,I77=TRUE,J77=TRUE,K77=TRUE+N("S-Craft Material"),AND(L77=TRUE,'Survey Front'!L36="Clearview",'Survey Front'!N36&gt;1200)),Q77=TRUE),AND(OR(F77=TRUE,H77=TRUE,E77=TRUE),'Survey Front'!N36&gt;1200,'Survey Front'!L36="Concealed"),AND(OR(F77=TRUE,H77=TRUE),'Survey Front'!N36&gt;1300,'Survey Front'!L36="Hidden")+N("Belize"))</f>
        <v>0</v>
      </c>
      <c r="Q77" s="27" t="b">
        <f>OR(AND(OR(C77=TRUE,G77=TRUE,I77=TRUE,J77=TRUE,K77=TRUE+N("S-Craft Materials")),'Survey Front'!L36=$Q$68),AND(L77=TRUE,'Survey Front'!L36=$O$68)+N("MAUI"),AND(F77=TRUE,'Survey Front'!L36=Helper!$Q$68),AND(E77=TRUE,'Survey Front'!L36=Helper!$Q$68))</f>
        <v>0</v>
      </c>
      <c r="R77" s="46" t="b">
        <f>IF(Matrix2!AL19=0,FALSE,OR(AND(IF('Survey Front'!M36/(Matrix2!AL$19)&lt;152,TRUE,FALSE),'Survey Front'!L36&lt;&gt;"Silent",OR(C77=TRUE,G77=TRUE,I77=TRUE,J77=TRUE,K77=TRUE)+N("S-Craft Materials")),AND(OR(D77=TRUE,M77=TRUE),'Survey Front'!M36/(Matrix2!AL$19)&lt;250+N("Aruba,Tahiti"),N77=TRUE),AND(L77=TRUE,'Survey Front'!H36="49mm"),AND(H77=TRUE,'Survey Front'!M36&lt;200),AND(F77=TRUE,'Survey Front'!M36=250),AND(E77=TRUE,'Survey Front'!M36=200)))</f>
        <v>0</v>
      </c>
      <c r="S77" s="401" t="b">
        <f>IF(Matrix2!AL67=0,FALSE,OR(AND('Survey Front'!M36/(Matrix2!AL$19)&lt;152+N("S-Craft"),O77=TRUE,OR(C77=TRUE,G77=TRUE,I77=TRUE,J77=TRUE,K77=TRUE)),AND('Survey Front'!M36/(Matrix2!AL$19)&lt;170+N("Aruba"),Q77=TRUE),AND(OR(L77=TRUE,M77=TRUE),'Survey Front'!L36=Q68,'Survey Front'!M36/(Matrix2!AL$19)&lt;250+N("MAUI")),AND(H77=TRUE,OR('Survey Front'!L36="Supatilt",'Survey Front'!L36="Silent"),'Survey Front'!M36&lt;200)))</f>
        <v>0</v>
      </c>
      <c r="T77" s="91" t="b">
        <f>IF(Matrix2!AL67=0,FALSE,OR(AND(C77=TRUE,'Survey Front'!H36="47mm",('Survey Front'!M36/Matrix2!AL$19)&gt;600),AND(G77=TRUE,'Survey Front'!H36="47mm",('Survey Front'!M36/Matrix2!AL$19)&gt;610+N("Bermuda")),AND(G77=TRUE,'Survey Front'!H36="47mm",('Survey Front'!M36/Matrix2!AL$19)&gt;750+N("Cuba")),AND(J77=TRUE,'Survey Front'!H36="47mm",('Survey Front'!M36/Matrix2!AL$19)&gt;750+N("Fiji")),AND(K77=TRUE,'Survey Front'!H36="47mm",('Survey Front'!M36/Matrix2!AL$19)&gt;550+N("Java")),AND(L77=TRUE,'Survey Front'!H36="47mm"),AND(L77=TRUE,'Survey Front'!H36="47mm",('Survey Front'!M36/Matrix2!AL$19)&gt;850+N("Tahiti")),AND(H77=TRUE,'Survey Front'!H36="47mm"),AND(F77=TRUE,'Survey Front'!H36="47mm"),AND(E77=TRUE,'Survey Front'!H36="47mm")))</f>
        <v>0</v>
      </c>
      <c r="U77" s="401" t="b">
        <f>IF('Survey Front'!M36="",FALSE,OR(AND(C77=TRUE,AD77=FALSE,('Survey Front'!M36/(Matrix2!AL$19))&gt;750+N("Barbados")),AND(D77=TRUE,'Survey Front'!H36&lt;&gt;"89mm",'Survey Front'!H36&lt;&gt;"114mm",'Survey Front'!M36/Matrix2!AL$19&gt;800)+N("Aruba"),AND(D77=TRUE,'Survey Front'!H36&lt;&gt;"63mm",'Survey Front'!H36&lt;&gt;"76mm",'Survey Front'!M36/Matrix2!AL$19&gt;920)+N("Aruba"),AND(G77=TRUE,'Survey Front'!M36/Matrix2!AL$19&gt;915)+N("Bermuda"),AND(G77=TRUE,'Survey Front'!M36/Matrix2!AL$19&gt;890)+N("Cuba"),AND(J77=TRUE,OR(AE77=TRUE,AF77=TRUE),('Survey Front'!M36/Matrix2!AL$19)&gt;890+N("Fiji")),AND(J77=TRUE,OR(AG77=TRUE,AH77=TRUE),('Survey Front'!M36/Matrix2!AL$19)&gt;1047+N("Fiji")),AND(K77=TRUE,OR(AE77=TRUE,AF77=TRUE),('Survey Front'!M36/Matrix2!AL$19)&gt;800+N("Java")),AND(K77=TRUE,OR(AG77=TRUE,AH77=TRUE),('Survey Front'!M36/Matrix2!AL$19)&gt;890+N("Java")),AND(L77=TRUE,('Survey Front'!M36/Matrix2!AL$19)&gt;950+N("Maui")),AND(M77=TRUE,'Survey Front'!H36="63mm",('Survey Front'!M36/Matrix2!AL$19)&gt;850+N("Tahiti 63mm")),AND(M77=TRUE,OR('Survey Front'!H36="76mm",'Survey Front'!H36="89mm",'Survey Front'!H36="114mm"),('Survey Front'!M36/Matrix2!AL$19)&gt;950+N("Tahiti 76,89,114mm")),AND(H77=TRUE,('Survey Front'!M36/Matrix2!AL$19)&gt;890+N("Capri")),AND(OR(H77=TRUE,F77=TRUE),'Survey Front'!D36="Tracked",('Survey Front'!M36/Matrix2!AL$19)&gt;600),AND(H77=TRUE,'Survey Front'!M36&gt;890,LEN(Matrix2!AD78)=1),AND(F77=TRUE,'Survey Front'!M36&gt;750,LEN(Matrix2!AD78)=1,'Survey Front'!H36="63mm"),AND(F77=TRUE,'Survey Front'!M36&gt;890,LEN(Matrix2!AD78)=1,OR('Survey Front'!H36="76mm",'Survey Front'!H36="89mm",'Survey Front'!H36="114mm")),AND(E77=TRUE,'Survey Front'!M36=700)))</f>
        <v>0</v>
      </c>
      <c r="V77" s="401" t="b">
        <f>IF('Survey Front'!M36="",FALSE,OR(AND(OR(Matrix2!AD78="LL",Matrix2!AD78="RR"),'Survey Front'!D36&lt;&gt;"Tracked",OR(C77=TRUE,D77=TRUE,L77=TRUE,M77=TRUE),('Survey Front'!M36/2)&gt;600,'Survey Front'!D36&lt;&gt;"Tracked"),AND(OR(Matrix2!AD78="LL",Matrix2!AD78="RR"),'Survey Front'!D36&lt;&gt;"Tracked",OR(G77=TRUE,AND(K77=TRUE,'Survey Front'!H36&lt;&gt;"47mm")),('Survey Front'!M36/Matrix2!$AL$19)&gt;610)+N("Bermuda, Java"),AND(OR(Matrix2!AD78="LL",Matrix2!AD78="RR"),'Survey Front'!D36&lt;&gt;"Tracked",OR(I77=TRUE,J77=TRUE),('Survey Front'!M36/Matrix2!$AL$19)&gt;660)+N("Cuba &amp; Fiji"),AND(OR(Matrix2!AD78="LL",Matrix2!AD78="RR"),'Survey Front'!D36="Tracked",K77=TRUE,'Survey Front'!H36="47mm",('Survey Front'!M36/Matrix2!$AL$19)&gt;550)+N("Java"),AND(L77=TRUE,'Survey Front'!D36="Tracked",('Survey Front'!M36/Matrix2!$AL$19)&gt;700),AND(H77=TRUE,'Survey Front'!D36&lt;&gt;"Tracked",('Survey Front'!M36/Matrix2!$AL$19)&gt;625),AND(H77=TRUE,OR(Matrix2!AD78="LL",Matrix2!AD78="RR"),'Survey Front'!D36&lt;&gt;"Tracked",('Survey Front'!M36/Matrix2!$AL$19)&gt;625)+N("Capri Bifold"),AND(H77=TRUE,OR(Matrix2!AD78="LLL",Matrix2!AD78="RRR",Matrix2!AD78="LLLRRR"),'Survey Front'!D36&lt;&gt;"Tracked",('Survey Front'!M36/Matrix2!$AL$19)&gt;550)+N("Capri Multifold"),AND(H77=TRUE,'Survey Front'!D36="Tracked",NOT(ISEVEN(LEN(Matrix2!AD78)))),AND(G77=TRUE,OR(Matrix2!AD78="LL",Matrix2!AD78="RR"),'Survey Front'!D36&lt;&gt;"Tracked",('Survey Front'!M36/Matrix2!$AL$19)&gt;500),AND(F77=TRUE,'Survey Front'!M36/Matrix2!$AL$19&gt;500,'Survey Front'!D36&lt;&gt;"Tracked"),AND(F77=TRUE,OR(Matrix2!AD78="LL",Matrix2!AD78="RR"),'Survey Front'!D36&lt;&gt;"Tracked",('Survey Front'!M36/Matrix2!$AL$19)&gt;600),AND(F77=TRUE,OR(Matrix2!AD78="LL",Matrix2!AD78="RR",Matrix2!AD78="LLL",Matrix2!AD78="RRR",Matrix2!AD78="LLLLRRRR"),'Survey Front'!D36="Tracked",('Survey Front'!M36/Matrix2!$AL$19)&gt;600),AND(E77=TRUE,OR(Matrix2!AD78="LL",Matrix2!AD78="RR"),'Survey Front'!D36&lt;&gt;"Tracked",('Survey Front'!M36/Matrix2!$AL$19)&gt;500)+N("Aruba Express")))</f>
        <v>0</v>
      </c>
      <c r="W77" s="401" t="b">
        <f>IF(Pricing!M80="",FALSE,OR(AND(ISERROR(FIND("(",Matrix2!AD78)),LEN(Matrix2!AD78)-LEN(SUBSTITUTE(Matrix2!AD78,"L",""))&gt;2,OR(C77=TRUE,G77=TRUE,K77=TRUE,L77=TRUE,M77=TRUE,F77=TRUE,E77=TRUE)),AND(ISERROR(FIND("(",Matrix2!AD78)),LEN(Matrix2!AD78)-LEN(SUBSTITUTE(Matrix2!AD78,"R",""))&gt;2,OR(C77=TRUE,G77=TRUE,L77=TRUE,M77=TRUE,F77=TRUE,E77=TRUE)),AND(ISERROR(FIND("(",Matrix2!AD78)),LEN(Matrix2!AD78)-LEN(SUBSTITUTE(Matrix2!AD78,"R",""))&gt;4,OR(I77=TRUE,AND(H77=TRUE,Pricing!D80="Tracked")),(Pricing!M80/Matrix2!AL67)&gt;550),AND(ISERROR(FIND("(",Matrix2!AD78)),LEN(Matrix2!AD78)-LEN(SUBSTITUTE(Matrix2!AD78,"L",""))&gt;4,OR(I77=TRUE,AND(H77=TRUE,Pricing!D80="Tracked")),(Pricing!M80/Matrix2!AL67)&gt;550),AND(ISERROR(FIND("(",Matrix2!AD78)),LEN(Matrix2!AD78)-LEN(SUBSTITUTE(Matrix2!AD78,"L",""))&gt;3,H77=TRUE),AND(ISERROR(FIND("(",Matrix2!AD78)),LEN(Matrix2!AD78)-LEN(SUBSTITUTE(Matrix2!AD78,"R",""))&gt;3,H77=TRUE)))</f>
        <v>0</v>
      </c>
      <c r="X77" s="46" t="b">
        <f>IF('Survey Front'!N36="",FALSE,OR('Survey Front'!N36&lt;250+N("Barbados, Aruba, Bermuda, Cuba, Fiji, Java, Maui, Tahiti, Capri, Aruba Express"),AND(F77=TRUE,'Survey Front'!N36&lt;300)))</f>
        <v>0</v>
      </c>
      <c r="Y77" s="46" t="b">
        <f>IF('Survey Front'!N36="",FALSE,OR('Survey Front'!N36&gt;3000 +N("Barbados, Aruba, Bermuda, Cuba, Fiji, Java, Maui, Tahiti, Capri, Aruba Express"),AND(F77=TRUE,'Survey Front'!N36&gt;2700+N("Belize"))))</f>
        <v>0</v>
      </c>
      <c r="Z77" s="46" t="b">
        <f>OR(AND('Survey Front'!D36="Shape",OR(C77=TRUE,G77=TRUE,I77=TRUE,E77=TRUE)+N("Barbados, Bermuda, Cuba, Java, Aruba Express")),AND('Survey Front'!D36="Shape",D77=TRUE+N("Aruba")))</f>
        <v>0</v>
      </c>
      <c r="AA77" s="46" t="b">
        <f>AND(NOT(ISERROR(FIND("CB",Matrix2!AJ30))),(D77=TRUE+N("Aruba")))</f>
        <v>0</v>
      </c>
      <c r="AB77" s="46" t="b">
        <f>AND(O77=TRUE,'Survey Front'!N36&gt;1372,OR(C77=TRUE,G77=TRUE,J77=TRUE,K77=TRUE,I77=TRUE))</f>
        <v>0</v>
      </c>
      <c r="AC77" s="46" t="b">
        <f>OR(AND(OR(C77=TRUE,G77=TRUE,I77=TRUE),'Survey Front'!N36&gt;1879+N("S-Craft")),AND(D77=TRUE,'Survey Front'!N36&gt;1500,'Survey Front'!N36&lt;=2000),AND(J77=TRUE,'Survey Front'!N36&gt;1981),AND(K77=TRUE,'Survey Front'!N36&gt;1828),OR(AND(OR(L77=TRUE,M77=TRUE),'Survey Front'!N36&gt;1800,'Survey Front'!N36&lt;=2500),AND(OR(L77=TRUE,M77=TRUE),'Survey Front'!N36&gt;=2501,'Survey Front'!N36&lt;=3000)),AND(H77=TRUE,'Survey Front'!N36&gt;1799),OR(AND(E77=TRUE,'Survey Front'!N36&gt;1800,'Survey Front'!N36&lt;=2400),AND(E77=TRUE,'Survey Front'!N36&gt;=2401,'Survey Front'!N36&lt;=3000))+N("Aruba Express"))</f>
        <v>0</v>
      </c>
      <c r="AD77" s="46" t="b">
        <f>AND(OR(H77=TRUE,D77=TRUE,E77=TRUE,F77=TRUE,L77=TRUE),'Survey Front'!H36="47mm")</f>
        <v>0</v>
      </c>
      <c r="AE77" s="452"/>
      <c r="AF77" s="452"/>
      <c r="AG77" s="452"/>
      <c r="AH77" s="46" t="b">
        <f>OR(AND('Survey Front'!H36=$AH$68,I77=TRUE+N("Cuba")),AND(L77=TRUE,'Survey Front'!H36=$AH$68),AND(E77=TRUE,'Survey Front'!H36=$AH$68))</f>
        <v>0</v>
      </c>
      <c r="AI77" s="46" t="b">
        <f>IF(AND(OR(K77=TRUE,L77=TRUE,M77=TRUE,E77=TRUE),'Survey Front'!D36="S/Shade"),TRUE,AND('Survey Front'!D36="S/Shade",OR(C77=TRUE,G77=TRUE,I77=TRUE,J77-TRUE,H77=TRUE,F77=TRUE+N("Barbados, Bermuda, Cuba, Fiji, Capri, Belize")),'Survey Front'!I36&lt;&gt;"FFrame"))</f>
        <v>0</v>
      </c>
      <c r="AJ77" s="46" t="b">
        <f>AND('Survey Front'!D36="French Door Cutout",OR(C77=TRUE,D77=TRUE,E77=TRUE,G77=TRUE,I77=TRUE, K77=TRUE,E77=TRUE+N("Barbados, Bermuda, Cuba, Java, Aruba,AK21 Aruba Express")))</f>
        <v>0</v>
      </c>
      <c r="AK77" s="46" t="b">
        <f>AND('Survey Front'!D36=AK76,OR(E77=TRUE,D77=TRUE))</f>
        <v>0</v>
      </c>
      <c r="AL77" s="27" t="b">
        <f>AND('Survey Front'!D36="Tier on Tier",'Survey Front'!M36&gt;=1361+N("1219 S-Craft, Pauls Limit"))</f>
        <v>0</v>
      </c>
      <c r="AM77" s="401" t="b">
        <f>AND('Survey Front'!C36="Bathroom",OR(C77=TRUE,G77=TRUE,I77=TRUE,J77=TRUE,L77=TRUE,M77=TRUE,H77=TRUE,D77=TRUE,E77=TRUE)+N("If not JAVA OR Belize"))</f>
        <v>0</v>
      </c>
      <c r="AN77" s="27"/>
      <c r="AO77" s="27" t="b">
        <f>AND(K77=TRUE,ISERROR(FIND("Stainless Steel",Pricing!G82)))</f>
        <v>0</v>
      </c>
      <c r="AP77" s="27" t="b" cm="1">
        <f t="array" ref="AP77">IF('Survey Front'!F36="",FALSE,NOT(OR(AND(C77=TRUE,COUNTIF(Barbados,'Survey Front'!F36)&gt;0),AND(D77=TRUE,COUNTIF(Aruba,'Survey Front'!F36)&gt;0),AND(E77=TRUE,COUNTIF(ArubaExpress,'Survey Front'!F36)&gt;0),AND(F77=TRUE,COUNTIF(Belize,'Survey Front'!F36)&gt;0),AND(G77=TRUE,COUNTIF(Bermuda,'Survey Front'!F36)&gt;0),AND(H77=TRUE,COUNTIF(Capri,'Survey Front'!F36)&gt;0),AND(I77=TRUE,COUNTIF(Cuba,'Survey Front'!F36)&gt;0),AND(J77=TRUE,COUNTIF(Fiji,'Survey Front'!F36)&gt;0),AND(K77=TRUE,COUNTIF(Java,'Survey Front'!F36)&gt;0),AND(L77=TRUE,COUNTIF(Maui,'Survey Front'!F36)&gt;0),AND(M77=TRUE,COUNTIF(Tahiti,'Survey Front'!F36)&gt;0))))</f>
        <v>0</v>
      </c>
      <c r="AQ77" s="27" t="b">
        <f>AND('Survey Front'!D36=$AQ$20,K77=FALSE,J77=FALSE,M77=FALSE,L77=FALSE,H77=FALSE,F77=FALSE)</f>
        <v>0</v>
      </c>
      <c r="AR77" s="27" t="b">
        <f>IF(AND('Survey Front'!D36="Tracked",COUNTIF(Table19[Tframes],'Survey Front'!D36)=0),TRUE,FALSE)</f>
        <v>0</v>
      </c>
    </row>
    <row r="78" spans="2:44">
      <c r="B78" s="27">
        <v>10</v>
      </c>
      <c r="C78" s="27" t="b">
        <f>'Survey Front'!$E$39=C$68</f>
        <v>0</v>
      </c>
      <c r="D78" s="27" t="b">
        <f>'Survey Front'!$E$39=D$68</f>
        <v>0</v>
      </c>
      <c r="E78" s="27" t="b">
        <f>'Survey Front'!$E$39=E$68</f>
        <v>0</v>
      </c>
      <c r="F78" s="27" t="b">
        <f>'Survey Front'!$E$39=F$68</f>
        <v>0</v>
      </c>
      <c r="G78" s="27" t="b">
        <f>'Survey Front'!$E$39=G$68</f>
        <v>0</v>
      </c>
      <c r="H78" s="27" t="b">
        <f>'Survey Front'!$E$39=H$68</f>
        <v>0</v>
      </c>
      <c r="I78" s="27" t="b">
        <f>'Survey Front'!$E$39=I$68</f>
        <v>0</v>
      </c>
      <c r="J78" s="27" t="b">
        <f>'Survey Front'!$E$39=J$68</f>
        <v>0</v>
      </c>
      <c r="K78" s="27" t="b">
        <f>'Survey Front'!$E$39=K$68</f>
        <v>0</v>
      </c>
      <c r="L78" s="27" t="b">
        <f>'Survey Front'!$E$39=L$68</f>
        <v>0</v>
      </c>
      <c r="M78" s="27" t="b">
        <f>'Survey Front'!$E$39=M$68</f>
        <v>0</v>
      </c>
      <c r="N78" s="27" t="b">
        <f>OR(IF('Survey Front'!L39="",FALSE,AND(OR('Survey Front'!L39="Split Offset",'Survey Front'!L39="Split Custom",'Survey Front'!L39="Offset",'Survey Front'!L39="Custom",'Survey Front'!L39="Centre"),L78=TRUE,'Survey Front'!L39&lt;&gt;Helper!$Q$68)),AND(E78=TRUE,'Survey Front'!L39="49mm"))</f>
        <v>0</v>
      </c>
      <c r="O78" s="27" t="b">
        <f>IF('Survey Front'!L39="",FALSE,IF(AND(OR(D78=TRUE,L78=TRUE,M78=TRUE,F78=TRUE,E78=TRUE),OR('Survey Front'!L39="Silent",'Survey Front'!L39="Silent Split")),TRUE,FALSE))</f>
        <v>0</v>
      </c>
      <c r="P78" s="27" t="b">
        <f>OR(AND(OR(C78=TRUE,G78=TRUE,I78=TRUE,J78=TRUE,K78=TRUE+N("S-Craft Material"),AND(L78=TRUE,'Survey Front'!L39="Clearview",'Survey Front'!N39&gt;1200)),Q78=TRUE),AND(OR(F78=TRUE,H78=TRUE,E78=TRUE),'Survey Front'!N39&gt;1200,'Survey Front'!L39="Concealed"),AND(OR(F78=TRUE,H78=TRUE),'Survey Front'!N39&gt;1300,'Survey Front'!L39="Hidden")+N("Belize"))</f>
        <v>0</v>
      </c>
      <c r="Q78" s="27" t="b">
        <f>OR(AND(OR(C78=TRUE,G78=TRUE,I78=TRUE,J78=TRUE,K78=TRUE+N("S-Craft Materials")),'Survey Front'!L39=$Q$68),AND(L78=TRUE,'Survey Front'!L39=$O$68)+N("MAUI"),AND(F78=TRUE,'Survey Front'!L39=Helper!$Q$68),AND(E78=TRUE,'Survey Front'!L39=Helper!$Q$68))</f>
        <v>0</v>
      </c>
      <c r="R78" s="46" t="b">
        <f>IF(Matrix2!AM19=0,FALSE,OR(AND(IF('Survey Front'!M39/(Matrix2!AM$19)&lt;152,TRUE,FALSE),'Survey Front'!L39&lt;&gt;"Silent",OR(C78=TRUE,G78=TRUE,I78=TRUE,J78=TRUE,K78=TRUE)+N("S-Craft Materials")),AND(OR(D78=TRUE,M78=TRUE),'Survey Front'!M39/(Matrix2!AM$19)&lt;250+N("Aruba,Tahiti"),N78=TRUE),AND(L78=TRUE,'Survey Front'!H39="49mm"),AND(H78=TRUE,'Survey Front'!M39&lt;200),AND(F78=TRUE,'Survey Front'!M39=250),AND(E78=TRUE,'Survey Front'!M39=200)))</f>
        <v>0</v>
      </c>
      <c r="S78" s="401" t="b">
        <f>IF(Matrix2!AM67=0,FALSE,OR(AND('Survey Front'!M39/(Matrix2!AM$19)&lt;152+N("S-Craft"),O78=TRUE,OR(C78=TRUE,G78=TRUE,I78=TRUE,J78=TRUE,K78=TRUE)),AND('Survey Front'!M39/(Matrix2!AM$19)&lt;170+N("Aruba"),Q78=TRUE),AND(OR(L78=TRUE,M78=TRUE),'Survey Front'!L39=Q68,'Survey Front'!M39/(Matrix2!AM$19)&lt;250+N("MAUI")),AND(H78=TRUE,OR('Survey Front'!L39="Supatilt",'Survey Front'!L39="Silent"),'Survey Front'!M39&lt;200)))</f>
        <v>0</v>
      </c>
      <c r="T78" s="91" t="b">
        <f>IF(Matrix2!AM67=0,FALSE,OR(AND(C78=TRUE,'Survey Front'!H39="47mm",('Survey Front'!M39/Matrix2!AM$19)&gt;600),AND(G78=TRUE,'Survey Front'!H39="47mm",('Survey Front'!M39/Matrix2!AM$19)&gt;610+N("Bermuda")),AND(G78=TRUE,'Survey Front'!H39="47mm",('Survey Front'!M39/Matrix2!AM$19)&gt;750+N("Cuba")),AND(J78=TRUE,'Survey Front'!H39="47mm",('Survey Front'!M39/Matrix2!AM$19)&gt;750+N("Fiji")),AND(K78=TRUE,'Survey Front'!H39="47mm",('Survey Front'!M39/Matrix2!AM$19)&gt;550+N("Java")),AND(L78=TRUE,'Survey Front'!H39="47mm"),AND(L78=TRUE,'Survey Front'!H39="47mm",('Survey Front'!M39/Matrix2!AM$19)&gt;850+N("Tahiti")),AND(H78=TRUE,'Survey Front'!H39="47mm"),AND(F78=TRUE,'Survey Front'!H39="47mm"),AND(E78=TRUE,'Survey Front'!H39="47mm")))</f>
        <v>0</v>
      </c>
      <c r="U78" s="401" t="b">
        <f>IF('Survey Front'!M39="",FALSE,OR(AND(C78=TRUE,AD78=FALSE,('Survey Front'!M39/(Matrix2!AM$19))&gt;750+N("Barbados")),AND(D78=TRUE,'Survey Front'!H39&lt;&gt;"89mm",'Survey Front'!H39&lt;&gt;"114mm",'Survey Front'!M39/Matrix2!AM$19&gt;800)+N("Aruba"),AND(D78=TRUE,'Survey Front'!H39&lt;&gt;"63mm",'Survey Front'!H39&lt;&gt;"76mm",'Survey Front'!M39/Matrix2!AM$19&gt;920)+N("Aruba"),AND(G78=TRUE,'Survey Front'!M39/Matrix2!AM$19&gt;915)+N("Bermuda"),AND(G78=TRUE,'Survey Front'!M39/Matrix2!AM$19&gt;890)+N("Cuba"),AND(J78=TRUE,OR(AE78=TRUE,AF78=TRUE),('Survey Front'!M39/Matrix2!AM$19)&gt;890+N("Fiji")),AND(J78=TRUE,OR(AG78=TRUE,AH78=TRUE),('Survey Front'!M39/Matrix2!AM$19)&gt;1047+N("Fiji")),AND(K78=TRUE,OR(AE78=TRUE,AF78=TRUE),('Survey Front'!M39/Matrix2!AM$19)&gt;800+N("Java")),AND(K78=TRUE,OR(AG78=TRUE,AH78=TRUE),('Survey Front'!M39/Matrix2!AM$19)&gt;890+N("Java")),AND(L78=TRUE,('Survey Front'!M39/Matrix2!AM$19)&gt;950+N("Maui")),AND(M78=TRUE,'Survey Front'!H39="63mm",('Survey Front'!M39/Matrix2!AM$19)&gt;850+N("Tahiti 63mm")),AND(M78=TRUE,OR('Survey Front'!H39="76mm",'Survey Front'!H39="89mm",'Survey Front'!H39="114mm"),('Survey Front'!M39/Matrix2!AM$19)&gt;950+N("Tahiti 76,89,114mm")),AND(H78=TRUE,('Survey Front'!M39/Matrix2!AM$19)&gt;890+N("Capri")),AND(OR(H78=TRUE,F78=TRUE),'Survey Front'!D39="Tracked",('Survey Front'!M39/Matrix2!AM$19)&gt;600),AND(H78=TRUE,'Survey Front'!M39&gt;890,LEN(Matrix2!AD79)=1),AND(F78=TRUE,'Survey Front'!M39&gt;750,LEN(Matrix2!AD79)=1,'Survey Front'!H39="63mm"),AND(F78=TRUE,'Survey Front'!M39&gt;890,LEN(Matrix2!AD79)=1,OR('Survey Front'!H39="76mm",'Survey Front'!H39="89mm",'Survey Front'!H39="114mm")),AND(E78=TRUE,'Survey Front'!M39=700)))</f>
        <v>0</v>
      </c>
      <c r="V78" s="401" t="b">
        <f>IF('Survey Front'!M39="",FALSE,OR(AND(OR(Matrix2!AD79="LL",Matrix2!AD79="RR"),'Survey Front'!D39&lt;&gt;"Tracked",OR(C78=TRUE,D78=TRUE,L78=TRUE,M78=TRUE),('Survey Front'!M39/2)&gt;600,'Survey Front'!D39&lt;&gt;"Tracked"),AND(OR(Matrix2!AD79="LL",Matrix2!AD79="RR"),'Survey Front'!D39&lt;&gt;"Tracked",OR(G78=TRUE,AND(K78=TRUE,'Survey Front'!H39&lt;&gt;"47mm")),('Survey Front'!M39/Matrix2!$AM$19)&gt;610)+N("Bermuda, Java"),AND(OR(Matrix2!AD79="LL",Matrix2!AD79="RR"),'Survey Front'!D39&lt;&gt;"Tracked",OR(I78=TRUE,J78=TRUE),('Survey Front'!M39/Matrix2!$AM$19)&gt;660)+N("Cuba &amp; Fiji"),AND(OR(Matrix2!AD79="LL",Matrix2!AD79="RR"),'Survey Front'!D39="Tracked",K78=TRUE,'Survey Front'!H39="47mm",('Survey Front'!M39/Matrix2!$AM$19)&gt;550)+N("Java"),AND(L78=TRUE,'Survey Front'!D39="Tracked",('Survey Front'!M39/Matrix2!$AM$19)&gt;700),AND(H78=TRUE,'Survey Front'!D39&lt;&gt;"Tracked",('Survey Front'!M39/Matrix2!$AM$19)&gt;625),AND(H78=TRUE,OR(Matrix2!AD79="LL",Matrix2!AD79="RR"),'Survey Front'!D39&lt;&gt;"Tracked",('Survey Front'!M39/Matrix2!$AM$19)&gt;625)+N("Capri Bifold"),AND(H78=TRUE,OR(Matrix2!AD79="LLL",Matrix2!AD79="RRR",Matrix2!AD79="LLLRRR"),'Survey Front'!D39&lt;&gt;"Tracked",('Survey Front'!M39/Matrix2!$AM$19)&gt;550)+N("Capri Multifold"),AND(H78=TRUE,'Survey Front'!D39="Tracked",NOT(ISEVEN(LEN(Matrix2!AD79)))),AND(G78=TRUE,OR(Matrix2!AD79="LL",Matrix2!AD79="RR"),'Survey Front'!D39&lt;&gt;"Tracked",('Survey Front'!M39/Matrix2!$AM$19)&gt;500),AND(F78=TRUE,'Survey Front'!M39/Matrix2!$AM$19&gt;500,'Survey Front'!D39&lt;&gt;"Tracked"),AND(F78=TRUE,OR(Matrix2!AD79="LL",Matrix2!AD79="RR"),'Survey Front'!D39&lt;&gt;"Tracked",('Survey Front'!M39/Matrix2!$AM$19)&gt;600),AND(F78=TRUE,OR(Matrix2!AD79="LL",Matrix2!AD79="RR",Matrix2!AD79="LLL",Matrix2!AD79="RRR",Matrix2!AD79="LLLLRRRR"),'Survey Front'!D39="Tracked",('Survey Front'!M39/Matrix2!$AM$19)&gt;600),AND(E78=TRUE,OR(Matrix2!AD79="LL",Matrix2!AD79="RR"),'Survey Front'!D39&lt;&gt;"Tracked",('Survey Front'!M39/Matrix2!$AM$19)&gt;500)+N("Aruba Express")))</f>
        <v>0</v>
      </c>
      <c r="W78" s="401" t="b">
        <f>IF(Pricing!M83="",FALSE,OR(AND(ISERROR(FIND("(",Matrix2!AD79)),LEN(Matrix2!AD79)-LEN(SUBSTITUTE(Matrix2!AD79,"L",""))&gt;2,OR(C78=TRUE,G78=TRUE,K78=TRUE,L78=TRUE,M78=TRUE,F78=TRUE,E78=TRUE)),AND(ISERROR(FIND("(",Matrix2!AD79)),LEN(Matrix2!AD79)-LEN(SUBSTITUTE(Matrix2!AD79,"R",""))&gt;2,OR(C78=TRUE,G78=TRUE,L78=TRUE,M78=TRUE,F78=TRUE,E78=TRUE)),AND(ISERROR(FIND("(",Matrix2!AD79)),LEN(Matrix2!AD79)-LEN(SUBSTITUTE(Matrix2!AD79,"R",""))&gt;4,OR(I78=TRUE,AND(H78=TRUE,Pricing!D83="Tracked")),(Pricing!M83/Matrix2!AM67)&gt;550),AND(ISERROR(FIND("(",Matrix2!AD79)),LEN(Matrix2!AD79)-LEN(SUBSTITUTE(Matrix2!AD79,"L",""))&gt;4,OR(I78=TRUE,AND(H78=TRUE,Pricing!D83="Tracked")),(Pricing!M83/Matrix2!AM67)&gt;550),AND(ISERROR(FIND("(",Matrix2!AD79)),LEN(Matrix2!AD79)-LEN(SUBSTITUTE(Matrix2!AD79,"L",""))&gt;3,H78=TRUE),AND(ISERROR(FIND("(",Matrix2!AD79)),LEN(Matrix2!AD79)-LEN(SUBSTITUTE(Matrix2!AD79,"R",""))&gt;3,H78=TRUE)))</f>
        <v>0</v>
      </c>
      <c r="X78" s="46" t="b">
        <f>IF('Survey Front'!N39="",FALSE,OR('Survey Front'!N39&lt;250+N("Barbados, Aruba, Bermuda, Cuba, Fiji, Java, Maui, Tahiti, Capri, Aruba Express"),AND(F78=TRUE,'Survey Front'!N39&lt;300)))</f>
        <v>0</v>
      </c>
      <c r="Y78" s="46" t="b">
        <f>IF('Survey Front'!N39="",FALSE,OR('Survey Front'!N39&gt;3000 +N("Barbados, Aruba, Bermuda, Cuba, Fiji, Java, Maui, Tahiti, Capri, Aruba Express"),AND(F78=TRUE,'Survey Front'!N39&gt;2700+N("Belize"))))</f>
        <v>0</v>
      </c>
      <c r="Z78" s="46" t="b">
        <f>OR(AND('Survey Front'!D39="Shape",OR(C78=TRUE,G78=TRUE,I78=TRUE,E78=TRUE)+N("Barbados, Bermuda, Cuba, Java, Aruba Express")),AND('Survey Front'!D39="Shape",D78=TRUE+N("Aruba")))</f>
        <v>0</v>
      </c>
      <c r="AA78" s="46" t="b">
        <f>AND(NOT(ISERROR(FIND("CB",Matrix2!AJ31))),(D78=TRUE+N("Aruba")))</f>
        <v>0</v>
      </c>
      <c r="AB78" s="46" t="b">
        <f>AND(O78=TRUE,'Survey Front'!N39&gt;1372,OR(C78=TRUE,G78=TRUE,J78=TRUE,K78=TRUE,I78=TRUE))</f>
        <v>0</v>
      </c>
      <c r="AC78" s="46" t="b">
        <f>OR(AND(OR(C78=TRUE,G78=TRUE,I78=TRUE),'Survey Front'!N39&gt;1879+N("S-Craft")),AND(D78=TRUE,'Survey Front'!N39&gt;1500,'Survey Front'!N39&lt;=2000),AND(J78=TRUE,'Survey Front'!N39&gt;1981),AND(K78=TRUE,'Survey Front'!N39&gt;1828),OR(AND(OR(L78=TRUE,M78=TRUE),'Survey Front'!N39&gt;1800,'Survey Front'!N39&lt;=2500),AND(OR(L78=TRUE,M78=TRUE),'Survey Front'!N39&gt;=2501,'Survey Front'!N39&lt;=3000)),AND(H78=TRUE,'Survey Front'!N39&gt;1799),OR(AND(E78=TRUE,'Survey Front'!N39&gt;1800,'Survey Front'!N39&lt;=2400),AND(E78=TRUE,'Survey Front'!N39&gt;=2401,'Survey Front'!N39&lt;=3000))+N("Aruba Express"))</f>
        <v>0</v>
      </c>
      <c r="AD78" s="46" t="b">
        <f>AND(OR(H78=TRUE,D78=TRUE,E78=TRUE,F78=TRUE,L78=TRUE),'Survey Front'!H39="47mm")</f>
        <v>0</v>
      </c>
      <c r="AE78" s="452"/>
      <c r="AF78" s="452"/>
      <c r="AG78" s="452"/>
      <c r="AH78" s="46" t="b">
        <f>OR(AND('Survey Front'!H39=$AH$68,I78=TRUE+N("Cuba")),AND(L78=TRUE,'Survey Front'!H39=$AH$68),AND(E78=TRUE,'Survey Front'!H39=$AH$68))</f>
        <v>0</v>
      </c>
      <c r="AI78" s="46" t="b">
        <f>IF(AND(OR(K78=TRUE,L78=TRUE,M78=TRUE,E78=TRUE),'Survey Front'!D39="S/Shade"),TRUE,AND('Survey Front'!D39="S/Shade",OR(C78=TRUE,G78=TRUE,I78=TRUE,J78-TRUE,H78=TRUE,F78=TRUE+N("Barbados, Bermuda, Cuba, Fiji, Capri, Belize")),'Survey Front'!I39&lt;&gt;"FFrame"))</f>
        <v>0</v>
      </c>
      <c r="AJ78" s="46" t="b">
        <f>AND('Survey Front'!D39="French Door Cutout",OR(C78=TRUE,D78=TRUE,E78=TRUE,G78=TRUE,I78=TRUE, K78=TRUE,E78=TRUE+N("Barbados, Bermuda, Cuba, Java, Aruba,AK21 Aruba Express")))</f>
        <v>0</v>
      </c>
      <c r="AK78" s="46" t="b">
        <f>AND('Survey Front'!D39=AK77,OR(E78=TRUE,D78=TRUE))</f>
        <v>0</v>
      </c>
      <c r="AL78" s="27" t="b">
        <f>AND('Survey Front'!D39="Tier on Tier",'Survey Front'!M39&gt;=1361+N("1219 S-Craft, Pauls Limit"))</f>
        <v>0</v>
      </c>
      <c r="AM78" s="401" t="b">
        <f>AND('Survey Front'!C39="Bathroom",OR(C78=TRUE,G78=TRUE,I78=TRUE,J78=TRUE,L78=TRUE,M78=TRUE,H78=TRUE,D78=TRUE,E78=TRUE)+N("If not JAVA OR Belize"))</f>
        <v>0</v>
      </c>
      <c r="AN78" s="27"/>
      <c r="AO78" s="27" t="b">
        <f>AND(K78=TRUE,ISERROR(FIND("Stainless Steel",Pricing!G85)))</f>
        <v>0</v>
      </c>
      <c r="AP78" s="27" t="b" cm="1">
        <f t="array" ref="AP78">IF('Survey Front'!F39="",FALSE,NOT(OR(AND(C78=TRUE,COUNTIF(Barbados,'Survey Front'!F39)&gt;0),AND(D78=TRUE,COUNTIF(Aruba,'Survey Front'!F39)&gt;0),AND(E78=TRUE,COUNTIF(ArubaExpress,'Survey Front'!F39)&gt;0),AND(F78=TRUE,COUNTIF(Belize,'Survey Front'!F39)&gt;0),AND(G78=TRUE,COUNTIF(Bermuda,'Survey Front'!F39)&gt;0),AND(H78=TRUE,COUNTIF(Capri,'Survey Front'!F39)&gt;0),AND(I78=TRUE,COUNTIF(Cuba,'Survey Front'!F39)&gt;0),AND(J78=TRUE,COUNTIF(Fiji,'Survey Front'!F39)&gt;0),AND(K78=TRUE,COUNTIF(Java,'Survey Front'!F39)&gt;0),AND(L78=TRUE,COUNTIF(Maui,'Survey Front'!F39)&gt;0),AND(M78=TRUE,COUNTIF(Tahiti,'Survey Front'!F39)&gt;0))))</f>
        <v>0</v>
      </c>
      <c r="AQ78" s="27" t="b">
        <f>AND('Survey Front'!D39=$AQ$20,K78=FALSE,J78=FALSE,M78=FALSE,L78=FALSE,H78=FALSE,F78=FALSE)</f>
        <v>0</v>
      </c>
      <c r="AR78" s="27" t="b">
        <f>IF(AND('Survey Front'!D39="Tracked",COUNTIF(Table19[Tframes],'Survey Front'!D36)=0),TRUE,FALSE)</f>
        <v>0</v>
      </c>
    </row>
    <row r="79" spans="2:44">
      <c r="B79" s="27">
        <v>11</v>
      </c>
      <c r="C79" s="27" t="b">
        <f>'Survey Front'!$E$42=C$68</f>
        <v>0</v>
      </c>
      <c r="D79" s="27" t="b">
        <f>'Survey Front'!$E$42=D$68</f>
        <v>0</v>
      </c>
      <c r="E79" s="27" t="b">
        <f>'Survey Front'!$E$42=E$68</f>
        <v>0</v>
      </c>
      <c r="F79" s="27" t="b">
        <f>'Survey Front'!$E$42=F$68</f>
        <v>0</v>
      </c>
      <c r="G79" s="27" t="b">
        <f>'Survey Front'!$E$42=G$68</f>
        <v>0</v>
      </c>
      <c r="H79" s="27" t="b">
        <f>'Survey Front'!$E$42=H$68</f>
        <v>0</v>
      </c>
      <c r="I79" s="27" t="b">
        <f>'Survey Front'!$E$42=I$68</f>
        <v>0</v>
      </c>
      <c r="J79" s="27" t="b">
        <f>'Survey Front'!$E$42=J$68</f>
        <v>0</v>
      </c>
      <c r="K79" s="27" t="b">
        <f>'Survey Front'!$E$42=K$68</f>
        <v>0</v>
      </c>
      <c r="L79" s="27" t="b">
        <f>'Survey Front'!$E$42=L$68</f>
        <v>0</v>
      </c>
      <c r="M79" s="27" t="b">
        <f>'Survey Front'!$E$42=M$68</f>
        <v>0</v>
      </c>
      <c r="N79" s="27" t="b">
        <f>OR(IF('Survey Front'!L42="",FALSE,AND(OR('Survey Front'!L42="Split Offset",'Survey Front'!L42="Split Custom",'Survey Front'!L42="Offset",'Survey Front'!L42="Custom",'Survey Front'!L42="Centre"),L79=TRUE,'Survey Front'!L42&lt;&gt;Helper!$Q$68)),AND(E79=TRUE,'Survey Front'!L42="49mm"))</f>
        <v>0</v>
      </c>
      <c r="O79" s="27" t="b">
        <f>IF('Survey Front'!L42="",FALSE,IF(AND(OR(D79=TRUE,L79=TRUE,M79=TRUE,F79=TRUE,E79=TRUE),OR('Survey Front'!L42="Silent",'Survey Front'!L42="Silent Split")),TRUE,FALSE))</f>
        <v>0</v>
      </c>
      <c r="P79" s="27" t="b">
        <f>OR(AND(OR(C79=TRUE,G79=TRUE,I79=TRUE,J79=TRUE,K79=TRUE+N("S-Craft Material"),AND(L79=TRUE,'Survey Front'!L42="Clearview",'Survey Front'!N42&gt;1200)),Q79=TRUE),AND(OR(F79=TRUE,H79=TRUE,E79=TRUE),'Survey Front'!N42&gt;1200,'Survey Front'!L42="Concealed"),AND(OR(F79=TRUE,H79=TRUE),'Survey Front'!N42&gt;1300,'Survey Front'!L42="Hidden")+N("Belize"))</f>
        <v>0</v>
      </c>
      <c r="Q79" s="27" t="b">
        <f>OR(AND(OR(C79=TRUE,G79=TRUE,I79=TRUE,J79=TRUE,K79=TRUE+N("S-Craft Materials")),'Survey Front'!L42=$Q$68),AND(L79=TRUE,'Survey Front'!L42=$O$68)+N("MAUI"),AND(F79=TRUE,'Survey Front'!L42=Helper!$Q$68),AND(E79=TRUE,'Survey Front'!L42=Helper!$Q$68))</f>
        <v>0</v>
      </c>
      <c r="R79" s="46" t="b">
        <f>IF(Matrix2!AN19=0,FALSE,OR(AND(IF('Survey Front'!M42/(Matrix2!AN$19)&lt;152,TRUE,FALSE),'Survey Front'!L42&lt;&gt;"Silent",OR(C79=TRUE,G79=TRUE,I79=TRUE,J79=TRUE,K79=TRUE)+N("S-Craft Materials")),AND(OR(D79=TRUE,M79=TRUE),'Survey Front'!M42/(Matrix2!AN$19)&lt;250+N("Aruba,Tahiti"),N79=TRUE),AND(L79=TRUE,'Survey Front'!H42="49mm"),AND(H79=TRUE,'Survey Front'!M42&lt;200),AND(F79=TRUE,'Survey Front'!M42=250),AND(E79=TRUE,'Survey Front'!M42=200)))</f>
        <v>0</v>
      </c>
      <c r="S79" s="401" t="b">
        <f>IF(Matrix2!AN67=0,FALSE,OR(AND('Survey Front'!M42/(Matrix2!AN$19)&lt;152+N("S-Craft"),O79=TRUE,OR(C79=TRUE,G79=TRUE,I79=TRUE,J79=TRUE,K79=TRUE)),AND('Survey Front'!M42/(Matrix2!AN$19)&lt;170+N("Aruba"),Q79=TRUE),AND(OR(L79=TRUE,M79=TRUE),'Survey Front'!L42=Q68,'Survey Front'!M42/(Matrix2!AN$19)&lt;250+N("MAUI")),AND(H79=TRUE,OR('Survey Front'!L42="Supatilt",'Survey Front'!L42="Silent"),'Survey Front'!M42&lt;200)))</f>
        <v>0</v>
      </c>
      <c r="T79" s="91" t="b">
        <f>IF(Matrix2!AN67=0,FALSE,OR(AND(C79=TRUE,'Survey Front'!H42="47mm",('Survey Front'!M42/Matrix2!AN$19)&gt;600),AND(G79=TRUE,'Survey Front'!H42="47mm",('Survey Front'!M42/Matrix2!AN$19)&gt;610+N("Bermuda")),AND(G79=TRUE,'Survey Front'!H42="47mm",('Survey Front'!M42/Matrix2!AN$19)&gt;750+N("Cuba")),AND(J79=TRUE,'Survey Front'!H42="47mm",('Survey Front'!M42/Matrix2!AN$19)&gt;750+N("Fiji")),AND(K79=TRUE,'Survey Front'!H42="47mm",('Survey Front'!M42/Matrix2!AN$19)&gt;550+N("Java")),AND(L79=TRUE,'Survey Front'!H42="47mm"),AND(L79=TRUE,'Survey Front'!H42="47mm",('Survey Front'!M42/Matrix2!AN$19)&gt;850+N("Tahiti")),AND(H79=TRUE,'Survey Front'!H42="47mm"),AND(F79=TRUE,'Survey Front'!H42="47mm"),AND(E79=TRUE,'Survey Front'!H42="47mm")))</f>
        <v>0</v>
      </c>
      <c r="U79" s="401" t="b">
        <f>IF('Survey Front'!M42="",FALSE,OR(AND(C79=TRUE,AD79=FALSE,('Survey Front'!M42/(Matrix2!AN$19))&gt;750+N("Barbados")),AND(D79=TRUE,'Survey Front'!H42&lt;&gt;"89mm",'Survey Front'!H42&lt;&gt;"114mm",'Survey Front'!M42/Matrix2!AN$19&gt;800)+N("Aruba"),AND(D79=TRUE,'Survey Front'!H42&lt;&gt;"63mm",'Survey Front'!H42&lt;&gt;"76mm",'Survey Front'!M42/Matrix2!AN$19&gt;920)+N("Aruba"),AND(G79=TRUE,'Survey Front'!M42/Matrix2!AN$19&gt;915)+N("Bermuda"),AND(G79=TRUE,'Survey Front'!M42/Matrix2!AN$19&gt;890)+N("Cuba"),AND(J79=TRUE,OR(AE79=TRUE,AF79=TRUE),('Survey Front'!M42/Matrix2!AN$19)&gt;890+N("Fiji")),AND(J79=TRUE,OR(AG79=TRUE,AH79=TRUE),('Survey Front'!M42/Matrix2!AN$19)&gt;1047+N("Fiji")),AND(K79=TRUE,OR(AE79=TRUE,AF79=TRUE),('Survey Front'!M42/Matrix2!AN$19)&gt;800+N("Java")),AND(K79=TRUE,OR(AG79=TRUE,AH79=TRUE),('Survey Front'!M42/Matrix2!AN$19)&gt;890+N("Java")),AND(L79=TRUE,('Survey Front'!M42/Matrix2!AN$19)&gt;950+N("Maui")),AND(M79=TRUE,'Survey Front'!H42="63mm",('Survey Front'!M42/Matrix2!AN$19)&gt;850+N("Tahiti 63mm")),AND(M79=TRUE,OR('Survey Front'!H42="76mm",'Survey Front'!H42="89mm",'Survey Front'!H42="114mm"),('Survey Front'!M42/Matrix2!AN$19)&gt;950+N("Tahiti 76,89,114mm")),AND(H79=TRUE,('Survey Front'!M42/Matrix2!AN$19)&gt;890+N("Capri")),AND(OR(H79=TRUE,F79=TRUE),'Survey Front'!D42="Tracked",('Survey Front'!M42/Matrix2!AN$19)&gt;600),AND(H79=TRUE,'Survey Front'!M42&gt;890,LEN(Matrix2!AD80)=1),AND(F79=TRUE,'Survey Front'!M42&gt;750,LEN(Matrix2!AD80)=1,'Survey Front'!H42="63mm"),AND(F79=TRUE,'Survey Front'!M42&gt;890,LEN(Matrix2!AD80)=1,OR('Survey Front'!H42="76mm",'Survey Front'!H42="89mm",'Survey Front'!H42="114mm")),AND(E79=TRUE,'Survey Front'!M42=700)))</f>
        <v>0</v>
      </c>
      <c r="V79" s="401" t="b">
        <f>IF('Survey Front'!M42="",FALSE,OR(AND(OR(Matrix2!AD80="LL",Matrix2!AD80="RR"),'Survey Front'!D42&lt;&gt;"Tracked",OR(C79=TRUE,D79=TRUE,L79=TRUE,M79=TRUE),('Survey Front'!M42/2)&gt;600,'Survey Front'!D42&lt;&gt;"Tracked"),AND(OR(Matrix2!AD80="LL",Matrix2!AD80="RR"),'Survey Front'!D42&lt;&gt;"Tracked",OR(G79=TRUE,AND(K79=TRUE,'Survey Front'!H42&lt;&gt;"47mm")),('Survey Front'!M42/Matrix2!$AN$19)&gt;610)+N("Bermuda, Java"),AND(OR(Matrix2!AD80="LL",Matrix2!AD80="RR"),'Survey Front'!D42&lt;&gt;"Tracked",OR(I79=TRUE,J79=TRUE),('Survey Front'!M42/Matrix2!$AN$19)&gt;660)+N("Cuba &amp; Fiji"),AND(OR(Matrix2!AD80="LL",Matrix2!AD80="RR"),'Survey Front'!D42="Tracked",K79=TRUE,'Survey Front'!H42="47mm",('Survey Front'!M42/Matrix2!$AN$19)&gt;550)+N("Java"),AND(L79=TRUE,'Survey Front'!D42="Tracked",('Survey Front'!M42/Matrix2!$AN$19)&gt;700),AND(H79=TRUE,'Survey Front'!D42&lt;&gt;"Tracked",('Survey Front'!M42/Matrix2!$AN$19)&gt;625),AND(H79=TRUE,OR(Matrix2!AD80="LL",Matrix2!AD80="RR"),'Survey Front'!D42&lt;&gt;"Tracked",('Survey Front'!M42/Matrix2!$AN$19)&gt;625)+N("Capri Bifold"),AND(H79=TRUE,OR(Matrix2!AD80="LLL",Matrix2!AD80="RRR",Matrix2!AD80="LLLRRR"),'Survey Front'!D42&lt;&gt;"Tracked",('Survey Front'!M42/Matrix2!$AN$19)&gt;550)+N("Capri Multifold"),AND(H79=TRUE,'Survey Front'!D42="Tracked",NOT(ISEVEN(LEN(Matrix2!AD80)))),AND(G79=TRUE,OR(Matrix2!AD80="LL",Matrix2!AD80="RR"),'Survey Front'!D42&lt;&gt;"Tracked",('Survey Front'!M42/Matrix2!$AN$19)&gt;500),AND(F79=TRUE,'Survey Front'!M42/Matrix2!$AN$19&gt;500,'Survey Front'!D42&lt;&gt;"Tracked"),AND(F79=TRUE,OR(Matrix2!AD80="LL",Matrix2!AD80="RR"),'Survey Front'!D42&lt;&gt;"Tracked",('Survey Front'!M42/Matrix2!$AN$19)&gt;600),AND(F79=TRUE,OR(Matrix2!AD80="LL",Matrix2!AD80="RR",Matrix2!AD80="LLL",Matrix2!AD80="RRR",Matrix2!AD80="LLLLRRRR"),'Survey Front'!D42="Tracked",('Survey Front'!M42/Matrix2!$AN$19)&gt;600),AND(E79=TRUE,OR(Matrix2!AD80="LL",Matrix2!AD80="RR"),'Survey Front'!D42&lt;&gt;"Tracked",('Survey Front'!M42/Matrix2!$AN$19)&gt;500)+N("Aruba Express")))</f>
        <v>0</v>
      </c>
      <c r="W79" s="401" t="b">
        <f>IF(Pricing!M86="",FALSE,OR(AND(ISERROR(FIND("(",Matrix2!AD80)),LEN(Matrix2!AD80)-LEN(SUBSTITUTE(Matrix2!AD80,"L",""))&gt;2,OR(C79=TRUE,G79=TRUE,K79=TRUE,L79=TRUE,M79=TRUE,F79=TRUE,E79=TRUE)),AND(ISERROR(FIND("(",Matrix2!AD80)),LEN(Matrix2!AD80)-LEN(SUBSTITUTE(Matrix2!AD80,"R",""))&gt;2,OR(C79=TRUE,G79=TRUE,L79=TRUE,M79=TRUE,F79=TRUE,E79=TRUE)),AND(ISERROR(FIND("(",Matrix2!AD80)),LEN(Matrix2!AD80)-LEN(SUBSTITUTE(Matrix2!AD80,"R",""))&gt;4,OR(I79=TRUE,AND(H79=TRUE,Pricing!D86="Tracked")),(Pricing!M86/Matrix2!AN67)&gt;550),AND(ISERROR(FIND("(",Matrix2!AD80)),LEN(Matrix2!AD80)-LEN(SUBSTITUTE(Matrix2!AD80,"L",""))&gt;4,OR(I79=TRUE,AND(H79=TRUE,Pricing!D86="Tracked")),(Pricing!M86/Matrix2!AN67)&gt;550),AND(ISERROR(FIND("(",Matrix2!AD80)),LEN(Matrix2!AD80)-LEN(SUBSTITUTE(Matrix2!AD80,"L",""))&gt;3,H79=TRUE),AND(ISERROR(FIND("(",Matrix2!AD80)),LEN(Matrix2!AD80)-LEN(SUBSTITUTE(Matrix2!AD80,"R",""))&gt;3,H79=TRUE)))</f>
        <v>0</v>
      </c>
      <c r="X79" s="46" t="b">
        <f>IF('Survey Front'!N42="",FALSE,OR('Survey Front'!N42&lt;250+N("Barbados, Aruba, Bermuda, Cuba, Fiji, Java, Maui, Tahiti, Capri, Aruba Express"),AND(F79=TRUE,'Survey Front'!N42&lt;300)))</f>
        <v>0</v>
      </c>
      <c r="Y79" s="46" t="b">
        <f>IF('Survey Front'!N42="",FALSE,OR('Survey Front'!N42&gt;3000 +N("Barbados, Aruba, Bermuda, Cuba, Fiji, Java, Maui, Tahiti, Capri, Aruba Express"),AND(F79=TRUE,'Survey Front'!N42&gt;2700+N("Belize"))))</f>
        <v>0</v>
      </c>
      <c r="Z79" s="46" t="b">
        <f>OR(AND('Survey Front'!D42="Shape",OR(C79=TRUE,G79=TRUE,I79=TRUE,E79=TRUE)+N("Barbados, Bermuda, Cuba, Java, Aruba Express")),AND('Survey Front'!D42="Shape",D79=TRUE+N("Aruba")))</f>
        <v>0</v>
      </c>
      <c r="AA79" s="46" t="b">
        <f>AND(NOT(ISERROR(FIND("CB",Matrix2!AJ32))),(D79=TRUE+N("Aruba")))</f>
        <v>0</v>
      </c>
      <c r="AB79" s="46" t="b">
        <f>AND(O79=TRUE,'Survey Front'!N42&gt;1372,OR(C79=TRUE,G79=TRUE,J79=TRUE,K79=TRUE,I79=TRUE))</f>
        <v>0</v>
      </c>
      <c r="AC79" s="46" t="b">
        <f>OR(AND(OR(C79=TRUE,G79=TRUE,I79=TRUE),'Survey Front'!N42&gt;1879+N("S-Craft")),AND(D79=TRUE,'Survey Front'!N42&gt;1500,'Survey Front'!N42&lt;=2000),AND(J79=TRUE,'Survey Front'!N42&gt;1981),AND(K79=TRUE,'Survey Front'!N42&gt;1828),OR(AND(OR(L79=TRUE,M79=TRUE),'Survey Front'!N42&gt;1800,'Survey Front'!N42&lt;=2500),AND(OR(L79=TRUE,M79=TRUE),'Survey Front'!N42&gt;=2501,'Survey Front'!N42&lt;=3000)),AND(H79=TRUE,'Survey Front'!N42&gt;1799),OR(AND(E79=TRUE,'Survey Front'!N42&gt;1800,'Survey Front'!N42&lt;=2400),AND(E79=TRUE,'Survey Front'!N42&gt;=2401,'Survey Front'!N42&lt;=3000))+N("Aruba Express"))</f>
        <v>0</v>
      </c>
      <c r="AD79" s="46" t="b">
        <f>AND(OR(H79=TRUE,D79=TRUE,E79=TRUE,F79=TRUE,L79=TRUE),'Survey Front'!H42="47mm")</f>
        <v>0</v>
      </c>
      <c r="AE79" s="452"/>
      <c r="AF79" s="452"/>
      <c r="AG79" s="452"/>
      <c r="AH79" s="46" t="b">
        <f>OR(AND('Survey Front'!H42=$AH$68,I79=TRUE+N("Cuba")),AND(L79=TRUE,'Survey Front'!H42=$AH$68),AND(E79=TRUE,'Survey Front'!H42=$AH$68))</f>
        <v>0</v>
      </c>
      <c r="AI79" s="46" t="b">
        <f>IF(AND(OR(K79=TRUE,L79=TRUE,M79=TRUE,E79=TRUE),'Survey Front'!D42="S/Shade"),TRUE,AND('Survey Front'!D42="S/Shade",OR(C79=TRUE,G79=TRUE,I79=TRUE,J79-TRUE,H79=TRUE,F79=TRUE+N("Barbados, Bermuda, Cuba, Fiji, Capri, Belize")),'Survey Front'!I42&lt;&gt;"FFrame"))</f>
        <v>0</v>
      </c>
      <c r="AJ79" s="46" t="b">
        <f>AND('Survey Front'!D42="French Door Cutout",OR(C79=TRUE,D79=TRUE,E79=TRUE,G79=TRUE,I79=TRUE, K79=TRUE,E79=TRUE+N("Barbados, Bermuda, Cuba, Java, Aruba,AK21 Aruba Express")))</f>
        <v>0</v>
      </c>
      <c r="AK79" s="46" t="b">
        <f>AND('Survey Front'!D42=AK78,OR(E79=TRUE,D79=TRUE))</f>
        <v>0</v>
      </c>
      <c r="AL79" s="27" t="b">
        <f>AND('Survey Front'!D42="Tier on Tier",'Survey Front'!M42&gt;=1361+N("1219 S-Craft, Pauls Limit"))</f>
        <v>0</v>
      </c>
      <c r="AM79" s="401" t="b">
        <f>AND('Survey Front'!C42="Bathroom",OR(C79=TRUE,G79=TRUE,I79=TRUE,J79=TRUE,L79=TRUE,M79=TRUE,H79=TRUE,D79=TRUE,E79=TRUE)+N("If not JAVA OR Belize"))</f>
        <v>0</v>
      </c>
      <c r="AN79" s="27"/>
      <c r="AO79" s="27" t="b">
        <f>AND(K79=TRUE,ISERROR(FIND("Stainless Steel",Pricing!G88)))</f>
        <v>0</v>
      </c>
      <c r="AP79" s="27" t="b" cm="1">
        <f t="array" ref="AP79">IF('Survey Front'!F42="",FALSE,NOT(OR(AND(C79=TRUE,COUNTIF(Barbados,'Survey Front'!F42)&gt;0),AND(D79=TRUE,COUNTIF(Aruba,'Survey Front'!F42)&gt;0),AND(E79=TRUE,COUNTIF(ArubaExpress,'Survey Front'!F42)&gt;0),AND(F79=TRUE,COUNTIF(Belize,'Survey Front'!F42)&gt;0),AND(G79=TRUE,COUNTIF(Bermuda,'Survey Front'!F42)&gt;0),AND(H79=TRUE,COUNTIF(Capri,'Survey Front'!F42)&gt;0),AND(I79=TRUE,COUNTIF(Cuba,'Survey Front'!F42)&gt;0),AND(J79=TRUE,COUNTIF(Fiji,'Survey Front'!F42)&gt;0),AND(K79=TRUE,COUNTIF(Java,'Survey Front'!F42)&gt;0),AND(L79=TRUE,COUNTIF(Maui,'Survey Front'!F42)&gt;0),AND(M79=TRUE,COUNTIF(Tahiti,'Survey Front'!F42)&gt;0))))</f>
        <v>0</v>
      </c>
      <c r="AQ79" s="27" t="b">
        <f>AND('Survey Front'!D42=$AQ$20,K79=FALSE,J79=FALSE,M79=FALSE,L79=FALSE,H79=FALSE,F79=FALSE)</f>
        <v>0</v>
      </c>
      <c r="AR79" s="27" t="b">
        <f>IF(AND('Survey Front'!D42="Tracked",COUNTIF(Table19[Tframes],'Survey Front'!D42)=0),TRUE,FALSE)</f>
        <v>0</v>
      </c>
    </row>
    <row r="80" spans="2:44">
      <c r="B80" s="27">
        <v>12</v>
      </c>
      <c r="C80" s="27" t="b">
        <f>'Survey Front'!$E$45=C$68</f>
        <v>0</v>
      </c>
      <c r="D80" s="27" t="b">
        <f>'Survey Front'!$E$45=D$68</f>
        <v>0</v>
      </c>
      <c r="E80" s="27" t="b">
        <f>'Survey Front'!$E$45=E$68</f>
        <v>0</v>
      </c>
      <c r="F80" s="27" t="b">
        <f>'Survey Front'!$E$45=F$68</f>
        <v>0</v>
      </c>
      <c r="G80" s="27" t="b">
        <f>'Survey Front'!$E$45=G$68</f>
        <v>0</v>
      </c>
      <c r="H80" s="27" t="b">
        <f>'Survey Front'!$E$45=H$68</f>
        <v>0</v>
      </c>
      <c r="I80" s="27" t="b">
        <f>'Survey Front'!$E$45=I$68</f>
        <v>0</v>
      </c>
      <c r="J80" s="27" t="b">
        <f>'Survey Front'!$E$45=J$68</f>
        <v>0</v>
      </c>
      <c r="K80" s="27" t="b">
        <f>'Survey Front'!$E$45=K$68</f>
        <v>0</v>
      </c>
      <c r="L80" s="27" t="b">
        <f>'Survey Front'!$E$45=L$68</f>
        <v>0</v>
      </c>
      <c r="M80" s="27" t="b">
        <f>'Survey Front'!$E$45=M$68</f>
        <v>0</v>
      </c>
      <c r="N80" s="27" t="b">
        <f>OR(IF('Survey Front'!L45="",FALSE,AND(OR('Survey Front'!L45="Split Offset",'Survey Front'!L45="Split Custom",'Survey Front'!L45="Offset",'Survey Front'!L45="Custom",'Survey Front'!L45="Centre"),L80=TRUE,'Survey Front'!L45&lt;&gt;Helper!$Q$68)),AND(E80=TRUE,'Survey Front'!L45="49mm"))</f>
        <v>0</v>
      </c>
      <c r="O80" s="27" t="b">
        <f>IF('Survey Front'!L45="",FALSE,IF(AND(OR(D80=TRUE,L80=TRUE,M80=TRUE,F80=TRUE,E80=TRUE),OR('Survey Front'!L45="Silent",'Survey Front'!L45="Silent Split")),TRUE,FALSE))</f>
        <v>0</v>
      </c>
      <c r="P80" s="27" t="b">
        <f>OR(AND(OR(C80=TRUE,G80=TRUE,I80=TRUE,J80=TRUE,K80=TRUE+N("S-Craft Material"),AND(L80=TRUE,'Survey Front'!L23="Clearview",'Survey Front'!N45&gt;1200)),Q80=TRUE),AND(OR(F80=TRUE,H80=TRUE,E80=TRUE),'Survey Front'!N45&gt;1200,'Survey Front'!L45="Concealed"),AND(OR(F80=TRUE,H80=TRUE),'Survey Front'!N45&gt;1300,'Survey Front'!L45="Hidden")+N("Belize"))</f>
        <v>0</v>
      </c>
      <c r="Q80" s="27" t="b">
        <f>OR(AND(OR(C80=TRUE,G80=TRUE,I80=TRUE,J80=TRUE,K80=TRUE+N("S-Craft Materials")),'Survey Front'!L45=$Q$68),AND(L80=TRUE,'Survey Front'!L45=$O$68)+N("MAUI"),AND(F80=TRUE,'Survey Front'!L45=Helper!$Q$68),AND(E80=TRUE,'Survey Front'!L45=Helper!$Q$68))</f>
        <v>0</v>
      </c>
      <c r="R80" s="46" t="b">
        <f>IF(Matrix2!AO19=0,FALSE,OR(AND(IF('Survey Front'!M45/(Matrix2!AO$19)&lt;152,TRUE,FALSE),'Survey Front'!L45&lt;&gt;"Silent",OR(C80=TRUE,G80=TRUE,I80=TRUE,J80=TRUE,K80=TRUE)+N("S-Craft Materials")),AND(OR(D80=TRUE,M80=TRUE),'Survey Front'!M45/(Matrix2!AO$19)&lt;250+N("Aruba,Tahiti"),N80=TRUE),AND(L80=TRUE,'Survey Front'!H45="49mm"),AND(H80=TRUE,'Survey Front'!M45&lt;200),AND(F80=TRUE,'Survey Front'!M45=250),AND(E80=TRUE,'Survey Front'!M45=200)))</f>
        <v>0</v>
      </c>
      <c r="S80" s="401" t="b">
        <f>IF(Matrix2!AO67=0,FALSE,OR(AND('Survey Front'!M45/(Matrix2!AO$19)&lt;152+N("S-Craft"),O80=TRUE,OR(C80=TRUE,G80=TRUE,I80=TRUE,J80=TRUE,K80=TRUE)),AND('Survey Front'!M45/(Matrix2!AO$19)&lt;170+N("Aruba"),Q80=TRUE),AND(OR(L80=TRUE,M80=TRUE),'Survey Front'!L45=Q68,'Survey Front'!M45/(Matrix2!AO$19)&lt;250+N("MAUI")),AND(H80=TRUE,OR('Survey Front'!L45="Supatilt",'Survey Front'!L45="Silent"),'Survey Front'!M45&lt;200)))</f>
        <v>0</v>
      </c>
      <c r="T80" s="91" t="b">
        <f>IF(Matrix2!AO67=0,FALSE,OR(AND(C80=TRUE,'Survey Front'!H45="47mm",('Survey Front'!M45/Matrix2!AO$19)&gt;600),AND(G80=TRUE,'Survey Front'!H45="47mm",('Survey Front'!M45/Matrix2!AO$19)&gt;610+N("Bermuda")),AND(G80=TRUE,'Survey Front'!H45="47mm",('Survey Front'!M45/Matrix2!AO$19)&gt;750+N("Cuba")),AND(J80=TRUE,'Survey Front'!H45="47mm",('Survey Front'!M45/Matrix2!AO$19)&gt;750+N("Fiji")),AND(K80=TRUE,'Survey Front'!H45="47mm",('Survey Front'!M45/Matrix2!AO$19)&gt;550+N("Java")),AND(L80=TRUE,'Survey Front'!H45="47mm"),AND(L80=TRUE,'Survey Front'!H45="47mm",('Survey Front'!M45/Matrix2!AO$19)&gt;850+N("Tahiti")),AND(H80=TRUE,'Survey Front'!H45="47mm"),AND(F80=TRUE,'Survey Front'!H45="47mm"),AND(E80=TRUE,'Survey Front'!H45="47mm")))</f>
        <v>0</v>
      </c>
      <c r="U80" s="401" t="b" cm="1">
        <f t="array" ref="U80">IF('Survey Front'!M45="",FALSE,OR(AND(C80=TRUE,AD80=FALSE,('Survey Front'!M45/(Matrix2!AO$19))&gt;750+N("Barbados")),AND(D80=TRUE,'Survey Front'!H45&lt;&gt;"89mm",'Survey Front'!H45&lt;&gt;"114mm",'Survey Front'!M45/Matrix2!AO$19&gt;800)+N("Aruba"),AND(D80=TRUE,'Survey Front'!H45&lt;&gt;"63mm",'Survey Front'!H45&lt;&gt;"76mm",'Survey Front'!M45/Matrix2!AO$19&gt;920)+N("Aruba"),AND(G80=TRUE,'Survey Front'!M45/Matrix2!AO$19&gt;915)+N("Bermuda"),AND(G80=TRUE,'Survey Front'!M45/Matrix2!AO$19&gt;890)+N("Cuba"),AND(J80=TRUE,OR(AE80=TRUE,AF80=TRUE),('Survey Front'!M45/Matrix2!AO$19)&gt;890+N("Fiji")),AND(J80=TRUE,OR(AG80=TRUE,AH80=TRUE),('Survey Front'!M45/Matrix2!AO$19)&gt;1047+N("Fiji")),AND(K80=TRUE,OR(AE80=TRUE,AF80=TRUE),('Survey Front'!M45/Matrix2!AO$19)&gt;800+N("Java")),AND(K80=TRUE,OR(AG80=TRUE,AH80=TRUE),('Survey Front'!M45/Matrix2!AO$19)&gt;890+N("Java")),AND(L80=TRUE,('Survey Front'!M45/Matrix2!AO$19)&gt;950+N("Maui")),AND(M80=TRUE,'Survey Front'!H45="63mm",('Survey Front'!M45/Matrix2!AO$19)&gt;850+N("Tahiti 63mm")),AND(M80=TRUE,OR('Survey Front'!H45="76mm",'Survey Front'!H45="89mm",'Survey Front'!H45="114mm"),('Survey Front'!M45/Matrix2!AO$19)&gt;950+N("Tahiti 76,89,114mm")),AND(H80=TRUE,('Survey Front'!M45/Matrix2!AO$19)&gt;890+N("Capri")),AND(OR(H80=TRUE,F80=TRUE),'Survey Front'!D45="Tracked",('Survey Front'!M45/Matrix2!AO$19)&gt;600),AND(H80=TRUE,'Survey Front'!M45&gt;890,LEN(Matrix2!AD81)=1),AND(F80=TRUE,'Survey Front'!M45&gt;750,LEN(Matrix2!AD81)=1,'Survey Front'!H45="63mm"),AND(F80=TRUE,'Survey Front'!M45&gt;890,LEN(Matrix2!AD81)=1,OR('Survey Front'!H45="76mm",'Survey Front'!H45="89mm",'Survey Front'!H45="114mm")),AND(E80=TRUE,'Survey Front'!M45:M47=700)))</f>
        <v>0</v>
      </c>
      <c r="V80" s="401" t="b">
        <f>IF('Survey Front'!M45="",FALSE,OR(AND(OR(Matrix2!AD81="LL",Matrix2!AD81="RR"),'Survey Front'!D45&lt;&gt;"Tracked",OR(C80=TRUE,D80=TRUE,L80=TRUE,M80=TRUE),('Survey Front'!M45/2)&gt;600,'Survey Front'!D45&lt;&gt;"Tracked"),AND(OR(Matrix2!AD81="LL",Matrix2!AD81="RR"),'Survey Front'!D45&lt;&gt;"Tracked",OR(G80=TRUE,AND(K80=TRUE,'Survey Front'!H45&lt;&gt;"47mm")),('Survey Front'!M45/Matrix2!$AO$19)&gt;610)+N("Bermuda, Java"),AND(OR(Matrix2!AD81="LL",Matrix2!AD81="RR"),'Survey Front'!D45&lt;&gt;"Tracked",OR(I80=TRUE,J80=TRUE),('Survey Front'!M45/Matrix2!$AO$19)&gt;660)+N("Cuba &amp; Fiji"),AND(OR(Matrix2!AD81="LL",Matrix2!AD81="RR"),'Survey Front'!D45="Tracked",K80=TRUE,'Survey Front'!H45="47mm",('Survey Front'!M45/Matrix2!$AO$19)&gt;550)+N("Java"),AND(L80=TRUE,'Survey Front'!D45="Tracked",('Survey Front'!M45/Matrix2!$AO$19)&gt;700),AND(H80=TRUE,'Survey Front'!D45&lt;&gt;"Tracked",('Survey Front'!M45/Matrix2!$AO$19)&gt;625),AND(H80=TRUE,OR(Matrix2!AD81="LL",Matrix2!AD81="RR"),'Survey Front'!D45&lt;&gt;"Tracked",('Survey Front'!M45/Matrix2!$AO$19)&gt;625)+N("Capri Bifold"),AND(H80=TRUE,OR(Matrix2!AD81="LLL",Matrix2!AD81="RRR",Matrix2!AD81="LLLRRR"),'Survey Front'!D45&lt;&gt;"Tracked",('Survey Front'!M45/Matrix2!$AO$19)&gt;550)+N("Capri Multifold"),AND(H80=TRUE,'Survey Front'!D45="Tracked",NOT(ISEVEN(LEN(Matrix2!AD81)))),AND(G80=TRUE,OR(Matrix2!AD81="LL",Matrix2!AD81="RR"),'Survey Front'!D45&lt;&gt;"Tracked",('Survey Front'!M45/Matrix2!$AO$19)&gt;500),AND(F80=TRUE,'Survey Front'!M45/Matrix2!$AO$19&gt;500,'Survey Front'!D45&lt;&gt;"Tracked"),AND(F80=TRUE,OR(Matrix2!AD81="LL",Matrix2!AD81="RR"),'Survey Front'!D45&lt;&gt;"Tracked",('Survey Front'!M45/Matrix2!$AO$19)&gt;600),AND(F80=TRUE,OR(Matrix2!AD81="LL",Matrix2!AD81="RR",Matrix2!AD81="LLL",Matrix2!AD81="RRR",Matrix2!AD81="LLLLRRRR"),'Survey Front'!D45="Tracked",('Survey Front'!M45/Matrix2!$AO$19)&gt;600),AND(E80=TRUE,OR(Matrix2!AD81="LL",Matrix2!AD81="RR"),'Survey Front'!D45&lt;&gt;"Tracked",('Survey Front'!M45/Matrix2!$AO$19)&gt;500)+N("Aruba Express")))</f>
        <v>0</v>
      </c>
      <c r="W80" s="401" t="b">
        <f>IF(Pricing!M89="",FALSE,OR(AND(ISERROR(FIND("(",Matrix2!AD81)),LEN(Matrix2!AD81)-LEN(SUBSTITUTE(Matrix2!AD81,"L",""))&gt;2,OR(C80=TRUE,G80=TRUE,K80=TRUE,L80=TRUE,M80=TRUE,F80=TRUE,E80=TRUE)),AND(ISERROR(FIND("(",Matrix2!AD81)),LEN(Matrix2!AD81)-LEN(SUBSTITUTE(Matrix2!AD81,"R",""))&gt;2,OR(C80=TRUE,G80=TRUE,L80=TRUE,M80=TRUE,F80=TRUE,E80=TRUE)),AND(ISERROR(FIND("(",Matrix2!AD81)),LEN(Matrix2!AD81)-LEN(SUBSTITUTE(Matrix2!AD81,"R",""))&gt;4,OR(I80=TRUE,AND(H80=TRUE,Pricing!D89="Tracked")),(Pricing!M89/Matrix2!AO67)&gt;550),AND(ISERROR(FIND("(",Matrix2!AD81)),LEN(Matrix2!AD81)-LEN(SUBSTITUTE(Matrix2!AD81,"L",""))&gt;4,OR(I80=TRUE,AND(H80=TRUE,Pricing!D89="Tracked")),(Pricing!M89/Matrix2!AO67)&gt;550),AND(ISERROR(FIND("(",Matrix2!AD81)),LEN(Matrix2!AD81)-LEN(SUBSTITUTE(Matrix2!AD81,"L",""))&gt;3,H80=TRUE),AND(ISERROR(FIND("(",Matrix2!AD81)),LEN(Matrix2!AD81)-LEN(SUBSTITUTE(Matrix2!AD81,"R",""))&gt;3,H80=TRUE)))</f>
        <v>0</v>
      </c>
      <c r="X80" s="46" t="b">
        <f>IF('Survey Front'!N45="",FALSE,OR('Survey Front'!N45&lt;250+N("Barbados, Aruba, Bermuda, Cuba, Fiji, Java, Maui, Tahiti, Capri, Aruba Express"),AND(F80=TRUE,'Survey Front'!N45&lt;300)))</f>
        <v>0</v>
      </c>
      <c r="Y80" s="46" t="b">
        <f>IF('Survey Front'!N45="",FALSE,OR('Survey Front'!N45&gt;3000 +N("Barbados, Aruba, Bermuda, Cuba, Fiji, Java, Maui, Tahiti, Capri, Aruba Express"),AND(F80=TRUE,'Survey Front'!N45&gt;2700+N("Belize"))))</f>
        <v>0</v>
      </c>
      <c r="Z80" s="46" t="b">
        <f>OR(AND('Survey Front'!D45="Shape",OR(C80=TRUE,G80=TRUE,I80=TRUE,E80=TRUE)+N("Barbados, Bermuda, Cuba, Java, Aruba Express")),AND('Survey Front'!D45="Shape",D80=TRUE+N("Aruba")))</f>
        <v>0</v>
      </c>
      <c r="AA80" s="46" t="b">
        <f>AND(NOT(ISERROR(FIND("CB",Matrix2!AJ33))),(D80=TRUE+N("Aruba")))</f>
        <v>0</v>
      </c>
      <c r="AB80" s="46" t="b">
        <f>AND(O80=TRUE,'Survey Front'!N45&gt;1372,OR(C80=TRUE,G80=TRUE,J80=TRUE,K80=TRUE,I80=TRUE))</f>
        <v>0</v>
      </c>
      <c r="AC80" s="46" t="b">
        <f>OR(AND(OR(C80=TRUE,G80=TRUE,I80=TRUE),'Survey Front'!N45&gt;1879+N("S-Craft")),AND(D80=TRUE,'Survey Front'!N45&gt;1500,'Survey Front'!N45&lt;=2000),AND(J80=TRUE,'Survey Front'!N45&gt;1981),AND(K80=TRUE,'Survey Front'!N45&gt;1828),OR(AND(OR(L80=TRUE,M80=TRUE),'Survey Front'!N45&gt;1800,'Survey Front'!N45&lt;=2500),AND(OR(L80=TRUE,M80=TRUE),'Survey Front'!N45&gt;=2501,'Survey Front'!N45&lt;=3000)),AND(H80=TRUE,'Survey Front'!N45&gt;1799),OR(AND(E80=TRUE,'Survey Front'!N45&gt;1800,'Survey Front'!N45&lt;=2400),AND(E80=TRUE,'Survey Front'!N45&gt;=2401,'Survey Front'!N45&lt;=3000))+N("Aruba Express"))</f>
        <v>0</v>
      </c>
      <c r="AD80" s="46" t="b">
        <f>AND(OR(H80=TRUE,D80=TRUE,E80=TRUE,F80=TRUE,L80=TRUE),'Survey Front'!H45="47mm")</f>
        <v>0</v>
      </c>
      <c r="AE80" s="452"/>
      <c r="AF80" s="452"/>
      <c r="AG80" s="452"/>
      <c r="AH80" s="46" t="b">
        <f>OR(AND('Survey Front'!H45=$AH$68,I80=TRUE+N("Cuba")),AND(L80=TRUE,'Survey Front'!H45=$AH$68),AND(E80=TRUE,'Survey Front'!H45=$AH$68))</f>
        <v>0</v>
      </c>
      <c r="AI80" s="46" t="b">
        <f>IF(AND(OR(K80=TRUE,L80=TRUE,M80=TRUE,E80=TRUE),'Survey Front'!D45="S/Shade"),TRUE,AND('Survey Front'!D45="S/Shade",OR(C80=TRUE,G80=TRUE,I80=TRUE,J80-TRUE,H80=TRUE,F80=TRUE+N("Barbados, Bermuda, Cuba, Fiji, Capri, Belize")),'Survey Front'!I45&lt;&gt;"FFrame"))</f>
        <v>0</v>
      </c>
      <c r="AJ80" s="46" t="b">
        <f>AND('Survey Front'!D45="French Door Cutout",OR(C80=TRUE,D80=TRUE,E80=TRUE,G80=TRUE,I80=TRUE, K80=TRUE,E80=TRUE+N("Barbados, Bermuda, Cuba, Java, Aruba,AK21 Aruba Express")))</f>
        <v>0</v>
      </c>
      <c r="AK80" s="46" t="b">
        <f>AND('Survey Front'!D45=AK79,OR(E80=TRUE,D80=TRUE))</f>
        <v>0</v>
      </c>
      <c r="AL80" s="27" t="b">
        <f>AND('Survey Front'!D45="Tier on Tier",'Survey Front'!M45&gt;=1361+N("1219 S-Craft, Pauls Limit"))</f>
        <v>0</v>
      </c>
      <c r="AM80" s="401" t="b">
        <f>AND('Survey Front'!C45="Bathroom",OR(C80=TRUE,G80=TRUE,I80=TRUE,J80=TRUE,L80=TRUE,M80=TRUE,H80=TRUE,D80=TRUE,E80=TRUE)+N("If not JAVA OR Belize"))</f>
        <v>0</v>
      </c>
      <c r="AN80" s="27"/>
      <c r="AO80" s="27" t="b">
        <f>AND(K80=TRUE,ISERROR(FIND("Stainless Steel",Pricing!G91)))</f>
        <v>0</v>
      </c>
      <c r="AP80" s="27" t="b" cm="1">
        <f t="array" ref="AP80">IF('Survey Front'!F45="",FALSE,NOT(OR(AND(C80=TRUE,COUNTIF(Barbados,'Survey Front'!F45)&gt;0),AND(D80=TRUE,COUNTIF(Aruba,'Survey Front'!F45)&gt;0),AND(E80=TRUE,COUNTIF(ArubaExpress,'Survey Front'!F45)&gt;0),AND(F80=TRUE,COUNTIF(Belize,'Survey Front'!F45)&gt;0),AND(G80=TRUE,COUNTIF(Bermuda,'Survey Front'!F45)&gt;0),AND(H80=TRUE,COUNTIF(Capri,'Survey Front'!F45)&gt;0),AND(I80=TRUE,COUNTIF(Cuba,'Survey Front'!F45)&gt;0),AND(J80=TRUE,COUNTIF(Fiji,'Survey Front'!F45)&gt;0),AND(K80=TRUE,COUNTIF(Java,'Survey Front'!F45)&gt;0),AND(L80=TRUE,COUNTIF(Maui,'Survey Front'!F45)&gt;0),AND(M80=TRUE,COUNTIF(Tahiti,'Survey Front'!F45)&gt;0))))</f>
        <v>0</v>
      </c>
      <c r="AQ80" s="27" t="b">
        <f>AND('Survey Front'!D45=$AQ$20,K80=FALSE,J80=FALSE,M80=FALSE,L80=FALSE,H80=FALSE,F80=FALSE)</f>
        <v>0</v>
      </c>
      <c r="AR80" s="27" t="b">
        <f>IF(AND('Survey Front'!D45="Tracked",COUNTIF(Table19[Tframes],'Survey Front'!D45)=0),TRUE,FALSE)</f>
        <v>0</v>
      </c>
    </row>
    <row r="81" spans="2:44">
      <c r="B81" s="27">
        <v>13</v>
      </c>
      <c r="C81" s="27" t="b">
        <f>'Survey Front'!$E$48=C$68</f>
        <v>0</v>
      </c>
      <c r="D81" s="27" t="b">
        <f>'Survey Front'!$E$48=D$68</f>
        <v>0</v>
      </c>
      <c r="E81" s="27" t="b">
        <f>'Survey Front'!$E$48=E$68</f>
        <v>0</v>
      </c>
      <c r="F81" s="27" t="b">
        <f>'Survey Front'!$E$48=F$68</f>
        <v>0</v>
      </c>
      <c r="G81" s="27" t="b">
        <f>'Survey Front'!$E$48=G$68</f>
        <v>0</v>
      </c>
      <c r="H81" s="27" t="b">
        <f>'Survey Front'!$E$48=H$68</f>
        <v>0</v>
      </c>
      <c r="I81" s="27" t="b">
        <f>'Survey Front'!$E$48=I$68</f>
        <v>0</v>
      </c>
      <c r="J81" s="27" t="b">
        <f>'Survey Front'!$E$48=J$68</f>
        <v>0</v>
      </c>
      <c r="K81" s="27" t="b">
        <f>'Survey Front'!$E$48=K$68</f>
        <v>0</v>
      </c>
      <c r="L81" s="27" t="b">
        <f>'Survey Front'!$E$48=L$68</f>
        <v>0</v>
      </c>
      <c r="M81" s="27" t="b">
        <f>'Survey Front'!$E$48=M$68</f>
        <v>0</v>
      </c>
      <c r="N81" s="27" t="b">
        <f>OR(IF('Survey Front'!L48="",FALSE,AND(OR('Survey Front'!L48="Split Offset",'Survey Front'!L48="Split Custom",'Survey Front'!L48="Offset",'Survey Front'!L48="Custom",'Survey Front'!L48="Centre"),L81=TRUE,'Survey Front'!L48&lt;&gt;Helper!$Q$68)),AND(E81=TRUE,'Survey Front'!L48="49mm"))</f>
        <v>0</v>
      </c>
      <c r="O81" s="27" t="b">
        <f>IF('Survey Front'!L48="",FALSE,IF(AND(OR(D81=TRUE,L81=TRUE,M81=TRUE,F81=TRUE,E81=TRUE),OR('Survey Front'!L48="Silent",'Survey Front'!L48="Silent Split")),TRUE,FALSE))</f>
        <v>0</v>
      </c>
      <c r="P81" s="27" t="b">
        <f>OR(AND(OR(C81=TRUE,G81=TRUE,I81=TRUE,J81=TRUE,K81=TRUE+N("S-Craft Material"),AND(L81=TRUE,'Survey Front'!L48="Clearview",'Survey Front'!N48&gt;1200)),Q81=TRUE),AND(OR(F81=TRUE,H81=TRUE,E81=TRUE),'Survey Front'!N48&gt;1200,'Survey Front'!L48="Concealed"),AND(OR(F81=TRUE,H81=TRUE),'Survey Front'!N48&gt;1300,'Survey Front'!L48="Hidden")+N("Belize"))</f>
        <v>0</v>
      </c>
      <c r="Q81" s="27" t="b">
        <f>OR(AND(OR(C81=TRUE,G81=TRUE,I81=TRUE,J81=TRUE,K81=TRUE+N("S-Craft Materials")),'Survey Front'!L48=$Q$68),AND(L81=TRUE,'Survey Front'!L48=$O$68)+N("MAUI"),AND(F81=TRUE,'Survey Front'!L48=Helper!$Q$68),AND(E81=TRUE,'Survey Front'!L48=Helper!$Q$68))</f>
        <v>0</v>
      </c>
      <c r="R81" s="46" t="b">
        <f>IF(Matrix2!AP19=0,FALSE,OR(AND(IF('Survey Front'!M48/(Matrix2!AP$19)&lt;152,TRUE,FALSE),'Survey Front'!L48&lt;&gt;"Silent",OR(C81=TRUE,G81=TRUE,I81=TRUE,J81=TRUE,K81=TRUE)+N("S-Craft Materials")),AND(OR(D81=TRUE,M81=TRUE),'Survey Front'!M48/(Matrix2!AP$19)&lt;250+N("Aruba,Tahiti"),N81=TRUE),AND(L81=TRUE,'Survey Front'!H48="49mm"),AND(H81=TRUE,'Survey Front'!M48&lt;200),AND(F81=TRUE,'Survey Front'!M48=250),AND(E81=TRUE,'Survey Front'!M48=200)))</f>
        <v>0</v>
      </c>
      <c r="S81" s="401" t="b">
        <f>IF(Matrix2!AP67=0,FALSE,OR(AND('Survey Front'!M48/(Matrix2!AP$19)&lt;152+N("S-Craft"),O81=TRUE,OR(C81=TRUE,G81=TRUE,I81=TRUE,J81=TRUE,K81=TRUE)),AND('Survey Front'!M48/(Matrix2!AP$19)&lt;170+N("Aruba"),Q81=TRUE),AND(OR(L81=TRUE,M81=TRUE),'Survey Front'!L48=Q68,'Survey Front'!M48/(Matrix2!AP$19)&lt;250+N("MAUI")),AND(H81=TRUE,OR('Survey Front'!L48="Supatilt",'Survey Front'!L48="Silent"),'Survey Front'!M48&lt;200)))</f>
        <v>0</v>
      </c>
      <c r="T81" s="91" t="b">
        <f>IF(Matrix2!AP67=0,FALSE,OR(AND(C81=TRUE,'Survey Front'!H48="47mm",('Survey Front'!M48/Matrix2!AP$19)&gt;600),AND(G81=TRUE,'Survey Front'!H48="47mm",('Survey Front'!M48/Matrix2!AP$19)&gt;610+N("Bermuda")),AND(G81=TRUE,'Survey Front'!H48="47mm",('Survey Front'!M48/Matrix2!AP$19)&gt;750+N("Cuba")),AND(J81=TRUE,'Survey Front'!H48="47mm",('Survey Front'!M48/Matrix2!AP$19)&gt;750+N("Fiji")),AND(K81=TRUE,'Survey Front'!H48="47mm",('Survey Front'!M48/Matrix2!AP$19)&gt;550+N("Java")),AND(L81=TRUE,'Survey Front'!H48="47mm"),AND(L81=TRUE,'Survey Front'!H48="47mm",('Survey Front'!M48/Matrix2!AP$19)&gt;850+N("Tahiti")),AND(H81=TRUE,'Survey Front'!H48="47mm"),AND(F81=TRUE,'Survey Front'!H48="47mm"),AND(E81=TRUE,'Survey Front'!H48="47mm")))</f>
        <v>0</v>
      </c>
      <c r="U81" s="401" t="b">
        <f>IF('Survey Front'!M48="",FALSE,OR(AND(C81=TRUE,AD81=FALSE,('Survey Front'!M48/(Matrix2!AP$19))&gt;750+N("Barbados")),AND(D81=TRUE,'Survey Front'!H48&lt;&gt;"89mm",'Survey Front'!H48&lt;&gt;"114mm",'Survey Front'!M48/Matrix2!AP$19&gt;800)+N("Aruba"),AND(D81=TRUE,'Survey Front'!H48&lt;&gt;"63mm",'Survey Front'!H48&lt;&gt;"76mm",'Survey Front'!M48/Matrix2!AP$19&gt;920)+N("Aruba"),AND(G81=TRUE,'Survey Front'!M48/Matrix2!AP$19&gt;915)+N("Bermuda"),AND(G81=TRUE,'Survey Front'!M48/Matrix2!AP$19&gt;890)+N("Cuba"),AND(J81=TRUE,OR(AE81=TRUE,AF81=TRUE),('Survey Front'!M48/Matrix2!AP$19)&gt;890+N("Fiji")),AND(J81=TRUE,OR(AG81=TRUE,AH81=TRUE),('Survey Front'!M48/Matrix2!AP$19)&gt;1047+N("Fiji")),AND(K81=TRUE,OR(AE81=TRUE,AF81=TRUE),('Survey Front'!M48/Matrix2!AP$19)&gt;800+N("Java")),AND(K81=TRUE,OR(AG81=TRUE,AH81=TRUE),('Survey Front'!M48/Matrix2!AP$19)&gt;890+N("Java")),AND(L81=TRUE,('Survey Front'!M48/Matrix2!AP$19)&gt;950+N("Maui")),AND(M81=TRUE,'Survey Front'!H48="63mm",('Survey Front'!M48/Matrix2!AP$19)&gt;850+N("Tahiti 63mm")),AND(M81=TRUE,OR('Survey Front'!H48="76mm",'Survey Front'!H48="89mm",'Survey Front'!H48="114mm"),('Survey Front'!M48/Matrix2!AP$19)&gt;950+N("Tahiti 76,89,114mm")),AND(H81=TRUE,('Survey Front'!M48/Matrix2!AP$19)&gt;890+N("Capri")),AND(OR(H81=TRUE,F81=TRUE),'Survey Front'!D48="Tracked",('Survey Front'!M48/Matrix2!AP$19)&gt;600),AND(H81=TRUE,'Survey Front'!M48&gt;890,LEN(Matrix2!AD82)=1),AND(F81=TRUE,'Survey Front'!M48&gt;750,LEN(Matrix2!AD82)=1,'Survey Front'!H48="63mm"),AND(F81=TRUE,'Survey Front'!M48&gt;890,LEN(Matrix2!AD82)=1,OR('Survey Front'!H48="76mm",'Survey Front'!H48="89mm",'Survey Front'!H48="114mm")),AND(E81=TRUE,'Survey Front'!M48=700)))</f>
        <v>0</v>
      </c>
      <c r="V81" s="401" t="b">
        <f>IF('Survey Front'!M48="",FALSE,OR(AND(OR(Matrix2!AD82="LL",Matrix2!AD82="RR"),'Survey Front'!D48&lt;&gt;"Tracked",OR(C81=TRUE,D81=TRUE,L81=TRUE,M81=TRUE),('Survey Front'!M48/2)&gt;600,'Survey Front'!D48&lt;&gt;"Tracked"),AND(OR(Matrix2!AD82="LL",Matrix2!AD82="RR"),'Survey Front'!D48&lt;&gt;"Tracked",OR(G81=TRUE,AND(K81=TRUE,'Survey Front'!H48&lt;&gt;"47mm")),('Survey Front'!M48/Matrix2!$AP$19)&gt;610)+N("Bermuda, Java"),AND(OR(Matrix2!AD82="LL",Matrix2!AD82="RR"),'Survey Front'!D48&lt;&gt;"Tracked",OR(I81=TRUE,J81=TRUE),('Survey Front'!M48/Matrix2!$AP$19)&gt;660)+N("Cuba &amp; Fiji"),AND(OR(Matrix2!AD82="LL",Matrix2!AD82="RR"),'Survey Front'!D48="Tracked",K81=TRUE,'Survey Front'!H48="47mm",('Survey Front'!M48/Matrix2!$AP$19)&gt;550)+N("Java"),AND(L81=TRUE,'Survey Front'!D48="Tracked",('Survey Front'!M48/Matrix2!$AP$19)&gt;700),AND(H81=TRUE,'Survey Front'!D48&lt;&gt;"Tracked",('Survey Front'!M48/Matrix2!$AP$19)&gt;625),AND(H81=TRUE,OR(Matrix2!AD82="LL",Matrix2!AD82="RR"),'Survey Front'!D48&lt;&gt;"Tracked",('Survey Front'!M48/Matrix2!$AP$19)&gt;625)+N("Capri Bifold"),AND(H81=TRUE,OR(Matrix2!AD82="LLL",Matrix2!AD82="RRR",Matrix2!AD82="LLLRRR"),'Survey Front'!D48&lt;&gt;"Tracked",('Survey Front'!M48/Matrix2!$AP$19)&gt;550)+N("Capri Multifold"),AND(H81=TRUE,'Survey Front'!D48="Tracked",NOT(ISEVEN(LEN(Matrix2!AD82)))),AND(G81=TRUE,OR(Matrix2!AD82="LL",Matrix2!AD82="RR"),'Survey Front'!D48&lt;&gt;"Tracked",('Survey Front'!M48/Matrix2!$AP$19)&gt;500),AND(F81=TRUE,'Survey Front'!M48/Matrix2!$AP$19&gt;500,'Survey Front'!D48&lt;&gt;"Tracked"),AND(F81=TRUE,OR(Matrix2!AD82="LL",Matrix2!AD82="RR"),'Survey Front'!D48&lt;&gt;"Tracked",('Survey Front'!M48/Matrix2!$AP$19)&gt;600),AND(F81=TRUE,OR(Matrix2!AD82="LL",Matrix2!AD82="RR",Matrix2!AD82="LLL",Matrix2!AD82="RRR",Matrix2!AD82="LLLLRRRR"),'Survey Front'!D48="Tracked",('Survey Front'!M48/Matrix2!$AP$19)&gt;600),AND(E81=TRUE,OR(Matrix2!AD82="LL",Matrix2!AD82="RR"),'Survey Front'!D48&lt;&gt;"Tracked",('Survey Front'!M48/Matrix2!$AP$19)&gt;500)+N("Aruba Express")))</f>
        <v>0</v>
      </c>
      <c r="W81" s="401" t="b">
        <f>IF(Pricing!M92="",FALSE,OR(AND(ISERROR(FIND("(",Matrix2!AD82)),LEN(Matrix2!AD82)-LEN(SUBSTITUTE(Matrix2!AD82,"L",""))&gt;2,OR(C81=TRUE,G81=TRUE,K81=TRUE,L81=TRUE,M81=TRUE,F81=TRUE,E81=TRUE)),AND(ISERROR(FIND("(",Matrix2!AD82)),LEN(Matrix2!AD82)-LEN(SUBSTITUTE(Matrix2!AD82,"R",""))&gt;2,OR(C81=TRUE,G81=TRUE,L81=TRUE,M81=TRUE,F81=TRUE,E81=TRUE)),AND(ISERROR(FIND("(",Matrix2!AD82)),LEN(Matrix2!AD82)-LEN(SUBSTITUTE(Matrix2!AD82,"R",""))&gt;4,OR(I81=TRUE,AND(H81=TRUE,Pricing!D92="Tracked")),(Pricing!M92/Matrix2!AP67)&gt;550),AND(ISERROR(FIND("(",Matrix2!AD82)),LEN(Matrix2!AD82)-LEN(SUBSTITUTE(Matrix2!AD82,"L",""))&gt;4,OR(I81=TRUE,AND(H81=TRUE,Pricing!D92="Tracked")),(Pricing!M92/Matrix2!AP67)&gt;550),AND(ISERROR(FIND("(",Matrix2!AD82)),LEN(Matrix2!AD82)-LEN(SUBSTITUTE(Matrix2!AD82,"L",""))&gt;3,H81=TRUE),AND(ISERROR(FIND("(",Matrix2!AD82)),LEN(Matrix2!AD82)-LEN(SUBSTITUTE(Matrix2!AD82,"R",""))&gt;3,H81=TRUE)))</f>
        <v>0</v>
      </c>
      <c r="X81" s="46" t="b">
        <f>IF('Survey Front'!N48="",FALSE,OR('Survey Front'!N48&lt;250+N("Barbados, Aruba, Bermuda, Cuba, Fiji, Java, Maui, Tahiti, Capri, Aruba Express"),AND(F81=TRUE,'Survey Front'!N48&lt;300)))</f>
        <v>0</v>
      </c>
      <c r="Y81" s="46" t="b">
        <f>IF('Survey Front'!N48="",FALSE,OR('Survey Front'!N48&gt;3000 +N("Barbados, Aruba, Bermuda, Cuba, Fiji, Java, Maui, Tahiti, Capri, Aruba Express"),AND(F81=TRUE,'Survey Front'!N48&gt;2700+N("Belize"))))</f>
        <v>0</v>
      </c>
      <c r="Z81" s="46" t="b">
        <f>OR(AND('Survey Front'!D48="Shape",OR(C81=TRUE,G81=TRUE,I81=TRUE,E81=TRUE)+N("Barbados, Bermuda, Cuba, Java, Aruba Express")),AND('Survey Front'!D48="Shape",D81=TRUE+N("Aruba")))</f>
        <v>0</v>
      </c>
      <c r="AA81" s="46" t="b">
        <f>AND(NOT(ISERROR(FIND("CB",Matrix2!AJ34))),(D81=TRUE+N("Aruba")))</f>
        <v>0</v>
      </c>
      <c r="AB81" s="46" t="b">
        <f>AND(O81=TRUE,'Survey Front'!N48&gt;1372,OR(C81=TRUE,G81=TRUE,J81=TRUE,K81=TRUE,I81=TRUE))</f>
        <v>0</v>
      </c>
      <c r="AC81" s="46" t="b">
        <f>OR(AND(OR(C81=TRUE,G81=TRUE,I81=TRUE),'Survey Front'!N48&gt;1879+N("S-Craft")),AND(D81=TRUE,'Survey Front'!N48&gt;1500,'Survey Front'!N48&lt;=2000),AND(J81=TRUE,'Survey Front'!N48&gt;1981),AND(K81=TRUE,'Survey Front'!N48&gt;1828),OR(AND(OR(L81=TRUE,M81=TRUE),'Survey Front'!N48&gt;1800,'Survey Front'!N48&lt;=2500),AND(OR(L81=TRUE,M81=TRUE),'Survey Front'!N48&gt;=2501,'Survey Front'!N48&lt;=3000)),AND(H81=TRUE,'Survey Front'!N48&gt;1799),OR(AND(E81=TRUE,'Survey Front'!N48&gt;1800,'Survey Front'!N48&lt;=2400),AND(E81=TRUE,'Survey Front'!N48&gt;=2401,'Survey Front'!N48&lt;=3000))+N("Aruba Express"))</f>
        <v>0</v>
      </c>
      <c r="AD81" s="46" t="b">
        <f>AND(OR(H81=TRUE,D81=TRUE,E81=TRUE,F81=TRUE,L81=TRUE),'Survey Front'!H48="47mm")</f>
        <v>0</v>
      </c>
      <c r="AE81" s="452"/>
      <c r="AF81" s="452"/>
      <c r="AG81" s="452"/>
      <c r="AH81" s="46" t="b">
        <f>OR(AND('Survey Front'!H48=$AH$68,I81=TRUE+N("Cuba")),AND(L81=TRUE,'Survey Front'!H48=$AH$68),AND(E81=TRUE,'Survey Front'!H48=$AH$68))</f>
        <v>0</v>
      </c>
      <c r="AI81" s="46" t="b">
        <f>IF(AND(OR(K81=TRUE,L81=TRUE,M81=TRUE,E81=TRUE),'Survey Front'!D48="S/Shade"),TRUE,AND('Survey Front'!D48="S/Shade",OR(C81=TRUE,G81=TRUE,I81=TRUE,J81-TRUE,H81=TRUE,F81=TRUE+N("Barbados, Bermuda, Cuba, Fiji, Capri, Belize")),'Survey Front'!I48&lt;&gt;"FFrame"))</f>
        <v>0</v>
      </c>
      <c r="AJ81" s="46" t="b">
        <f>AND('Survey Front'!D48="French Door Cutout",OR(C81=TRUE,D81=TRUE,E81=TRUE,G81=TRUE,I81=TRUE, K81=TRUE,E81=TRUE+N("Barbados, Bermuda, Cuba, Java, Aruba,AK21 Aruba Express")))</f>
        <v>0</v>
      </c>
      <c r="AK81" s="46" t="b">
        <f>AND('Survey Front'!D48=AK80,OR(E81=TRUE,D81=TRUE))</f>
        <v>0</v>
      </c>
      <c r="AL81" s="27" t="b">
        <f>AND('Survey Front'!D48="Tier on Tier",'Survey Front'!M48&gt;=1361+N("1219 S-Craft, Pauls Limit"))</f>
        <v>0</v>
      </c>
      <c r="AM81" s="401" t="b">
        <f>AND('Survey Front'!C48="Bathroom",OR(C81=TRUE,G81=TRUE,I81=TRUE,J81=TRUE,L81=TRUE,M81=TRUE,H81=TRUE,D81=TRUE,E81=TRUE)+N("If not JAVA OR Belize"))</f>
        <v>0</v>
      </c>
      <c r="AN81" s="27"/>
      <c r="AO81" s="27" t="b">
        <f>AND(K81=TRUE,ISERROR(FIND("Stainless Steel",Pricing!G94)))</f>
        <v>0</v>
      </c>
      <c r="AP81" s="27" t="b" cm="1">
        <f t="array" ref="AP81">IF('Survey Front'!F48="",FALSE,NOT(OR(AND(C81=TRUE,COUNTIF(Barbados,'Survey Front'!F48)&gt;0),AND(D81=TRUE,COUNTIF(Aruba,'Survey Front'!F48)&gt;0),AND(E81=TRUE,COUNTIF(ArubaExpress,'Survey Front'!F48)&gt;0),AND(F81=TRUE,COUNTIF(Belize,'Survey Front'!F48)&gt;0),AND(G81=TRUE,COUNTIF(Bermuda,'Survey Front'!F48)&gt;0),AND(H81=TRUE,COUNTIF(Capri,'Survey Front'!F48)&gt;0),AND(I81=TRUE,COUNTIF(Cuba,'Survey Front'!F48)&gt;0),AND(J81=TRUE,COUNTIF(Fiji,'Survey Front'!F48)&gt;0),AND(K81=TRUE,COUNTIF(Java,'Survey Front'!F48)&gt;0),AND(L81=TRUE,COUNTIF(Maui,'Survey Front'!F48)&gt;0),AND(M81=TRUE,COUNTIF(Tahiti,'Survey Front'!F48)&gt;0))))</f>
        <v>0</v>
      </c>
      <c r="AQ81" s="27" t="b">
        <f>AND('Survey Front'!D48=$AQ$20,K81=FALSE,J81=FALSE,M81=FALSE,L81=FALSE,H81=FALSE,F81=FALSE)</f>
        <v>0</v>
      </c>
      <c r="AR81" s="27" t="b">
        <f>IF(AND('Survey Front'!D48="Tracked",COUNTIF(Table19[Tframes],'Survey Front'!D48)=0),TRUE,FALSE)</f>
        <v>0</v>
      </c>
    </row>
    <row r="82" spans="2:44">
      <c r="B82" s="27">
        <v>14</v>
      </c>
      <c r="C82" s="27" t="b">
        <f>'Survey Front'!$E$51=C$68</f>
        <v>0</v>
      </c>
      <c r="D82" s="27" t="b">
        <f>'Survey Front'!$E$51=D$68</f>
        <v>0</v>
      </c>
      <c r="E82" s="27" t="b">
        <f>'Survey Front'!$E$51=E$68</f>
        <v>0</v>
      </c>
      <c r="F82" s="27" t="b">
        <f>'Survey Front'!$E$51=F$68</f>
        <v>0</v>
      </c>
      <c r="G82" s="27" t="b">
        <f>'Survey Front'!$E$51=G$68</f>
        <v>0</v>
      </c>
      <c r="H82" s="27" t="b">
        <f>'Survey Front'!$E$51=H$68</f>
        <v>0</v>
      </c>
      <c r="I82" s="27" t="b">
        <f>'Survey Front'!$E$51=I$68</f>
        <v>0</v>
      </c>
      <c r="J82" s="27" t="b">
        <f>'Survey Front'!$E$51=J$68</f>
        <v>0</v>
      </c>
      <c r="K82" s="27" t="b">
        <f>'Survey Front'!$E$51=K$68</f>
        <v>0</v>
      </c>
      <c r="L82" s="27" t="b">
        <f>'Survey Front'!$E$51=L$68</f>
        <v>0</v>
      </c>
      <c r="M82" s="27" t="b">
        <f>'Survey Front'!$E$51=M$68</f>
        <v>0</v>
      </c>
      <c r="N82" s="27" t="b">
        <f>OR(IF('Survey Front'!L51="",FALSE,AND(OR('Survey Front'!L51="Split Offset",'Survey Front'!L51="Split Custom",'Survey Front'!L51="Offset",'Survey Front'!L51="Custom",'Survey Front'!L51="Centre"),L82=TRUE,'Survey Front'!L51&lt;&gt;Helper!$Q$68)),AND(E82=TRUE,'Survey Front'!L51="49mm"))</f>
        <v>0</v>
      </c>
      <c r="O82" s="27" t="b">
        <f>IF('Survey Front'!L51="",FALSE,IF(AND(OR(D82=TRUE,L82=TRUE,M82=TRUE,F82=TRUE,E82=TRUE),OR('Survey Front'!L51="Silent",'Survey Front'!L51="Silent Split")),TRUE,FALSE))</f>
        <v>0</v>
      </c>
      <c r="P82" s="27" t="b">
        <f>OR(AND(OR(C82=TRUE,G82=TRUE,I82=TRUE,J82=TRUE,K82=TRUE+N("S-Craft Material"),AND(L82=TRUE,'Survey Front'!L51="Clearview",'Survey Front'!N51&gt;1200)),Q82=TRUE),AND(OR(F82=TRUE,H82=TRUE,E82=TRUE),'Survey Front'!N51&gt;1200,'Survey Front'!L51="Concealed"),AND(OR(F82=TRUE,H82=TRUE),'Survey Front'!N51&gt;1300,'Survey Front'!L51="Hidden")+N("Belize"))</f>
        <v>0</v>
      </c>
      <c r="Q82" s="27" t="b">
        <f>OR(AND(OR(C82=TRUE,G82=TRUE,I82=TRUE,J82=TRUE,K82=TRUE+N("S-Craft Materials")),'Survey Front'!L51=$Q$68),AND(L82=TRUE,'Survey Front'!L51=$O$68)+N("MAUI"),AND(F82=TRUE,'Survey Front'!L51=Helper!$Q$68),AND(E82=TRUE,'Survey Front'!L51=Helper!$Q$68))</f>
        <v>0</v>
      </c>
      <c r="R82" s="46" t="b">
        <f>IF(Matrix2!AQ19=0,FALSE,OR(AND(IF('Survey Front'!M51/(Matrix2!AQ$19)&lt;152,TRUE,FALSE),'Survey Front'!L51&lt;&gt;"Silent",OR(C82=TRUE,G82=TRUE,I82=TRUE,J82=TRUE,K82=TRUE)+N("S-Craft Materials")),AND(OR(D82=TRUE,M82=TRUE),'Survey Front'!M51/(Matrix2!AQ$19)&lt;250+N("Aruba,Tahiti"),N82=TRUE),AND(L82=TRUE,'Survey Front'!H51="49mm"),AND(H82=TRUE,'Survey Front'!M51&lt;200),AND(F82=TRUE,'Survey Front'!M51=250),AND(E82=TRUE,'Survey Front'!M51=200)))</f>
        <v>0</v>
      </c>
      <c r="S82" s="401" t="b">
        <f>IF(Matrix2!AQ67=0,FALSE,OR(AND('Survey Front'!M51/(Matrix2!AQ$19)&lt;152+N("S-Craft"),O82=TRUE,OR(C82=TRUE,G82=TRUE,I82=TRUE,J82=TRUE,K82=TRUE)),AND('Survey Front'!M51/(Matrix2!AQ$19)&lt;170+N("Aruba"),Q82=TRUE),AND(OR(L82=TRUE,M82=TRUE),'Survey Front'!L51=Q68,'Survey Front'!M51/(Matrix2!AQ$19)&lt;250+N("MAUI")),AND(H82=TRUE,OR('Survey Front'!L51="Supatilt",'Survey Front'!L51="Silent"),'Survey Front'!M51&lt;200)))</f>
        <v>0</v>
      </c>
      <c r="T82" s="91" t="b">
        <f>IF(Matrix2!AQ67=0,FALSE,OR(AND(C82=TRUE,'Survey Front'!H51="47mm",('Survey Front'!M51/Matrix2!AQ$19)&gt;600),AND(G82=TRUE,'Survey Front'!H51="47mm",('Survey Front'!M51/Matrix2!AQ$19)&gt;610+N("Bermuda")),AND(G82=TRUE,'Survey Front'!H51="47mm",('Survey Front'!M51/Matrix2!AQ$19)&gt;750+N("Cuba")),AND(J82=TRUE,'Survey Front'!H51="47mm",('Survey Front'!M51/Matrix2!AQ$19)&gt;750+N("Fiji")),AND(K82=TRUE,'Survey Front'!H51="47mm",('Survey Front'!M51/Matrix2!AQ$19)&gt;550+N("Java")),AND(L82=TRUE,'Survey Front'!H51="47mm"),AND(L82=TRUE,'Survey Front'!H51="47mm",('Survey Front'!M51/Matrix2!AQ$19)&gt;850+N("Tahiti")),AND(H82=TRUE,'Survey Front'!H51="47mm"),AND(F82=TRUE,'Survey Front'!H51="47mm"),AND(E82=TRUE,'Survey Front'!H51="47mm")))</f>
        <v>0</v>
      </c>
      <c r="U82" s="401" t="b">
        <f>IF('Survey Front'!M51="",FALSE,OR(AND(C82=TRUE,AD82=FALSE,('Survey Front'!M51/(Matrix2!AQ$19))&gt;750+N("Barbados")),AND(D82=TRUE,'Survey Front'!H51&lt;&gt;"89mm",'Survey Front'!H51&lt;&gt;"114mm",'Survey Front'!M51/Matrix2!AQ$19&gt;800)+N("Aruba"),AND(D82=TRUE,'Survey Front'!H51&lt;&gt;"63mm",'Survey Front'!H51&lt;&gt;"76mm",'Survey Front'!M51/Matrix2!AQ$19&gt;920)+N("Aruba"),AND(G82=TRUE,'Survey Front'!M51/Matrix2!AQ$19&gt;915)+N("Bermuda"),AND(G82=TRUE,'Survey Front'!M51/Matrix2!AQ$19&gt;890)+N("Cuba"),AND(J82=TRUE,OR(AE82=TRUE,AF82=TRUE),('Survey Front'!M51/Matrix2!AQ$19)&gt;890+N("Fiji")),AND(J82=TRUE,OR(AG82=TRUE,AH82=TRUE),('Survey Front'!M51/Matrix2!AQ$19)&gt;1047+N("Fiji")),AND(K82=TRUE,OR(AE82=TRUE,AF82=TRUE),('Survey Front'!M51/Matrix2!AQ$19)&gt;800+N("Java")),AND(K82=TRUE,OR(AG82=TRUE,AH82=TRUE),('Survey Front'!M51/Matrix2!AQ$19)&gt;890+N("Java")),AND(L82=TRUE,('Survey Front'!M51/Matrix2!AQ$19)&gt;950+N("Maui")),AND(M82=TRUE,'Survey Front'!H51="63mm",('Survey Front'!M51/Matrix2!AQ$19)&gt;850+N("Tahiti 63mm")),AND(M82=TRUE,OR('Survey Front'!H51="76mm",'Survey Front'!H51="89mm",'Survey Front'!H51="114mm"),('Survey Front'!M51/Matrix2!AQ$19)&gt;950+N("Tahiti 76,89,114mm")),AND(H82=TRUE,('Survey Front'!M51/Matrix2!AQ$19)&gt;890+N("Capri")),AND(OR(H82=TRUE,F82=TRUE),'Survey Front'!D51="Tracked",('Survey Front'!M51/Matrix2!AQ$19)&gt;600),AND(H82=TRUE,'Survey Front'!M51&gt;890,LEN(Matrix2!AD83)=1),AND(F82=TRUE,'Survey Front'!M51&gt;750,LEN(Matrix2!AD83)=1,'Survey Front'!H51="63mm"),AND(F82=TRUE,'Survey Front'!M51&gt;890,LEN(Matrix2!AD83)=1,OR('Survey Front'!H51="76mm",'Survey Front'!H51="89mm",'Survey Front'!H51="114mm")),AND(E82=TRUE,'Survey Front'!M51=700)))</f>
        <v>0</v>
      </c>
      <c r="V82" s="401" t="b">
        <f>IF('Survey Front'!M51="",FALSE,OR(AND(OR(Matrix2!AD83="LL",Matrix2!AD83="RR"),'Survey Front'!D51&lt;&gt;"Tracked",OR(C82=TRUE,D82=TRUE,L82=TRUE,M82=TRUE),('Survey Front'!M51/2)&gt;600,'Survey Front'!D51&lt;&gt;"Tracked"),AND(OR(Matrix2!AD83="LL",Matrix2!AD83="RR"),'Survey Front'!D51&lt;&gt;"Tracked",OR(G82=TRUE,AND(K82=TRUE,'Survey Front'!H51&lt;&gt;"47mm")),('Survey Front'!M51/Matrix2!$AQ$19)&gt;610)+N("Bermuda, Java"),AND(OR(Matrix2!AD83="LL",Matrix2!AD83="RR"),'Survey Front'!D51&lt;&gt;"Tracked",OR(I82=TRUE,J82=TRUE),('Survey Front'!M51/Matrix2!$AQ$19)&gt;660)+N("Cuba &amp; Fiji"),AND(OR(Matrix2!AD83="LL",Matrix2!AD83="RR"),'Survey Front'!D51="Tracked",K82=TRUE,'Survey Front'!H51="47mm",('Survey Front'!M51/Matrix2!$AQ$19)&gt;550)+N("Java"),AND(L82=TRUE,'Survey Front'!D51="Tracked",('Survey Front'!M51/Matrix2!$AQ$19)&gt;700),AND(H82=TRUE,'Survey Front'!D51&lt;&gt;"Tracked",('Survey Front'!M51/Matrix2!$AQ$19)&gt;625),AND(H82=TRUE,OR(Matrix2!AD83="LL",Matrix2!AD83="RR"),'Survey Front'!D51&lt;&gt;"Tracked",('Survey Front'!M51/Matrix2!$AQ$19)&gt;625)+N("Capri Bifold"),AND(H82=TRUE,OR(Matrix2!AD83="LLL",Matrix2!AD83="RRR",Matrix2!AD83="LLLRRR"),'Survey Front'!D51&lt;&gt;"Tracked",('Survey Front'!M51/Matrix2!$AQ$19)&gt;550)+N("Capri Multifold"),AND(H82=TRUE,'Survey Front'!D51="Tracked",NOT(ISEVEN(LEN(Matrix2!AD83)))),AND(G82=TRUE,OR(Matrix2!AD83="LL",Matrix2!AD83="RR"),'Survey Front'!D51&lt;&gt;"Tracked",('Survey Front'!M51/Matrix2!$AQ$19)&gt;500),AND(F82=TRUE,'Survey Front'!M51/Matrix2!$AQ$19&gt;500,'Survey Front'!D51&lt;&gt;"Tracked"),AND(F82=TRUE,OR(Matrix2!AD83="LL",Matrix2!AD83="RR"),'Survey Front'!D51&lt;&gt;"Tracked",('Survey Front'!M51/Matrix2!$AQ$19)&gt;600),AND(F82=TRUE,OR(Matrix2!AD83="LL",Matrix2!AD83="RR",Matrix2!AD83="LLL",Matrix2!AD83="RRR",Matrix2!AD83="LLLLRRRR"),'Survey Front'!D51="Tracked",('Survey Front'!M51/Matrix2!$AQ$19)&gt;600),AND(E82=TRUE,OR(Matrix2!AD83="LL",Matrix2!AD83="RR"),'Survey Front'!D51&lt;&gt;"Tracked",('Survey Front'!M51/Matrix2!$AQ$19)&gt;500)+N("Aruba Express")))</f>
        <v>0</v>
      </c>
      <c r="W82" s="401" t="b">
        <f>IF(Pricing!M95="",FALSE,OR(AND(ISERROR(FIND("(",Matrix2!AD83)),LEN(Matrix2!AD83)-LEN(SUBSTITUTE(Matrix2!AD83,"L",""))&gt;2,OR(C82=TRUE,G82=TRUE,K82=TRUE,L82=TRUE,M82=TRUE,F82=TRUE,E82=TRUE)),AND(ISERROR(FIND("(",Matrix2!AD83)),LEN(Matrix2!AD83)-LEN(SUBSTITUTE(Matrix2!AD83,"R",""))&gt;2,OR(C82=TRUE,G82=TRUE,L82=TRUE,M82=TRUE,F82=TRUE,E82=TRUE)),AND(ISERROR(FIND("(",Matrix2!AD83)),LEN(Matrix2!AD83)-LEN(SUBSTITUTE(Matrix2!AD83,"R",""))&gt;4,OR(I82=TRUE,AND(H82=TRUE,Pricing!D95="Tracked")),(Pricing!M95/Matrix2!AQ67)&gt;550),AND(ISERROR(FIND("(",Matrix2!AD83)),LEN(Matrix2!AD83)-LEN(SUBSTITUTE(Matrix2!AD83,"L",""))&gt;4,OR(I82=TRUE,AND(H82=TRUE,Pricing!D95="Tracked")),(Pricing!M95/Matrix2!AQ67)&gt;550),AND(ISERROR(FIND("(",Matrix2!AD83)),LEN(Matrix2!AD83)-LEN(SUBSTITUTE(Matrix2!AD83,"L",""))&gt;3,H82=TRUE),AND(ISERROR(FIND("(",Matrix2!AD83)),LEN(Matrix2!AD83)-LEN(SUBSTITUTE(Matrix2!AD83,"R",""))&gt;3,H82=TRUE)))</f>
        <v>0</v>
      </c>
      <c r="X82" s="46" t="b">
        <f>IF('Survey Front'!N51="",FALSE,OR('Survey Front'!N51&lt;250+N("Barbados, Aruba, Bermuda, Cuba, Fiji, Java, Maui, Tahiti, Capri, Aruba Express"),AND(F82=TRUE,'Survey Front'!N51&lt;300)))</f>
        <v>0</v>
      </c>
      <c r="Y82" s="46" t="b">
        <f>IF('Survey Front'!N51="",FALSE,OR('Survey Front'!N51&gt;3000 +N("Barbados, Aruba, Bermuda, Cuba, Fiji, Java, Maui, Tahiti, Capri, Aruba Express"),AND(F82=TRUE,'Survey Front'!N51&gt;2700+N("Belize"))))</f>
        <v>0</v>
      </c>
      <c r="Z82" s="46" t="b">
        <f>OR(AND('Survey Front'!D51="Shape",OR(C82=TRUE,G82=TRUE,I82=TRUE,E82=TRUE)+N("Barbados, Bermuda, Cuba, Java, Aruba Express")),AND('Survey Front'!D51="Shape",D82=TRUE+N("Aruba")))</f>
        <v>0</v>
      </c>
      <c r="AA82" s="46" t="b">
        <f>AND(NOT(ISERROR(FIND("CB",Matrix2!AJ35))),(D82=TRUE+N("Aruba")))</f>
        <v>0</v>
      </c>
      <c r="AB82" s="46" t="b">
        <f>AND(O82=TRUE,'Survey Front'!N51&gt;1372,OR(C82=TRUE,G82=TRUE,J82=TRUE,K82=TRUE,I82=TRUE))</f>
        <v>0</v>
      </c>
      <c r="AC82" s="46" t="b">
        <f>OR(AND(OR(C82=TRUE,G82=TRUE,I82=TRUE),'Survey Front'!N51&gt;1879+N("S-Craft")),AND(D82=TRUE,'Survey Front'!N51&gt;1500,'Survey Front'!N51&lt;=2000),AND(J82=TRUE,'Survey Front'!N51&gt;1981),AND(K82=TRUE,'Survey Front'!N51&gt;1828),OR(AND(OR(L82=TRUE,M82=TRUE),'Survey Front'!N51&gt;1800,'Survey Front'!N51&lt;=2500),AND(OR(L82=TRUE,M82=TRUE),'Survey Front'!N51&gt;=2501,'Survey Front'!N51&lt;=3000)),AND(H82=TRUE,'Survey Front'!N51&gt;1799),OR(AND(E82=TRUE,'Survey Front'!N51&gt;1800,'Survey Front'!N51&lt;=2400),AND(E82=TRUE,'Survey Front'!N51&gt;=2401,'Survey Front'!N51&lt;=3000))+N("Aruba Express"))</f>
        <v>0</v>
      </c>
      <c r="AD82" s="46" t="b">
        <f>AND(OR(H82=TRUE,D82=TRUE,E82=TRUE,F82=TRUE,L82=TRUE),'Survey Front'!H51="47mm")</f>
        <v>0</v>
      </c>
      <c r="AE82" s="452"/>
      <c r="AF82" s="452"/>
      <c r="AG82" s="452"/>
      <c r="AH82" s="46" t="b">
        <f>OR(AND('Survey Front'!H51=$AH$68,I82=TRUE+N("Cuba")),AND(L82=TRUE,'Survey Front'!H51=$AH$68),AND(E82=TRUE,'Survey Front'!H51=$AH$68))</f>
        <v>0</v>
      </c>
      <c r="AI82" s="46" t="b">
        <f>IF(AND(OR(K82=TRUE,L82=TRUE,M82=TRUE,E82=TRUE),'Survey Front'!D51="S/Shade"),TRUE,AND('Survey Front'!D51="S/Shade",OR(C82=TRUE,G82=TRUE,I82=TRUE,J82-TRUE,H82=TRUE,F82=TRUE+N("Barbados, Bermuda, Cuba, Fiji, Capri, Belize")),'Survey Front'!I51&lt;&gt;"FFrame"))</f>
        <v>0</v>
      </c>
      <c r="AJ82" s="46" t="b">
        <f>AND('Survey Front'!D51="French Door Cutout",OR(C82=TRUE,D82=TRUE,E82=TRUE,G82=TRUE,I82=TRUE, K82=TRUE,E82=TRUE+N("Barbados, Bermuda, Cuba, Java, Aruba,AK21 Aruba Express")))</f>
        <v>0</v>
      </c>
      <c r="AK82" s="46" t="b">
        <f>AND('Survey Front'!D51=AK81,OR(E82=TRUE,D82=TRUE))</f>
        <v>0</v>
      </c>
      <c r="AL82" s="27" t="b">
        <f>AND('Survey Front'!D51="Tier on Tier",'Survey Front'!M51&gt;=1361+N("1219 S-Craft, Pauls Limit"))</f>
        <v>0</v>
      </c>
      <c r="AM82" s="401" t="b">
        <f>AND('Survey Front'!C51="Bathroom",OR(C82=TRUE,G82=TRUE,I82=TRUE,J82=TRUE,L82=TRUE,M82=TRUE,H82=TRUE,D82=TRUE,E82=TRUE)+N("If not JAVA OR Belize"))</f>
        <v>0</v>
      </c>
      <c r="AN82" s="27"/>
      <c r="AO82" s="27" t="b">
        <f>AND(K82=TRUE,ISERROR(FIND("Stainless Steel",Pricing!G97)))</f>
        <v>0</v>
      </c>
      <c r="AP82" s="27" t="b" cm="1">
        <f t="array" ref="AP82">IF('Survey Front'!F51="",FALSE,NOT(OR(AND(C82=TRUE,COUNTIF(Barbados,'Survey Front'!F51)&gt;0),AND(D82=TRUE,COUNTIF(Aruba,'Survey Front'!F51)&gt;0),AND(E82=TRUE,COUNTIF(ArubaExpress,'Survey Front'!F51)&gt;0),AND(F82=TRUE,COUNTIF(Belize,'Survey Front'!F51)&gt;0),AND(G82=TRUE,COUNTIF(Bermuda,'Survey Front'!F51)&gt;0),AND(H82=TRUE,COUNTIF(Capri,'Survey Front'!F51)&gt;0),AND(I82=TRUE,COUNTIF(Cuba,'Survey Front'!F51)&gt;0),AND(J82=TRUE,COUNTIF(Fiji,'Survey Front'!F51)&gt;0),AND(K82=TRUE,COUNTIF(Java,'Survey Front'!F51)&gt;0),AND(L82=TRUE,COUNTIF(Maui,'Survey Front'!F51)&gt;0),AND(M82=TRUE,COUNTIF(Tahiti,'Survey Front'!F51)&gt;0))))</f>
        <v>0</v>
      </c>
      <c r="AQ82" s="27" t="b">
        <f>AND('Survey Front'!D51=$AQ$20,K82=FALSE,J82=FALSE,M82=FALSE,L82=FALSE,H82=FALSE,F82=FALSE)</f>
        <v>0</v>
      </c>
      <c r="AR82" s="27" t="b">
        <f>IF(AND('Survey Front'!D51="Tracked",COUNTIF(Table19[Tframes],'Survey Front'!D51)=0),TRUE,FALSE)</f>
        <v>0</v>
      </c>
    </row>
    <row r="83" spans="2:44">
      <c r="B83" s="27">
        <v>15</v>
      </c>
      <c r="C83" s="27" t="b">
        <f>'Survey Front'!$E$54=C$68</f>
        <v>0</v>
      </c>
      <c r="D83" s="27" t="b">
        <f>'Survey Front'!$E$54=D$68</f>
        <v>0</v>
      </c>
      <c r="E83" s="27" t="b">
        <f>'Survey Front'!$E$54=E$68</f>
        <v>0</v>
      </c>
      <c r="F83" s="27" t="b">
        <f>'Survey Front'!$E$54=F$68</f>
        <v>0</v>
      </c>
      <c r="G83" s="27" t="b">
        <f>'Survey Front'!$E$54=G$68</f>
        <v>0</v>
      </c>
      <c r="H83" s="27" t="b">
        <f>'Survey Front'!$E$54=H$68</f>
        <v>0</v>
      </c>
      <c r="I83" s="27" t="b">
        <f>'Survey Front'!$E$54=I$68</f>
        <v>0</v>
      </c>
      <c r="J83" s="27" t="b">
        <f>'Survey Front'!$E$54=J$68</f>
        <v>0</v>
      </c>
      <c r="K83" s="27" t="b">
        <f>'Survey Front'!$E$54=K$68</f>
        <v>0</v>
      </c>
      <c r="L83" s="27" t="b">
        <f>'Survey Front'!$E$54=L$68</f>
        <v>0</v>
      </c>
      <c r="M83" s="27" t="b">
        <f>'Survey Front'!$E$54=M$68</f>
        <v>0</v>
      </c>
      <c r="N83" s="27" t="b">
        <f>OR(IF('Survey Front'!L54="",FALSE,AND(OR('Survey Front'!L54="Split Offset",'Survey Front'!L54="Split Custom",'Survey Front'!L54="Offset",'Survey Front'!L54="Custom",'Survey Front'!L54="Centre"),L83=TRUE,'Survey Front'!L54&lt;&gt;Helper!$Q$68)),AND(E83=TRUE,'Survey Front'!L54="49mm"))</f>
        <v>0</v>
      </c>
      <c r="O83" s="27" t="b">
        <f>IF('Survey Front'!L54="",FALSE,IF(AND(OR(D83=TRUE,L83=TRUE,M83=TRUE,F83=TRUE,E83=TRUE),OR('Survey Front'!L54="Silent",'Survey Front'!L54="Silent Split")),TRUE,FALSE))</f>
        <v>0</v>
      </c>
      <c r="P83" s="27" t="b">
        <f>OR(AND(OR(C83=TRUE,G83=TRUE,I83=TRUE,J83=TRUE,K83=TRUE+N("S-Craft Material"),AND(L83=TRUE,'Survey Front'!L54="Clearview",'Survey Front'!N54&gt;1200)),Q83=TRUE),AND(OR(F83=TRUE,H83=TRUE,E83=TRUE),'Survey Front'!N54&gt;1200,'Survey Front'!L54="Concealed"),AND(OR(F83=TRUE,H83=TRUE),'Survey Front'!N54&gt;1300,'Survey Front'!L54="Hidden")+N("Belize"))</f>
        <v>0</v>
      </c>
      <c r="Q83" s="27" t="b">
        <f>OR(AND(OR(C83=TRUE,G83=TRUE,I83=TRUE,J83=TRUE,K83=TRUE+N("S-Craft Materials")),'Survey Front'!L54=$Q$68),AND(L83=TRUE,'Survey Front'!L54=$O$68)+N("MAUI"),AND(F83=TRUE,'Survey Front'!L54=Helper!$Q$68),AND(E83=TRUE,'Survey Front'!L54=Helper!$Q$68))</f>
        <v>0</v>
      </c>
      <c r="R83" s="46" t="b">
        <f>IF(Matrix2!AR19=0,FALSE,OR(AND(IF('Survey Front'!M54/(Matrix2!AR$19)&lt;152,TRUE,FALSE),'Survey Front'!L54&lt;&gt;"Silent",OR(C83=TRUE,G83=TRUE,I83=TRUE,J83=TRUE,K83=TRUE)+N("S-Craft Materials")),AND(OR(D83=TRUE,M83=TRUE),'Survey Front'!M54/(Matrix2!AR$19)&lt;250+N("Aruba,Tahiti"),N83=TRUE),AND(L83=TRUE,'Survey Front'!H54="49mm"),AND(H83=TRUE,'Survey Front'!M54&lt;200),AND(F83=TRUE,'Survey Front'!M54=250),AND(E83=TRUE,'Survey Front'!M54=200)))</f>
        <v>0</v>
      </c>
      <c r="S83" s="401" t="b">
        <f>IF(Matrix2!AR67=0,FALSE,OR(AND('Survey Front'!M54/(Matrix2!AR$19)&lt;152+N("S-Craft"),O83=TRUE,OR(C83=TRUE,G83=TRUE,I83=TRUE,J83=TRUE,K83=TRUE)),AND('Survey Front'!M54/(Matrix2!AR$19)&lt;170+N("Aruba"),Q83=TRUE),AND(OR(L83=TRUE,M83=TRUE),'Survey Front'!L54=Q68,'Survey Front'!M54/(Matrix2!AR$19)&lt;250+N("MAUI")),AND(H83=TRUE,OR('Survey Front'!L54="Supatilt",'Survey Front'!L54="Silent"),'Survey Front'!M54&lt;200)))</f>
        <v>0</v>
      </c>
      <c r="T83" s="91" t="b">
        <f>IF(Matrix2!AR67=0,FALSE,OR(AND(C83=TRUE,'Survey Front'!H54="47mm",('Survey Front'!M54/Matrix2!AR$19)&gt;600),AND(G83=TRUE,'Survey Front'!H54="47mm",('Survey Front'!M54/Matrix2!AR$19)&gt;610+N("Bermuda")),AND(G83=TRUE,'Survey Front'!H54="47mm",('Survey Front'!M54/Matrix2!AR$19)&gt;750+N("Cuba")),AND(J83=TRUE,'Survey Front'!H54="47mm",('Survey Front'!M54/Matrix2!AR$19)&gt;750+N("Fiji")),AND(K83=TRUE,'Survey Front'!H54="47mm",('Survey Front'!M54/Matrix2!AR$19)&gt;550+N("Java")),AND(L83=TRUE,'Survey Front'!H54="47mm"),AND(L83=TRUE,'Survey Front'!H54="47mm",('Survey Front'!M54/Matrix2!AR$19)&gt;850+N("Tahiti")),AND(H83=TRUE,'Survey Front'!H54="47mm"),AND(F83=TRUE,'Survey Front'!H54="47mm"),AND(E83=TRUE,'Survey Front'!H54="47mm")))</f>
        <v>0</v>
      </c>
      <c r="U83" s="401" t="b">
        <f>IF('Survey Front'!M54="",FALSE,OR(AND(C83=TRUE,AD83=FALSE,('Survey Front'!M54/(Matrix2!AR$19))&gt;750+N("Barbados")),AND(D83=TRUE,'Survey Front'!H54&lt;&gt;"89mm",'Survey Front'!H54&lt;&gt;"114mm",'Survey Front'!M54/Matrix2!AR$19&gt;800)+N("Aruba"),AND(D83=TRUE,'Survey Front'!H54&lt;&gt;"63mm",'Survey Front'!H54&lt;&gt;"76mm",'Survey Front'!M54/Matrix2!AR$19&gt;920)+N("Aruba"),AND(G83=TRUE,'Survey Front'!M54/Matrix2!AR$19&gt;915)+N("Bermuda"),AND(G83=TRUE,'Survey Front'!M54/Matrix2!AR$19&gt;890)+N("Cuba"),AND(J83=TRUE,OR(AE83=TRUE,AF83=TRUE),('Survey Front'!M54/Matrix2!AR$19)&gt;890+N("Fiji")),AND(J83=TRUE,OR(AG83=TRUE,AH83=TRUE),('Survey Front'!M54/Matrix2!AR$19)&gt;1047+N("Fiji")),AND(K83=TRUE,OR(AE83=TRUE,AF83=TRUE),('Survey Front'!M54/Matrix2!AR$19)&gt;800+N("Java")),AND(K83=TRUE,OR(AG83=TRUE,AH83=TRUE),('Survey Front'!M54/Matrix2!AR$19)&gt;890+N("Java")),AND(L83=TRUE,('Survey Front'!M54/Matrix2!AR$19)&gt;950+N("Maui")),AND(M83=TRUE,'Survey Front'!H54="63mm",('Survey Front'!M54/Matrix2!AR$19)&gt;850+N("Tahiti 63mm")),AND(M83=TRUE,OR('Survey Front'!H54="76mm",'Survey Front'!H54="89mm",'Survey Front'!H54="114mm"),('Survey Front'!M54/Matrix2!AR$19)&gt;950+N("Tahiti 76,89,114mm")),AND(H83=TRUE,('Survey Front'!M54/Matrix2!AR$19)&gt;890+N("Capri")),AND(OR(H83=TRUE,F83=TRUE),'Survey Front'!D54="Tracked",('Survey Front'!M54/Matrix2!AR$19)&gt;600),AND(H83=TRUE,'Survey Front'!M54&gt;890,LEN(Matrix2!AD84)=1),AND(F83=TRUE,'Survey Front'!M54&gt;750,LEN(Matrix2!AD84)=1,'Survey Front'!H54="63mm"),AND(F83=TRUE,'Survey Front'!M54&gt;890,LEN(Matrix2!AD84)=1,OR('Survey Front'!H54="76mm",'Survey Front'!H54="89mm",'Survey Front'!H54="114mm")),AND(E83=TRUE,'Survey Front'!M54=700)))</f>
        <v>0</v>
      </c>
      <c r="V83" s="401" t="b">
        <f>IF('Survey Front'!M54="",FALSE,OR(AND(OR(Matrix2!AD84="LL",Matrix2!AD84="RR"),'Survey Front'!D54&lt;&gt;"Tracked",OR(C83=TRUE,D83=TRUE,L83=TRUE,M83=TRUE),('Survey Front'!M54/2)&gt;600,'Survey Front'!D54&lt;&gt;"Tracked"),AND(OR(Matrix2!AD84="LL",Matrix2!AD84="RR"),'Survey Front'!D54&lt;&gt;"Tracked",OR(G83=TRUE,AND(K83=TRUE,'Survey Front'!H54&lt;&gt;"47mm")),('Survey Front'!M54/Matrix2!$AR$19)&gt;610)+N("Bermuda, Java"),AND(OR(Matrix2!AD84="LL",Matrix2!AD84="RR"),'Survey Front'!D54&lt;&gt;"Tracked",OR(I83=TRUE,J83=TRUE),('Survey Front'!M54/Matrix2!$AR$19)&gt;660)+N("Cuba &amp; Fiji"),AND(OR(Matrix2!AD84="LL",Matrix2!AD84="RR"),'Survey Front'!D54="Tracked",K83=TRUE,'Survey Front'!H54="47mm",('Survey Front'!M54/Matrix2!$AR$19)&gt;550)+N("Java"),AND(L83=TRUE,'Survey Front'!D54="Tracked",('Survey Front'!M54/Matrix2!$AR$19)&gt;700),AND(H83=TRUE,'Survey Front'!D54&lt;&gt;"Tracked",('Survey Front'!M54/Matrix2!$AR$19)&gt;625),AND(H83=TRUE,OR(Matrix2!AD84="LL",Matrix2!AD84="RR"),'Survey Front'!D54&lt;&gt;"Tracked",('Survey Front'!M54/Matrix2!$AR$19)&gt;625)+N("Capri Bifold"),AND(H83=TRUE,OR(Matrix2!AD84="LLL",Matrix2!AD84="RRR",Matrix2!AD84="LLLRRR"),'Survey Front'!D54&lt;&gt;"Tracked",('Survey Front'!M54/Matrix2!$AR$19)&gt;550)+N("Capri Multifold"),AND(H83=TRUE,'Survey Front'!D54="Tracked",NOT(ISEVEN(LEN(Matrix2!AD84)))),AND(G83=TRUE,OR(Matrix2!AD84="LL",Matrix2!AD84="RR"),'Survey Front'!D54&lt;&gt;"Tracked",('Survey Front'!M54/Matrix2!$AR$19)&gt;500),AND(F83=TRUE,'Survey Front'!M54/Matrix2!$AR$19&gt;500,'Survey Front'!D54&lt;&gt;"Tracked"),AND(F83=TRUE,OR(Matrix2!AD84="LL",Matrix2!AD84="RR"),'Survey Front'!D54&lt;&gt;"Tracked",('Survey Front'!M54/Matrix2!$AR$19)&gt;600),AND(F83=TRUE,OR(Matrix2!AD84="LL",Matrix2!AD84="RR",Matrix2!AD84="LLL",Matrix2!AD84="RRR",Matrix2!AD84="LLLLRRRR"),'Survey Front'!D54="Tracked",('Survey Front'!M54/Matrix2!$AR$19)&gt;600),AND(E83=TRUE,OR(Matrix2!AD84="LL",Matrix2!AD84="RR"),'Survey Front'!D54&lt;&gt;"Tracked",('Survey Front'!M54/Matrix2!$AR$19)&gt;500)+N("Aruba Express")))</f>
        <v>0</v>
      </c>
      <c r="W83" s="401" t="b">
        <f>IF(Pricing!M98="",FALSE,OR(AND(ISERROR(FIND("(",Matrix2!AD84)),LEN(Matrix2!AD84)-LEN(SUBSTITUTE(Matrix2!AD84,"L",""))&gt;2,OR(C83=TRUE,G83=TRUE,K83=TRUE,L83=TRUE,M83=TRUE,F83=TRUE,E83=TRUE)),AND(ISERROR(FIND("(",Matrix2!AD84)),LEN(Matrix2!AD84)-LEN(SUBSTITUTE(Matrix2!AD84,"R",""))&gt;2,OR(C83=TRUE,G83=TRUE,L83=TRUE,M83=TRUE,F83=TRUE,E83=TRUE)),AND(ISERROR(FIND("(",Matrix2!AD84)),LEN(Matrix2!AD84)-LEN(SUBSTITUTE(Matrix2!AD84,"R",""))&gt;4,OR(I83=TRUE,AND(H83=TRUE,Pricing!D98="Tracked")),(Pricing!M98/Matrix2!AR67)&gt;550),AND(ISERROR(FIND("(",Matrix2!AD84)),LEN(Matrix2!AD84)-LEN(SUBSTITUTE(Matrix2!AD84,"L",""))&gt;4,OR(I83=TRUE,AND(H83=TRUE,Pricing!D98="Tracked")),(Pricing!M98/Matrix2!AR67)&gt;550),AND(ISERROR(FIND("(",Matrix2!AD84)),LEN(Matrix2!AD84)-LEN(SUBSTITUTE(Matrix2!AD84,"L",""))&gt;3,H83=TRUE),AND(ISERROR(FIND("(",Matrix2!AD84)),LEN(Matrix2!AD84)-LEN(SUBSTITUTE(Matrix2!AD84,"R",""))&gt;3,H83=TRUE)))</f>
        <v>0</v>
      </c>
      <c r="X83" s="46" t="b">
        <f>IF('Survey Front'!N54="",FALSE,OR('Survey Front'!N54&lt;250+N("Barbados, Aruba, Bermuda, Cuba, Fiji, Java, Maui, Tahiti, Capri, Aruba Express"),AND(F83=TRUE,'Survey Front'!N54&lt;300)))</f>
        <v>0</v>
      </c>
      <c r="Y83" s="46" t="b">
        <f>IF('Survey Front'!N54="",FALSE,OR('Survey Front'!N54&gt;3000 +N("Barbados, Aruba, Bermuda, Cuba, Fiji, Java, Maui, Tahiti, Capri, Aruba Express"),AND(F83=TRUE,'Survey Front'!N54&gt;2700+N("Belize"))))</f>
        <v>0</v>
      </c>
      <c r="Z83" s="46" t="b">
        <f>OR(AND('Survey Front'!D54="Shape",OR(C83=TRUE,G83=TRUE,I83=TRUE,E83=TRUE)+N("Barbados, Bermuda, Cuba, Java, Aruba Express")),AND('Survey Front'!D54="Shape",D83=TRUE+N("Aruba")))</f>
        <v>0</v>
      </c>
      <c r="AA83" s="46" t="b">
        <f>AND(NOT(ISERROR(FIND("CB",Matrix2!AJ36))),(D83=TRUE+N("Aruba")))</f>
        <v>0</v>
      </c>
      <c r="AB83" s="46" t="b">
        <f>AND(O83=TRUE,'Survey Front'!N54&gt;1372,OR(C83=TRUE,G83=TRUE,J83=TRUE,K83=TRUE,I83=TRUE))</f>
        <v>0</v>
      </c>
      <c r="AC83" s="46" t="b">
        <f>OR(AND(OR(C83=TRUE,G83=TRUE,I83=TRUE),'Survey Front'!N54&gt;1879+N("S-Craft")),AND(D83=TRUE,'Survey Front'!N54&gt;1500,'Survey Front'!N54&lt;=2000),AND(J83=TRUE,'Survey Front'!N54&gt;1981),AND(K83=TRUE,'Survey Front'!N54&gt;1828),OR(AND(OR(L83=TRUE,M83=TRUE),'Survey Front'!N54&gt;1800,'Survey Front'!N54&lt;=2500),AND(OR(L83=TRUE,M83=TRUE),'Survey Front'!N54&gt;=2501,'Survey Front'!N54&lt;=3000)),AND(H83=TRUE,'Survey Front'!N54&gt;1799),OR(AND(E83=TRUE,'Survey Front'!N54&gt;1800,'Survey Front'!N54&lt;=2400),AND(E83=TRUE,'Survey Front'!N54&gt;=2401,'Survey Front'!N54&lt;=3000))+N("Aruba Express"))</f>
        <v>0</v>
      </c>
      <c r="AD83" s="46" t="b">
        <f>AND(OR(H83=TRUE,D83=TRUE,E83=TRUE,F83=TRUE,L83=TRUE),'Survey Front'!H51="47mm")</f>
        <v>0</v>
      </c>
      <c r="AE83" s="452"/>
      <c r="AF83" s="452"/>
      <c r="AG83" s="452"/>
      <c r="AH83" s="46" t="b">
        <f>OR(AND('Survey Front'!H54=$AH$68,I83=TRUE+N("Cuba")),AND(L83=TRUE,'Survey Front'!H54=$AH$68),AND(E83=TRUE,'Survey Front'!H54=$AH$68))</f>
        <v>0</v>
      </c>
      <c r="AI83" s="46" t="b">
        <f>IF(AND(OR(K83=TRUE,L83=TRUE,M83=TRUE,E83=TRUE),'Survey Front'!D54="S/Shade"),TRUE,AND('Survey Front'!D54="S/Shade",OR(C83=TRUE,G83=TRUE,I83=TRUE,J83-TRUE,H83=TRUE,F83=TRUE+N("Barbados, Bermuda, Cuba, Fiji, Capri, Belize")),'Survey Front'!I54&lt;&gt;"FFrame"))</f>
        <v>0</v>
      </c>
      <c r="AJ83" s="46" t="b">
        <f>AND('Survey Front'!D54="French Door Cutout",OR(C83=TRUE,D83=TRUE,E83=TRUE,G83=TRUE,I83=TRUE, K83=TRUE,E83=TRUE+N("Barbados, Bermuda, Cuba, Java, Aruba,AK21 Aruba Express")))</f>
        <v>0</v>
      </c>
      <c r="AK83" s="46" t="b">
        <f>AND('Survey Front'!D54=AK82,OR(E83=TRUE,D83=TRUE))</f>
        <v>0</v>
      </c>
      <c r="AL83" s="27" t="b">
        <f>AND('Survey Front'!D54="Tier on Tier",'Survey Front'!M54&gt;=1361+N("1219 S-Craft, Pauls Limit"))</f>
        <v>0</v>
      </c>
      <c r="AM83" s="401" t="b">
        <f>AND('Survey Front'!C54="Bathroom",OR(C83=TRUE,G83=TRUE,I83=TRUE,J83=TRUE,L83=TRUE,M83=TRUE,H83=TRUE,D83=TRUE,E83=TRUE)+N("If not JAVA OR Belize"))</f>
        <v>0</v>
      </c>
      <c r="AN83" s="27"/>
      <c r="AO83" s="27" t="b">
        <f>AND(K83=TRUE,ISERROR(FIND("Stainless Steel",Pricing!G100)))</f>
        <v>0</v>
      </c>
      <c r="AP83" s="27" t="b" cm="1">
        <f t="array" ref="AP83">IF('Survey Front'!F54="",FALSE,NOT(OR(AND(C83=TRUE,COUNTIF(Barbados,'Survey Front'!F54)&gt;0),AND(D83=TRUE,COUNTIF(Aruba,'Survey Front'!F54)&gt;0),AND(E83=TRUE,COUNTIF(ArubaExpress,'Survey Front'!F54)&gt;0),AND(F83=TRUE,COUNTIF(Belize,'Survey Front'!F54)&gt;0),AND(G83=TRUE,COUNTIF(Bermuda,'Survey Front'!F54)&gt;0),AND(H83=TRUE,COUNTIF(Capri,'Survey Front'!F54)&gt;0),AND(I83=TRUE,COUNTIF(Cuba,'Survey Front'!F54)&gt;0),AND(J83=TRUE,COUNTIF(Fiji,'Survey Front'!F54)&gt;0),AND(K83=TRUE,COUNTIF(Java,'Survey Front'!F54)&gt;0),AND(L83=TRUE,COUNTIF(Maui,'Survey Front'!F54)&gt;0),AND(M83=TRUE,COUNTIF(Tahiti,'Survey Front'!F54)&gt;0))))</f>
        <v>0</v>
      </c>
      <c r="AQ83" s="27" t="b">
        <f>AND('Survey Front'!D54=$AQ$20,K83=FALSE,J83=FALSE,M83=FALSE,L83=FALSE,H83=FALSE,F83=FALSE)</f>
        <v>0</v>
      </c>
      <c r="AR83" s="27" t="b">
        <f>IF(AND('Survey Front'!D54="Tracked",COUNTIF(Table19[Tframes],'Survey Front'!D54)=0),TRUE,FALSE)</f>
        <v>0</v>
      </c>
    </row>
    <row r="88" spans="2:44">
      <c r="B88" t="s">
        <v>931</v>
      </c>
      <c r="C88" s="1009" t="s">
        <v>932</v>
      </c>
      <c r="D88" s="1009"/>
    </row>
    <row r="89" spans="2:44">
      <c r="B89" s="27" t="s">
        <v>933</v>
      </c>
      <c r="C89" s="970" t="str">
        <f>IFERROR(IF(V69=TRUE,"Max Bifold Width Exceeded",IF(W69=TRUE,"Max bifold panel width exceeded",IF(X69=TRUE,"Less than minimum panel height",IF(Y69=TRUE,"Max panel height exceeded",IF(OR(T69=TRUE,U69=TRUE),"Max single panel width exceeded",IF(R69=TRUE,"Minimum single panel width exceeded",IF(AR69=TRUE,"Incorrect frame type",IF(AP69=TRUE,"Invalid Colour",IF(AQ69=TRUE,"Shape not available in this material",IF(AD69=TRUE,"47mm Louvre NOT available",IF(AK69=TRUE,"S/Shade NOT available",IF(AC69=TRUE,"Mid Rail Required",IF(AJ69=TRUE,"French Door Custout NOT available",IF(AND(AM69=TRUE,OR(K69=FALSE,F69=FALSE)),"Recomend Java or Belize",IF(AO69=TRUE,"S/Steel Hinges required",IF(AL69=TRUE,"Horizontal T post too wide!","")))))))))))))))),"")</f>
        <v/>
      </c>
      <c r="D89" s="970"/>
      <c r="E89" s="970"/>
    </row>
    <row r="90" spans="2:44">
      <c r="B90" s="27" t="s">
        <v>934</v>
      </c>
      <c r="C90" s="970" t="str">
        <f>IFERROR(IF(V70=TRUE,"Max Bifold Width Exceeded",IF(W70=TRUE,"Max bifold panels together exceeded",IF(X70=TRUE,"Less than minimum panel height",IF(Y70=TRUE,"Max panel height exceeded",IF(OR(T70=TRUE,U70=TRUE),"Max single panel width exceeded",IF(R70=TRUE,"Minimum single panel width exceeded",IF(AR70=TRUE,"Incorrect frame type",IF(AP70=TRUE,"Invalid Colour",IF(AQ70=TRUE,"Shape not availavle in this material",IF(AD70=TRUE,"47mm Louvre NOT available",IF(AK70=TRUE,"S/Shade NOT available",IF(AC70=TRUE,"Mid Rail Required",IF(AJ70=TRUE,"French Door Custout NOT available",IF(AND(AM70=TRUE,OR(K70=FALSE,F70=FALSE)),"Recomend Java or Belize",IF(AO70=TRUE,"S/Steel Hinges required",IF(AL70=TRUE,"Horizontal T post too wide!","")))))))))))))))),"")</f>
        <v/>
      </c>
      <c r="D90" s="970"/>
      <c r="E90" s="970"/>
    </row>
    <row r="91" spans="2:44">
      <c r="B91" s="27" t="s">
        <v>935</v>
      </c>
      <c r="C91" s="970" t="str">
        <f t="shared" ref="C91:C103" si="2">IFERROR(IF(V71=TRUE,"Max Bifold Width Exceeded",IF(W71=TRUE,"Max bifold panels together exceeded",IF(X71=TRUE,"Less than minimum panel height",IF(Y71=TRUE,"Max panel height exceeded",IF(OR(T71=TRUE,U71=TRUE),"Max single panel width exceeded",IF(R71=TRUE,"Minimum single panel width exceeded",IF(AR71=TRUE,"Incorrect frame type",IF(AP71=TRUE,"Invalid Colour",IF(AQ71=TRUE,"Shape not availavle in this material",IF(AD71=TRUE,"47mm Louvre NOT available",IF(AK71=TRUE,"S/Shade NOT available",IF(AC71=TRUE,"Mid Rail Required",IF(AJ71=TRUE,"French Door Custout NOT available",IF(AND(AM71=TRUE,OR(K71=FALSE,F71=FALSE)),"Recomend Java or Belize",IF(AO71=TRUE,"S/Steel Hinges required",IF(AL71=TRUE,"Horizontal T post too wide!","")))))))))))))))),"")</f>
        <v/>
      </c>
      <c r="D91" s="970"/>
      <c r="E91" s="970"/>
    </row>
    <row r="92" spans="2:44">
      <c r="B92" s="27" t="s">
        <v>936</v>
      </c>
      <c r="C92" s="970" t="str">
        <f t="shared" si="2"/>
        <v/>
      </c>
      <c r="D92" s="970"/>
      <c r="E92" s="970"/>
    </row>
    <row r="93" spans="2:44">
      <c r="B93" s="27" t="s">
        <v>937</v>
      </c>
      <c r="C93" s="970" t="str">
        <f t="shared" si="2"/>
        <v/>
      </c>
      <c r="D93" s="970"/>
      <c r="E93" s="970"/>
    </row>
    <row r="94" spans="2:44">
      <c r="B94" s="27" t="s">
        <v>938</v>
      </c>
      <c r="C94" s="970" t="str">
        <f t="shared" si="2"/>
        <v/>
      </c>
      <c r="D94" s="970"/>
      <c r="E94" s="970"/>
    </row>
    <row r="95" spans="2:44">
      <c r="B95" s="27" t="s">
        <v>939</v>
      </c>
      <c r="C95" s="970" t="str">
        <f t="shared" si="2"/>
        <v/>
      </c>
      <c r="D95" s="970"/>
      <c r="E95" s="970"/>
    </row>
    <row r="96" spans="2:44">
      <c r="B96" s="27" t="s">
        <v>940</v>
      </c>
      <c r="C96" s="970" t="str">
        <f t="shared" si="2"/>
        <v/>
      </c>
      <c r="D96" s="970"/>
      <c r="E96" s="970"/>
    </row>
    <row r="97" spans="2:5">
      <c r="B97" s="27" t="s">
        <v>941</v>
      </c>
      <c r="C97" s="970" t="str">
        <f t="shared" si="2"/>
        <v/>
      </c>
      <c r="D97" s="970"/>
      <c r="E97" s="970"/>
    </row>
    <row r="98" spans="2:5">
      <c r="B98" s="27" t="s">
        <v>942</v>
      </c>
      <c r="C98" s="970" t="str">
        <f t="shared" si="2"/>
        <v/>
      </c>
      <c r="D98" s="970"/>
      <c r="E98" s="970"/>
    </row>
    <row r="99" spans="2:5">
      <c r="B99" s="27" t="s">
        <v>943</v>
      </c>
      <c r="C99" s="970" t="str">
        <f t="shared" si="2"/>
        <v/>
      </c>
      <c r="D99" s="970"/>
      <c r="E99" s="970"/>
    </row>
    <row r="100" spans="2:5">
      <c r="B100" s="27" t="s">
        <v>944</v>
      </c>
      <c r="C100" s="970" t="str">
        <f t="shared" si="2"/>
        <v/>
      </c>
      <c r="D100" s="970"/>
      <c r="E100" s="970"/>
    </row>
    <row r="101" spans="2:5">
      <c r="B101" s="27" t="s">
        <v>945</v>
      </c>
      <c r="C101" s="970" t="str">
        <f t="shared" si="2"/>
        <v/>
      </c>
      <c r="D101" s="970"/>
      <c r="E101" s="970"/>
    </row>
    <row r="102" spans="2:5">
      <c r="B102" s="27" t="s">
        <v>946</v>
      </c>
      <c r="C102" s="970" t="str">
        <f t="shared" si="2"/>
        <v/>
      </c>
      <c r="D102" s="970"/>
      <c r="E102" s="970"/>
    </row>
    <row r="103" spans="2:5">
      <c r="B103" s="27" t="s">
        <v>947</v>
      </c>
      <c r="C103" s="970" t="str">
        <f t="shared" si="2"/>
        <v/>
      </c>
      <c r="D103" s="970"/>
      <c r="E103" s="970"/>
    </row>
  </sheetData>
  <mergeCells count="33">
    <mergeCell ref="C103:E103"/>
    <mergeCell ref="C98:E98"/>
    <mergeCell ref="C99:E99"/>
    <mergeCell ref="C100:E100"/>
    <mergeCell ref="C101:E101"/>
    <mergeCell ref="C102:E102"/>
    <mergeCell ref="C93:E93"/>
    <mergeCell ref="C94:E94"/>
    <mergeCell ref="C95:E95"/>
    <mergeCell ref="C96:E96"/>
    <mergeCell ref="C97:E97"/>
    <mergeCell ref="C88:D88"/>
    <mergeCell ref="C89:E89"/>
    <mergeCell ref="C90:E90"/>
    <mergeCell ref="C91:E91"/>
    <mergeCell ref="C92:E92"/>
    <mergeCell ref="U67:W67"/>
    <mergeCell ref="C51:E51"/>
    <mergeCell ref="C52:E52"/>
    <mergeCell ref="C53:E53"/>
    <mergeCell ref="C54:E54"/>
    <mergeCell ref="C55:E55"/>
    <mergeCell ref="C40:D40"/>
    <mergeCell ref="C42:E42"/>
    <mergeCell ref="C41:E41"/>
    <mergeCell ref="C43:E43"/>
    <mergeCell ref="C44:E44"/>
    <mergeCell ref="C50:E50"/>
    <mergeCell ref="C45:E45"/>
    <mergeCell ref="C46:E46"/>
    <mergeCell ref="C47:E47"/>
    <mergeCell ref="C48:E48"/>
    <mergeCell ref="C49:E49"/>
  </mergeCells>
  <conditionalFormatting sqref="C21:M35">
    <cfRule type="cellIs" dxfId="262" priority="5" operator="equal">
      <formula>TRUE</formula>
    </cfRule>
  </conditionalFormatting>
  <conditionalFormatting sqref="C69:M83">
    <cfRule type="cellIs" dxfId="261" priority="2" operator="equal">
      <formula>TRUE</formula>
    </cfRule>
  </conditionalFormatting>
  <conditionalFormatting sqref="N21:AR35">
    <cfRule type="containsText" dxfId="260" priority="8" operator="containsText" text="TRUE">
      <formula>NOT(ISERROR(SEARCH("TRUE",N21)))</formula>
    </cfRule>
  </conditionalFormatting>
  <conditionalFormatting sqref="N69:AR83">
    <cfRule type="containsText" dxfId="259" priority="3" operator="containsText" text="TRUE">
      <formula>NOT(ISERROR(SEARCH("TRUE",N69)))</formula>
    </cfRule>
  </conditionalFormatting>
  <conditionalFormatting sqref="AO21:AP35">
    <cfRule type="cellIs" dxfId="258" priority="4" operator="equal">
      <formula>TRUE</formula>
    </cfRule>
  </conditionalFormatting>
  <conditionalFormatting sqref="AO69:AP83">
    <cfRule type="cellIs" dxfId="257" priority="1" operator="equal">
      <formula>TRUE</formula>
    </cfRule>
  </conditionalFormatting>
  <pageMargins left="0.7" right="0.7" top="0.75" bottom="0.75" header="0.3" footer="0.3"/>
  <pageSetup paperSize="9" orientation="portrait" horizontalDpi="300" verticalDpi="30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92B7BF-E8E9-46F2-918D-517D86F99220}">
  <sheetPr codeName="Sheet8"/>
  <dimension ref="A1:AB41"/>
  <sheetViews>
    <sheetView zoomScaleNormal="100" workbookViewId="0">
      <selection activeCell="B42" sqref="B42"/>
    </sheetView>
  </sheetViews>
  <sheetFormatPr defaultColWidth="8.85546875" defaultRowHeight="14.45"/>
  <cols>
    <col min="1" max="1" width="3" customWidth="1"/>
    <col min="3" max="3" width="7.28515625" customWidth="1"/>
    <col min="4" max="4" width="6.28515625" customWidth="1"/>
    <col min="5" max="5" width="2.28515625" customWidth="1"/>
    <col min="6" max="6" width="13.7109375" customWidth="1"/>
    <col min="7" max="7" width="3" customWidth="1"/>
    <col min="8" max="8" width="5.7109375" customWidth="1"/>
    <col min="9" max="9" width="2.28515625" customWidth="1"/>
    <col min="10" max="11" width="5.5703125" customWidth="1"/>
    <col min="12" max="12" width="6" customWidth="1"/>
    <col min="13" max="13" width="3.28515625" customWidth="1"/>
    <col min="14" max="14" width="3.7109375" customWidth="1"/>
    <col min="15" max="15" width="2.28515625" customWidth="1"/>
    <col min="16" max="16" width="9.28515625" customWidth="1"/>
    <col min="17" max="17" width="4.28515625" customWidth="1"/>
    <col min="18" max="18" width="6.7109375" customWidth="1"/>
    <col min="19" max="19" width="2.7109375" customWidth="1"/>
    <col min="20" max="20" width="1.7109375" customWidth="1"/>
    <col min="21" max="21" width="0.7109375" customWidth="1"/>
    <col min="22" max="22" width="1.85546875" customWidth="1"/>
    <col min="23" max="23" width="7.42578125" customWidth="1"/>
    <col min="24" max="24" width="1.42578125" customWidth="1"/>
    <col min="25" max="25" width="4.85546875" customWidth="1"/>
    <col min="26" max="26" width="0.7109375" customWidth="1"/>
    <col min="27" max="27" width="9.28515625" customWidth="1"/>
    <col min="28" max="28" width="2.7109375" customWidth="1"/>
  </cols>
  <sheetData>
    <row r="1" spans="1:28">
      <c r="A1" s="14"/>
      <c r="B1" s="70" t="s">
        <v>364</v>
      </c>
      <c r="C1" s="14"/>
      <c r="D1" s="14"/>
      <c r="E1" s="14"/>
      <c r="F1" s="14"/>
      <c r="G1" s="14"/>
      <c r="H1" s="14"/>
      <c r="I1" s="14"/>
      <c r="J1" s="14"/>
      <c r="K1" s="14"/>
      <c r="L1" s="14"/>
      <c r="M1" s="14"/>
      <c r="N1" s="14"/>
      <c r="O1" s="14"/>
      <c r="P1" s="14"/>
      <c r="Q1" s="14"/>
      <c r="R1" s="14"/>
      <c r="S1" s="14"/>
      <c r="T1" s="14"/>
      <c r="U1" s="14"/>
      <c r="V1" s="14"/>
      <c r="W1" s="14"/>
      <c r="X1" s="14"/>
      <c r="Y1" s="14"/>
      <c r="Z1" s="14"/>
      <c r="AA1" s="14"/>
      <c r="AB1" s="14"/>
    </row>
    <row r="2" spans="1:28">
      <c r="A2" s="74"/>
      <c r="B2" s="74"/>
      <c r="C2" s="74"/>
      <c r="D2" s="74"/>
      <c r="E2" s="74"/>
      <c r="F2" s="74"/>
      <c r="G2" s="74"/>
      <c r="H2" s="74"/>
      <c r="I2" s="74"/>
      <c r="J2" s="74"/>
      <c r="K2" s="74"/>
      <c r="L2" s="74"/>
      <c r="M2" s="74"/>
      <c r="N2" s="74"/>
      <c r="O2" s="74"/>
      <c r="P2" s="74"/>
      <c r="Q2" s="74"/>
      <c r="R2" s="74"/>
      <c r="S2" s="74"/>
      <c r="T2" s="74"/>
      <c r="U2" s="74"/>
      <c r="V2" s="74"/>
      <c r="W2" s="74"/>
      <c r="X2" s="74"/>
      <c r="Y2" s="74"/>
      <c r="Z2" s="74"/>
      <c r="AA2" s="74"/>
      <c r="AB2" s="74"/>
    </row>
    <row r="3" spans="1:28">
      <c r="A3" s="74"/>
      <c r="B3" t="s">
        <v>214</v>
      </c>
      <c r="D3" s="1515" t="str">
        <f>IF(Pricing!B59="","Enter Name",Pricing!B59)</f>
        <v>Enter Name</v>
      </c>
      <c r="E3" s="1515"/>
      <c r="F3" s="1515"/>
      <c r="G3" s="1515"/>
      <c r="H3" s="1515"/>
      <c r="I3" s="75"/>
      <c r="J3" s="76" t="s">
        <v>365</v>
      </c>
      <c r="K3" s="76"/>
      <c r="L3" s="1515">
        <f>Pricing!E59</f>
        <v>0</v>
      </c>
      <c r="M3" s="1515"/>
      <c r="N3" s="1515"/>
      <c r="O3" s="75"/>
      <c r="P3" s="76" t="s">
        <v>251</v>
      </c>
      <c r="Q3" s="1515">
        <f>IF(ISERROR('Survey Front'!W8),"",'Survey Front'!W8)</f>
        <v>0</v>
      </c>
      <c r="R3" s="1515"/>
      <c r="S3" s="1515"/>
      <c r="T3" s="1515"/>
      <c r="U3" s="1515"/>
      <c r="V3" s="1515"/>
      <c r="W3" s="1515"/>
      <c r="X3" s="1515"/>
      <c r="Y3" s="1515"/>
      <c r="Z3" s="1515"/>
      <c r="AA3" s="1515"/>
      <c r="AB3" s="77"/>
    </row>
    <row r="4" spans="1:28">
      <c r="A4" s="74"/>
      <c r="B4" s="74"/>
      <c r="C4" s="74"/>
      <c r="D4" s="74"/>
      <c r="E4" s="74"/>
      <c r="F4" s="74"/>
      <c r="G4" s="74"/>
      <c r="H4" s="74"/>
      <c r="I4" s="74"/>
      <c r="J4" s="74"/>
      <c r="K4" s="74"/>
      <c r="L4" s="74"/>
      <c r="M4" s="74"/>
      <c r="N4" s="74"/>
      <c r="O4" s="74"/>
      <c r="P4" s="74"/>
      <c r="Q4" s="74"/>
      <c r="R4" s="74"/>
      <c r="S4" s="74"/>
      <c r="T4" s="74"/>
      <c r="U4" s="74"/>
      <c r="V4" s="74"/>
      <c r="W4" s="74"/>
      <c r="X4" s="74"/>
      <c r="Y4" s="74"/>
      <c r="Z4" s="74"/>
      <c r="AA4" s="74"/>
      <c r="AB4" s="74"/>
    </row>
    <row r="5" spans="1:28">
      <c r="A5" s="74"/>
      <c r="B5" s="1516" t="s">
        <v>366</v>
      </c>
      <c r="C5" s="1516"/>
      <c r="D5" s="1516"/>
      <c r="E5" s="60"/>
      <c r="F5" s="1517" t="s">
        <v>367</v>
      </c>
      <c r="G5" s="1517"/>
      <c r="H5" s="1517"/>
      <c r="I5" s="60"/>
      <c r="J5" s="1517" t="s">
        <v>368</v>
      </c>
      <c r="K5" s="1517"/>
      <c r="L5" s="1517"/>
      <c r="M5" s="1517"/>
      <c r="N5" s="1517"/>
      <c r="O5" s="74"/>
      <c r="P5" s="1517" t="s">
        <v>369</v>
      </c>
      <c r="Q5" s="1517"/>
      <c r="R5" s="1517"/>
      <c r="S5" s="1517"/>
      <c r="T5" s="74"/>
      <c r="U5" s="74"/>
      <c r="V5" s="1517" t="s">
        <v>370</v>
      </c>
      <c r="W5" s="1517"/>
      <c r="X5" s="1517"/>
      <c r="Y5" s="1517"/>
      <c r="Z5" s="1517"/>
      <c r="AA5" s="1517"/>
      <c r="AB5" s="60"/>
    </row>
    <row r="6" spans="1:28" ht="21">
      <c r="A6" s="74"/>
      <c r="B6" s="1514" t="str">
        <f>'Survey Front'!D12</f>
        <v>Tracked</v>
      </c>
      <c r="C6" s="1514"/>
      <c r="D6" s="1514"/>
      <c r="E6" s="74"/>
      <c r="F6" s="1514" t="str">
        <f>'Survey Front'!E12</f>
        <v>Barbados</v>
      </c>
      <c r="G6" s="1514"/>
      <c r="H6" s="1514"/>
      <c r="I6" s="79"/>
      <c r="J6" s="1514" t="str">
        <f>'Survey Front'!H12</f>
        <v>76mm</v>
      </c>
      <c r="K6" s="1514"/>
      <c r="L6" s="1514"/>
      <c r="M6" s="1514"/>
      <c r="N6" s="1514"/>
      <c r="O6" s="74"/>
      <c r="P6" s="1514" t="str">
        <f>'Survey Front'!L12</f>
        <v>Silent</v>
      </c>
      <c r="Q6" s="1514"/>
      <c r="R6" s="1514"/>
      <c r="S6" s="1514"/>
      <c r="T6" s="74"/>
      <c r="U6" s="74"/>
      <c r="V6" s="1514" t="str">
        <f>'Survey Front'!F12</f>
        <v>Pure White</v>
      </c>
      <c r="W6" s="1514"/>
      <c r="X6" s="1514"/>
      <c r="Y6" s="1514"/>
      <c r="Z6" s="1514"/>
      <c r="AA6" s="1514"/>
      <c r="AB6" s="74"/>
    </row>
    <row r="7" spans="1:28" ht="15" thickBot="1">
      <c r="A7" s="74"/>
      <c r="B7" s="1009"/>
      <c r="C7" s="1009"/>
      <c r="D7" s="1009"/>
      <c r="E7" s="74"/>
      <c r="F7" s="1009"/>
      <c r="G7" s="1009"/>
      <c r="H7" s="1009"/>
      <c r="I7" s="74"/>
      <c r="J7" s="1009"/>
      <c r="K7" s="1009"/>
      <c r="L7" s="1009"/>
      <c r="M7" s="1009"/>
      <c r="N7" s="1009"/>
      <c r="O7" s="74"/>
      <c r="P7" s="1009"/>
      <c r="Q7" s="1009"/>
      <c r="R7" s="1009"/>
      <c r="S7" s="1009"/>
      <c r="T7" s="74"/>
      <c r="U7" s="74"/>
      <c r="V7" s="1009"/>
      <c r="W7" s="1009"/>
      <c r="X7" s="1009"/>
      <c r="Y7" s="1009"/>
      <c r="Z7" s="1009"/>
      <c r="AA7" s="1009"/>
      <c r="AB7" s="74"/>
    </row>
    <row r="8" spans="1:28">
      <c r="A8" s="74"/>
      <c r="B8" s="1511" t="s">
        <v>32</v>
      </c>
      <c r="C8" s="1511"/>
      <c r="D8" s="1511"/>
      <c r="E8" s="74"/>
      <c r="F8" s="1511" t="s">
        <v>32</v>
      </c>
      <c r="G8" s="1511"/>
      <c r="H8" s="1511"/>
      <c r="I8" s="74"/>
      <c r="J8" s="1511" t="s">
        <v>32</v>
      </c>
      <c r="K8" s="1511"/>
      <c r="L8" s="1511"/>
      <c r="M8" s="1511"/>
      <c r="N8" s="1511"/>
      <c r="O8" s="74"/>
      <c r="P8" s="1511" t="s">
        <v>32</v>
      </c>
      <c r="Q8" s="1511"/>
      <c r="R8" s="1511"/>
      <c r="S8" s="1511"/>
      <c r="T8" s="74"/>
      <c r="U8" s="74"/>
      <c r="V8" s="1511" t="s">
        <v>32</v>
      </c>
      <c r="W8" s="1511"/>
      <c r="X8" s="1511"/>
      <c r="Y8" s="1511"/>
      <c r="Z8" s="1511"/>
      <c r="AA8" s="1511"/>
      <c r="AB8" s="74"/>
    </row>
    <row r="9" spans="1:28">
      <c r="A9" s="74"/>
      <c r="B9" s="1009"/>
      <c r="C9" s="1009"/>
      <c r="D9" s="1009"/>
      <c r="E9" s="74"/>
      <c r="F9" s="1009"/>
      <c r="G9" s="1009"/>
      <c r="H9" s="1009"/>
      <c r="I9" s="74"/>
      <c r="J9" s="1009"/>
      <c r="K9" s="1009"/>
      <c r="L9" s="1009"/>
      <c r="M9" s="1009"/>
      <c r="N9" s="1009"/>
      <c r="O9" s="74"/>
      <c r="P9" s="1009"/>
      <c r="Q9" s="1009"/>
      <c r="R9" s="1009"/>
      <c r="S9" s="1009"/>
      <c r="T9" s="74"/>
      <c r="U9" s="74"/>
      <c r="V9" s="1547"/>
      <c r="W9" s="1009"/>
      <c r="X9" s="1009"/>
      <c r="Y9" s="1009"/>
      <c r="Z9" s="1009"/>
      <c r="AA9" s="1009"/>
      <c r="AB9" s="74"/>
    </row>
    <row r="10" spans="1:28">
      <c r="A10" s="74"/>
      <c r="B10" s="1009"/>
      <c r="C10" s="1009"/>
      <c r="D10" s="1009"/>
      <c r="E10" s="74"/>
      <c r="F10" s="1009"/>
      <c r="G10" s="1009"/>
      <c r="H10" s="1009"/>
      <c r="I10" s="74"/>
      <c r="J10" s="1009"/>
      <c r="K10" s="1009"/>
      <c r="L10" s="1009"/>
      <c r="M10" s="1009"/>
      <c r="N10" s="1009"/>
      <c r="O10" s="74"/>
      <c r="P10" s="1009"/>
      <c r="Q10" s="1009"/>
      <c r="R10" s="1009"/>
      <c r="S10" s="1009"/>
      <c r="T10" s="74"/>
      <c r="U10" s="74"/>
      <c r="V10" s="1009"/>
      <c r="W10" s="1009"/>
      <c r="X10" s="1009"/>
      <c r="Y10" s="1009"/>
      <c r="Z10" s="1009"/>
      <c r="AA10" s="1009"/>
      <c r="AB10" s="74"/>
    </row>
    <row r="11" spans="1:28">
      <c r="A11" s="74"/>
      <c r="B11" s="1009"/>
      <c r="C11" s="1009"/>
      <c r="D11" s="1009"/>
      <c r="E11" s="74"/>
      <c r="F11" s="1009"/>
      <c r="G11" s="1009"/>
      <c r="H11" s="1009"/>
      <c r="I11" s="74"/>
      <c r="J11" s="1009"/>
      <c r="K11" s="1009"/>
      <c r="L11" s="1009"/>
      <c r="M11" s="1009"/>
      <c r="N11" s="1009"/>
      <c r="O11" s="74"/>
      <c r="P11" s="1009"/>
      <c r="Q11" s="1009"/>
      <c r="R11" s="1009"/>
      <c r="S11" s="1009"/>
      <c r="T11" s="74"/>
      <c r="U11" s="74"/>
      <c r="V11" s="1009"/>
      <c r="W11" s="1009"/>
      <c r="X11" s="1009"/>
      <c r="Y11" s="1009"/>
      <c r="Z11" s="1009"/>
      <c r="AA11" s="1009"/>
      <c r="AB11" s="74"/>
    </row>
    <row r="12" spans="1:28">
      <c r="A12" s="74"/>
      <c r="B12" s="1009"/>
      <c r="C12" s="1009"/>
      <c r="D12" s="1009"/>
      <c r="E12" s="74"/>
      <c r="F12" s="1009"/>
      <c r="G12" s="1009"/>
      <c r="H12" s="1009"/>
      <c r="I12" s="74"/>
      <c r="J12" s="1009"/>
      <c r="K12" s="1009"/>
      <c r="L12" s="1009"/>
      <c r="M12" s="1009"/>
      <c r="N12" s="1009"/>
      <c r="O12" s="74"/>
      <c r="P12" s="1009"/>
      <c r="Q12" s="1009"/>
      <c r="R12" s="1009"/>
      <c r="S12" s="1009"/>
      <c r="T12" s="74"/>
      <c r="U12" s="74"/>
      <c r="V12" s="1009"/>
      <c r="W12" s="1009"/>
      <c r="X12" s="1009"/>
      <c r="Y12" s="1009"/>
      <c r="Z12" s="1009"/>
      <c r="AA12" s="1009"/>
      <c r="AB12" s="74"/>
    </row>
    <row r="13" spans="1:28">
      <c r="A13" s="74"/>
      <c r="B13" s="1009"/>
      <c r="C13" s="1009"/>
      <c r="D13" s="1009"/>
      <c r="E13" s="74"/>
      <c r="F13" s="1009"/>
      <c r="G13" s="1009"/>
      <c r="H13" s="1009"/>
      <c r="I13" s="74"/>
      <c r="J13" s="1009"/>
      <c r="K13" s="1009"/>
      <c r="L13" s="1009"/>
      <c r="M13" s="1009"/>
      <c r="N13" s="1009"/>
      <c r="O13" s="74"/>
      <c r="P13" s="1009"/>
      <c r="Q13" s="1009"/>
      <c r="R13" s="1009"/>
      <c r="S13" s="1009"/>
      <c r="T13" s="74"/>
      <c r="U13" s="74"/>
      <c r="V13" s="1009"/>
      <c r="W13" s="1009"/>
      <c r="X13" s="1009"/>
      <c r="Y13" s="1009"/>
      <c r="Z13" s="1009"/>
      <c r="AA13" s="1009"/>
      <c r="AB13" s="74"/>
    </row>
    <row r="14" spans="1:28" ht="3.6" customHeight="1">
      <c r="A14" s="74"/>
      <c r="B14" s="74"/>
      <c r="C14" s="74"/>
      <c r="D14" s="74"/>
      <c r="E14" s="74"/>
      <c r="F14" s="74"/>
      <c r="G14" s="74"/>
      <c r="H14" s="74"/>
      <c r="I14" s="74"/>
      <c r="J14" s="74"/>
      <c r="K14" s="74"/>
      <c r="L14" s="74"/>
      <c r="M14" s="74"/>
      <c r="N14" s="74"/>
      <c r="O14" s="74"/>
      <c r="P14" s="74"/>
      <c r="Q14" s="74"/>
      <c r="R14" s="74"/>
      <c r="S14" s="74"/>
      <c r="T14" s="74"/>
      <c r="U14" s="74"/>
      <c r="V14" s="74"/>
      <c r="W14" s="74"/>
      <c r="X14" s="74"/>
      <c r="Y14" s="74"/>
      <c r="Z14" s="74"/>
      <c r="AA14" s="74"/>
      <c r="AB14" s="74"/>
    </row>
    <row r="15" spans="1:28" ht="6" customHeight="1">
      <c r="A15" s="74"/>
      <c r="B15" s="14"/>
      <c r="C15" s="14"/>
      <c r="D15" s="14"/>
      <c r="E15" s="14"/>
      <c r="F15" s="14"/>
      <c r="G15" s="14"/>
      <c r="H15" s="14"/>
      <c r="I15" s="14"/>
      <c r="J15" s="14"/>
      <c r="K15" s="14"/>
      <c r="L15" s="14"/>
      <c r="M15" s="14"/>
      <c r="N15" s="14"/>
      <c r="O15" s="14"/>
      <c r="P15" s="14"/>
      <c r="Q15" s="14"/>
      <c r="R15" s="14"/>
      <c r="S15" s="14"/>
      <c r="T15" s="14"/>
      <c r="U15" s="14"/>
      <c r="V15" s="14"/>
      <c r="W15" s="14"/>
      <c r="X15" s="14"/>
      <c r="Y15" s="14"/>
      <c r="Z15" s="14"/>
      <c r="AA15" s="14"/>
      <c r="AB15" s="74"/>
    </row>
    <row r="16" spans="1:28" ht="6" customHeight="1">
      <c r="A16" s="74"/>
      <c r="B16" s="74"/>
      <c r="C16" s="74"/>
      <c r="D16" s="74"/>
      <c r="E16" s="74"/>
      <c r="F16" s="74"/>
      <c r="G16" s="74"/>
      <c r="H16" s="74"/>
      <c r="I16" s="74"/>
      <c r="J16" s="74"/>
      <c r="K16" s="74"/>
      <c r="L16" s="74"/>
      <c r="M16" s="74"/>
      <c r="N16" s="74"/>
      <c r="O16" s="14"/>
      <c r="P16" s="14"/>
      <c r="Q16" s="14"/>
      <c r="R16" s="14"/>
      <c r="S16" s="14"/>
      <c r="T16" s="14"/>
      <c r="U16" s="14"/>
      <c r="V16" s="14"/>
      <c r="W16" s="14"/>
      <c r="X16" s="14"/>
      <c r="Y16" s="14"/>
      <c r="Z16" s="14"/>
      <c r="AA16" s="14"/>
      <c r="AB16" s="74"/>
    </row>
    <row r="17" spans="1:28" ht="21" customHeight="1" thickBot="1">
      <c r="A17" s="74"/>
      <c r="B17" s="38" t="s">
        <v>371</v>
      </c>
      <c r="C17" s="14"/>
      <c r="D17" s="1549"/>
      <c r="E17" s="1549"/>
      <c r="F17" s="1549"/>
      <c r="G17" s="1549"/>
      <c r="H17" s="1549"/>
      <c r="I17" s="1549"/>
      <c r="J17" s="1549"/>
      <c r="K17" s="1549"/>
      <c r="L17" s="1549"/>
      <c r="M17" s="1549"/>
      <c r="N17" s="74"/>
      <c r="O17" s="14"/>
      <c r="P17" s="73" t="s">
        <v>950</v>
      </c>
      <c r="Q17" s="80"/>
      <c r="R17" s="80"/>
      <c r="S17" s="80"/>
      <c r="T17" s="80"/>
      <c r="U17" s="80"/>
      <c r="V17" s="80"/>
      <c r="W17" s="80"/>
      <c r="X17" s="80"/>
      <c r="Y17" s="80"/>
      <c r="Z17" s="80"/>
      <c r="AA17" s="80"/>
      <c r="AB17" s="74"/>
    </row>
    <row r="18" spans="1:28" ht="15" thickTop="1">
      <c r="A18" s="74"/>
      <c r="B18" s="14"/>
      <c r="C18" s="14"/>
      <c r="D18" s="1549"/>
      <c r="E18" s="1549"/>
      <c r="F18" s="1549"/>
      <c r="G18" s="1549"/>
      <c r="H18" s="1549"/>
      <c r="I18" s="1549"/>
      <c r="J18" s="1549"/>
      <c r="K18" s="1549"/>
      <c r="L18" s="1549"/>
      <c r="M18" s="1549"/>
      <c r="N18" s="74"/>
      <c r="O18" s="14"/>
      <c r="P18" s="74"/>
      <c r="Q18" s="74"/>
      <c r="R18" s="74"/>
      <c r="S18" s="74"/>
      <c r="T18" s="74"/>
      <c r="U18" s="74"/>
      <c r="V18" s="74"/>
      <c r="W18" s="74"/>
      <c r="X18" s="74"/>
      <c r="Y18" s="74"/>
      <c r="Z18" s="74"/>
      <c r="AA18" s="74"/>
      <c r="AB18" s="74"/>
    </row>
    <row r="19" spans="1:28">
      <c r="A19" s="74"/>
      <c r="B19" s="14"/>
      <c r="C19" s="14"/>
      <c r="D19" s="1549"/>
      <c r="E19" s="1549"/>
      <c r="F19" s="1549"/>
      <c r="G19" s="1549"/>
      <c r="H19" s="1549"/>
      <c r="I19" s="1549"/>
      <c r="J19" s="1549"/>
      <c r="K19" s="1549"/>
      <c r="L19" s="1549"/>
      <c r="M19" s="1549"/>
      <c r="N19" s="74"/>
      <c r="O19" s="14"/>
      <c r="P19" s="74" t="s">
        <v>951</v>
      </c>
      <c r="Q19" s="74"/>
      <c r="R19" s="1136">
        <v>0</v>
      </c>
      <c r="S19" s="1136"/>
      <c r="T19" s="1136"/>
      <c r="U19" s="74"/>
      <c r="V19" s="74"/>
      <c r="W19" s="74" t="s">
        <v>376</v>
      </c>
      <c r="X19" s="74"/>
      <c r="Y19" s="74"/>
      <c r="Z19" s="74"/>
      <c r="AA19" s="16" t="s">
        <v>33</v>
      </c>
      <c r="AB19" s="74"/>
    </row>
    <row r="20" spans="1:28" ht="1.9" customHeight="1">
      <c r="A20" s="74"/>
      <c r="B20" s="74"/>
      <c r="C20" s="74"/>
      <c r="D20" s="74"/>
      <c r="E20" s="74"/>
      <c r="F20" s="74"/>
      <c r="G20" s="74"/>
      <c r="H20" s="74"/>
      <c r="I20" s="74"/>
      <c r="J20" s="74"/>
      <c r="K20" s="74"/>
      <c r="L20" s="74"/>
      <c r="M20" s="74"/>
      <c r="N20" s="74"/>
      <c r="O20" s="14"/>
      <c r="P20" s="74"/>
      <c r="Q20" s="74"/>
      <c r="R20" s="74"/>
      <c r="S20" s="74"/>
      <c r="T20" s="74"/>
      <c r="U20" s="74"/>
      <c r="V20" s="74"/>
      <c r="W20" s="74"/>
      <c r="X20" s="74"/>
      <c r="Y20" s="74"/>
      <c r="Z20" s="74"/>
      <c r="AA20" s="60"/>
      <c r="AB20" s="74"/>
    </row>
    <row r="21" spans="1:28">
      <c r="A21" s="74"/>
      <c r="B21" s="74"/>
      <c r="C21" s="74"/>
      <c r="D21" s="74"/>
      <c r="E21" s="74"/>
      <c r="F21" s="74"/>
      <c r="G21" s="74"/>
      <c r="H21" s="74"/>
      <c r="I21" s="74"/>
      <c r="J21" s="74"/>
      <c r="K21" s="74"/>
      <c r="L21" s="74"/>
      <c r="M21" s="74"/>
      <c r="N21" s="74"/>
      <c r="O21" s="14"/>
      <c r="P21" s="74" t="s">
        <v>377</v>
      </c>
      <c r="Q21" s="74"/>
      <c r="R21" s="1136" t="s">
        <v>33</v>
      </c>
      <c r="S21" s="1136"/>
      <c r="T21" s="1136"/>
      <c r="U21" s="74"/>
      <c r="V21" s="74"/>
      <c r="W21" s="74" t="s">
        <v>378</v>
      </c>
      <c r="X21" s="74"/>
      <c r="Y21" s="74"/>
      <c r="Z21" s="74"/>
      <c r="AA21" s="16" t="s">
        <v>33</v>
      </c>
      <c r="AB21" s="74"/>
    </row>
    <row r="22" spans="1:28" ht="1.9" customHeight="1">
      <c r="A22" s="74"/>
      <c r="B22" s="74"/>
      <c r="C22" s="74"/>
      <c r="D22" s="74"/>
      <c r="E22" s="74"/>
      <c r="F22" s="74"/>
      <c r="G22" s="74"/>
      <c r="H22" s="74"/>
      <c r="I22" s="74"/>
      <c r="J22" s="74"/>
      <c r="K22" s="74"/>
      <c r="L22" s="74"/>
      <c r="M22" s="74"/>
      <c r="N22" s="74"/>
      <c r="O22" s="14"/>
      <c r="P22" s="74"/>
      <c r="Q22" s="74"/>
      <c r="R22" s="74"/>
      <c r="S22" s="74"/>
      <c r="T22" s="74"/>
      <c r="U22" s="74"/>
      <c r="V22" s="74"/>
      <c r="W22" s="74"/>
      <c r="X22" s="74"/>
      <c r="Y22" s="74"/>
      <c r="Z22" s="74"/>
      <c r="AA22" s="60"/>
      <c r="AB22" s="74"/>
    </row>
    <row r="23" spans="1:28">
      <c r="A23" s="74"/>
      <c r="B23" s="14" t="s">
        <v>952</v>
      </c>
      <c r="C23" s="14"/>
      <c r="D23" s="14"/>
      <c r="E23" s="14"/>
      <c r="F23" s="14"/>
      <c r="G23" s="14"/>
      <c r="H23" s="14"/>
      <c r="I23" s="14"/>
      <c r="J23" s="14"/>
      <c r="K23" s="14"/>
      <c r="L23" s="14"/>
      <c r="M23" s="14"/>
      <c r="N23" s="74"/>
      <c r="O23" s="14"/>
      <c r="P23" s="74" t="s">
        <v>953</v>
      </c>
      <c r="Q23" s="74"/>
      <c r="R23" s="1136" t="s">
        <v>33</v>
      </c>
      <c r="S23" s="1136"/>
      <c r="T23" s="1136"/>
      <c r="U23" s="74"/>
      <c r="V23" s="74"/>
      <c r="W23" s="74" t="s">
        <v>383</v>
      </c>
      <c r="X23" s="74"/>
      <c r="Y23" s="74"/>
      <c r="Z23" s="74"/>
      <c r="AA23" s="16" t="s">
        <v>33</v>
      </c>
      <c r="AB23" s="74"/>
    </row>
    <row r="24" spans="1:28" ht="1.9" customHeight="1">
      <c r="A24" s="74"/>
      <c r="B24" s="14"/>
      <c r="C24" s="14"/>
      <c r="D24" s="14"/>
      <c r="E24" s="14"/>
      <c r="F24" s="14"/>
      <c r="G24" s="14"/>
      <c r="H24" s="14"/>
      <c r="I24" s="14"/>
      <c r="J24" s="14"/>
      <c r="K24" s="14"/>
      <c r="L24" s="14"/>
      <c r="M24" s="14"/>
      <c r="N24" s="74"/>
      <c r="O24" s="14"/>
      <c r="P24" s="74"/>
      <c r="Q24" s="74"/>
      <c r="R24" s="74"/>
      <c r="S24" s="74"/>
      <c r="T24" s="74"/>
      <c r="U24" s="74"/>
      <c r="V24" s="74"/>
      <c r="W24" s="74"/>
      <c r="X24" s="74"/>
      <c r="Y24" s="74"/>
      <c r="Z24" s="74"/>
      <c r="AA24" s="60"/>
      <c r="AB24" s="74"/>
    </row>
    <row r="25" spans="1:28">
      <c r="A25" s="74"/>
      <c r="B25" s="14"/>
      <c r="C25" s="14"/>
      <c r="D25" s="14"/>
      <c r="E25" s="14"/>
      <c r="F25" s="14"/>
      <c r="G25" s="14"/>
      <c r="H25" s="14"/>
      <c r="I25" s="14"/>
      <c r="J25" s="14"/>
      <c r="K25" s="14"/>
      <c r="L25" s="14"/>
      <c r="M25" s="14"/>
      <c r="N25" s="74"/>
      <c r="O25" s="14"/>
      <c r="P25" s="74" t="s">
        <v>385</v>
      </c>
      <c r="Q25" s="74"/>
      <c r="R25" s="1136" t="s">
        <v>33</v>
      </c>
      <c r="S25" s="1136"/>
      <c r="T25" s="1136"/>
      <c r="U25" s="74"/>
      <c r="V25" s="74"/>
      <c r="W25" s="74" t="s">
        <v>386</v>
      </c>
      <c r="X25" s="74"/>
      <c r="Y25" s="74"/>
      <c r="Z25" s="74"/>
      <c r="AA25" s="16" t="s">
        <v>33</v>
      </c>
      <c r="AB25" s="74"/>
    </row>
    <row r="26" spans="1:28" ht="15" thickBot="1">
      <c r="A26" s="74"/>
      <c r="B26" s="14" t="s">
        <v>954</v>
      </c>
      <c r="C26" s="14"/>
      <c r="D26" s="14"/>
      <c r="E26" s="1548"/>
      <c r="F26" s="1548"/>
      <c r="G26" s="1548"/>
      <c r="H26" s="1548"/>
      <c r="I26" s="1548"/>
      <c r="J26" s="1548"/>
      <c r="K26" s="1548"/>
      <c r="L26" s="1548"/>
      <c r="M26" s="14"/>
      <c r="N26" s="74"/>
      <c r="O26" s="14"/>
      <c r="P26" s="74"/>
      <c r="Q26" s="74"/>
      <c r="R26" s="74"/>
      <c r="S26" s="74"/>
      <c r="T26" s="74"/>
      <c r="U26" s="74"/>
      <c r="V26" s="74"/>
      <c r="W26" s="74"/>
      <c r="X26" s="74"/>
      <c r="Y26" s="74"/>
      <c r="Z26" s="74"/>
      <c r="AA26" s="74"/>
      <c r="AB26" s="74"/>
    </row>
    <row r="27" spans="1:28" ht="6" customHeight="1">
      <c r="A27" s="74"/>
      <c r="B27" s="14"/>
      <c r="C27" s="14"/>
      <c r="D27" s="14"/>
      <c r="E27" s="14"/>
      <c r="F27" s="14"/>
      <c r="G27" s="14"/>
      <c r="H27" s="14"/>
      <c r="I27" s="14"/>
      <c r="J27" s="14"/>
      <c r="K27" s="14"/>
      <c r="L27" s="14"/>
      <c r="M27" s="14"/>
      <c r="N27" s="74"/>
      <c r="O27" s="14"/>
      <c r="P27" s="14"/>
      <c r="Q27" s="14"/>
      <c r="R27" s="14"/>
      <c r="S27" s="14"/>
      <c r="T27" s="14"/>
      <c r="U27" s="14"/>
      <c r="V27" s="14"/>
      <c r="W27" s="14"/>
      <c r="X27" s="14"/>
      <c r="Y27" s="14"/>
      <c r="Z27" s="14"/>
      <c r="AA27" s="14"/>
      <c r="AB27" s="74"/>
    </row>
    <row r="28" spans="1:28" ht="1.9" customHeight="1">
      <c r="A28" s="74"/>
      <c r="B28" s="74"/>
      <c r="C28" s="74"/>
      <c r="D28" s="74"/>
      <c r="E28" s="74"/>
      <c r="F28" s="74"/>
      <c r="G28" s="74"/>
      <c r="H28" s="74"/>
      <c r="I28" s="74"/>
      <c r="J28" s="74"/>
      <c r="K28" s="74"/>
      <c r="L28" s="74"/>
      <c r="M28" s="74"/>
      <c r="N28" s="74"/>
      <c r="O28" s="14"/>
      <c r="P28" s="14"/>
      <c r="Q28" s="14"/>
      <c r="R28" s="14"/>
      <c r="S28" s="14"/>
      <c r="T28" s="14"/>
      <c r="U28" s="14"/>
      <c r="V28" s="14"/>
      <c r="W28" s="14"/>
      <c r="X28" s="14"/>
      <c r="Y28" s="14"/>
      <c r="Z28" s="14"/>
      <c r="AA28" s="14"/>
      <c r="AB28" s="74"/>
    </row>
    <row r="29" spans="1:28" ht="1.9" customHeight="1">
      <c r="A29" s="74"/>
      <c r="B29" s="14"/>
      <c r="C29" s="14"/>
      <c r="D29" s="14"/>
      <c r="E29" s="14"/>
      <c r="F29" s="14"/>
      <c r="G29" s="14"/>
      <c r="H29" s="14"/>
      <c r="I29" s="14"/>
      <c r="J29" s="14"/>
      <c r="K29" s="14"/>
      <c r="L29" s="14"/>
      <c r="M29" s="14"/>
      <c r="N29" s="14"/>
      <c r="O29" s="14"/>
      <c r="P29" s="14"/>
      <c r="Q29" s="14"/>
      <c r="R29" s="14"/>
      <c r="S29" s="14"/>
      <c r="T29" s="14"/>
      <c r="U29" s="14"/>
      <c r="V29" s="14"/>
      <c r="W29" s="14"/>
      <c r="X29" s="14"/>
      <c r="Y29" s="14"/>
      <c r="Z29" s="14"/>
      <c r="AA29" s="14"/>
      <c r="AB29" s="74"/>
    </row>
    <row r="30" spans="1:28" ht="1.9" customHeight="1">
      <c r="A30" s="74"/>
      <c r="B30" s="74"/>
      <c r="C30" s="74"/>
      <c r="D30" s="74"/>
      <c r="E30" s="74"/>
      <c r="F30" s="74"/>
      <c r="G30" s="74"/>
      <c r="H30" s="74"/>
      <c r="I30" s="74"/>
      <c r="J30" s="74"/>
      <c r="K30" s="74"/>
      <c r="L30" s="74"/>
      <c r="M30" s="74"/>
      <c r="N30" s="74"/>
      <c r="O30" s="74"/>
      <c r="P30" s="74"/>
      <c r="Q30" s="74"/>
      <c r="R30" s="74"/>
      <c r="S30" s="74"/>
      <c r="T30" s="74"/>
      <c r="U30" s="74"/>
      <c r="V30" s="74"/>
      <c r="W30" s="74"/>
      <c r="X30" s="74"/>
      <c r="Y30" s="74"/>
      <c r="Z30" s="74"/>
      <c r="AA30" s="74"/>
      <c r="AB30" s="74"/>
    </row>
    <row r="31" spans="1:28">
      <c r="A31" s="74"/>
      <c r="B31" s="81" t="s">
        <v>379</v>
      </c>
      <c r="C31" s="74"/>
      <c r="D31" s="74"/>
      <c r="E31" s="74"/>
      <c r="F31" s="74"/>
      <c r="G31" s="74"/>
      <c r="H31" s="16">
        <v>12</v>
      </c>
      <c r="I31" s="82" t="s">
        <v>380</v>
      </c>
      <c r="J31" s="16">
        <v>14</v>
      </c>
      <c r="K31" s="73" t="s">
        <v>381</v>
      </c>
      <c r="L31" s="74"/>
      <c r="M31" s="74"/>
      <c r="N31" s="74"/>
      <c r="O31" s="74"/>
      <c r="P31" s="1136" t="s">
        <v>955</v>
      </c>
      <c r="Q31" s="1136"/>
      <c r="R31" s="1136"/>
      <c r="S31" s="16"/>
      <c r="T31" s="74"/>
      <c r="U31" s="1136" t="s">
        <v>956</v>
      </c>
      <c r="V31" s="1136"/>
      <c r="W31" s="1136"/>
      <c r="X31" s="74"/>
      <c r="Y31" s="1136" t="s">
        <v>957</v>
      </c>
      <c r="Z31" s="1136"/>
      <c r="AA31" s="1136"/>
      <c r="AB31" s="74"/>
    </row>
    <row r="32" spans="1:28">
      <c r="A32" s="74"/>
      <c r="B32" s="1509" t="s">
        <v>384</v>
      </c>
      <c r="C32" s="1509"/>
      <c r="D32" s="1509"/>
      <c r="E32" s="1509"/>
      <c r="F32" s="1509"/>
      <c r="G32" s="1509"/>
      <c r="H32" s="1509"/>
      <c r="I32" s="1509"/>
      <c r="J32" s="1509"/>
      <c r="K32" s="1509"/>
      <c r="L32" s="1509"/>
      <c r="M32" s="1509"/>
      <c r="N32" s="1509"/>
      <c r="O32" s="83"/>
      <c r="P32" s="1550" t="s">
        <v>958</v>
      </c>
      <c r="Q32" s="1550"/>
      <c r="R32" s="1550"/>
      <c r="S32" s="84"/>
      <c r="T32" s="74"/>
      <c r="U32" s="1551" t="s">
        <v>958</v>
      </c>
      <c r="V32" s="1551"/>
      <c r="W32" s="1551"/>
      <c r="X32" s="74"/>
      <c r="Y32" s="1551" t="s">
        <v>958</v>
      </c>
      <c r="Z32" s="1551"/>
      <c r="AA32" s="1551"/>
      <c r="AB32" s="74"/>
    </row>
    <row r="33" spans="1:28">
      <c r="A33" s="74"/>
      <c r="B33" s="1509"/>
      <c r="C33" s="1509"/>
      <c r="D33" s="1509"/>
      <c r="E33" s="1509"/>
      <c r="F33" s="1509"/>
      <c r="G33" s="1509"/>
      <c r="H33" s="1509"/>
      <c r="I33" s="1509"/>
      <c r="J33" s="1509"/>
      <c r="K33" s="1509"/>
      <c r="L33" s="1509"/>
      <c r="M33" s="1509"/>
      <c r="N33" s="1509"/>
      <c r="O33" s="74"/>
      <c r="P33" s="74"/>
      <c r="Q33" s="74"/>
      <c r="R33" s="74"/>
      <c r="S33" s="74"/>
      <c r="T33" s="74"/>
      <c r="U33" s="74"/>
      <c r="V33" s="74"/>
      <c r="W33" s="74"/>
      <c r="X33" s="74"/>
      <c r="Y33" s="74"/>
      <c r="Z33" s="74"/>
      <c r="AA33" s="74"/>
      <c r="AB33" s="74"/>
    </row>
    <row r="34" spans="1:28" ht="1.9" customHeight="1">
      <c r="A34" s="74"/>
      <c r="B34" s="14"/>
      <c r="C34" s="14"/>
      <c r="D34" s="14"/>
      <c r="E34" s="14"/>
      <c r="F34" s="14"/>
      <c r="G34" s="14"/>
      <c r="H34" s="14"/>
      <c r="I34" s="14"/>
      <c r="J34" s="14"/>
      <c r="K34" s="14"/>
      <c r="L34" s="14"/>
      <c r="M34" s="14"/>
      <c r="N34" s="14"/>
      <c r="O34" s="14"/>
      <c r="P34" s="14"/>
      <c r="Q34" s="14"/>
      <c r="R34" s="14"/>
      <c r="S34" s="14"/>
      <c r="T34" s="14"/>
      <c r="U34" s="14"/>
      <c r="V34" s="14"/>
      <c r="W34" s="14"/>
      <c r="X34" s="14"/>
      <c r="Y34" s="14"/>
      <c r="Z34" s="14"/>
      <c r="AA34" s="14"/>
      <c r="AB34" s="74"/>
    </row>
    <row r="35" spans="1:28" ht="3" customHeight="1">
      <c r="A35" s="74"/>
      <c r="B35" s="74"/>
      <c r="C35" s="74"/>
      <c r="D35" s="74"/>
      <c r="E35" s="74"/>
      <c r="F35" s="74"/>
      <c r="G35" s="74"/>
      <c r="H35" s="74"/>
      <c r="I35" s="74"/>
      <c r="J35" s="74"/>
      <c r="K35" s="74"/>
      <c r="L35" s="74"/>
      <c r="M35" s="74"/>
      <c r="N35" s="74"/>
      <c r="O35" s="74"/>
      <c r="P35" s="74"/>
      <c r="Q35" s="74"/>
      <c r="R35" s="74"/>
      <c r="S35" s="74"/>
      <c r="T35" s="74"/>
      <c r="U35" s="74"/>
      <c r="V35" s="74"/>
      <c r="W35" s="74"/>
      <c r="X35" s="74"/>
      <c r="Y35" s="74"/>
      <c r="Z35" s="74"/>
      <c r="AA35" s="74"/>
      <c r="AB35" s="74"/>
    </row>
    <row r="36" spans="1:28" ht="14.45" customHeight="1">
      <c r="A36" s="74"/>
      <c r="B36" s="1492" t="s">
        <v>387</v>
      </c>
      <c r="C36" s="1492"/>
      <c r="D36" s="1492"/>
      <c r="E36" s="1492"/>
      <c r="F36" s="1492"/>
      <c r="G36" s="1492"/>
      <c r="H36" s="1492"/>
      <c r="I36" s="1492"/>
      <c r="J36" s="1492"/>
      <c r="K36" s="1492"/>
      <c r="L36" s="1492"/>
      <c r="M36" s="1492"/>
      <c r="N36" s="1492"/>
      <c r="O36" s="1492"/>
      <c r="P36" s="1492"/>
      <c r="Q36" s="1492"/>
      <c r="R36" s="1492"/>
      <c r="S36" s="85"/>
      <c r="T36" s="14" t="s">
        <v>389</v>
      </c>
      <c r="U36" s="14"/>
      <c r="V36" s="14"/>
      <c r="W36" s="14"/>
      <c r="X36" s="14"/>
      <c r="Y36" s="14"/>
      <c r="Z36" s="14"/>
      <c r="AA36" s="14"/>
      <c r="AB36" s="74"/>
    </row>
    <row r="37" spans="1:28" ht="19.899999999999999" customHeight="1">
      <c r="A37" s="74"/>
      <c r="B37" s="1492"/>
      <c r="C37" s="1492"/>
      <c r="D37" s="1492"/>
      <c r="E37" s="1492"/>
      <c r="F37" s="1492"/>
      <c r="G37" s="1492"/>
      <c r="H37" s="1492"/>
      <c r="I37" s="1492"/>
      <c r="J37" s="1492"/>
      <c r="K37" s="1492"/>
      <c r="L37" s="1492"/>
      <c r="M37" s="1492"/>
      <c r="N37" s="1492"/>
      <c r="O37" s="1492"/>
      <c r="P37" s="1492"/>
      <c r="Q37" s="1492"/>
      <c r="R37" s="1492"/>
      <c r="S37" s="85"/>
      <c r="T37" s="1136"/>
      <c r="U37" s="1136"/>
      <c r="V37" s="1136"/>
      <c r="W37" s="1136"/>
      <c r="X37" s="1136"/>
      <c r="Y37" s="1136"/>
      <c r="Z37" s="1136"/>
      <c r="AA37" s="1136"/>
      <c r="AB37" s="74"/>
    </row>
    <row r="38" spans="1:28" ht="5.45" customHeight="1" thickBot="1">
      <c r="A38" s="74"/>
      <c r="B38" s="85"/>
      <c r="C38" s="85"/>
      <c r="D38" s="85"/>
      <c r="E38" s="85"/>
      <c r="F38" s="85"/>
      <c r="G38" s="85"/>
      <c r="H38" s="85"/>
      <c r="I38" s="85"/>
      <c r="J38" s="85"/>
      <c r="K38" s="85"/>
      <c r="L38" s="85"/>
      <c r="M38" s="85"/>
      <c r="N38" s="85"/>
      <c r="O38" s="85"/>
      <c r="P38" s="85"/>
      <c r="Q38" s="85"/>
      <c r="R38" s="85"/>
      <c r="S38" s="85"/>
      <c r="T38" s="1136"/>
      <c r="U38" s="1136"/>
      <c r="V38" s="1136"/>
      <c r="W38" s="1136"/>
      <c r="X38" s="1136"/>
      <c r="Y38" s="1136"/>
      <c r="Z38" s="1136"/>
      <c r="AA38" s="1136"/>
      <c r="AB38" s="74"/>
    </row>
    <row r="39" spans="1:28" ht="15" customHeight="1" thickBot="1">
      <c r="A39" s="74"/>
      <c r="B39" s="1552" t="s">
        <v>959</v>
      </c>
      <c r="C39" s="1553"/>
      <c r="D39" s="1553"/>
      <c r="E39" s="1553"/>
      <c r="F39" s="1553"/>
      <c r="G39" s="1553"/>
      <c r="H39" s="1553"/>
      <c r="I39" s="1553"/>
      <c r="J39" s="1553"/>
      <c r="K39" s="1553"/>
      <c r="L39" s="1553"/>
      <c r="M39" s="1553"/>
      <c r="N39" s="1553"/>
      <c r="O39" s="1553"/>
      <c r="P39" s="1553"/>
      <c r="Q39" s="1553"/>
      <c r="R39" s="1554"/>
      <c r="S39" s="86"/>
      <c r="T39" s="1493"/>
      <c r="U39" s="1493"/>
      <c r="V39" s="1493"/>
      <c r="W39" s="1493"/>
      <c r="X39" s="1493"/>
      <c r="Y39" s="1493"/>
      <c r="Z39" s="1493"/>
      <c r="AA39" s="1493"/>
      <c r="AB39" s="74"/>
    </row>
    <row r="40" spans="1:28" ht="24" customHeight="1">
      <c r="A40" s="74"/>
      <c r="B40" s="1555"/>
      <c r="C40" s="1556"/>
      <c r="D40" s="1556"/>
      <c r="E40" s="1556"/>
      <c r="F40" s="1556"/>
      <c r="G40" s="1556"/>
      <c r="H40" s="1556"/>
      <c r="I40" s="1556"/>
      <c r="J40" s="1556"/>
      <c r="K40" s="1556"/>
      <c r="L40" s="1556"/>
      <c r="M40" s="1556"/>
      <c r="N40" s="1556"/>
      <c r="O40" s="1556"/>
      <c r="P40" s="1556"/>
      <c r="Q40" s="1556"/>
      <c r="R40" s="1557"/>
      <c r="S40" s="86"/>
      <c r="T40" s="1503" t="s">
        <v>75</v>
      </c>
      <c r="U40" s="1503"/>
      <c r="V40" s="1503"/>
      <c r="W40" s="1504"/>
      <c r="X40" s="1504"/>
      <c r="Y40" s="1504"/>
      <c r="Z40" s="1504"/>
      <c r="AA40" s="1504"/>
      <c r="AB40" s="74"/>
    </row>
    <row r="41" spans="1:28" ht="41.45" customHeight="1" thickBot="1">
      <c r="A41" s="74"/>
      <c r="B41" s="1558"/>
      <c r="C41" s="1559"/>
      <c r="D41" s="1559"/>
      <c r="E41" s="1559"/>
      <c r="F41" s="1559"/>
      <c r="G41" s="1559"/>
      <c r="H41" s="1559"/>
      <c r="I41" s="1559"/>
      <c r="J41" s="1559"/>
      <c r="K41" s="1559"/>
      <c r="L41" s="1559"/>
      <c r="M41" s="1559"/>
      <c r="N41" s="1559"/>
      <c r="O41" s="1559"/>
      <c r="P41" s="1559"/>
      <c r="Q41" s="1559"/>
      <c r="R41" s="1560"/>
      <c r="S41" s="86"/>
      <c r="T41" s="74"/>
      <c r="U41" s="74"/>
      <c r="V41" s="74"/>
      <c r="W41" s="74"/>
      <c r="X41" s="74"/>
      <c r="Y41" s="74"/>
      <c r="Z41" s="74"/>
      <c r="AA41" s="74"/>
      <c r="AB41" s="74"/>
    </row>
  </sheetData>
  <mergeCells count="46">
    <mergeCell ref="B36:R37"/>
    <mergeCell ref="T37:AA39"/>
    <mergeCell ref="B39:R41"/>
    <mergeCell ref="T40:V40"/>
    <mergeCell ref="W40:AA40"/>
    <mergeCell ref="P31:R31"/>
    <mergeCell ref="U31:W31"/>
    <mergeCell ref="Y31:AA31"/>
    <mergeCell ref="B32:N33"/>
    <mergeCell ref="P32:R32"/>
    <mergeCell ref="U32:W32"/>
    <mergeCell ref="Y32:AA32"/>
    <mergeCell ref="E26:L26"/>
    <mergeCell ref="B8:D8"/>
    <mergeCell ref="F8:H8"/>
    <mergeCell ref="J8:N8"/>
    <mergeCell ref="P8:S8"/>
    <mergeCell ref="D17:M19"/>
    <mergeCell ref="R19:T19"/>
    <mergeCell ref="R21:T21"/>
    <mergeCell ref="R23:T23"/>
    <mergeCell ref="R25:T25"/>
    <mergeCell ref="V8:AA8"/>
    <mergeCell ref="B9:D13"/>
    <mergeCell ref="F9:H13"/>
    <mergeCell ref="J9:N13"/>
    <mergeCell ref="P9:S13"/>
    <mergeCell ref="V9:AA13"/>
    <mergeCell ref="B6:D6"/>
    <mergeCell ref="F6:H6"/>
    <mergeCell ref="J6:N6"/>
    <mergeCell ref="P6:S6"/>
    <mergeCell ref="V6:AA6"/>
    <mergeCell ref="B7:D7"/>
    <mergeCell ref="F7:H7"/>
    <mergeCell ref="J7:N7"/>
    <mergeCell ref="P7:S7"/>
    <mergeCell ref="V7:AA7"/>
    <mergeCell ref="D3:H3"/>
    <mergeCell ref="L3:N3"/>
    <mergeCell ref="Q3:AA3"/>
    <mergeCell ref="B5:D5"/>
    <mergeCell ref="F5:H5"/>
    <mergeCell ref="J5:N5"/>
    <mergeCell ref="P5:S5"/>
    <mergeCell ref="V5:AA5"/>
  </mergeCells>
  <dataValidations count="10">
    <dataValidation type="list" allowBlank="1" showInputMessage="1" showErrorMessage="1" sqref="J31" xr:uid="{DEB24525-81AF-4C0D-9540-62461681B08F}">
      <formula1>"20,19,18,17,16,15,14,13,12,11,10,09,08,07,06,05,05,03,02,01"</formula1>
    </dataValidation>
    <dataValidation type="list" allowBlank="1" showInputMessage="1" sqref="Q3:AA3" xr:uid="{C2DB9A76-B736-4156-9A32-10CBA6BADA52}">
      <formula1>Surveyors</formula1>
    </dataValidation>
    <dataValidation type="list" allowBlank="1" showInputMessage="1" sqref="V6:AA6" xr:uid="{3A59C4E4-D53D-4915-9C92-76FEFE96F5AE}">
      <formula1>INDIRECT(F6)</formula1>
    </dataValidation>
    <dataValidation type="list" allowBlank="1" showInputMessage="1" sqref="P6:S6" xr:uid="{001381B3-84CA-4B68-8970-A4D7345DFABC}">
      <formula1>TiltRod</formula1>
    </dataValidation>
    <dataValidation type="list" allowBlank="1" showInputMessage="1" sqref="J6:N6" xr:uid="{9075AB82-0042-4403-8080-A85CC5B7515F}">
      <formula1>INDIRECT(F6 &amp; "L")</formula1>
    </dataValidation>
    <dataValidation type="list" allowBlank="1" showInputMessage="1" sqref="F6:H6" xr:uid="{4301FE04-2896-4C71-A5F1-7C63ED134F92}">
      <formula1>MMaterial</formula1>
    </dataValidation>
    <dataValidation type="list" allowBlank="1" showInputMessage="1" sqref="B6:D6" xr:uid="{13559131-522E-4704-94FE-A94E47100FF2}">
      <formula1>Type</formula1>
    </dataValidation>
    <dataValidation type="list" allowBlank="1" showInputMessage="1" showErrorMessage="1" sqref="H31" xr:uid="{2389AF4D-D5AD-4D85-B66C-CA372F5572FD}">
      <formula1>"01,02,03,04,05,06,07,08,09,10,11,12,13,14,15,16,17,18,19,20"</formula1>
    </dataValidation>
    <dataValidation type="list" allowBlank="1" showInputMessage="1" showErrorMessage="1" sqref="AA25 R21:T21 R23:T23 R25:T25 AA19 AA21 AA23" xr:uid="{368144FD-835F-4812-BE13-09073F30FDE8}">
      <formula1>"No, Yes"</formula1>
    </dataValidation>
    <dataValidation type="list" allowBlank="1" showInputMessage="1" showErrorMessage="1" sqref="R19:T19" xr:uid="{E69DDBE5-5418-499D-A0D0-C4A55B6A5332}">
      <formula1>"0,1,2,3,4,5,6,7,8,9,10,11,12,13,14,15"</formula1>
    </dataValidation>
  </dataValidations>
  <pageMargins left="0.7" right="0.35" top="0.75" bottom="0.75" header="0.3" footer="0.3"/>
  <pageSetup paperSize="9" orientation="landscape" horizontalDpi="300" verticalDpi="300" r:id="rId1"/>
  <headerFooter>
    <oddHeader>&amp;R&amp;G</oddHeader>
    <oddFooter>&amp;L&amp;12                 www.perfectshutters.co.uk/gallery/
&amp;C&amp;G&amp;R&amp;G</oddFooter>
  </headerFooter>
  <drawing r:id="rId2"/>
  <legacyDrawingHF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5F34B0-65D1-474B-B7BD-ED73EDEEBEDC}">
  <sheetPr codeName="Sheet21">
    <pageSetUpPr fitToPage="1"/>
  </sheetPr>
  <dimension ref="A1:AC44"/>
  <sheetViews>
    <sheetView workbookViewId="0">
      <selection activeCell="E36" sqref="E36"/>
    </sheetView>
  </sheetViews>
  <sheetFormatPr defaultRowHeight="14.45"/>
  <cols>
    <col min="2" max="2" width="9.7109375" customWidth="1"/>
    <col min="6" max="6" width="10.7109375" bestFit="1" customWidth="1"/>
    <col min="13" max="13" width="10" bestFit="1" customWidth="1"/>
  </cols>
  <sheetData>
    <row r="1" spans="1:29">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row>
    <row r="2" spans="1:29" ht="15" thickBot="1">
      <c r="A2" s="14"/>
      <c r="B2" s="14" t="s">
        <v>242</v>
      </c>
      <c r="C2" s="14"/>
      <c r="D2" s="14"/>
      <c r="E2" s="14"/>
      <c r="F2" s="14"/>
      <c r="G2" s="14"/>
      <c r="H2" s="14" t="s">
        <v>243</v>
      </c>
      <c r="I2" s="14"/>
      <c r="J2" s="14"/>
      <c r="K2" s="14"/>
      <c r="L2" s="14"/>
      <c r="M2" s="14"/>
      <c r="N2" s="14"/>
      <c r="O2" s="14"/>
      <c r="P2" s="14"/>
      <c r="Q2" s="14"/>
      <c r="R2" s="14"/>
      <c r="S2" s="14"/>
      <c r="T2" s="14"/>
      <c r="U2" s="14"/>
      <c r="V2" s="14"/>
      <c r="W2" s="14"/>
      <c r="X2" s="14"/>
      <c r="Y2" s="14"/>
      <c r="Z2" s="14"/>
      <c r="AA2" s="14"/>
      <c r="AB2" s="14"/>
      <c r="AC2" s="14"/>
    </row>
    <row r="3" spans="1:29" ht="15" customHeight="1" thickTop="1">
      <c r="A3" s="302"/>
      <c r="B3" s="1561" t="s">
        <v>960</v>
      </c>
      <c r="C3" s="1561"/>
      <c r="D3" s="1561"/>
      <c r="E3" s="1561"/>
      <c r="F3" s="1561"/>
      <c r="G3" s="303"/>
      <c r="H3" s="303"/>
      <c r="I3" s="303"/>
      <c r="J3" s="303"/>
      <c r="K3" s="14"/>
      <c r="L3" s="14"/>
      <c r="M3" s="14"/>
      <c r="N3" s="14"/>
      <c r="O3" s="303"/>
      <c r="P3" s="304"/>
      <c r="Q3" s="14"/>
      <c r="R3" s="14"/>
      <c r="S3" s="14"/>
      <c r="T3" s="14"/>
      <c r="U3" s="14"/>
      <c r="V3" s="14"/>
      <c r="W3" s="14"/>
      <c r="X3" s="14"/>
      <c r="Y3" s="14"/>
      <c r="Z3" s="14"/>
      <c r="AA3" s="14"/>
      <c r="AB3" s="14"/>
      <c r="AC3" s="14"/>
    </row>
    <row r="4" spans="1:29">
      <c r="A4" s="305"/>
      <c r="B4" s="1562"/>
      <c r="C4" s="1562"/>
      <c r="D4" s="1562"/>
      <c r="E4" s="1562"/>
      <c r="F4" s="1562"/>
      <c r="G4" s="14"/>
      <c r="H4" s="14"/>
      <c r="I4" s="14"/>
      <c r="J4" s="14"/>
      <c r="K4" s="14"/>
      <c r="L4" s="14"/>
      <c r="M4" s="14"/>
      <c r="N4" s="14"/>
      <c r="O4" s="14"/>
      <c r="P4" s="306"/>
      <c r="Q4" s="14"/>
      <c r="R4" s="14"/>
      <c r="S4" s="14"/>
      <c r="T4" s="14"/>
      <c r="U4" s="14"/>
      <c r="V4" s="14"/>
      <c r="W4" s="14"/>
      <c r="X4" s="14"/>
      <c r="Y4" s="14"/>
      <c r="Z4" s="14"/>
      <c r="AA4" s="14"/>
      <c r="AB4" s="14"/>
      <c r="AC4" s="14"/>
    </row>
    <row r="5" spans="1:29">
      <c r="A5" s="305"/>
      <c r="B5" s="14"/>
      <c r="C5" s="14"/>
      <c r="D5" s="14"/>
      <c r="E5" s="14"/>
      <c r="F5" s="14"/>
      <c r="G5" s="14"/>
      <c r="H5" s="14"/>
      <c r="I5" s="14"/>
      <c r="J5" s="14" t="s">
        <v>245</v>
      </c>
      <c r="K5" s="14"/>
      <c r="L5" s="1197" t="s">
        <v>246</v>
      </c>
      <c r="M5" s="1197"/>
      <c r="N5" s="1197"/>
      <c r="O5" s="1197"/>
      <c r="P5" s="1198"/>
      <c r="Q5" s="14"/>
      <c r="R5" s="14"/>
      <c r="S5" s="14"/>
      <c r="T5" s="14"/>
      <c r="U5" s="14"/>
      <c r="V5" s="14"/>
      <c r="W5" s="14"/>
      <c r="X5" s="14"/>
      <c r="Y5" s="14"/>
      <c r="Z5" s="14"/>
      <c r="AA5" s="14"/>
      <c r="AB5" s="14"/>
      <c r="AC5" s="14"/>
    </row>
    <row r="6" spans="1:29" ht="15" thickBot="1">
      <c r="A6" s="305"/>
      <c r="B6" s="14"/>
      <c r="C6" s="14"/>
      <c r="D6" s="14"/>
      <c r="E6" s="14"/>
      <c r="F6" s="14"/>
      <c r="G6" s="14"/>
      <c r="H6" s="14"/>
      <c r="I6" s="14"/>
      <c r="J6" s="14"/>
      <c r="K6" s="14"/>
      <c r="L6" s="14"/>
      <c r="M6" s="14"/>
      <c r="N6" s="14"/>
      <c r="O6" s="14"/>
      <c r="P6" s="306"/>
      <c r="Q6" s="14"/>
      <c r="R6" s="14"/>
      <c r="S6" s="14"/>
      <c r="T6" s="14"/>
      <c r="U6" s="14"/>
      <c r="V6" s="14"/>
      <c r="W6" s="14"/>
      <c r="X6" s="14"/>
      <c r="Y6" s="14"/>
      <c r="Z6" s="14"/>
      <c r="AA6" s="14"/>
      <c r="AB6" s="14"/>
      <c r="AC6" s="14"/>
    </row>
    <row r="7" spans="1:29" ht="15" thickTop="1">
      <c r="A7" s="305"/>
      <c r="B7" s="307" t="s">
        <v>247</v>
      </c>
      <c r="C7" s="1199">
        <f>Pricing!B59</f>
        <v>0</v>
      </c>
      <c r="D7" s="1200"/>
      <c r="E7" s="1200"/>
      <c r="F7" s="1200"/>
      <c r="G7" s="1200"/>
      <c r="H7" s="1201"/>
      <c r="I7" s="14"/>
      <c r="J7" s="1199" t="s">
        <v>248</v>
      </c>
      <c r="K7" s="1201"/>
      <c r="L7" s="1199">
        <f>Pricing!E59</f>
        <v>0</v>
      </c>
      <c r="M7" s="1200"/>
      <c r="N7" s="1200"/>
      <c r="O7" s="1201"/>
      <c r="P7" s="306"/>
      <c r="Q7" s="14"/>
      <c r="R7" s="14"/>
      <c r="S7" s="14"/>
      <c r="T7" s="14"/>
      <c r="U7" s="14"/>
      <c r="V7" s="14"/>
      <c r="W7" s="14"/>
      <c r="X7" s="14"/>
      <c r="Y7" s="14"/>
      <c r="Z7" s="14"/>
      <c r="AA7" s="14"/>
      <c r="AB7" s="14"/>
      <c r="AC7" s="14"/>
    </row>
    <row r="8" spans="1:29">
      <c r="A8" s="305"/>
      <c r="B8" s="308" t="s">
        <v>88</v>
      </c>
      <c r="C8" s="1202">
        <f>Pricing!B69</f>
        <v>0</v>
      </c>
      <c r="D8" s="1203"/>
      <c r="E8" s="1203"/>
      <c r="F8" s="1203"/>
      <c r="G8" s="1203"/>
      <c r="H8" s="1204"/>
      <c r="I8" s="14"/>
      <c r="J8" s="1202" t="s">
        <v>249</v>
      </c>
      <c r="K8" s="1204"/>
      <c r="L8" s="1205" t="str">
        <f>'Survey Front'!U6</f>
        <v xml:space="preserve">Day: </v>
      </c>
      <c r="M8" s="1203"/>
      <c r="N8" s="1203"/>
      <c r="O8" s="1204"/>
      <c r="P8" s="306"/>
      <c r="Q8" s="14"/>
      <c r="R8" s="14"/>
      <c r="S8" s="14"/>
      <c r="T8" s="14"/>
      <c r="U8" s="14"/>
      <c r="V8" s="14"/>
      <c r="W8" s="14"/>
      <c r="X8" s="14"/>
      <c r="Y8" s="14"/>
      <c r="Z8" s="14"/>
      <c r="AA8" s="14"/>
      <c r="AB8" s="14"/>
      <c r="AC8" s="14"/>
    </row>
    <row r="9" spans="1:29" ht="15" thickBot="1">
      <c r="A9" s="305"/>
      <c r="B9" s="309" t="s">
        <v>250</v>
      </c>
      <c r="C9" s="1206" t="str">
        <f>Pricing!B66</f>
        <v/>
      </c>
      <c r="D9" s="1207"/>
      <c r="E9" s="1207"/>
      <c r="F9" s="1207"/>
      <c r="G9" s="1207"/>
      <c r="H9" s="1208"/>
      <c r="I9" s="14"/>
      <c r="J9" s="1206" t="s">
        <v>251</v>
      </c>
      <c r="K9" s="1208"/>
      <c r="L9" s="1206">
        <f>'Survey Front'!W8</f>
        <v>0</v>
      </c>
      <c r="M9" s="1207"/>
      <c r="N9" s="1207"/>
      <c r="O9" s="1208"/>
      <c r="P9" s="306"/>
      <c r="Q9" s="14"/>
      <c r="R9" s="14"/>
      <c r="S9" s="14"/>
      <c r="T9" s="14"/>
      <c r="U9" s="14"/>
      <c r="V9" s="14"/>
      <c r="W9" s="14"/>
      <c r="X9" s="14"/>
      <c r="Y9" s="14"/>
      <c r="Z9" s="14"/>
      <c r="AA9" s="14"/>
      <c r="AB9" s="14"/>
      <c r="AC9" s="14"/>
    </row>
    <row r="10" spans="1:29" ht="15.6" thickTop="1" thickBot="1">
      <c r="A10" s="305"/>
      <c r="B10" s="14"/>
      <c r="C10" s="14"/>
      <c r="D10" s="14"/>
      <c r="E10" s="14"/>
      <c r="F10" s="14"/>
      <c r="G10" s="14"/>
      <c r="H10" s="14"/>
      <c r="I10" s="14"/>
      <c r="J10" s="14"/>
      <c r="K10" s="14"/>
      <c r="L10" s="14"/>
      <c r="M10" s="14"/>
      <c r="N10" s="14"/>
      <c r="O10" s="14"/>
      <c r="P10" s="306"/>
      <c r="Q10" s="14"/>
      <c r="R10" s="14"/>
      <c r="S10" s="14"/>
      <c r="T10" s="14"/>
      <c r="U10" s="14"/>
      <c r="V10" s="14"/>
      <c r="W10" s="14"/>
      <c r="X10" s="14"/>
      <c r="Y10" s="14"/>
      <c r="Z10" s="14"/>
      <c r="AA10" s="14"/>
      <c r="AB10" s="14"/>
      <c r="AC10" s="14"/>
    </row>
    <row r="11" spans="1:29" ht="15" thickBot="1">
      <c r="A11" s="305"/>
      <c r="B11" s="257" t="s">
        <v>252</v>
      </c>
      <c r="C11" s="258" t="s">
        <v>253</v>
      </c>
      <c r="D11" s="258" t="s">
        <v>2</v>
      </c>
      <c r="E11" s="258" t="s">
        <v>254</v>
      </c>
      <c r="F11" s="258" t="s">
        <v>255</v>
      </c>
      <c r="G11" s="258" t="s">
        <v>256</v>
      </c>
      <c r="H11" s="258" t="s">
        <v>9</v>
      </c>
      <c r="I11" s="258" t="s">
        <v>257</v>
      </c>
      <c r="J11" s="258" t="s">
        <v>258</v>
      </c>
      <c r="K11" s="258" t="s">
        <v>259</v>
      </c>
      <c r="L11" s="258" t="s">
        <v>260</v>
      </c>
      <c r="M11" s="258" t="s">
        <v>261</v>
      </c>
      <c r="N11" s="1209"/>
      <c r="O11" s="1210"/>
      <c r="P11" s="256"/>
    </row>
    <row r="12" spans="1:29">
      <c r="A12" s="305"/>
      <c r="B12" s="259" t="str">
        <f>IF('Blind Pricing'!B12="","",'Blind Pricing'!B12)</f>
        <v/>
      </c>
      <c r="C12" s="260" t="str">
        <f>IF('Blind Pricing'!C12="","",'Blind Pricing'!C12)</f>
        <v/>
      </c>
      <c r="D12" s="260" t="str">
        <f>IF('Blind Pricing'!D12="","",'Blind Pricing'!D12)</f>
        <v/>
      </c>
      <c r="E12" s="260" t="str">
        <f>IF('Blind Pricing'!E12="","",'Blind Pricing'!E12)</f>
        <v/>
      </c>
      <c r="F12" s="260" t="str">
        <f>IF('Blind Pricing'!F12="","",'Blind Pricing'!F12)</f>
        <v/>
      </c>
      <c r="G12" s="260" t="str">
        <f>IF('Blind Pricing'!G12="","",'Blind Pricing'!G12)</f>
        <v/>
      </c>
      <c r="H12" s="260"/>
      <c r="I12" s="260"/>
      <c r="J12" s="260"/>
      <c r="K12" s="260" t="str">
        <f>IF('Blind Pricing'!K12="","",'Blind Pricing'!K12)</f>
        <v/>
      </c>
      <c r="L12" s="260" t="str">
        <f>IF('Blind Pricing'!L12="","",'Blind Pricing'!L12)</f>
        <v/>
      </c>
      <c r="M12" s="260" t="str">
        <f>IF('Blind Pricing'!M12="","",'Blind Pricing'!M12)</f>
        <v/>
      </c>
      <c r="N12" s="1211"/>
      <c r="O12" s="1212"/>
      <c r="P12" s="306"/>
      <c r="Q12" s="14"/>
      <c r="R12" s="14"/>
      <c r="S12" s="14"/>
      <c r="T12" s="14"/>
      <c r="U12" s="14"/>
      <c r="V12" s="14"/>
      <c r="W12" s="14"/>
      <c r="X12" s="14"/>
      <c r="Y12" s="14"/>
      <c r="Z12" s="14"/>
      <c r="AA12" s="14"/>
      <c r="AB12" s="14"/>
      <c r="AC12" s="14"/>
    </row>
    <row r="13" spans="1:29">
      <c r="A13" s="305"/>
      <c r="B13" s="261" t="str">
        <f>IF('Blind Pricing'!B13="","",'Blind Pricing'!B13)</f>
        <v/>
      </c>
      <c r="C13" s="262" t="str">
        <f>IF('Blind Pricing'!C13="","",'Blind Pricing'!C13)</f>
        <v/>
      </c>
      <c r="D13" s="262" t="str">
        <f>IF('Blind Pricing'!D13="","",'Blind Pricing'!D13)</f>
        <v/>
      </c>
      <c r="E13" s="262" t="str">
        <f>IF('Blind Pricing'!E13="","",'Blind Pricing'!E13)</f>
        <v/>
      </c>
      <c r="F13" s="262" t="str">
        <f>IF('Blind Pricing'!F13="","",'Blind Pricing'!F13)</f>
        <v/>
      </c>
      <c r="G13" s="262" t="str">
        <f>IF('Blind Pricing'!G13="","",'Blind Pricing'!G13)</f>
        <v/>
      </c>
      <c r="H13" s="262"/>
      <c r="I13" s="262"/>
      <c r="J13" s="262"/>
      <c r="K13" s="262" t="str">
        <f>IF('Blind Pricing'!K13="","",'Blind Pricing'!K13)</f>
        <v/>
      </c>
      <c r="L13" s="262" t="str">
        <f>IF('Blind Pricing'!L13="","",'Blind Pricing'!L13)</f>
        <v/>
      </c>
      <c r="M13" s="262" t="str">
        <f>IF('Blind Pricing'!M13="","",'Blind Pricing'!M13)</f>
        <v/>
      </c>
      <c r="N13" s="1195"/>
      <c r="O13" s="1196"/>
      <c r="P13" s="306"/>
      <c r="Q13" s="14"/>
      <c r="R13" s="14"/>
      <c r="S13" s="14"/>
      <c r="T13" s="14"/>
      <c r="U13" s="14"/>
      <c r="V13" s="14"/>
      <c r="W13" s="14"/>
      <c r="X13" s="14"/>
      <c r="Y13" s="14"/>
      <c r="Z13" s="14"/>
      <c r="AA13" s="14"/>
      <c r="AB13" s="14"/>
      <c r="AC13" s="14"/>
    </row>
    <row r="14" spans="1:29">
      <c r="A14" s="305"/>
      <c r="B14" s="263" t="str">
        <f>IF('Blind Pricing'!B14="","",'Blind Pricing'!B14)</f>
        <v/>
      </c>
      <c r="C14" s="264" t="str">
        <f>IF('Blind Pricing'!C14="","",'Blind Pricing'!C14)</f>
        <v/>
      </c>
      <c r="D14" s="264" t="str">
        <f>IF('Blind Pricing'!D14="","",'Blind Pricing'!D14)</f>
        <v/>
      </c>
      <c r="E14" s="264" t="str">
        <f>IF('Blind Pricing'!E14="","",'Blind Pricing'!E14)</f>
        <v/>
      </c>
      <c r="F14" s="264" t="str">
        <f>IF('Blind Pricing'!F14="","",'Blind Pricing'!F14)</f>
        <v/>
      </c>
      <c r="G14" s="264" t="str">
        <f>IF('Blind Pricing'!G14="","",'Blind Pricing'!G14)</f>
        <v/>
      </c>
      <c r="H14" s="264"/>
      <c r="I14" s="264"/>
      <c r="J14" s="264"/>
      <c r="K14" s="264" t="str">
        <f>IF('Blind Pricing'!K14="","",'Blind Pricing'!K14)</f>
        <v/>
      </c>
      <c r="L14" s="264" t="str">
        <f>IF('Blind Pricing'!L14="","",'Blind Pricing'!L14)</f>
        <v/>
      </c>
      <c r="M14" s="264" t="str">
        <f>IF('Blind Pricing'!M14="","",'Blind Pricing'!M14)</f>
        <v/>
      </c>
      <c r="N14" s="1215"/>
      <c r="O14" s="1216"/>
      <c r="P14" s="306"/>
      <c r="Q14" s="14"/>
      <c r="R14" s="14"/>
      <c r="S14" s="14"/>
      <c r="T14" s="14"/>
      <c r="U14" s="14"/>
      <c r="V14" s="14"/>
      <c r="W14" s="14"/>
      <c r="X14" s="14"/>
      <c r="Y14" s="14"/>
      <c r="Z14" s="14"/>
      <c r="AA14" s="14"/>
      <c r="AB14" s="14"/>
      <c r="AC14" s="14"/>
    </row>
    <row r="15" spans="1:29">
      <c r="A15" s="305"/>
      <c r="B15" s="261" t="str">
        <f>IF('Blind Pricing'!B15="","",'Blind Pricing'!B15)</f>
        <v/>
      </c>
      <c r="C15" s="262" t="str">
        <f>IF('Blind Pricing'!C15="","",'Blind Pricing'!C15)</f>
        <v/>
      </c>
      <c r="D15" s="262" t="str">
        <f>IF('Blind Pricing'!D15="","",'Blind Pricing'!D15)</f>
        <v/>
      </c>
      <c r="E15" s="262" t="str">
        <f>IF('Blind Pricing'!E15="","",'Blind Pricing'!E15)</f>
        <v/>
      </c>
      <c r="F15" s="262" t="str">
        <f>IF('Blind Pricing'!F15="","",'Blind Pricing'!F15)</f>
        <v/>
      </c>
      <c r="G15" s="262" t="str">
        <f>IF('Blind Pricing'!G15="","",'Blind Pricing'!G15)</f>
        <v/>
      </c>
      <c r="H15" s="262"/>
      <c r="I15" s="262"/>
      <c r="J15" s="262"/>
      <c r="K15" s="262" t="str">
        <f>IF('Blind Pricing'!K15="","",'Blind Pricing'!K15)</f>
        <v/>
      </c>
      <c r="L15" s="262" t="str">
        <f>IF('Blind Pricing'!L15="","",'Blind Pricing'!L15)</f>
        <v/>
      </c>
      <c r="M15" s="262" t="str">
        <f>IF('Blind Pricing'!M15="","",'Blind Pricing'!M15)</f>
        <v/>
      </c>
      <c r="N15" s="1195"/>
      <c r="O15" s="1196"/>
      <c r="P15" s="306"/>
      <c r="Q15" s="14"/>
      <c r="R15" s="14"/>
      <c r="S15" s="14"/>
      <c r="T15" s="14"/>
      <c r="U15" s="14"/>
      <c r="V15" s="14"/>
      <c r="W15" s="14"/>
      <c r="X15" s="14"/>
      <c r="Y15" s="14"/>
      <c r="Z15" s="14"/>
      <c r="AA15" s="14"/>
      <c r="AB15" s="14"/>
      <c r="AC15" s="14"/>
    </row>
    <row r="16" spans="1:29">
      <c r="A16" s="305"/>
      <c r="B16" s="264" t="str">
        <f>IF('Blind Pricing'!B16="","",'Blind Pricing'!B16)</f>
        <v/>
      </c>
      <c r="C16" s="264" t="str">
        <f>IF('Blind Pricing'!C16="","",'Blind Pricing'!C16)</f>
        <v/>
      </c>
      <c r="D16" s="264" t="str">
        <f>IF('Blind Pricing'!D16="","",'Blind Pricing'!D16)</f>
        <v/>
      </c>
      <c r="E16" s="264" t="str">
        <f>IF('Blind Pricing'!E16="","",'Blind Pricing'!E16)</f>
        <v/>
      </c>
      <c r="F16" s="264" t="str">
        <f>IF('Blind Pricing'!F16="","",'Blind Pricing'!F16)</f>
        <v/>
      </c>
      <c r="G16" s="264" t="str">
        <f>IF('Blind Pricing'!G16="","",'Blind Pricing'!G16)</f>
        <v/>
      </c>
      <c r="H16" s="264"/>
      <c r="I16" s="264"/>
      <c r="J16" s="264"/>
      <c r="K16" s="264" t="str">
        <f>IF('Blind Pricing'!K16="","",'Blind Pricing'!K16)</f>
        <v/>
      </c>
      <c r="L16" s="264" t="str">
        <f>IF('Blind Pricing'!L16="","",'Blind Pricing'!L16)</f>
        <v/>
      </c>
      <c r="M16" s="264" t="str">
        <f>IF('Blind Pricing'!M16="","",'Blind Pricing'!M16)</f>
        <v/>
      </c>
      <c r="N16" s="1215"/>
      <c r="O16" s="1216"/>
      <c r="P16" s="306"/>
      <c r="Q16" s="14"/>
      <c r="R16" s="14"/>
      <c r="S16" s="14"/>
      <c r="T16" s="14"/>
      <c r="U16" s="14"/>
      <c r="V16" s="14"/>
      <c r="W16" s="14"/>
      <c r="X16" s="14"/>
      <c r="Y16" s="14"/>
      <c r="Z16" s="14"/>
      <c r="AA16" s="14"/>
      <c r="AB16" s="14"/>
      <c r="AC16" s="14"/>
    </row>
    <row r="17" spans="1:29">
      <c r="A17" s="305"/>
      <c r="B17" s="262" t="str">
        <f>IF('Blind Pricing'!B17="","",'Blind Pricing'!B17)</f>
        <v/>
      </c>
      <c r="C17" s="262" t="str">
        <f>IF('Blind Pricing'!C17="","",'Blind Pricing'!C17)</f>
        <v/>
      </c>
      <c r="D17" s="262" t="str">
        <f>IF('Blind Pricing'!D17="","",'Blind Pricing'!D17)</f>
        <v/>
      </c>
      <c r="E17" s="262" t="str">
        <f>IF('Blind Pricing'!E17="","",'Blind Pricing'!E17)</f>
        <v/>
      </c>
      <c r="F17" s="262" t="str">
        <f>IF('Blind Pricing'!F17="","",'Blind Pricing'!F17)</f>
        <v/>
      </c>
      <c r="G17" s="262" t="str">
        <f>IF('Blind Pricing'!G17="","",'Blind Pricing'!G17)</f>
        <v/>
      </c>
      <c r="H17" s="262"/>
      <c r="I17" s="262"/>
      <c r="J17" s="262"/>
      <c r="K17" s="262" t="str">
        <f>IF('Blind Pricing'!K17="","",'Blind Pricing'!K17)</f>
        <v/>
      </c>
      <c r="L17" s="262" t="str">
        <f>IF('Blind Pricing'!L17="","",'Blind Pricing'!L17)</f>
        <v/>
      </c>
      <c r="M17" s="262" t="str">
        <f>IF('Blind Pricing'!M17="","",'Blind Pricing'!M17)</f>
        <v/>
      </c>
      <c r="N17" s="1195"/>
      <c r="O17" s="1196"/>
      <c r="P17" s="306"/>
      <c r="Q17" s="14"/>
      <c r="R17" s="14"/>
      <c r="S17" s="14"/>
      <c r="T17" s="14"/>
      <c r="U17" s="14"/>
      <c r="V17" s="14"/>
      <c r="W17" s="14"/>
      <c r="X17" s="14"/>
      <c r="Y17" s="14"/>
      <c r="Z17" s="14"/>
      <c r="AA17" s="14"/>
      <c r="AB17" s="14"/>
      <c r="AC17" s="14"/>
    </row>
    <row r="18" spans="1:29">
      <c r="A18" s="305"/>
      <c r="B18" s="264" t="str">
        <f>IF('Blind Pricing'!B18="","",'Blind Pricing'!B18)</f>
        <v/>
      </c>
      <c r="C18" s="264" t="str">
        <f>IF('Blind Pricing'!C18="","",'Blind Pricing'!C18)</f>
        <v/>
      </c>
      <c r="D18" s="264" t="str">
        <f>IF('Blind Pricing'!D18="","",'Blind Pricing'!D18)</f>
        <v/>
      </c>
      <c r="E18" s="264" t="str">
        <f>IF('Blind Pricing'!E18="","",'Blind Pricing'!E18)</f>
        <v/>
      </c>
      <c r="F18" s="264" t="str">
        <f>IF('Blind Pricing'!F18="","",'Blind Pricing'!F18)</f>
        <v/>
      </c>
      <c r="G18" s="264" t="str">
        <f>IF('Blind Pricing'!G18="","",'Blind Pricing'!G18)</f>
        <v/>
      </c>
      <c r="H18" s="264"/>
      <c r="I18" s="264"/>
      <c r="J18" s="264"/>
      <c r="K18" s="264" t="str">
        <f>IF('Blind Pricing'!K18="","",'Blind Pricing'!K18)</f>
        <v/>
      </c>
      <c r="L18" s="264" t="str">
        <f>IF('Blind Pricing'!L18="","",'Blind Pricing'!L18)</f>
        <v/>
      </c>
      <c r="M18" s="264" t="str">
        <f>IF('Blind Pricing'!M18="","",'Blind Pricing'!M18)</f>
        <v/>
      </c>
      <c r="N18" s="1215"/>
      <c r="O18" s="1216"/>
      <c r="P18" s="306"/>
      <c r="Q18" s="14"/>
      <c r="R18" s="14"/>
      <c r="S18" s="14"/>
      <c r="T18" s="14"/>
      <c r="U18" s="14"/>
      <c r="V18" s="14"/>
      <c r="W18" s="14"/>
      <c r="X18" s="14"/>
      <c r="Y18" s="14"/>
      <c r="Z18" s="14"/>
      <c r="AA18" s="14"/>
      <c r="AB18" s="14"/>
      <c r="AC18" s="14"/>
    </row>
    <row r="19" spans="1:29">
      <c r="A19" s="305"/>
      <c r="B19" s="262" t="str">
        <f>IF('Blind Pricing'!B19="","",'Blind Pricing'!B19)</f>
        <v/>
      </c>
      <c r="C19" s="262" t="str">
        <f>IF('Blind Pricing'!C19="","",'Blind Pricing'!C19)</f>
        <v/>
      </c>
      <c r="D19" s="262" t="str">
        <f>IF('Blind Pricing'!D19="","",'Blind Pricing'!D19)</f>
        <v/>
      </c>
      <c r="E19" s="262" t="str">
        <f>IF('Blind Pricing'!E19="","",'Blind Pricing'!E19)</f>
        <v/>
      </c>
      <c r="F19" s="262" t="str">
        <f>IF('Blind Pricing'!F19="","",'Blind Pricing'!F19)</f>
        <v/>
      </c>
      <c r="G19" s="262" t="str">
        <f>IF('Blind Pricing'!G19="","",'Blind Pricing'!G19)</f>
        <v/>
      </c>
      <c r="H19" s="262"/>
      <c r="I19" s="262"/>
      <c r="J19" s="262"/>
      <c r="K19" s="262" t="str">
        <f>IF('Blind Pricing'!K19="","",'Blind Pricing'!K19)</f>
        <v/>
      </c>
      <c r="L19" s="262" t="str">
        <f>IF('Blind Pricing'!L19="","",'Blind Pricing'!L19)</f>
        <v/>
      </c>
      <c r="M19" s="262" t="str">
        <f>IF('Blind Pricing'!M19="","",'Blind Pricing'!M19)</f>
        <v/>
      </c>
      <c r="N19" s="1195"/>
      <c r="O19" s="1196"/>
      <c r="P19" s="306"/>
      <c r="Q19" s="14"/>
      <c r="R19" s="14"/>
      <c r="S19" s="14"/>
      <c r="T19" s="14"/>
      <c r="U19" s="14"/>
      <c r="V19" s="14"/>
      <c r="W19" s="14"/>
      <c r="X19" s="14"/>
      <c r="Y19" s="14"/>
      <c r="Z19" s="14"/>
      <c r="AA19" s="14"/>
      <c r="AB19" s="14"/>
      <c r="AC19" s="14"/>
    </row>
    <row r="20" spans="1:29">
      <c r="A20" s="305"/>
      <c r="B20" s="264" t="str">
        <f>IF('Blind Pricing'!B20="","",'Blind Pricing'!B20)</f>
        <v/>
      </c>
      <c r="C20" s="264" t="str">
        <f>IF('Blind Pricing'!C20="","",'Blind Pricing'!C20)</f>
        <v/>
      </c>
      <c r="D20" s="264" t="str">
        <f>IF('Blind Pricing'!D20="","",'Blind Pricing'!D20)</f>
        <v/>
      </c>
      <c r="E20" s="264" t="str">
        <f>IF('Blind Pricing'!E20="","",'Blind Pricing'!E20)</f>
        <v/>
      </c>
      <c r="F20" s="264" t="str">
        <f>IF('Blind Pricing'!F20="","",'Blind Pricing'!F20)</f>
        <v/>
      </c>
      <c r="G20" s="264" t="str">
        <f>IF('Blind Pricing'!G20="","",'Blind Pricing'!G20)</f>
        <v/>
      </c>
      <c r="H20" s="264"/>
      <c r="I20" s="264"/>
      <c r="J20" s="264"/>
      <c r="K20" s="264" t="str">
        <f>IF('Blind Pricing'!K20="","",'Blind Pricing'!K20)</f>
        <v/>
      </c>
      <c r="L20" s="264" t="str">
        <f>IF('Blind Pricing'!L20="","",'Blind Pricing'!L20)</f>
        <v/>
      </c>
      <c r="M20" s="264" t="str">
        <f>IF('Blind Pricing'!M20="","",'Blind Pricing'!M20)</f>
        <v/>
      </c>
      <c r="N20" s="1215"/>
      <c r="O20" s="1216"/>
      <c r="P20" s="306"/>
      <c r="Q20" s="14"/>
      <c r="R20" s="14"/>
      <c r="S20" s="14"/>
      <c r="T20" s="14"/>
      <c r="U20" s="14"/>
      <c r="V20" s="14"/>
      <c r="W20" s="14"/>
      <c r="X20" s="14"/>
      <c r="Y20" s="14"/>
      <c r="Z20" s="14"/>
      <c r="AA20" s="14"/>
      <c r="AB20" s="14"/>
      <c r="AC20" s="14"/>
    </row>
    <row r="21" spans="1:29">
      <c r="A21" s="305"/>
      <c r="B21" s="262" t="str">
        <f>IF('Blind Pricing'!B21="","",'Blind Pricing'!B21)</f>
        <v/>
      </c>
      <c r="C21" s="262" t="str">
        <f>IF('Blind Pricing'!C21="","",'Blind Pricing'!C21)</f>
        <v/>
      </c>
      <c r="D21" s="262" t="str">
        <f>IF('Blind Pricing'!D21="","",'Blind Pricing'!D21)</f>
        <v/>
      </c>
      <c r="E21" s="262" t="str">
        <f>IF('Blind Pricing'!E21="","",'Blind Pricing'!E21)</f>
        <v/>
      </c>
      <c r="F21" s="262" t="str">
        <f>IF('Blind Pricing'!F21="","",'Blind Pricing'!F21)</f>
        <v/>
      </c>
      <c r="G21" s="262" t="str">
        <f>IF('Blind Pricing'!G21="","",'Blind Pricing'!G21)</f>
        <v/>
      </c>
      <c r="H21" s="262"/>
      <c r="I21" s="262"/>
      <c r="J21" s="262"/>
      <c r="K21" s="262" t="str">
        <f>IF('Blind Pricing'!K21="","",'Blind Pricing'!K21)</f>
        <v/>
      </c>
      <c r="L21" s="262" t="str">
        <f>IF('Blind Pricing'!L21="","",'Blind Pricing'!L21)</f>
        <v/>
      </c>
      <c r="M21" s="262" t="str">
        <f>IF('Blind Pricing'!M21="","",'Blind Pricing'!M21)</f>
        <v/>
      </c>
      <c r="N21" s="1195"/>
      <c r="O21" s="1196"/>
      <c r="P21" s="306"/>
      <c r="Q21" s="14"/>
      <c r="R21" s="14"/>
      <c r="S21" s="14"/>
      <c r="T21" s="14"/>
      <c r="U21" s="14"/>
      <c r="V21" s="14"/>
      <c r="W21" s="14"/>
      <c r="X21" s="14"/>
      <c r="Y21" s="14"/>
      <c r="Z21" s="14"/>
      <c r="AA21" s="14"/>
      <c r="AB21" s="14"/>
      <c r="AC21" s="14"/>
    </row>
    <row r="22" spans="1:29">
      <c r="A22" s="305"/>
      <c r="B22" s="264" t="str">
        <f>IF('Blind Pricing'!B22="","",'Blind Pricing'!B22)</f>
        <v/>
      </c>
      <c r="C22" s="264" t="str">
        <f>IF('Blind Pricing'!C22="","",'Blind Pricing'!C22)</f>
        <v/>
      </c>
      <c r="D22" s="264" t="str">
        <f>IF('Blind Pricing'!D22="","",'Blind Pricing'!D22)</f>
        <v/>
      </c>
      <c r="E22" s="264" t="str">
        <f>IF('Blind Pricing'!E22="","",'Blind Pricing'!E22)</f>
        <v/>
      </c>
      <c r="F22" s="264" t="str">
        <f>IF('Blind Pricing'!F22="","",'Blind Pricing'!F22)</f>
        <v/>
      </c>
      <c r="G22" s="264" t="str">
        <f>IF('Blind Pricing'!G22="","",'Blind Pricing'!G22)</f>
        <v/>
      </c>
      <c r="H22" s="264"/>
      <c r="I22" s="264"/>
      <c r="J22" s="264"/>
      <c r="K22" s="264" t="str">
        <f>IF('Blind Pricing'!K22="","",'Blind Pricing'!K22)</f>
        <v/>
      </c>
      <c r="L22" s="264" t="str">
        <f>IF('Blind Pricing'!L22="","",'Blind Pricing'!L22)</f>
        <v/>
      </c>
      <c r="M22" s="264" t="str">
        <f>IF('Blind Pricing'!M22="","",'Blind Pricing'!M22)</f>
        <v/>
      </c>
      <c r="N22" s="1215"/>
      <c r="O22" s="1216"/>
      <c r="P22" s="306"/>
      <c r="Q22" s="14"/>
      <c r="R22" s="14"/>
      <c r="S22" s="14"/>
      <c r="T22" s="14"/>
      <c r="U22" s="14"/>
      <c r="V22" s="14"/>
      <c r="W22" s="14"/>
      <c r="X22" s="14"/>
      <c r="Y22" s="14"/>
      <c r="Z22" s="14"/>
      <c r="AA22" s="14"/>
      <c r="AB22" s="14"/>
      <c r="AC22" s="14"/>
    </row>
    <row r="23" spans="1:29">
      <c r="A23" s="305"/>
      <c r="B23" s="262" t="str">
        <f>IF('Blind Pricing'!B23="","",'Blind Pricing'!B23)</f>
        <v/>
      </c>
      <c r="C23" s="262" t="str">
        <f>IF('Blind Pricing'!C23="","",'Blind Pricing'!C23)</f>
        <v/>
      </c>
      <c r="D23" s="262" t="str">
        <f>IF('Blind Pricing'!D23="","",'Blind Pricing'!D23)</f>
        <v/>
      </c>
      <c r="E23" s="262" t="str">
        <f>IF('Blind Pricing'!E23="","",'Blind Pricing'!E23)</f>
        <v/>
      </c>
      <c r="F23" s="262" t="str">
        <f>IF('Blind Pricing'!F23="","",'Blind Pricing'!F23)</f>
        <v/>
      </c>
      <c r="G23" s="262" t="str">
        <f>IF('Blind Pricing'!G23="","",'Blind Pricing'!G23)</f>
        <v/>
      </c>
      <c r="H23" s="262"/>
      <c r="I23" s="262"/>
      <c r="J23" s="262"/>
      <c r="K23" s="262" t="str">
        <f>IF('Blind Pricing'!K23="","",'Blind Pricing'!K23)</f>
        <v/>
      </c>
      <c r="L23" s="262" t="str">
        <f>IF('Blind Pricing'!L23="","",'Blind Pricing'!L23)</f>
        <v/>
      </c>
      <c r="M23" s="262" t="str">
        <f>IF('Blind Pricing'!M23="","",'Blind Pricing'!M23)</f>
        <v/>
      </c>
      <c r="N23" s="1195"/>
      <c r="O23" s="1196"/>
      <c r="P23" s="306"/>
      <c r="Q23" s="14"/>
      <c r="R23" s="14"/>
      <c r="S23" s="14"/>
      <c r="T23" s="14"/>
      <c r="U23" s="14"/>
      <c r="V23" s="14"/>
      <c r="W23" s="14"/>
      <c r="X23" s="14"/>
      <c r="Y23" s="14"/>
      <c r="Z23" s="14"/>
      <c r="AA23" s="14"/>
      <c r="AB23" s="14"/>
      <c r="AC23" s="14"/>
    </row>
    <row r="24" spans="1:29">
      <c r="A24" s="305"/>
      <c r="B24" s="264" t="str">
        <f>IF('Blind Pricing'!B24="","",'Blind Pricing'!B24)</f>
        <v/>
      </c>
      <c r="C24" s="264" t="str">
        <f>IF('Blind Pricing'!C24="","",'Blind Pricing'!C24)</f>
        <v/>
      </c>
      <c r="D24" s="264" t="str">
        <f>IF('Blind Pricing'!D24="","",'Blind Pricing'!D24)</f>
        <v/>
      </c>
      <c r="E24" s="264" t="str">
        <f>IF('Blind Pricing'!E24="","",'Blind Pricing'!E24)</f>
        <v/>
      </c>
      <c r="F24" s="264" t="str">
        <f>IF('Blind Pricing'!F24="","",'Blind Pricing'!F24)</f>
        <v/>
      </c>
      <c r="G24" s="264" t="str">
        <f>IF('Blind Pricing'!G24="","",'Blind Pricing'!G24)</f>
        <v/>
      </c>
      <c r="H24" s="264"/>
      <c r="I24" s="264"/>
      <c r="J24" s="264"/>
      <c r="K24" s="264" t="str">
        <f>IF('Blind Pricing'!K24="","",'Blind Pricing'!K24)</f>
        <v/>
      </c>
      <c r="L24" s="264" t="str">
        <f>IF('Blind Pricing'!L24="","",'Blind Pricing'!L24)</f>
        <v/>
      </c>
      <c r="M24" s="264" t="str">
        <f>IF('Blind Pricing'!M24="","",'Blind Pricing'!M24)</f>
        <v/>
      </c>
      <c r="N24" s="1215"/>
      <c r="O24" s="1216"/>
      <c r="P24" s="306"/>
      <c r="Q24" s="14"/>
      <c r="R24" s="14"/>
      <c r="S24" s="14"/>
      <c r="T24" s="14"/>
      <c r="U24" s="14"/>
      <c r="V24" s="14"/>
      <c r="W24" s="14"/>
      <c r="X24" s="14"/>
      <c r="Y24" s="14"/>
      <c r="Z24" s="14"/>
      <c r="AA24" s="14"/>
      <c r="AB24" s="14"/>
      <c r="AC24" s="14"/>
    </row>
    <row r="25" spans="1:29" ht="15" thickBot="1">
      <c r="A25" s="305"/>
      <c r="B25" s="266" t="str">
        <f>IF('Blind Pricing'!B25="","",'Blind Pricing'!B25)</f>
        <v/>
      </c>
      <c r="C25" s="266" t="str">
        <f>IF('Blind Pricing'!C25="","",'Blind Pricing'!C25)</f>
        <v/>
      </c>
      <c r="D25" s="266" t="str">
        <f>IF('Blind Pricing'!D25="","",'Blind Pricing'!D25)</f>
        <v/>
      </c>
      <c r="E25" s="266" t="str">
        <f>IF('Blind Pricing'!E25="","",'Blind Pricing'!E25)</f>
        <v/>
      </c>
      <c r="F25" s="266" t="str">
        <f>IF('Blind Pricing'!F25="","",'Blind Pricing'!F25)</f>
        <v/>
      </c>
      <c r="G25" s="266" t="str">
        <f>IF('Blind Pricing'!G25="","",'Blind Pricing'!G25)</f>
        <v/>
      </c>
      <c r="H25" s="266"/>
      <c r="I25" s="266"/>
      <c r="J25" s="266"/>
      <c r="K25" s="266" t="str">
        <f>IF('Blind Pricing'!K25="","",'Blind Pricing'!K25)</f>
        <v/>
      </c>
      <c r="L25" s="266" t="str">
        <f>IF('Blind Pricing'!L25="","",'Blind Pricing'!L25)</f>
        <v/>
      </c>
      <c r="M25" s="266" t="str">
        <f>IF('Blind Pricing'!M25="","",'Blind Pricing'!M25)</f>
        <v/>
      </c>
      <c r="N25" s="1213"/>
      <c r="O25" s="1214"/>
      <c r="P25" s="306"/>
      <c r="Q25" s="14"/>
      <c r="R25" s="14"/>
      <c r="S25" s="14"/>
      <c r="T25" s="14"/>
      <c r="U25" s="14"/>
      <c r="V25" s="14"/>
      <c r="W25" s="14"/>
      <c r="X25" s="14"/>
      <c r="Y25" s="14"/>
      <c r="Z25" s="14"/>
      <c r="AA25" s="14"/>
      <c r="AB25" s="14"/>
      <c r="AC25" s="14"/>
    </row>
    <row r="26" spans="1:29" ht="15" thickBot="1">
      <c r="A26" s="305"/>
      <c r="P26" s="306"/>
      <c r="Q26" s="14"/>
      <c r="R26" s="14"/>
      <c r="S26" s="14"/>
      <c r="T26" s="14"/>
      <c r="U26" s="14"/>
      <c r="V26" s="14"/>
      <c r="W26" s="14"/>
      <c r="X26" s="14"/>
      <c r="Y26" s="14"/>
      <c r="Z26" s="14"/>
      <c r="AA26" s="14"/>
      <c r="AB26" s="14"/>
      <c r="AC26" s="14"/>
    </row>
    <row r="27" spans="1:29" ht="15" thickTop="1">
      <c r="A27" s="305"/>
      <c r="B27" s="1217" t="s">
        <v>262</v>
      </c>
      <c r="C27" s="1218"/>
      <c r="D27" s="1218"/>
      <c r="E27" s="1218"/>
      <c r="F27" s="1218"/>
      <c r="G27" s="1219"/>
      <c r="H27" s="1226" t="s">
        <v>263</v>
      </c>
      <c r="I27" s="1218"/>
      <c r="J27" s="1218"/>
      <c r="K27" s="1219"/>
      <c r="L27" s="1227" t="s">
        <v>264</v>
      </c>
      <c r="M27" s="1227"/>
      <c r="N27" s="1227"/>
      <c r="O27" s="267"/>
      <c r="P27" s="306"/>
      <c r="Q27" s="14"/>
      <c r="R27" s="14"/>
      <c r="S27" s="14"/>
      <c r="T27" s="14"/>
      <c r="U27" s="14"/>
      <c r="V27" s="14"/>
      <c r="W27" s="14"/>
      <c r="X27" s="14"/>
      <c r="Y27" s="14"/>
      <c r="Z27" s="14"/>
      <c r="AA27" s="14"/>
      <c r="AB27" s="14"/>
      <c r="AC27" s="14"/>
    </row>
    <row r="28" spans="1:29">
      <c r="A28" s="305"/>
      <c r="B28" s="1220"/>
      <c r="C28" s="1221"/>
      <c r="D28" s="1221"/>
      <c r="E28" s="1221"/>
      <c r="F28" s="1221"/>
      <c r="G28" s="1222"/>
      <c r="H28" s="1220"/>
      <c r="I28" s="1221"/>
      <c r="J28" s="1221"/>
      <c r="K28" s="1222"/>
      <c r="L28" s="1228"/>
      <c r="M28" s="1228"/>
      <c r="N28" s="1228"/>
      <c r="O28" s="116"/>
      <c r="P28" s="306"/>
      <c r="Q28" s="14"/>
      <c r="R28" s="14"/>
      <c r="S28" s="14"/>
      <c r="T28" s="14"/>
      <c r="U28" s="14"/>
      <c r="V28" s="14"/>
      <c r="W28" s="14"/>
      <c r="X28" s="14"/>
      <c r="Y28" s="14"/>
      <c r="Z28" s="14"/>
      <c r="AA28" s="14"/>
      <c r="AB28" s="14"/>
      <c r="AC28" s="14"/>
    </row>
    <row r="29" spans="1:29">
      <c r="A29" s="305"/>
      <c r="B29" s="1220"/>
      <c r="C29" s="1221"/>
      <c r="D29" s="1221"/>
      <c r="E29" s="1221"/>
      <c r="F29" s="1221"/>
      <c r="G29" s="1222"/>
      <c r="H29" s="1220"/>
      <c r="I29" s="1221"/>
      <c r="J29" s="1221"/>
      <c r="K29" s="1222"/>
      <c r="L29" s="1229" t="s">
        <v>265</v>
      </c>
      <c r="M29" s="1229"/>
      <c r="N29" s="1229"/>
      <c r="O29" s="268"/>
      <c r="P29" s="306"/>
      <c r="Q29" s="14"/>
      <c r="R29" s="14"/>
      <c r="S29" s="14"/>
      <c r="T29" s="14"/>
      <c r="U29" s="14"/>
      <c r="V29" s="14"/>
      <c r="W29" s="14"/>
      <c r="X29" s="14"/>
      <c r="Y29" s="14"/>
      <c r="Z29" s="14"/>
      <c r="AA29" s="14"/>
      <c r="AB29" s="14"/>
      <c r="AC29" s="14"/>
    </row>
    <row r="30" spans="1:29">
      <c r="A30" s="305"/>
      <c r="B30" s="1220"/>
      <c r="C30" s="1221"/>
      <c r="D30" s="1221"/>
      <c r="E30" s="1221"/>
      <c r="F30" s="1221"/>
      <c r="G30" s="1222"/>
      <c r="H30" s="1220"/>
      <c r="I30" s="1221"/>
      <c r="J30" s="1221"/>
      <c r="K30" s="1222"/>
      <c r="L30" s="269" t="s">
        <v>266</v>
      </c>
      <c r="M30" s="272"/>
      <c r="N30" s="270" t="s">
        <v>226</v>
      </c>
      <c r="O30" s="268"/>
      <c r="P30" s="306"/>
      <c r="Q30" s="14"/>
      <c r="R30" s="14"/>
      <c r="S30" s="14"/>
      <c r="T30" s="14"/>
      <c r="U30" s="14"/>
      <c r="V30" s="14"/>
      <c r="W30" s="14"/>
      <c r="X30" s="14"/>
      <c r="Y30" s="14"/>
      <c r="Z30" s="14"/>
      <c r="AA30" s="14"/>
      <c r="AB30" s="14"/>
      <c r="AC30" s="14"/>
    </row>
    <row r="31" spans="1:29" ht="15" thickBot="1">
      <c r="A31" s="305"/>
      <c r="B31" s="1223"/>
      <c r="C31" s="1224"/>
      <c r="D31" s="1224"/>
      <c r="E31" s="1224"/>
      <c r="F31" s="1224"/>
      <c r="G31" s="1225"/>
      <c r="H31" s="1223"/>
      <c r="I31" s="1224"/>
      <c r="J31" s="1224"/>
      <c r="K31" s="1225"/>
      <c r="L31" s="1230" t="s">
        <v>105</v>
      </c>
      <c r="M31" s="1230"/>
      <c r="N31" s="1230"/>
      <c r="O31" s="271"/>
      <c r="P31" s="256"/>
    </row>
    <row r="32" spans="1:29" ht="15.6" thickTop="1" thickBot="1">
      <c r="A32" s="310"/>
      <c r="B32" s="311"/>
      <c r="C32" s="311"/>
      <c r="D32" s="311"/>
      <c r="E32" s="311"/>
      <c r="F32" s="311"/>
      <c r="G32" s="311"/>
      <c r="H32" s="311"/>
      <c r="I32" s="311"/>
      <c r="J32" s="311"/>
      <c r="K32" s="311"/>
      <c r="L32" s="311"/>
      <c r="M32" s="311"/>
      <c r="N32" s="311"/>
      <c r="O32" s="311"/>
      <c r="P32" s="312"/>
      <c r="Q32" s="14"/>
      <c r="R32" s="14"/>
      <c r="S32" s="14"/>
      <c r="T32" s="14"/>
      <c r="U32" s="14"/>
      <c r="V32" s="14"/>
      <c r="W32" s="14"/>
      <c r="X32" s="14"/>
      <c r="Y32" s="14"/>
      <c r="Z32" s="14"/>
      <c r="AA32" s="14"/>
      <c r="AB32" s="14"/>
      <c r="AC32" s="14"/>
    </row>
    <row r="33" spans="1:29" ht="15" thickTop="1">
      <c r="A33" s="14"/>
      <c r="B33" s="14"/>
      <c r="C33" s="14"/>
      <c r="D33" s="14"/>
      <c r="E33" s="14"/>
      <c r="F33" s="14"/>
      <c r="G33" s="14"/>
      <c r="H33" s="14"/>
      <c r="I33" s="14"/>
      <c r="J33" s="14"/>
      <c r="K33" s="14"/>
      <c r="L33" s="14"/>
      <c r="M33" s="14"/>
      <c r="N33" s="14"/>
      <c r="O33" s="14"/>
      <c r="P33" s="14"/>
      <c r="Q33" s="14"/>
      <c r="R33" s="14"/>
      <c r="S33" s="14"/>
      <c r="T33" s="14"/>
      <c r="U33" s="14"/>
      <c r="V33" s="14"/>
      <c r="W33" s="14"/>
      <c r="X33" s="14"/>
      <c r="Y33" s="14"/>
      <c r="Z33" s="14"/>
      <c r="AA33" s="14"/>
      <c r="AB33" s="14"/>
      <c r="AC33" s="14"/>
    </row>
    <row r="34" spans="1:29">
      <c r="A34" s="14"/>
      <c r="B34" s="14"/>
      <c r="C34" s="14"/>
      <c r="D34" s="14"/>
      <c r="E34" s="14"/>
      <c r="F34" s="14"/>
      <c r="G34" s="14"/>
      <c r="H34" s="14"/>
      <c r="I34" s="14"/>
      <c r="J34" s="14"/>
      <c r="K34" s="14"/>
      <c r="L34" s="14"/>
      <c r="M34" s="14"/>
      <c r="N34" s="14"/>
      <c r="O34" s="14"/>
      <c r="P34" s="14"/>
      <c r="Q34" s="14"/>
      <c r="R34" s="14"/>
      <c r="S34" s="14"/>
      <c r="T34" s="14"/>
      <c r="U34" s="14"/>
      <c r="V34" s="14"/>
      <c r="W34" s="14"/>
      <c r="X34" s="14"/>
      <c r="Y34" s="14"/>
      <c r="Z34" s="14"/>
      <c r="AA34" s="14"/>
      <c r="AB34" s="14"/>
      <c r="AC34" s="14"/>
    </row>
    <row r="35" spans="1:29">
      <c r="A35" s="14"/>
      <c r="B35" s="14"/>
      <c r="C35" s="14"/>
      <c r="D35" s="14"/>
      <c r="E35" s="14"/>
      <c r="F35" s="14"/>
      <c r="G35" s="14"/>
      <c r="H35" s="14"/>
      <c r="I35" s="14"/>
      <c r="J35" s="14"/>
      <c r="K35" s="14"/>
      <c r="L35" s="14"/>
      <c r="M35" s="14"/>
      <c r="N35" s="14"/>
      <c r="O35" s="14"/>
      <c r="P35" s="14"/>
      <c r="Q35" s="14"/>
      <c r="R35" s="14"/>
      <c r="S35" s="14"/>
      <c r="T35" s="14"/>
      <c r="U35" s="14"/>
      <c r="V35" s="14"/>
      <c r="W35" s="14"/>
      <c r="X35" s="14"/>
      <c r="Y35" s="14"/>
      <c r="Z35" s="14"/>
      <c r="AA35" s="14"/>
      <c r="AB35" s="14"/>
      <c r="AC35" s="14"/>
    </row>
    <row r="36" spans="1:29">
      <c r="A36" s="14"/>
      <c r="B36" s="14"/>
      <c r="C36" s="14"/>
      <c r="D36" s="14"/>
      <c r="E36" s="14"/>
      <c r="F36" s="14"/>
      <c r="G36" s="14"/>
      <c r="H36" s="14"/>
      <c r="I36" s="14"/>
      <c r="J36" s="14"/>
      <c r="K36" s="14"/>
      <c r="L36" s="14"/>
      <c r="M36" s="14"/>
      <c r="N36" s="14"/>
      <c r="O36" s="14"/>
      <c r="P36" s="14"/>
      <c r="Q36" s="14"/>
      <c r="R36" s="14"/>
      <c r="S36" s="14"/>
      <c r="T36" s="14"/>
      <c r="U36" s="14"/>
      <c r="V36" s="14"/>
      <c r="W36" s="14"/>
      <c r="X36" s="14"/>
      <c r="Y36" s="14"/>
      <c r="Z36" s="14"/>
      <c r="AA36" s="14"/>
      <c r="AB36" s="14"/>
      <c r="AC36" s="14"/>
    </row>
    <row r="37" spans="1:29">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c r="AA37" s="14"/>
      <c r="AB37" s="14"/>
      <c r="AC37" s="14"/>
    </row>
    <row r="38" spans="1:29">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c r="AA38" s="14"/>
      <c r="AB38" s="14"/>
      <c r="AC38" s="14"/>
    </row>
    <row r="39" spans="1:29">
      <c r="A39" s="14"/>
    </row>
    <row r="40" spans="1:29">
      <c r="A40" s="14"/>
    </row>
    <row r="41" spans="1:29">
      <c r="A41" s="14"/>
    </row>
    <row r="42" spans="1:29">
      <c r="A42" s="14"/>
    </row>
    <row r="43" spans="1:29">
      <c r="A43" s="14"/>
    </row>
    <row r="44" spans="1:29">
      <c r="A44" s="14"/>
    </row>
  </sheetData>
  <mergeCells count="32">
    <mergeCell ref="B27:G31"/>
    <mergeCell ref="H27:K31"/>
    <mergeCell ref="L27:N27"/>
    <mergeCell ref="L28:N28"/>
    <mergeCell ref="L29:N29"/>
    <mergeCell ref="L31:N31"/>
    <mergeCell ref="N25:O25"/>
    <mergeCell ref="N14:O14"/>
    <mergeCell ref="N15:O15"/>
    <mergeCell ref="N16:O16"/>
    <mergeCell ref="N17:O17"/>
    <mergeCell ref="N18:O18"/>
    <mergeCell ref="N19:O19"/>
    <mergeCell ref="N20:O20"/>
    <mergeCell ref="N21:O21"/>
    <mergeCell ref="N22:O22"/>
    <mergeCell ref="N23:O23"/>
    <mergeCell ref="N24:O24"/>
    <mergeCell ref="B3:F4"/>
    <mergeCell ref="N13:O13"/>
    <mergeCell ref="L5:P5"/>
    <mergeCell ref="C7:H7"/>
    <mergeCell ref="J7:K7"/>
    <mergeCell ref="L7:O7"/>
    <mergeCell ref="C8:H8"/>
    <mergeCell ref="J8:K8"/>
    <mergeCell ref="L8:O8"/>
    <mergeCell ref="C9:H9"/>
    <mergeCell ref="J9:K9"/>
    <mergeCell ref="L9:O9"/>
    <mergeCell ref="N11:O11"/>
    <mergeCell ref="N12:O12"/>
  </mergeCells>
  <dataValidations count="1">
    <dataValidation type="list" allowBlank="1" showInputMessage="1" sqref="C12:C25" xr:uid="{D1D04C5A-6A49-487F-901B-F38ACF9E2585}">
      <formula1>rooms</formula1>
    </dataValidation>
  </dataValidations>
  <hyperlinks>
    <hyperlink ref="L5" r:id="rId1" xr:uid="{290BDC5F-D800-4F35-8DFA-546FA8C56FC2}"/>
  </hyperlinks>
  <pageMargins left="0.7" right="0.7" top="0.75" bottom="0.75" header="0.3" footer="0.3"/>
  <pageSetup paperSize="9" scale="84" orientation="landscape" horizontalDpi="0" verticalDpi="0" r:id="rId2"/>
  <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25B495-2960-479C-9DF1-F56CF7EE1927}">
  <sheetPr codeName="Sheet29">
    <pageSetUpPr fitToPage="1"/>
  </sheetPr>
  <dimension ref="B2:M28"/>
  <sheetViews>
    <sheetView showGridLines="0" zoomScale="115" zoomScaleNormal="115" workbookViewId="0">
      <selection activeCell="C4" sqref="C4"/>
    </sheetView>
  </sheetViews>
  <sheetFormatPr defaultRowHeight="14.45"/>
  <cols>
    <col min="2" max="2" width="18.28515625" bestFit="1" customWidth="1"/>
    <col min="3" max="3" width="14" bestFit="1" customWidth="1"/>
    <col min="4" max="4" width="12.7109375" bestFit="1" customWidth="1"/>
    <col min="5" max="5" width="13.42578125" bestFit="1" customWidth="1"/>
    <col min="6" max="6" width="14.7109375" customWidth="1"/>
    <col min="7" max="7" width="12.7109375" bestFit="1" customWidth="1"/>
    <col min="8" max="8" width="14" bestFit="1" customWidth="1"/>
    <col min="9" max="9" width="12.7109375" bestFit="1" customWidth="1"/>
    <col min="10" max="10" width="14" bestFit="1" customWidth="1"/>
    <col min="11" max="11" width="13.42578125" customWidth="1"/>
    <col min="12" max="13" width="14" bestFit="1" customWidth="1"/>
  </cols>
  <sheetData>
    <row r="2" spans="2:13" ht="34.15" customHeight="1" thickBot="1"/>
    <row r="3" spans="2:13" ht="15" thickBot="1">
      <c r="C3" s="149" t="s">
        <v>18</v>
      </c>
      <c r="D3" s="149" t="s">
        <v>91</v>
      </c>
      <c r="E3" s="149" t="s">
        <v>63</v>
      </c>
      <c r="F3" s="149" t="s">
        <v>119</v>
      </c>
      <c r="G3" s="149" t="s">
        <v>120</v>
      </c>
      <c r="H3" s="149" t="s">
        <v>92</v>
      </c>
      <c r="I3" s="149" t="s">
        <v>121</v>
      </c>
      <c r="J3" s="149" t="s">
        <v>122</v>
      </c>
      <c r="K3" s="149" t="s">
        <v>123</v>
      </c>
      <c r="L3" s="149" t="s">
        <v>124</v>
      </c>
      <c r="M3" s="149" t="s">
        <v>125</v>
      </c>
    </row>
    <row r="4" spans="2:13" ht="29.45" thickBot="1">
      <c r="B4" s="419" t="s">
        <v>3</v>
      </c>
      <c r="C4" s="420" t="s">
        <v>961</v>
      </c>
      <c r="D4" s="421" t="s">
        <v>127</v>
      </c>
      <c r="E4" s="422" t="s">
        <v>128</v>
      </c>
      <c r="F4" s="423" t="s">
        <v>128</v>
      </c>
      <c r="G4" s="424" t="s">
        <v>128</v>
      </c>
      <c r="H4" s="425" t="s">
        <v>129</v>
      </c>
      <c r="I4" s="426" t="s">
        <v>130</v>
      </c>
      <c r="J4" s="427" t="s">
        <v>131</v>
      </c>
      <c r="K4" s="428" t="s">
        <v>132</v>
      </c>
      <c r="L4" s="429" t="s">
        <v>133</v>
      </c>
      <c r="M4" s="523" t="s">
        <v>134</v>
      </c>
    </row>
    <row r="5" spans="2:13" ht="29.45" thickBot="1">
      <c r="B5" s="419" t="s">
        <v>135</v>
      </c>
      <c r="C5" s="430" t="s">
        <v>136</v>
      </c>
      <c r="D5" s="431" t="s">
        <v>136</v>
      </c>
      <c r="E5" s="432" t="s">
        <v>136</v>
      </c>
      <c r="F5" s="433" t="s">
        <v>137</v>
      </c>
      <c r="G5" s="434" t="s">
        <v>136</v>
      </c>
      <c r="H5" s="435" t="s">
        <v>138</v>
      </c>
      <c r="I5" s="436" t="s">
        <v>139</v>
      </c>
      <c r="J5" s="437" t="s">
        <v>136</v>
      </c>
      <c r="K5" s="438" t="s">
        <v>140</v>
      </c>
      <c r="L5" s="439" t="s">
        <v>136</v>
      </c>
      <c r="M5" s="524" t="s">
        <v>136</v>
      </c>
    </row>
    <row r="6" spans="2:13" ht="29.45" thickBot="1">
      <c r="B6" s="419" t="s">
        <v>141</v>
      </c>
      <c r="C6" s="430" t="s">
        <v>142</v>
      </c>
      <c r="D6" s="440" t="s">
        <v>143</v>
      </c>
      <c r="E6" s="441" t="s">
        <v>143</v>
      </c>
      <c r="F6" s="442" t="s">
        <v>144</v>
      </c>
      <c r="G6" s="443" t="s">
        <v>143</v>
      </c>
      <c r="H6" s="435" t="s">
        <v>143</v>
      </c>
      <c r="I6" s="436" t="s">
        <v>22</v>
      </c>
      <c r="J6" s="437" t="s">
        <v>142</v>
      </c>
      <c r="K6" s="438" t="s">
        <v>142</v>
      </c>
      <c r="L6" s="439" t="s">
        <v>142</v>
      </c>
      <c r="M6" s="524" t="s">
        <v>142</v>
      </c>
    </row>
    <row r="7" spans="2:13" ht="15" thickBot="1">
      <c r="B7" s="419" t="s">
        <v>145</v>
      </c>
      <c r="C7" s="430" t="s">
        <v>146</v>
      </c>
      <c r="D7" s="431">
        <v>200</v>
      </c>
      <c r="E7" s="432">
        <v>250</v>
      </c>
      <c r="F7" s="433">
        <v>200</v>
      </c>
      <c r="G7" s="434">
        <v>250</v>
      </c>
      <c r="H7" s="444">
        <v>250</v>
      </c>
      <c r="I7" s="445">
        <v>250</v>
      </c>
      <c r="J7" s="437" t="s">
        <v>146</v>
      </c>
      <c r="K7" s="438" t="s">
        <v>146</v>
      </c>
      <c r="L7" s="439" t="s">
        <v>146</v>
      </c>
      <c r="M7" s="524" t="s">
        <v>146</v>
      </c>
    </row>
    <row r="8" spans="2:13" ht="44.1" thickBot="1">
      <c r="B8" s="446" t="s">
        <v>147</v>
      </c>
      <c r="C8" s="447">
        <v>750</v>
      </c>
      <c r="D8" s="431">
        <v>890</v>
      </c>
      <c r="E8" s="441" t="s">
        <v>149</v>
      </c>
      <c r="F8" s="433">
        <v>700</v>
      </c>
      <c r="G8" s="443" t="s">
        <v>150</v>
      </c>
      <c r="H8" s="435" t="s">
        <v>151</v>
      </c>
      <c r="I8" s="445">
        <v>950</v>
      </c>
      <c r="J8" s="448">
        <v>915</v>
      </c>
      <c r="K8" s="449">
        <v>890</v>
      </c>
      <c r="L8" s="450" t="s">
        <v>152</v>
      </c>
      <c r="M8" s="525" t="s">
        <v>153</v>
      </c>
    </row>
    <row r="9" spans="2:13" ht="15" thickBot="1">
      <c r="B9" s="419" t="s">
        <v>154</v>
      </c>
      <c r="C9" s="430">
        <v>250</v>
      </c>
      <c r="D9" s="431">
        <v>250</v>
      </c>
      <c r="E9" s="432">
        <v>250</v>
      </c>
      <c r="F9" s="433">
        <v>250</v>
      </c>
      <c r="G9" s="434">
        <v>300</v>
      </c>
      <c r="H9" s="444">
        <v>250</v>
      </c>
      <c r="I9" s="445">
        <v>250</v>
      </c>
      <c r="J9" s="448">
        <v>250</v>
      </c>
      <c r="K9" s="438">
        <v>250</v>
      </c>
      <c r="L9" s="439">
        <v>250</v>
      </c>
      <c r="M9" s="524">
        <v>250</v>
      </c>
    </row>
    <row r="10" spans="2:13" ht="29.45" thickBot="1">
      <c r="B10" s="419" t="s">
        <v>155</v>
      </c>
      <c r="C10" s="430">
        <v>3000</v>
      </c>
      <c r="D10" s="431">
        <v>3000</v>
      </c>
      <c r="E10" s="441" t="s">
        <v>962</v>
      </c>
      <c r="F10" s="433">
        <v>3000</v>
      </c>
      <c r="G10" s="434">
        <v>2700</v>
      </c>
      <c r="H10" s="444">
        <v>3000</v>
      </c>
      <c r="I10" s="445">
        <v>3000</v>
      </c>
      <c r="J10" s="448">
        <v>3000</v>
      </c>
      <c r="K10" s="438">
        <v>3000</v>
      </c>
      <c r="L10" s="439">
        <v>3000</v>
      </c>
      <c r="M10" s="524">
        <v>3000</v>
      </c>
    </row>
    <row r="11" spans="2:13" ht="15" thickBot="1">
      <c r="B11" s="419" t="s">
        <v>156</v>
      </c>
      <c r="C11" s="430">
        <v>1879</v>
      </c>
      <c r="D11" s="431">
        <v>1800</v>
      </c>
      <c r="E11" s="441">
        <v>1500</v>
      </c>
      <c r="F11" s="442">
        <v>1800</v>
      </c>
      <c r="G11" s="434">
        <v>1500</v>
      </c>
      <c r="H11" s="435">
        <v>1800</v>
      </c>
      <c r="I11" s="436">
        <v>1800</v>
      </c>
      <c r="J11" s="448">
        <v>1981</v>
      </c>
      <c r="K11" s="438">
        <v>1981</v>
      </c>
      <c r="L11" s="439">
        <v>1981</v>
      </c>
      <c r="M11" s="524">
        <v>1828</v>
      </c>
    </row>
    <row r="12" spans="2:13" ht="15" thickBot="1">
      <c r="B12" s="419" t="s">
        <v>157</v>
      </c>
      <c r="C12" s="430">
        <v>1372</v>
      </c>
      <c r="D12" s="431">
        <v>1372</v>
      </c>
      <c r="E12" s="441">
        <v>1250</v>
      </c>
      <c r="F12" s="433">
        <v>1372</v>
      </c>
      <c r="G12" s="434">
        <v>1250</v>
      </c>
      <c r="H12" s="444">
        <v>1372</v>
      </c>
      <c r="I12" s="445">
        <v>1372</v>
      </c>
      <c r="J12" s="448">
        <v>1372</v>
      </c>
      <c r="K12" s="438">
        <v>1372</v>
      </c>
      <c r="L12" s="439">
        <v>1372</v>
      </c>
      <c r="M12" s="524">
        <v>1372</v>
      </c>
    </row>
    <row r="13" spans="2:13" ht="29.45" thickBot="1">
      <c r="B13" s="446" t="s">
        <v>158</v>
      </c>
      <c r="C13" s="430">
        <v>600</v>
      </c>
      <c r="D13" s="431">
        <v>625</v>
      </c>
      <c r="E13" s="441">
        <v>500</v>
      </c>
      <c r="F13" s="433">
        <v>500</v>
      </c>
      <c r="G13" s="434">
        <v>500</v>
      </c>
      <c r="H13" s="444">
        <v>600</v>
      </c>
      <c r="I13" s="445">
        <v>600</v>
      </c>
      <c r="J13" s="448">
        <v>610</v>
      </c>
      <c r="K13" s="438">
        <v>660</v>
      </c>
      <c r="L13" s="439">
        <v>660</v>
      </c>
      <c r="M13" s="525">
        <v>610</v>
      </c>
    </row>
    <row r="14" spans="2:13" ht="15" thickBot="1">
      <c r="B14" s="419" t="s">
        <v>159</v>
      </c>
      <c r="C14" s="430">
        <v>2</v>
      </c>
      <c r="D14" s="431">
        <v>3</v>
      </c>
      <c r="E14" s="432">
        <v>2</v>
      </c>
      <c r="F14" s="433">
        <v>2</v>
      </c>
      <c r="G14" s="434">
        <v>2</v>
      </c>
      <c r="H14" s="444">
        <v>2</v>
      </c>
      <c r="I14" s="445">
        <v>2</v>
      </c>
      <c r="J14" s="448">
        <v>2</v>
      </c>
      <c r="K14" s="438">
        <v>4</v>
      </c>
      <c r="L14" s="439">
        <v>4</v>
      </c>
      <c r="M14" s="524">
        <v>2</v>
      </c>
    </row>
    <row r="15" spans="2:13" ht="29.45" thickBot="1">
      <c r="B15" s="446" t="s">
        <v>160</v>
      </c>
      <c r="C15" s="430" t="s">
        <v>161</v>
      </c>
      <c r="D15" s="431" t="s">
        <v>161</v>
      </c>
      <c r="E15" s="432" t="s">
        <v>161</v>
      </c>
      <c r="F15" s="433" t="s">
        <v>161</v>
      </c>
      <c r="G15" s="434" t="s">
        <v>161</v>
      </c>
      <c r="H15" s="444" t="s">
        <v>161</v>
      </c>
      <c r="I15" s="445" t="s">
        <v>161</v>
      </c>
      <c r="J15" s="437" t="s">
        <v>161</v>
      </c>
      <c r="K15" s="438" t="s">
        <v>161</v>
      </c>
      <c r="L15" s="439" t="s">
        <v>161</v>
      </c>
      <c r="M15" s="524" t="s">
        <v>161</v>
      </c>
    </row>
    <row r="16" spans="2:13" ht="29.45" thickBot="1">
      <c r="B16" s="446" t="s">
        <v>162</v>
      </c>
      <c r="C16" s="430">
        <v>600</v>
      </c>
      <c r="D16" s="431">
        <v>600</v>
      </c>
      <c r="E16" s="432">
        <v>600</v>
      </c>
      <c r="F16" s="433">
        <v>500</v>
      </c>
      <c r="G16" s="434">
        <v>600</v>
      </c>
      <c r="H16" s="444">
        <v>700</v>
      </c>
      <c r="I16" s="445">
        <v>700</v>
      </c>
      <c r="J16" s="437">
        <v>610</v>
      </c>
      <c r="K16" s="438">
        <v>660</v>
      </c>
      <c r="L16" s="439">
        <v>660</v>
      </c>
      <c r="M16" s="525">
        <v>610</v>
      </c>
    </row>
    <row r="17" spans="2:13" ht="29.45" thickBot="1">
      <c r="B17" s="446" t="s">
        <v>163</v>
      </c>
      <c r="C17" s="430" t="s">
        <v>164</v>
      </c>
      <c r="D17" s="431">
        <v>550</v>
      </c>
      <c r="E17" s="432" t="s">
        <v>164</v>
      </c>
      <c r="F17" s="433" t="s">
        <v>164</v>
      </c>
      <c r="G17" s="434" t="s">
        <v>164</v>
      </c>
      <c r="H17" s="444" t="s">
        <v>164</v>
      </c>
      <c r="I17" s="445" t="s">
        <v>164</v>
      </c>
      <c r="J17" s="448" t="s">
        <v>164</v>
      </c>
      <c r="K17" s="438">
        <v>550</v>
      </c>
      <c r="L17" s="439">
        <v>550</v>
      </c>
      <c r="M17" s="524" t="s">
        <v>164</v>
      </c>
    </row>
    <row r="18" spans="2:13" ht="15" thickBot="1">
      <c r="B18" s="419" t="s">
        <v>165</v>
      </c>
      <c r="C18" s="430" t="s">
        <v>166</v>
      </c>
      <c r="D18" s="431" t="s">
        <v>166</v>
      </c>
      <c r="E18" s="441" t="s">
        <v>166</v>
      </c>
      <c r="F18" s="433" t="s">
        <v>167</v>
      </c>
      <c r="G18" s="434" t="s">
        <v>166</v>
      </c>
      <c r="H18" s="444" t="s">
        <v>166</v>
      </c>
      <c r="I18" s="436" t="s">
        <v>166</v>
      </c>
      <c r="J18" s="448" t="s">
        <v>166</v>
      </c>
      <c r="K18" s="438" t="s">
        <v>166</v>
      </c>
      <c r="L18" s="439" t="s">
        <v>166</v>
      </c>
      <c r="M18" s="524" t="s">
        <v>166</v>
      </c>
    </row>
    <row r="19" spans="2:13" ht="15" thickBot="1">
      <c r="B19" s="446" t="s">
        <v>86</v>
      </c>
      <c r="C19" s="430" t="s">
        <v>23</v>
      </c>
      <c r="D19" s="431" t="s">
        <v>23</v>
      </c>
      <c r="E19" s="432" t="s">
        <v>23</v>
      </c>
      <c r="F19" s="433" t="s">
        <v>33</v>
      </c>
      <c r="G19" s="434" t="s">
        <v>23</v>
      </c>
      <c r="H19" s="444" t="s">
        <v>33</v>
      </c>
      <c r="I19" s="445" t="s">
        <v>33</v>
      </c>
      <c r="J19" s="448" t="s">
        <v>23</v>
      </c>
      <c r="K19" s="438" t="s">
        <v>23</v>
      </c>
      <c r="L19" s="439" t="s">
        <v>23</v>
      </c>
      <c r="M19" s="524" t="s">
        <v>33</v>
      </c>
    </row>
    <row r="20" spans="2:13" ht="15" thickBot="1">
      <c r="B20" s="446" t="s">
        <v>168</v>
      </c>
      <c r="C20" s="430" t="s">
        <v>33</v>
      </c>
      <c r="D20" s="431" t="s">
        <v>23</v>
      </c>
      <c r="E20" s="432" t="s">
        <v>33</v>
      </c>
      <c r="F20" s="433" t="s">
        <v>33</v>
      </c>
      <c r="G20" s="434" t="s">
        <v>23</v>
      </c>
      <c r="H20" s="444" t="s">
        <v>23</v>
      </c>
      <c r="I20" s="445" t="s">
        <v>23</v>
      </c>
      <c r="J20" s="448" t="s">
        <v>33</v>
      </c>
      <c r="K20" s="438" t="s">
        <v>33</v>
      </c>
      <c r="L20" s="439" t="s">
        <v>23</v>
      </c>
      <c r="M20" s="524" t="s">
        <v>23</v>
      </c>
    </row>
    <row r="21" spans="2:13" ht="15" thickBot="1">
      <c r="B21" s="446" t="s">
        <v>169</v>
      </c>
      <c r="C21" s="430" t="s">
        <v>33</v>
      </c>
      <c r="D21" s="431" t="s">
        <v>23</v>
      </c>
      <c r="E21" s="432" t="s">
        <v>33</v>
      </c>
      <c r="F21" s="433" t="s">
        <v>33</v>
      </c>
      <c r="G21" s="434" t="s">
        <v>23</v>
      </c>
      <c r="H21" s="444" t="s">
        <v>23</v>
      </c>
      <c r="I21" s="445" t="s">
        <v>23</v>
      </c>
      <c r="J21" s="448" t="s">
        <v>33</v>
      </c>
      <c r="K21" s="438" t="s">
        <v>33</v>
      </c>
      <c r="L21" s="439" t="s">
        <v>23</v>
      </c>
      <c r="M21" s="524" t="s">
        <v>23</v>
      </c>
    </row>
    <row r="22" spans="2:13" ht="15" thickBot="1">
      <c r="B22" s="446" t="s">
        <v>170</v>
      </c>
      <c r="C22" s="430" t="s">
        <v>33</v>
      </c>
      <c r="D22" s="431" t="s">
        <v>23</v>
      </c>
      <c r="E22" s="432" t="s">
        <v>33</v>
      </c>
      <c r="F22" s="433" t="s">
        <v>33</v>
      </c>
      <c r="G22" s="434" t="s">
        <v>23</v>
      </c>
      <c r="H22" s="444" t="s">
        <v>23</v>
      </c>
      <c r="I22" s="445" t="s">
        <v>23</v>
      </c>
      <c r="J22" s="448" t="s">
        <v>33</v>
      </c>
      <c r="K22" s="438" t="s">
        <v>33</v>
      </c>
      <c r="L22" s="439" t="s">
        <v>23</v>
      </c>
      <c r="M22" s="524" t="s">
        <v>33</v>
      </c>
    </row>
    <row r="23" spans="2:13" ht="15" thickBot="1">
      <c r="B23" s="446" t="s">
        <v>171</v>
      </c>
      <c r="C23" s="430" t="s">
        <v>23</v>
      </c>
      <c r="D23" s="431" t="s">
        <v>23</v>
      </c>
      <c r="E23" s="432" t="s">
        <v>33</v>
      </c>
      <c r="F23" s="433" t="s">
        <v>33</v>
      </c>
      <c r="G23" s="434" t="s">
        <v>23</v>
      </c>
      <c r="H23" s="444" t="s">
        <v>23</v>
      </c>
      <c r="I23" s="445" t="s">
        <v>23</v>
      </c>
      <c r="J23" s="448" t="s">
        <v>23</v>
      </c>
      <c r="K23" s="438" t="s">
        <v>23</v>
      </c>
      <c r="L23" s="439" t="s">
        <v>23</v>
      </c>
      <c r="M23" s="524" t="s">
        <v>23</v>
      </c>
    </row>
    <row r="24" spans="2:13" ht="15" thickBot="1">
      <c r="B24" s="446" t="s">
        <v>172</v>
      </c>
      <c r="C24" s="513" t="s">
        <v>33</v>
      </c>
      <c r="D24" s="514" t="s">
        <v>33</v>
      </c>
      <c r="E24" s="515" t="s">
        <v>33</v>
      </c>
      <c r="F24" s="516"/>
      <c r="G24" s="515" t="s">
        <v>174</v>
      </c>
      <c r="H24" s="517" t="s">
        <v>33</v>
      </c>
      <c r="I24" s="518" t="s">
        <v>33</v>
      </c>
      <c r="J24" s="519" t="s">
        <v>33</v>
      </c>
      <c r="K24" s="520" t="s">
        <v>33</v>
      </c>
      <c r="L24" s="521" t="s">
        <v>33</v>
      </c>
      <c r="M24" s="522" t="s">
        <v>174</v>
      </c>
    </row>
    <row r="25" spans="2:13">
      <c r="B25" s="511"/>
      <c r="C25" s="39"/>
      <c r="D25" s="39"/>
      <c r="E25" s="39"/>
      <c r="F25" s="39"/>
      <c r="G25" s="39"/>
      <c r="H25" s="39"/>
      <c r="I25" s="39"/>
      <c r="J25" s="512"/>
      <c r="K25" s="39"/>
      <c r="L25" s="39"/>
      <c r="M25" s="39"/>
    </row>
    <row r="26" spans="2:13">
      <c r="B26" t="s">
        <v>175</v>
      </c>
    </row>
    <row r="27" spans="2:13">
      <c r="B27" t="s">
        <v>176</v>
      </c>
    </row>
    <row r="28" spans="2:13">
      <c r="B28" s="510" t="s">
        <v>177</v>
      </c>
    </row>
  </sheetData>
  <pageMargins left="0.25" right="0.25" top="0.75" bottom="0.75" header="0.3" footer="0.3"/>
  <pageSetup paperSize="9" scale="76" orientation="landscape" horizontalDpi="300" verticalDpi="3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2243A9-1E03-45D0-B696-252A8440DFB8}">
  <sheetPr codeName="Sheet27"/>
  <dimension ref="B6:K41"/>
  <sheetViews>
    <sheetView showGridLines="0" workbookViewId="0">
      <selection activeCell="G45" sqref="G45"/>
    </sheetView>
  </sheetViews>
  <sheetFormatPr defaultRowHeight="14.45"/>
  <cols>
    <col min="2" max="2" width="9.7109375" bestFit="1" customWidth="1"/>
  </cols>
  <sheetData>
    <row r="6" spans="2:10">
      <c r="B6" s="27" t="s">
        <v>52</v>
      </c>
      <c r="C6" s="675" t="str">
        <f>IF(Pricing!$B$59="","",Pricing!$B$59)</f>
        <v/>
      </c>
      <c r="D6" s="675"/>
      <c r="E6" s="675"/>
      <c r="G6" s="27" t="s">
        <v>75</v>
      </c>
      <c r="H6" s="966" t="str">
        <f>IF(Pricing!$E$66="","",Pricing!$E$66)</f>
        <v/>
      </c>
      <c r="I6" s="675"/>
    </row>
    <row r="7" spans="2:10">
      <c r="B7" s="27" t="s">
        <v>113</v>
      </c>
      <c r="C7" s="675" t="str">
        <f>IF(Pricing!$E$59="","",Pricing!$E$59)</f>
        <v/>
      </c>
      <c r="D7" s="675"/>
      <c r="E7" s="675"/>
    </row>
    <row r="9" spans="2:10">
      <c r="B9" s="971" t="s">
        <v>114</v>
      </c>
      <c r="C9" s="972"/>
      <c r="D9" s="91">
        <f>COUNTA(Pricing!E8:E52)</f>
        <v>4</v>
      </c>
    </row>
    <row r="11" spans="2:10">
      <c r="B11" t="s">
        <v>115</v>
      </c>
    </row>
    <row r="12" spans="2:10" ht="14.45" customHeight="1">
      <c r="B12" s="967" t="e" vm="1">
        <f>IF(Helper!J2&gt;0,Helper!J2&amp;" x "&amp;Helper!I2 &amp; ", ","") &amp; IF(Helper!J3&gt;0,Helper!J3&amp;" x "&amp;Helper!I3 &amp; ", ","")&amp;IF(Helper!J4&gt;0,Helper!J4&amp;" x "&amp;Helper!I4 &amp; ", ","") &amp; IF(Helper!J5&gt;0,Helper!J5&amp;" x "&amp;Helper!I5 &amp; ", ","")&amp;IF(Helper!J6&gt;0,Helper!J6&amp;" x "&amp;Helper!I6 &amp; ", ","")&amp;IF(Helper!J7&gt;0,Helper!J7&amp;" x "&amp;Helper!I7 &amp; ", ","")&amp;IF(Helper!J8&gt;0,Helper!J8&amp;" x "&amp;Helper!I8 &amp; ", ","")&amp;IF(Helper!J9&gt;0,Helper!J9&amp;" x "&amp;Helper!I9 &amp; ", ","")&amp;IF(Helper!J10&gt;0,Helper!J10&amp;" x "&amp;Helper!I10 &amp; ", ","")&amp;IF(Helper!J11&gt;0,Helper!J11&amp;" x "&amp;Helper!I11 &amp; ", ","")&amp;IF(Helper!J12&gt;0,Helper!J12&amp;" x "&amp;Helper!I12,"") &amp; Helper!K2</f>
        <v>#VALUE!</v>
      </c>
      <c r="C12" s="967"/>
      <c r="D12" s="967"/>
      <c r="E12" s="967"/>
      <c r="F12" s="412"/>
    </row>
    <row r="13" spans="2:10">
      <c r="B13" s="967"/>
      <c r="C13" s="967"/>
      <c r="D13" s="967"/>
      <c r="E13" s="967"/>
      <c r="F13" s="412"/>
    </row>
    <row r="14" spans="2:10">
      <c r="B14" s="967"/>
      <c r="C14" s="967"/>
      <c r="D14" s="967"/>
      <c r="E14" s="967"/>
      <c r="F14" s="412"/>
    </row>
    <row r="15" spans="2:10">
      <c r="B15" s="412"/>
      <c r="C15" s="412"/>
      <c r="D15" s="412"/>
      <c r="E15" s="412"/>
      <c r="F15" s="412"/>
    </row>
    <row r="16" spans="2:10">
      <c r="B16" s="964" t="s">
        <v>76</v>
      </c>
      <c r="C16" s="965"/>
      <c r="D16" s="413" t="s">
        <v>77</v>
      </c>
      <c r="E16" s="412"/>
      <c r="F16" s="970" t="s">
        <v>116</v>
      </c>
      <c r="G16" s="970"/>
      <c r="H16" s="970"/>
      <c r="I16" s="968" t="str">
        <f>IF(OR(D16="Select",D16="No"),"N/A","")</f>
        <v>N/A</v>
      </c>
      <c r="J16" s="969"/>
    </row>
    <row r="17" spans="2:11">
      <c r="B17" s="412"/>
      <c r="C17" s="412"/>
      <c r="D17" s="412"/>
      <c r="E17" s="412"/>
      <c r="F17" s="363"/>
    </row>
    <row r="18" spans="2:11">
      <c r="B18" s="964" t="s">
        <v>85</v>
      </c>
      <c r="C18" s="965"/>
      <c r="D18" s="413" t="s">
        <v>77</v>
      </c>
      <c r="E18" s="412"/>
      <c r="F18" s="964" t="s">
        <v>103</v>
      </c>
      <c r="G18" s="974"/>
      <c r="H18" s="965"/>
      <c r="I18" s="413" t="s">
        <v>77</v>
      </c>
    </row>
    <row r="19" spans="2:11">
      <c r="B19" s="412"/>
      <c r="C19" s="412"/>
      <c r="D19" s="412"/>
      <c r="E19" s="412"/>
      <c r="F19" s="412"/>
    </row>
    <row r="20" spans="2:11">
      <c r="B20" s="971" t="s">
        <v>93</v>
      </c>
      <c r="C20" s="972"/>
      <c r="D20" s="413" t="s">
        <v>77</v>
      </c>
      <c r="F20" s="976" t="str">
        <f>IF(Pricing!N74="Price Match","Price match quote evidence:","")</f>
        <v/>
      </c>
      <c r="G20" s="976"/>
      <c r="H20" s="976"/>
      <c r="I20" s="412" t="str">
        <f>IF(Pricing!N74&lt;&gt;"Price Match","","Select")</f>
        <v/>
      </c>
    </row>
    <row r="23" spans="2:11">
      <c r="B23" t="s">
        <v>117</v>
      </c>
    </row>
    <row r="24" spans="2:11">
      <c r="B24" s="975"/>
      <c r="C24" s="975"/>
      <c r="D24" s="975"/>
      <c r="E24" s="975"/>
      <c r="F24" s="975"/>
      <c r="G24" s="975"/>
      <c r="H24" s="975"/>
      <c r="I24" s="975"/>
      <c r="J24" s="975"/>
      <c r="K24" s="975"/>
    </row>
    <row r="25" spans="2:11">
      <c r="B25" s="975"/>
      <c r="C25" s="975"/>
      <c r="D25" s="975"/>
      <c r="E25" s="975"/>
      <c r="F25" s="975"/>
      <c r="G25" s="975"/>
      <c r="H25" s="975"/>
      <c r="I25" s="975"/>
      <c r="J25" s="975"/>
      <c r="K25" s="975"/>
    </row>
    <row r="26" spans="2:11">
      <c r="B26" s="975"/>
      <c r="C26" s="975"/>
      <c r="D26" s="975"/>
      <c r="E26" s="975"/>
      <c r="F26" s="975"/>
      <c r="G26" s="975"/>
      <c r="H26" s="975"/>
      <c r="I26" s="975"/>
      <c r="J26" s="975"/>
      <c r="K26" s="975"/>
    </row>
    <row r="27" spans="2:11">
      <c r="B27" s="975"/>
      <c r="C27" s="975"/>
      <c r="D27" s="975"/>
      <c r="E27" s="975"/>
      <c r="F27" s="975"/>
      <c r="G27" s="975"/>
      <c r="H27" s="975"/>
      <c r="I27" s="975"/>
      <c r="J27" s="975"/>
      <c r="K27" s="975"/>
    </row>
    <row r="28" spans="2:11">
      <c r="B28" s="975"/>
      <c r="C28" s="975"/>
      <c r="D28" s="975"/>
      <c r="E28" s="975"/>
      <c r="F28" s="975"/>
      <c r="G28" s="975"/>
      <c r="H28" s="975"/>
      <c r="I28" s="975"/>
      <c r="J28" s="975"/>
      <c r="K28" s="975"/>
    </row>
    <row r="29" spans="2:11">
      <c r="B29" s="975"/>
      <c r="C29" s="975"/>
      <c r="D29" s="975"/>
      <c r="E29" s="975"/>
      <c r="F29" s="975"/>
      <c r="G29" s="975"/>
      <c r="H29" s="975"/>
      <c r="I29" s="975"/>
      <c r="J29" s="975"/>
      <c r="K29" s="975"/>
    </row>
    <row r="30" spans="2:11">
      <c r="B30" s="975"/>
      <c r="C30" s="975"/>
      <c r="D30" s="975"/>
      <c r="E30" s="975"/>
      <c r="F30" s="975"/>
      <c r="G30" s="975"/>
      <c r="H30" s="975"/>
      <c r="I30" s="975"/>
      <c r="J30" s="975"/>
      <c r="K30" s="975"/>
    </row>
    <row r="31" spans="2:11">
      <c r="B31" s="975"/>
      <c r="C31" s="975"/>
      <c r="D31" s="975"/>
      <c r="E31" s="975"/>
      <c r="F31" s="975"/>
      <c r="G31" s="975"/>
      <c r="H31" s="975"/>
      <c r="I31" s="975"/>
      <c r="J31" s="975"/>
      <c r="K31" s="975"/>
    </row>
    <row r="32" spans="2:11">
      <c r="B32" s="975"/>
      <c r="C32" s="975"/>
      <c r="D32" s="975"/>
      <c r="E32" s="975"/>
      <c r="F32" s="975"/>
      <c r="G32" s="975"/>
      <c r="H32" s="975"/>
      <c r="I32" s="975"/>
      <c r="J32" s="975"/>
      <c r="K32" s="975"/>
    </row>
    <row r="33" spans="2:11">
      <c r="B33" s="975"/>
      <c r="C33" s="975"/>
      <c r="D33" s="975"/>
      <c r="E33" s="975"/>
      <c r="F33" s="975"/>
      <c r="G33" s="975"/>
      <c r="H33" s="975"/>
      <c r="I33" s="975"/>
      <c r="J33" s="975"/>
      <c r="K33" s="975"/>
    </row>
    <row r="35" spans="2:11">
      <c r="B35" s="973" t="s">
        <v>110</v>
      </c>
      <c r="C35" s="973"/>
      <c r="D35" s="973"/>
      <c r="E35" s="973"/>
      <c r="F35" s="973"/>
      <c r="G35" s="973"/>
      <c r="H35" s="973"/>
      <c r="I35" s="973"/>
      <c r="J35" s="973"/>
      <c r="K35" s="973"/>
    </row>
    <row r="36" spans="2:11">
      <c r="B36" s="973"/>
      <c r="C36" s="973"/>
      <c r="D36" s="973"/>
      <c r="E36" s="973"/>
      <c r="F36" s="973"/>
      <c r="G36" s="973"/>
      <c r="H36" s="973"/>
      <c r="I36" s="973"/>
      <c r="J36" s="973"/>
      <c r="K36" s="973"/>
    </row>
    <row r="37" spans="2:11">
      <c r="B37" s="414" t="s">
        <v>111</v>
      </c>
    </row>
    <row r="38" spans="2:11">
      <c r="B38" s="675"/>
      <c r="C38" s="675"/>
      <c r="D38" s="675"/>
      <c r="E38" s="675"/>
      <c r="F38" s="675"/>
      <c r="G38" s="675"/>
      <c r="H38" s="675"/>
      <c r="I38" s="675"/>
      <c r="J38" s="675"/>
      <c r="K38" s="675"/>
    </row>
    <row r="39" spans="2:11">
      <c r="B39" s="675"/>
      <c r="C39" s="675"/>
      <c r="D39" s="675"/>
      <c r="E39" s="675"/>
      <c r="F39" s="675"/>
      <c r="G39" s="675"/>
      <c r="H39" s="675"/>
      <c r="I39" s="675"/>
      <c r="J39" s="675"/>
      <c r="K39" s="675"/>
    </row>
    <row r="40" spans="2:11">
      <c r="B40" s="675"/>
      <c r="C40" s="675"/>
      <c r="D40" s="675"/>
      <c r="E40" s="675"/>
      <c r="F40" s="675"/>
      <c r="G40" s="675"/>
      <c r="H40" s="675"/>
      <c r="I40" s="675"/>
      <c r="J40" s="675"/>
      <c r="K40" s="675"/>
    </row>
    <row r="41" spans="2:11">
      <c r="B41" s="675"/>
      <c r="C41" s="675"/>
      <c r="D41" s="675"/>
      <c r="E41" s="675"/>
      <c r="F41" s="675"/>
      <c r="G41" s="675"/>
      <c r="H41" s="675"/>
      <c r="I41" s="675"/>
      <c r="J41" s="675"/>
      <c r="K41" s="675"/>
    </row>
  </sheetData>
  <mergeCells count="15">
    <mergeCell ref="B35:K36"/>
    <mergeCell ref="B38:K41"/>
    <mergeCell ref="F18:H18"/>
    <mergeCell ref="B20:C20"/>
    <mergeCell ref="B18:C18"/>
    <mergeCell ref="B24:K33"/>
    <mergeCell ref="F20:H20"/>
    <mergeCell ref="B16:C16"/>
    <mergeCell ref="C6:E6"/>
    <mergeCell ref="C7:E7"/>
    <mergeCell ref="H6:I6"/>
    <mergeCell ref="B12:E14"/>
    <mergeCell ref="I16:J16"/>
    <mergeCell ref="F16:H16"/>
    <mergeCell ref="B9:C9"/>
  </mergeCells>
  <conditionalFormatting sqref="D16 D18 I18 D20">
    <cfRule type="cellIs" dxfId="801" priority="3" operator="equal">
      <formula>"Select"</formula>
    </cfRule>
  </conditionalFormatting>
  <conditionalFormatting sqref="I16">
    <cfRule type="containsBlanks" dxfId="800" priority="4">
      <formula>LEN(TRIM(I16))=0</formula>
    </cfRule>
  </conditionalFormatting>
  <dataValidations count="2">
    <dataValidation type="list" allowBlank="1" showInputMessage="1" showErrorMessage="1" sqref="D16 D18 D20 I18" xr:uid="{5E127974-F3F0-46CE-A586-6C06275CF30B}">
      <formula1>"Select, Yes, No"</formula1>
    </dataValidation>
    <dataValidation type="list" allowBlank="1" showInputMessage="1" sqref="I20" xr:uid="{F11DC874-8C0F-42B3-A7A5-BA2E68838524}">
      <formula1>"Select, Yes, No,N/A"</formula1>
    </dataValidation>
  </dataValidations>
  <pageMargins left="0.7" right="0.7" top="0.75" bottom="0.75" header="0.3" footer="0.3"/>
  <pageSetup paperSize="9" orientation="portrait" horizontalDpi="300" verticalDpi="300" r:id="rId1"/>
  <drawing r:id="rId2"/>
  <extLst>
    <ext xmlns:x14="http://schemas.microsoft.com/office/spreadsheetml/2009/9/main" uri="{78C0D931-6437-407d-A8EE-F0AAD7539E65}">
      <x14:conditionalFormattings>
        <x14:conditionalFormatting xmlns:xm="http://schemas.microsoft.com/office/excel/2006/main">
          <x14:cfRule type="expression" priority="1" id="{32115DE9-6BAC-459F-B377-9EE4FB3D73C7}">
            <xm:f>Pricing!$N$74="Price Match"</xm:f>
            <x14:dxf>
              <border>
                <left style="thin">
                  <color auto="1"/>
                </left>
                <right style="thin">
                  <color auto="1"/>
                </right>
                <top style="thin">
                  <color auto="1"/>
                </top>
                <bottom style="thin">
                  <color auto="1"/>
                </bottom>
                <vertical/>
                <horizontal/>
              </border>
            </x14:dxf>
          </x14:cfRule>
          <xm:sqref>F20:I20</xm:sqref>
        </x14:conditionalFormatting>
      </x14:conditionalFormatting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6F961B-13EF-4909-A659-CBA7FA7558EA}">
  <sheetPr codeName="Sheet30"/>
  <dimension ref="A1:AJ104"/>
  <sheetViews>
    <sheetView showGridLines="0" zoomScaleNormal="100" workbookViewId="0">
      <selection activeCell="A103" sqref="A103:L104"/>
    </sheetView>
  </sheetViews>
  <sheetFormatPr defaultColWidth="8.85546875" defaultRowHeight="14.45"/>
  <cols>
    <col min="1" max="1" width="2.140625" style="8" customWidth="1"/>
    <col min="2" max="2" width="3.28515625" style="8" customWidth="1"/>
    <col min="3" max="3" width="11.85546875" style="8" bestFit="1" customWidth="1"/>
    <col min="4" max="4" width="10.28515625" style="8" bestFit="1" customWidth="1"/>
    <col min="5" max="5" width="9.42578125" style="8" bestFit="1" customWidth="1"/>
    <col min="6" max="6" width="6.7109375" style="8" customWidth="1"/>
    <col min="7" max="7" width="21.28515625" style="8" customWidth="1"/>
    <col min="8" max="8" width="8.85546875" style="8"/>
    <col min="9" max="9" width="8.28515625" style="8" customWidth="1"/>
    <col min="10" max="10" width="10" style="8" customWidth="1"/>
    <col min="11" max="12" width="9.7109375" style="8" customWidth="1"/>
    <col min="13" max="13" width="11.5703125" style="8" customWidth="1"/>
    <col min="14" max="14" width="11.5703125" style="8" bestFit="1" customWidth="1"/>
    <col min="15" max="15" width="11.5703125" style="8" customWidth="1"/>
    <col min="16" max="16" width="10.28515625" style="8" bestFit="1" customWidth="1"/>
    <col min="17" max="17" width="12.7109375" style="8" customWidth="1"/>
    <col min="18" max="18" width="7" style="8" customWidth="1"/>
    <col min="19" max="21" width="5.28515625" style="8" customWidth="1"/>
    <col min="22" max="22" width="5.7109375" style="8" customWidth="1"/>
    <col min="23" max="28" width="5.28515625" style="8" customWidth="1"/>
    <col min="29" max="29" width="6.7109375" style="8" customWidth="1"/>
    <col min="30" max="30" width="9.42578125" style="8" customWidth="1"/>
    <col min="31" max="31" width="9.7109375" style="8" customWidth="1"/>
    <col min="32" max="32" width="8.5703125" style="8" customWidth="1"/>
    <col min="33" max="33" width="8.85546875" style="8" hidden="1" customWidth="1"/>
    <col min="34" max="34" width="12.28515625" style="8" hidden="1" customWidth="1"/>
    <col min="35" max="35" width="8.85546875" style="8" hidden="1" customWidth="1"/>
    <col min="36" max="36" width="8.85546875" style="173" hidden="1" customWidth="1"/>
    <col min="37" max="39" width="8.85546875" style="8" customWidth="1"/>
    <col min="40" max="16384" width="8.85546875" style="8"/>
  </cols>
  <sheetData>
    <row r="1" spans="1:36">
      <c r="B1" s="9"/>
    </row>
    <row r="2" spans="1:36">
      <c r="A2" s="9"/>
      <c r="B2" s="9"/>
      <c r="C2" s="9"/>
      <c r="D2" s="9"/>
      <c r="E2" s="9"/>
      <c r="F2" s="9"/>
      <c r="G2" s="9"/>
    </row>
    <row r="3" spans="1:36">
      <c r="A3" s="9"/>
      <c r="B3" s="9"/>
      <c r="C3" s="9"/>
      <c r="D3" s="9"/>
      <c r="E3" s="9"/>
      <c r="F3" s="9"/>
      <c r="G3" s="9"/>
      <c r="M3" s="169"/>
    </row>
    <row r="4" spans="1:36">
      <c r="A4" s="9"/>
      <c r="B4" s="9"/>
      <c r="C4" s="9"/>
      <c r="D4" s="9"/>
      <c r="E4" s="9"/>
      <c r="F4" s="9"/>
      <c r="G4" s="9"/>
      <c r="M4" s="166"/>
      <c r="N4" s="654"/>
      <c r="O4" s="654"/>
      <c r="P4" s="655"/>
      <c r="Q4" s="655"/>
      <c r="R4" s="655"/>
      <c r="S4" s="655"/>
      <c r="T4" s="655"/>
      <c r="U4" s="655"/>
      <c r="V4" s="655"/>
      <c r="W4" s="655"/>
      <c r="X4" s="655"/>
      <c r="Y4" s="655"/>
    </row>
    <row r="5" spans="1:36">
      <c r="M5" s="166" t="s">
        <v>0</v>
      </c>
      <c r="N5" s="166"/>
      <c r="O5" s="166"/>
    </row>
    <row r="6" spans="1:36" ht="15" thickBot="1"/>
    <row r="7" spans="1:36" ht="27.6" customHeight="1" thickTop="1" thickBot="1">
      <c r="B7" s="204"/>
      <c r="C7" s="205" t="s">
        <v>1</v>
      </c>
      <c r="D7" s="205" t="s">
        <v>2</v>
      </c>
      <c r="E7" s="205" t="s">
        <v>3</v>
      </c>
      <c r="F7" s="790" t="s">
        <v>4</v>
      </c>
      <c r="G7" s="791"/>
      <c r="H7" s="205" t="s">
        <v>5</v>
      </c>
      <c r="I7" s="205" t="s">
        <v>6</v>
      </c>
      <c r="J7" s="205" t="s">
        <v>7</v>
      </c>
      <c r="K7" s="790" t="s">
        <v>8</v>
      </c>
      <c r="L7" s="791"/>
      <c r="M7" s="205" t="s">
        <v>9</v>
      </c>
      <c r="N7" s="205" t="s">
        <v>10</v>
      </c>
      <c r="O7" s="206" t="s">
        <v>11</v>
      </c>
      <c r="P7" s="206"/>
      <c r="Q7" s="790" t="s">
        <v>12</v>
      </c>
      <c r="R7" s="792"/>
      <c r="S7" s="792"/>
      <c r="T7" s="792"/>
      <c r="U7" s="792"/>
      <c r="V7" s="792"/>
      <c r="W7" s="792"/>
      <c r="X7" s="792"/>
      <c r="Y7" s="792"/>
      <c r="Z7" s="792"/>
      <c r="AA7" s="792"/>
      <c r="AB7" s="791"/>
      <c r="AC7" s="206" t="s">
        <v>13</v>
      </c>
      <c r="AD7" s="219" t="s">
        <v>14</v>
      </c>
      <c r="AE7" s="944" t="s">
        <v>15</v>
      </c>
      <c r="AF7" s="945"/>
    </row>
    <row r="8" spans="1:36" ht="15" thickTop="1">
      <c r="B8" s="774">
        <v>1</v>
      </c>
      <c r="C8" s="235" t="str">
        <f>'Survey Front'!C12</f>
        <v>Dining room</v>
      </c>
      <c r="D8" s="780" t="str">
        <f>'Survey Front'!D12</f>
        <v>Tracked</v>
      </c>
      <c r="E8" s="783" t="str">
        <f>'Survey Front'!E12</f>
        <v>Barbados</v>
      </c>
      <c r="F8" s="786" t="str">
        <f>'Survey Front'!F12</f>
        <v>Pure White</v>
      </c>
      <c r="G8" s="786"/>
      <c r="H8" s="750" t="str">
        <f>'Survey Front'!H12</f>
        <v>76mm</v>
      </c>
      <c r="I8" s="725" t="str">
        <f>'Survey Front'!I12</f>
        <v>M Track</v>
      </c>
      <c r="J8" s="725" t="str">
        <f>'Survey Front'!L12</f>
        <v>Silent</v>
      </c>
      <c r="K8" s="629" t="str">
        <f>'Survey Front'!M12</f>
        <v/>
      </c>
      <c r="L8" s="640"/>
      <c r="M8" s="749" t="str">
        <f>IF(SUM(K8:L10)=0,"",SUM(K8:L10))</f>
        <v/>
      </c>
      <c r="N8" s="749" t="str">
        <f>'Survey Front'!N12</f>
        <v/>
      </c>
      <c r="O8" s="725" t="str">
        <f>'Survey Front'!O12</f>
        <v/>
      </c>
      <c r="P8" s="752" t="s">
        <v>24</v>
      </c>
      <c r="Q8" s="753"/>
      <c r="R8" s="236" t="str">
        <f>'Survey Front'!S12</f>
        <v>FF</v>
      </c>
      <c r="S8" s="236" t="str">
        <f>'Survey Front'!T12</f>
        <v>FF</v>
      </c>
      <c r="T8" s="236" t="str">
        <f>'Survey Front'!U12</f>
        <v>FF</v>
      </c>
      <c r="U8" s="236" t="str">
        <f>'Survey Front'!V12</f>
        <v>FF</v>
      </c>
      <c r="V8" s="236" t="str">
        <f>'Survey Front'!W12</f>
        <v/>
      </c>
      <c r="W8" s="236" t="str">
        <f>'Survey Front'!X12</f>
        <v/>
      </c>
      <c r="X8" s="236" t="str">
        <f>'Survey Front'!Y12</f>
        <v/>
      </c>
      <c r="Y8" s="236" t="str">
        <f>'Survey Front'!Z12</f>
        <v/>
      </c>
      <c r="Z8" s="236" t="str">
        <f>'Survey Front'!AA12</f>
        <v/>
      </c>
      <c r="AA8" s="236" t="str">
        <f>'Survey Front'!AB12</f>
        <v/>
      </c>
      <c r="AB8" s="236" t="str">
        <f>'Survey Front'!AC12</f>
        <v/>
      </c>
      <c r="AC8" s="237" t="str">
        <f>'Survey Front'!AD12</f>
        <v/>
      </c>
      <c r="AD8" s="238"/>
      <c r="AE8" s="772" t="s">
        <v>26</v>
      </c>
      <c r="AF8" s="943"/>
    </row>
    <row r="9" spans="1:36">
      <c r="B9" s="774"/>
      <c r="C9" s="507" t="str">
        <f>'Survey Front'!C13</f>
        <v/>
      </c>
      <c r="D9" s="781"/>
      <c r="E9" s="784"/>
      <c r="F9" s="771" t="str">
        <f>'Survey Front'!F13</f>
        <v/>
      </c>
      <c r="G9" s="770"/>
      <c r="H9" s="750"/>
      <c r="I9" s="726"/>
      <c r="J9" s="726"/>
      <c r="K9" s="616"/>
      <c r="L9" s="641"/>
      <c r="M9" s="750"/>
      <c r="N9" s="750"/>
      <c r="O9" s="726"/>
      <c r="P9" s="754" t="s">
        <v>27</v>
      </c>
      <c r="Q9" s="755"/>
      <c r="R9" s="240" t="str">
        <f>'Survey Front'!S13</f>
        <v/>
      </c>
      <c r="S9" s="240" t="str">
        <f>'Survey Front'!T13</f>
        <v/>
      </c>
      <c r="T9" s="240" t="str">
        <f>'Survey Front'!U13</f>
        <v/>
      </c>
      <c r="U9" s="240" t="str">
        <f>'Survey Front'!V13</f>
        <v/>
      </c>
      <c r="V9" s="240" t="str">
        <f>'Survey Front'!W13</f>
        <v/>
      </c>
      <c r="W9" s="240" t="str">
        <f>'Survey Front'!X13</f>
        <v/>
      </c>
      <c r="X9" s="240" t="str">
        <f>'Survey Front'!Y13</f>
        <v/>
      </c>
      <c r="Y9" s="240" t="str">
        <f>'Survey Front'!Z13</f>
        <v/>
      </c>
      <c r="Z9" s="240" t="str">
        <f>'Survey Front'!AA13</f>
        <v/>
      </c>
      <c r="AA9" s="240" t="str">
        <f>'Survey Front'!AB13</f>
        <v/>
      </c>
      <c r="AB9" s="240" t="s">
        <v>28</v>
      </c>
      <c r="AC9" s="241" t="s">
        <v>29</v>
      </c>
      <c r="AD9" s="242" t="s">
        <v>30</v>
      </c>
      <c r="AE9" s="924" t="e">
        <f>IF(ISNA(IF(AE8="Quoted",INDEX(Matrix2!L57:L67,MATCH(Survey_Pricing!E8,Matrix2!K57:K67,0))+AD10*Matrix2!C19,INDEX(Matrix2!L3:L13,MATCH(Survey_Pricing!E8,Matrix2!K3:K13,0))+(AD10*Matrix2!C19)+Matrix2!O33+Matrix2!V33+Matrix2!R33+Matrix2!P33)),,IF(AE8="Quoted",(INDEX(Matrix2!L57:L67,MATCH(Survey_Pricing!E8,Matrix2!K57:K67,0))+(AD10*Matrix2!C19)+Matrix2!V92+(Matrix2!T92*Matrix2!F3)+Matrix2!P92+Matrix2!Y92+Matrix2!L264+Matrix2!L266+Matrix2!M92),INDEX(Matrix2!L3:L13,MATCH(Survey_Pricing!E8,Matrix2!K3:K13,0))+(AD10*Matrix2!C19)+Matrix2!V33+(Matrix2!T33*Matrix2!F3)+Matrix2!P33+Matrix2!Y33+Matrix2!L264+Matrix2!L266)+(Matrix2!C9*AH10)+Matrix2!M33)</f>
        <v>#VALUE!</v>
      </c>
      <c r="AF9" s="925"/>
      <c r="AG9" s="158"/>
    </row>
    <row r="10" spans="1:36" ht="15" thickBot="1">
      <c r="B10" s="774"/>
      <c r="C10" s="243" t="str">
        <f>'Survey Front'!C14</f>
        <v/>
      </c>
      <c r="D10" s="782"/>
      <c r="E10" s="785"/>
      <c r="F10" s="508" t="s">
        <v>31</v>
      </c>
      <c r="G10" s="509" t="str">
        <f>'Survey Front'!G14</f>
        <v>Pure White</v>
      </c>
      <c r="H10" s="751"/>
      <c r="I10" s="726"/>
      <c r="J10" s="727"/>
      <c r="K10" s="632"/>
      <c r="L10" s="642"/>
      <c r="M10" s="751"/>
      <c r="N10" s="751"/>
      <c r="O10" s="727"/>
      <c r="P10" s="736" t="s">
        <v>32</v>
      </c>
      <c r="Q10" s="737"/>
      <c r="R10" s="746" t="str">
        <f>'Survey Front'!S14</f>
        <v>Incorrect frame type</v>
      </c>
      <c r="S10" s="747"/>
      <c r="T10" s="747"/>
      <c r="U10" s="747"/>
      <c r="V10" s="747"/>
      <c r="W10" s="747"/>
      <c r="X10" s="747"/>
      <c r="Y10" s="747"/>
      <c r="Z10" s="747"/>
      <c r="AA10" s="747"/>
      <c r="AB10" s="748"/>
      <c r="AC10" s="252">
        <f>'Survey Front'!AD14</f>
        <v>0</v>
      </c>
      <c r="AD10" s="247" t="e">
        <f>IF(AE8="Quoted","",(M8*N8)/1000000)</f>
        <v>#VALUE!</v>
      </c>
      <c r="AE10" s="941" t="str">
        <f>IF(AND(D8="",E8="",J8="",M8="",N8=""),0,IF(OR(D8="",E8="",J8="",M8="",N8="",AND(E8="Antigua",J8="Clearview")),"Incomplete",IF(ISNA(IF(AE8="Quoted",INDEX(Matrix2!L75:L85,MATCH(Survey_Pricing!E8,Matrix2!K75:K85,0))+AD10*Matrix2!C19+Matrix2!O92+Matrix2!V92+Matrix2!R92+Matrix2!P92,INDEX(Matrix2!L17:L27,MATCH(Survey_Pricing!E8,Matrix2!K17:K27,0))+AD10*Matrix2!C19+Matrix2!O33+Matrix2!V33+Matrix2!R33+Matrix2!P33)),,IF(AE8="Quoted",INDEX(Matrix2!L75:L85,MATCH(Survey_Pricing!E8,Matrix2!K75:K85,0))+(AD10*Matrix2!C19)+Matrix2!O92+Matrix2!V92+Matrix2!R92+Matrix2!P92+Matrix2!W92+Matrix2!Y92+Matrix2!L261+Matrix2!L264+Matrix2!L266+Matrix2!M92,INDEX(Matrix2!L167:L177,MATCH(Survey_Pricing!E8,Matrix2!K167:K177,0))+(AD10*Matrix2!C19)+(Matrix2!O183+Matrix2!V183+Matrix2!R183+Matrix2!P183+Matrix2!W183+Matrix2!Y183+Matrix2!L261+Matrix2!L264+Matrix2!L266+Matrix2!M183)))))</f>
        <v>Incomplete</v>
      </c>
      <c r="AF10" s="942"/>
      <c r="AH10" s="8" t="e">
        <f>IF(AE8="Quoted",IF(J8="Silent",AD10,IF(J8="Split Tilt",AD10,0)),IF(J8="Silent",AD10,IF(J8="Split Tilt",AD10,0)))</f>
        <v>#VALUE!</v>
      </c>
    </row>
    <row r="11" spans="1:36" ht="15.75" customHeight="1" thickTop="1">
      <c r="B11" s="774">
        <v>2</v>
      </c>
      <c r="C11" s="254" t="str">
        <f>'Survey Front'!C15</f>
        <v>Office</v>
      </c>
      <c r="D11" s="761" t="str">
        <f>'Survey Front'!D15</f>
        <v>Full Height</v>
      </c>
      <c r="E11" s="787" t="str">
        <f>'Survey Front'!E15</f>
        <v>Barbados</v>
      </c>
      <c r="F11" s="775" t="str">
        <f>'Survey Front'!F15</f>
        <v>Pure White</v>
      </c>
      <c r="G11" s="776"/>
      <c r="H11" s="761" t="str">
        <f>'Survey Front'!H15</f>
        <v>76mm</v>
      </c>
      <c r="I11" s="761" t="str">
        <f>'Survey Front'!I15</f>
        <v>Plain L</v>
      </c>
      <c r="J11" s="761" t="str">
        <f>'Survey Front'!L15</f>
        <v>Silent</v>
      </c>
      <c r="K11" s="634" t="str">
        <f>'Survey Front'!M15</f>
        <v/>
      </c>
      <c r="L11" s="635"/>
      <c r="M11" s="741" t="str">
        <f>IF(SUM(K11:L13)=0,"",SUM(K11:L13))</f>
        <v/>
      </c>
      <c r="N11" s="741" t="str">
        <f>'Survey Front'!N15</f>
        <v/>
      </c>
      <c r="O11" s="761" t="str">
        <f>'Survey Front'!O15</f>
        <v/>
      </c>
      <c r="P11" s="764" t="s">
        <v>24</v>
      </c>
      <c r="Q11" s="765"/>
      <c r="R11" s="224" t="str">
        <f>'Survey Front'!S15</f>
        <v>L</v>
      </c>
      <c r="S11" s="224" t="str">
        <f>'Survey Front'!T15</f>
        <v/>
      </c>
      <c r="T11" s="224" t="str">
        <f>'Survey Front'!U15</f>
        <v/>
      </c>
      <c r="U11" s="224" t="str">
        <f>'Survey Front'!V15</f>
        <v/>
      </c>
      <c r="V11" s="224" t="str">
        <f>'Survey Front'!W15</f>
        <v/>
      </c>
      <c r="W11" s="224" t="str">
        <f>'Survey Front'!X15</f>
        <v/>
      </c>
      <c r="X11" s="224" t="str">
        <f>'Survey Front'!Y15</f>
        <v/>
      </c>
      <c r="Y11" s="224" t="str">
        <f>'Survey Front'!Z15</f>
        <v/>
      </c>
      <c r="Z11" s="224" t="str">
        <f>'Survey Front'!AA15</f>
        <v/>
      </c>
      <c r="AA11" s="224" t="str">
        <f>'Survey Front'!AB15</f>
        <v/>
      </c>
      <c r="AB11" s="224" t="str">
        <f>'Survey Front'!AC15</f>
        <v/>
      </c>
      <c r="AC11" s="224" t="str">
        <f>'Survey Front'!AD15</f>
        <v/>
      </c>
      <c r="AD11" s="226"/>
      <c r="AE11" s="937" t="s">
        <v>26</v>
      </c>
      <c r="AF11" s="938"/>
    </row>
    <row r="12" spans="1:36">
      <c r="B12" s="774"/>
      <c r="C12" s="227" t="str">
        <f>'Survey Front'!C16</f>
        <v/>
      </c>
      <c r="D12" s="762"/>
      <c r="E12" s="788"/>
      <c r="F12" s="744" t="str">
        <f>IF(D11="Shape","Please Select",IF(D11="S/Shade","Enter Shade Colour here!",""))</f>
        <v/>
      </c>
      <c r="G12" s="745"/>
      <c r="H12" s="762"/>
      <c r="I12" s="762"/>
      <c r="J12" s="762"/>
      <c r="K12" s="618"/>
      <c r="L12" s="636"/>
      <c r="M12" s="742"/>
      <c r="N12" s="742"/>
      <c r="O12" s="762"/>
      <c r="P12" s="766" t="s">
        <v>27</v>
      </c>
      <c r="Q12" s="767"/>
      <c r="R12" s="228" t="str">
        <f>'Survey Front'!S16</f>
        <v/>
      </c>
      <c r="S12" s="228" t="str">
        <f>'Survey Front'!T16</f>
        <v/>
      </c>
      <c r="T12" s="228" t="str">
        <f>'Survey Front'!U16</f>
        <v/>
      </c>
      <c r="U12" s="228" t="str">
        <f>'Survey Front'!V16</f>
        <v/>
      </c>
      <c r="V12" s="228" t="str">
        <f>'Survey Front'!W16</f>
        <v/>
      </c>
      <c r="W12" s="228" t="str">
        <f>'Survey Front'!X16</f>
        <v/>
      </c>
      <c r="X12" s="228" t="str">
        <f>'Survey Front'!Y16</f>
        <v/>
      </c>
      <c r="Y12" s="228" t="str">
        <f>'Survey Front'!Z16</f>
        <v/>
      </c>
      <c r="Z12" s="228" t="str">
        <f>'Survey Front'!AA16</f>
        <v/>
      </c>
      <c r="AA12" s="228" t="str">
        <f>'Survey Front'!AB16</f>
        <v/>
      </c>
      <c r="AB12" s="228" t="s">
        <v>28</v>
      </c>
      <c r="AC12" s="207" t="s">
        <v>29</v>
      </c>
      <c r="AD12" s="208" t="s">
        <v>30</v>
      </c>
      <c r="AE12" s="939" t="e">
        <f>IF(ISNA(IF(AE11="Quoted",INDEX(Matrix2!M57:M67,MATCH(Survey_Pricing!E11,Matrix2!K57:K67,0))+AD13*Matrix2!C19,INDEX(Matrix2!M3:M13,MATCH(Survey_Pricing!E11,Matrix2!K3:K13,0))+(AD13*Matrix2!C19)+Matrix2!O34+Matrix2!V34+Matrix2!R34+Matrix2!P34)),,IF(AE11="Quoted",(INDEX(Matrix2!M57:M67,MATCH(Survey_Pricing!E11,Matrix2!K57:K67,0))+(AD13*Matrix2!C19)+Matrix2!V93+(Matrix2!T93*Matrix2!F3)+Matrix2!P93+Matrix2!Y93+Matrix2!M264+Matrix2!M266+Matrix2!M93),INDEX(Matrix2!M3:M13,MATCH(Survey_Pricing!E11,Matrix2!K3:K13,0))+(AD13*Matrix2!C19)+Matrix2!V34+(Matrix2!T34*Matrix2!F3)+Matrix2!P34+Matrix2!Y34+Matrix2!M264+Matrix2!M266)+(Matrix2!C9*AH13)+Matrix2!M34)</f>
        <v>#VALUE!</v>
      </c>
      <c r="AF12" s="940"/>
    </row>
    <row r="13" spans="1:36" ht="15" thickBot="1">
      <c r="B13" s="774"/>
      <c r="C13" s="255" t="str">
        <f>'Survey Front'!C17</f>
        <v/>
      </c>
      <c r="D13" s="762"/>
      <c r="E13" s="789"/>
      <c r="F13" s="229" t="s">
        <v>31</v>
      </c>
      <c r="G13" s="230" t="str">
        <f>'Survey Front'!G17</f>
        <v>Pure White</v>
      </c>
      <c r="H13" s="763"/>
      <c r="I13" s="763"/>
      <c r="J13" s="763"/>
      <c r="K13" s="637"/>
      <c r="L13" s="638"/>
      <c r="M13" s="743"/>
      <c r="N13" s="743"/>
      <c r="O13" s="777"/>
      <c r="P13" s="756" t="s">
        <v>32</v>
      </c>
      <c r="Q13" s="757"/>
      <c r="R13" s="758" t="str">
        <f>'Survey Front'!S17</f>
        <v/>
      </c>
      <c r="S13" s="759"/>
      <c r="T13" s="759"/>
      <c r="U13" s="759"/>
      <c r="V13" s="759"/>
      <c r="W13" s="759"/>
      <c r="X13" s="759"/>
      <c r="Y13" s="759"/>
      <c r="Z13" s="759"/>
      <c r="AA13" s="759"/>
      <c r="AB13" s="760"/>
      <c r="AC13" s="231">
        <f>'Survey Front'!AD17</f>
        <v>0</v>
      </c>
      <c r="AD13" s="232" t="e">
        <f>IF(AE11="Quoted","",(M11*N11)/1000000)</f>
        <v>#VALUE!</v>
      </c>
      <c r="AE13" s="906" t="str">
        <f>IF(AND(D11="",E11="",J11="",M11="",N11=""),0,IF(OR(D11="",E11="",J11="",M11="",N11="",AND(E11="Antigua",J11="Clearview")),"Incomplete",IF(ISNA(IF(AE11="Quoted",INDEX(Matrix2!M75:M85,MATCH(Survey_Pricing!E11,Matrix2!K75:K85,0))+AD13*Matrix2!C19+Matrix2!O93+Matrix2!V93+Matrix2!R93+Matrix2!P93,INDEX(Matrix2!M17:M27,MATCH(Survey_Pricing!E11,Matrix2!K17:K27,0))+AD13*Matrix2!C19+Matrix2!O34+Matrix2!V34+Matrix2!R34+Matrix2!P34)),,IF(AE11="Quoted",INDEX(Matrix2!M75:M85,MATCH(Survey_Pricing!E11,Matrix2!K75:K85,0))+AD13*Matrix2!C19+Matrix2!O93+Matrix2!V93+Matrix2!R93+Matrix2!P93+Matrix2!M93,INDEX(Matrix2!M167:M177,MATCH(Survey_Pricing!E11,Matrix2!K167:K177,0))+AD13*Matrix2!C19)+(Matrix2!O184+Matrix2!V184+Matrix2!R184+Matrix2!P184+Matrix2!W184+Matrix2!Y184+Matrix2!M261+Matrix2!M264+Matrix2!M266+Matrix2!M184))))</f>
        <v>Incomplete</v>
      </c>
      <c r="AF13" s="907"/>
      <c r="AH13" s="8" t="e">
        <f>IF(AE11="Quoted",IF(J11="Silent",AD13,IF(J11="Split Tilt",AD13,0)),IF(J11="Silent",AD13,IF(J11="Split Tilt",AD13,0)))</f>
        <v>#VALUE!</v>
      </c>
    </row>
    <row r="14" spans="1:36" ht="15.75" customHeight="1" thickTop="1">
      <c r="B14" s="774">
        <v>3</v>
      </c>
      <c r="C14" s="237" t="str">
        <f>'Survey Front'!C18</f>
        <v>Living room</v>
      </c>
      <c r="D14" s="725" t="str">
        <f>'Survey Front'!D18</f>
        <v>Full Height</v>
      </c>
      <c r="E14" s="749" t="str">
        <f>'Survey Front'!E18</f>
        <v>Barbados</v>
      </c>
      <c r="F14" s="772" t="str">
        <f>'Survey Front'!F18</f>
        <v>Pure White</v>
      </c>
      <c r="G14" s="773"/>
      <c r="H14" s="725" t="str">
        <f>'Survey Front'!H18</f>
        <v>76mm</v>
      </c>
      <c r="I14" s="725" t="str">
        <f>'Survey Front'!I18</f>
        <v>Plain L</v>
      </c>
      <c r="J14" s="725" t="str">
        <f>'Survey Front'!L18</f>
        <v>Silent</v>
      </c>
      <c r="K14" s="629" t="str">
        <f>'Survey Front'!M18</f>
        <v/>
      </c>
      <c r="L14" s="630"/>
      <c r="M14" s="749" t="str">
        <f>IF(SUM(K14:L16)=0,"",SUM(K14:L16))</f>
        <v/>
      </c>
      <c r="N14" s="749" t="str">
        <f>'Survey Front'!N18</f>
        <v/>
      </c>
      <c r="O14" s="725" t="str">
        <f>'Survey Front'!O18</f>
        <v/>
      </c>
      <c r="P14" s="752" t="s">
        <v>24</v>
      </c>
      <c r="Q14" s="753"/>
      <c r="R14" s="236" t="str">
        <f>'Survey Front'!S18</f>
        <v>L</v>
      </c>
      <c r="S14" s="236" t="str">
        <f>'Survey Front'!T18</f>
        <v>(T)</v>
      </c>
      <c r="T14" s="236" t="str">
        <f>'Survey Front'!U18</f>
        <v>L</v>
      </c>
      <c r="U14" s="236" t="str">
        <f>'Survey Front'!V18</f>
        <v>(T)</v>
      </c>
      <c r="V14" s="236" t="str">
        <f>'Survey Front'!W18</f>
        <v>R</v>
      </c>
      <c r="W14" s="236" t="str">
        <f>'Survey Front'!X18</f>
        <v>(T)</v>
      </c>
      <c r="X14" s="236" t="str">
        <f>'Survey Front'!Y18</f>
        <v>R</v>
      </c>
      <c r="Y14" s="236" t="str">
        <f>'Survey Front'!Z18</f>
        <v/>
      </c>
      <c r="Z14" s="236" t="str">
        <f>'Survey Front'!AA18</f>
        <v/>
      </c>
      <c r="AA14" s="236" t="str">
        <f>'Survey Front'!AB18</f>
        <v/>
      </c>
      <c r="AB14" s="236" t="str">
        <f>'Survey Front'!AC18</f>
        <v/>
      </c>
      <c r="AC14" s="248" t="str">
        <f>'Survey Front'!AD18</f>
        <v/>
      </c>
      <c r="AD14" s="249"/>
      <c r="AE14" s="908" t="s">
        <v>26</v>
      </c>
      <c r="AF14" s="909"/>
    </row>
    <row r="15" spans="1:36">
      <c r="B15" s="774"/>
      <c r="C15" s="239" t="str">
        <f>'Survey Front'!C19</f>
        <v/>
      </c>
      <c r="D15" s="726"/>
      <c r="E15" s="750"/>
      <c r="F15" s="770" t="str">
        <f>'Survey Front'!F19</f>
        <v/>
      </c>
      <c r="G15" s="771"/>
      <c r="H15" s="726"/>
      <c r="I15" s="726"/>
      <c r="J15" s="726"/>
      <c r="K15" s="616"/>
      <c r="L15" s="631"/>
      <c r="M15" s="750"/>
      <c r="N15" s="750"/>
      <c r="O15" s="726"/>
      <c r="P15" s="754" t="s">
        <v>27</v>
      </c>
      <c r="Q15" s="755"/>
      <c r="R15" s="240" t="str">
        <f>'Survey Front'!S19</f>
        <v/>
      </c>
      <c r="S15" s="240" t="str">
        <f>'Survey Front'!T19</f>
        <v/>
      </c>
      <c r="T15" s="240" t="str">
        <f>'Survey Front'!U19</f>
        <v/>
      </c>
      <c r="U15" s="240" t="str">
        <f>'Survey Front'!V19</f>
        <v/>
      </c>
      <c r="V15" s="240" t="str">
        <f>'Survey Front'!W19</f>
        <v/>
      </c>
      <c r="W15" s="240" t="str">
        <f>'Survey Front'!X19</f>
        <v/>
      </c>
      <c r="X15" s="240" t="str">
        <f>'Survey Front'!Y19</f>
        <v/>
      </c>
      <c r="Y15" s="240" t="str">
        <f>'Survey Front'!Z19</f>
        <v/>
      </c>
      <c r="Z15" s="240" t="str">
        <f>'Survey Front'!AA19</f>
        <v/>
      </c>
      <c r="AA15" s="240" t="str">
        <f>'Survey Front'!AB19</f>
        <v/>
      </c>
      <c r="AB15" s="240" t="s">
        <v>28</v>
      </c>
      <c r="AC15" s="241" t="s">
        <v>29</v>
      </c>
      <c r="AD15" s="242" t="s">
        <v>30</v>
      </c>
      <c r="AE15" s="924" t="e">
        <f>IF(ISNA(IF(AE14="Quoted",INDEX(Matrix2!N57:N67,MATCH(Survey_Pricing!E14,Matrix2!K57:K67,0))+AD16*Matrix2!C19,INDEX(Matrix2!N3:N13,MATCH(Survey_Pricing!E14,Matrix2!K3:K13,0))+(AD16*Matrix2!C19)+Matrix2!O35+Matrix2!V35+Matrix2!R35+Matrix2!P35)),,IF(AE14="Quoted",(INDEX(Matrix2!N57:N67,MATCH(Survey_Pricing!E14,Matrix2!K57:K67,0))+(AD16*Matrix2!C19)+Matrix2!V94+(Matrix2!T94*Matrix2!F3)+Matrix2!P94+Matrix2!Y94+Matrix2!N264+Matrix2!N266+Matrix2!M94),INDEX(Matrix2!N3:N13,MATCH(Survey_Pricing!E14,Matrix2!K3:K13,0))+(AD16*Matrix2!C19)+Matrix2!V35+(Matrix2!T35*Matrix2!F3)+Matrix2!P35+Matrix2!Y35+Matrix2!N264+Matrix2!N266)+(Matrix2!C9*AH16)+Matrix2!M35)</f>
        <v>#VALUE!</v>
      </c>
      <c r="AF15" s="925"/>
    </row>
    <row r="16" spans="1:36" ht="15" thickBot="1">
      <c r="B16" s="774"/>
      <c r="C16" s="253" t="str">
        <f>'Survey Front'!C20</f>
        <v/>
      </c>
      <c r="D16" s="726"/>
      <c r="E16" s="778"/>
      <c r="F16" s="244" t="s">
        <v>31</v>
      </c>
      <c r="G16" s="245" t="str">
        <f>'Survey Front'!G20</f>
        <v>Pure White</v>
      </c>
      <c r="H16" s="727"/>
      <c r="I16" s="727"/>
      <c r="J16" s="727"/>
      <c r="K16" s="632"/>
      <c r="L16" s="633"/>
      <c r="M16" s="751"/>
      <c r="N16" s="751"/>
      <c r="O16" s="727"/>
      <c r="P16" s="736" t="s">
        <v>32</v>
      </c>
      <c r="Q16" s="737"/>
      <c r="R16" s="746" t="str">
        <f>'Survey Front'!S20</f>
        <v>J6</v>
      </c>
      <c r="S16" s="747"/>
      <c r="T16" s="747"/>
      <c r="U16" s="747"/>
      <c r="V16" s="747"/>
      <c r="W16" s="747"/>
      <c r="X16" s="747"/>
      <c r="Y16" s="747"/>
      <c r="Z16" s="747"/>
      <c r="AA16" s="747"/>
      <c r="AB16" s="748"/>
      <c r="AC16" s="246">
        <f>'Survey Front'!AD20</f>
        <v>0</v>
      </c>
      <c r="AD16" s="250" t="e">
        <f>IF(AE14="Quoted","",(M14*N14)/1000000)</f>
        <v>#VALUE!</v>
      </c>
      <c r="AE16" s="906" t="str">
        <f>IF(AND(D14="",E14="",J14="",M14="",N14=""),0,IF(OR(D14="",E14="",J14="",M14="",N14="",AND(E14="Antigua",J14="Clearview")),"Incomplete",IF(ISNA(IF(AE14="Quoted",INDEX(Matrix2!N75:N85,MATCH(Survey_Pricing!E14,Matrix2!K75:K85,0))+AD16*Matrix2!C19+Matrix2!O94+Matrix2!V94+Matrix2!R94+Matrix2!P94,INDEX(Matrix2!N17:N27,MATCH(Survey_Pricing!E14,Matrix2!K17:K27,0))+AD16*Matrix2!C19+Matrix2!O35+Matrix2!V35+Matrix2!R35+Matrix2!P35)),,IF(AE14="Quoted",INDEX(Matrix2!N75:N85,MATCH(Survey_Pricing!E14,Matrix2!K75:K85,0))+AD16*Matrix2!C19+Matrix2!O94+Matrix2!V94+Matrix2!R94+Matrix2!P94+Matrix2!M94,INDEX(Matrix2!N167:N177,MATCH(Survey_Pricing!E14,Matrix2!K167:K177,0))+AD16*Matrix2!C19)+(Matrix2!O185+Matrix2!V185+Matrix2!R185+Matrix2!P185+Matrix2!W185+Matrix2!Y185+Matrix2!N261+Matrix2!N264+Matrix2!N266+Matrix2!M185))))</f>
        <v>Incomplete</v>
      </c>
      <c r="AF16" s="907"/>
      <c r="AG16" s="159"/>
      <c r="AH16" s="8" t="e">
        <f>IF(AE14="Quoted",IF(J14="Silent",AD16,IF(J14="Split Tilt",AD16,0)),IF(J14="Silent",AD16,IF(J14="Split Tilt",AD16,0)))</f>
        <v>#VALUE!</v>
      </c>
      <c r="AJ16" s="173" t="s">
        <v>42</v>
      </c>
    </row>
    <row r="17" spans="2:36" ht="15.75" customHeight="1" thickTop="1">
      <c r="B17" s="774">
        <v>4</v>
      </c>
      <c r="C17" s="254" t="str">
        <f>'Survey Front'!C21</f>
        <v>Bedroom</v>
      </c>
      <c r="D17" s="761" t="str">
        <f>'Survey Front'!D21</f>
        <v>Full Height</v>
      </c>
      <c r="E17" s="741" t="str">
        <f>'Survey Front'!E21</f>
        <v>Barbados</v>
      </c>
      <c r="F17" s="775" t="str">
        <f>'Survey Front'!F21</f>
        <v>Pure White</v>
      </c>
      <c r="G17" s="776"/>
      <c r="H17" s="761" t="str">
        <f>'Survey Front'!H21</f>
        <v>76mm</v>
      </c>
      <c r="I17" s="761" t="str">
        <f>'Survey Front'!I21</f>
        <v>Plain L</v>
      </c>
      <c r="J17" s="761" t="str">
        <f>'Survey Front'!L21</f>
        <v>Silent</v>
      </c>
      <c r="K17" s="634" t="str">
        <f>'Survey Front'!M21</f>
        <v/>
      </c>
      <c r="L17" s="635"/>
      <c r="M17" s="741" t="str">
        <f>IF(SUM(K17:L19)=0,"",SUM(K17:L19))</f>
        <v/>
      </c>
      <c r="N17" s="741" t="str">
        <f>'Survey Front'!N21</f>
        <v/>
      </c>
      <c r="O17" s="761" t="str">
        <f>'Survey Front'!O21</f>
        <v/>
      </c>
      <c r="P17" s="764" t="s">
        <v>24</v>
      </c>
      <c r="Q17" s="765"/>
      <c r="R17" s="224" t="str">
        <f>'Survey Front'!S21</f>
        <v>L</v>
      </c>
      <c r="S17" s="224" t="str">
        <f>'Survey Front'!T21</f>
        <v>(T)</v>
      </c>
      <c r="T17" s="224" t="str">
        <f>'Survey Front'!U21</f>
        <v>R</v>
      </c>
      <c r="U17" s="224" t="str">
        <f>'Survey Front'!V21</f>
        <v>(T)</v>
      </c>
      <c r="V17" s="224" t="str">
        <f>'Survey Front'!W21</f>
        <v>R</v>
      </c>
      <c r="W17" s="224" t="str">
        <f>'Survey Front'!X21</f>
        <v/>
      </c>
      <c r="X17" s="224" t="str">
        <f>'Survey Front'!Y21</f>
        <v/>
      </c>
      <c r="Y17" s="224" t="str">
        <f>'Survey Front'!Z21</f>
        <v/>
      </c>
      <c r="Z17" s="224" t="str">
        <f>'Survey Front'!AA21</f>
        <v/>
      </c>
      <c r="AA17" s="224" t="str">
        <f>'Survey Front'!AB21</f>
        <v/>
      </c>
      <c r="AB17" s="224" t="str">
        <f>'Survey Front'!AC21</f>
        <v/>
      </c>
      <c r="AC17" s="225" t="str">
        <f>'Survey Front'!AD21</f>
        <v/>
      </c>
      <c r="AD17" s="226"/>
      <c r="AE17" s="937" t="s">
        <v>26</v>
      </c>
      <c r="AF17" s="938"/>
      <c r="AJ17" s="173" t="str">
        <f>IF(ISERROR(IF(AND(C8="Bathroom",E8&lt;&gt;"Java"),"Recommend JAVA upgrade(Warranty Issue)",IF(AND(D8="S/Shade",I8&lt;&gt;"F/Frame"),"F/Frame Required with S/Shade",IF(AND(D8&lt;&gt;"S/Shade",I8="F/Frame"),"S/Shade required with F/Frame",IF(OR(AND(D8="Shape",E8&lt;&gt;"Fiji"),AND(D8="Shape",E8&lt;&gt;"Samoa")),"Fiji or Samoa required for SHAPE shutters",IF(OR(AND(D8="French Door Cutout",E8&lt;&gt;"Fiji"),AND(D8="French Door Cutout",E8&lt;&gt;"Samoa")),"Fiji or Samoa required for French Doors",IF(ISNUMBER(SEARCH("(",Matrix2!AD22))=FALSE,IF(AND((Survey_Pricing!M8/LEN(Matrix2!AD22)&gt;550),E8="JAVA",H8="47mm",Matrix2!AD22=1),"Max Panel Width of 500 with Java 47mm Louvre exceeded",IF(ISNUMBER(SEARCH("(",Matrix2!AD22))=FALSE,IF(ISNUMBER(SEARCH("(",Matrix2!AD22))=FALSE,IF(OR(AND((Survey_Pricing!M8/LEN(Matrix2!AD22)&gt;800),E8="JAVA",H8="63mm",OR(Matrix2!AD22="L",Matrix2!AD22="R",Matrix2!AD22="LR")),AND((Survey_Pricing!M8/LEN(Matrix2!AD22)&gt;800),E8="JAVA",H8="76mm",OR(Matrix2!AD22="L",Matrix2!AD22="R",Matrix2!AD22="LR"))),"Max Panel Width of 800mm with Java 63/76mm Louvre exceeded",IF(ISNUMBER(SEARCH("(",Matrix2!AD22))=FALSE,IF(OR(AND((Survey_Pricing!M8/LEN(Matrix2!AD22)&gt;890),E8="JAVA",H8="89mm",OR(Matrix2!AD22="L",Matrix2!AD22="R",Matrix2!AD22="LR")),AND((Survey_Pricing!M8/LEN(Matrix2!AD22)&gt;890),E8="JAVA",H8="114mm",OR(Matrix2!AD22="L",Matrix2!AD22="R",Matrix2!AD22="LR"))),"Max Panel Width of 800mm with Java 89/114mm Louvre exceeded",IF(ISNUMBER(SEARCH("(",Matrix2!AD22))=FALSE,IF(AND(OR(ISNUMBER(SEARCH("LL",Matrix2!AD22)),ISNUMBER(SEARCH("RR",Matrix2!AD22))),(M8/Matrix2!AD19)&gt;550,E8="Java",H8="47mm"),"Max Bifold Panel width of 550 exceeded for Java 47mm",IF(ISNUMBER(SEARCH("(",Matrix2!AD22))=FALSE,IF(AND(OR(ISNUMBER(SEARCH("LL",Matrix2!AD22)),ISNUMBER(SEARCH("RR",Matrix2!AD22))),(M8/Matrix2!AD19)&gt;610,E8="Java",H8&lt;&gt;"47mm"),"Max Bifold Panel width of 610 exceeded for Java 63 - 114mm",IF(ISNUMBER(SEARCH("(",Matrix2!AD22))=FALSE,IF(AND(OR(ISNUMBER(SEARCH("LLL",Matrix2!AD22)),ISNUMBER(SEARCH("RRR",Matrix2!AD22))),D8&lt;&gt;"Tracked",E8="Java",H8&lt;&gt;"47mm"),"This Configuration requires a Track System",IF(ISNUMBER(SEARCH("(",Matrix2!AD22))=FALSE,IF((M8/Matrix2!AD19)&lt;152,"Minimum panel width of 152mm exceeded",IF(OR(AND(N8&gt;=1276,O8="Please Select",E8="Java"),AND(N8&gt;=1276,O8="No",E8="Java")),"A Mid Rail is required for this height","At The END")))))))))))))))))))))),"")</f>
        <v/>
      </c>
    </row>
    <row r="18" spans="2:36">
      <c r="B18" s="774"/>
      <c r="C18" s="227" t="str">
        <f>'Survey Front'!C22</f>
        <v>Front Right</v>
      </c>
      <c r="D18" s="762"/>
      <c r="E18" s="742"/>
      <c r="F18" s="744" t="str">
        <f>'Survey Front'!F22</f>
        <v/>
      </c>
      <c r="G18" s="745"/>
      <c r="H18" s="762"/>
      <c r="I18" s="762"/>
      <c r="J18" s="762"/>
      <c r="K18" s="618"/>
      <c r="L18" s="636"/>
      <c r="M18" s="742"/>
      <c r="N18" s="742"/>
      <c r="O18" s="762"/>
      <c r="P18" s="766" t="s">
        <v>27</v>
      </c>
      <c r="Q18" s="767"/>
      <c r="R18" s="228" t="str">
        <f>'Survey Front'!S22</f>
        <v/>
      </c>
      <c r="S18" s="228" t="str">
        <f>'Survey Front'!T22</f>
        <v/>
      </c>
      <c r="T18" s="228" t="str">
        <f>'Survey Front'!U22</f>
        <v/>
      </c>
      <c r="U18" s="228" t="str">
        <f>'Survey Front'!V22</f>
        <v/>
      </c>
      <c r="V18" s="228" t="str">
        <f>'Survey Front'!W22</f>
        <v/>
      </c>
      <c r="W18" s="228" t="str">
        <f>'Survey Front'!X22</f>
        <v/>
      </c>
      <c r="X18" s="228" t="str">
        <f>'Survey Front'!Y22</f>
        <v/>
      </c>
      <c r="Y18" s="228" t="str">
        <f>'Survey Front'!Z22</f>
        <v/>
      </c>
      <c r="Z18" s="228" t="str">
        <f>'Survey Front'!AA22</f>
        <v/>
      </c>
      <c r="AA18" s="228" t="str">
        <f>'Survey Front'!AB22</f>
        <v/>
      </c>
      <c r="AB18" s="228" t="s">
        <v>28</v>
      </c>
      <c r="AC18" s="207" t="s">
        <v>29</v>
      </c>
      <c r="AD18" s="208" t="s">
        <v>30</v>
      </c>
      <c r="AE18" s="939" t="e">
        <f>IF(ISNA(IF(AE17="Quoted",INDEX(Matrix2!O57:O67,MATCH(Survey_Pricing!E17,Matrix2!K57:K67,0))+AD19*Matrix2!C19,INDEX(Matrix2!O3:O13,MATCH(Survey_Pricing!E17,Matrix2!K3:K13,0))+(AD19*Matrix2!C19)+Matrix2!O36+Matrix2!V36+Matrix2!R36+Matrix2!P36)),,IF(AE17="Quoted",(INDEX(Matrix2!O57:O67,MATCH(Survey_Pricing!E17,Matrix2!K57:K67,0))+(AD19*Matrix2!C19)+Matrix2!V95+(Matrix2!T95*Matrix2!F3)+Matrix2!P95+Matrix2!Y95+Matrix2!O264+Matrix2!O266+Matrix2!M95),INDEX(Matrix2!O3:O13,MATCH(Survey_Pricing!E17,Matrix2!K3:K13,0))+(AD19*Matrix2!C19)+Matrix2!V36+(Matrix2!T36*Matrix2!F3)+Matrix2!P36+Matrix2!Y36+Matrix2!O264+Matrix2!O266)+(Matrix2!C9*AH19)+Matrix2!M36)</f>
        <v>#VALUE!</v>
      </c>
      <c r="AF18" s="940"/>
    </row>
    <row r="19" spans="2:36" ht="15" thickBot="1">
      <c r="B19" s="774"/>
      <c r="C19" s="255" t="str">
        <f>'Survey Front'!C23</f>
        <v/>
      </c>
      <c r="D19" s="762"/>
      <c r="E19" s="779"/>
      <c r="F19" s="229" t="s">
        <v>31</v>
      </c>
      <c r="G19" s="230" t="str">
        <f>'Survey Front'!G23</f>
        <v>Pure White</v>
      </c>
      <c r="H19" s="763"/>
      <c r="I19" s="777"/>
      <c r="J19" s="763"/>
      <c r="K19" s="637"/>
      <c r="L19" s="638"/>
      <c r="M19" s="743"/>
      <c r="N19" s="743"/>
      <c r="O19" s="777"/>
      <c r="P19" s="756" t="s">
        <v>32</v>
      </c>
      <c r="Q19" s="757"/>
      <c r="R19" s="758" t="str">
        <f>'Survey Front'!S23</f>
        <v/>
      </c>
      <c r="S19" s="759"/>
      <c r="T19" s="759"/>
      <c r="U19" s="759"/>
      <c r="V19" s="759"/>
      <c r="W19" s="759"/>
      <c r="X19" s="759"/>
      <c r="Y19" s="759"/>
      <c r="Z19" s="759"/>
      <c r="AA19" s="759"/>
      <c r="AB19" s="760"/>
      <c r="AC19" s="231">
        <f>'Survey Front'!AD23</f>
        <v>0</v>
      </c>
      <c r="AD19" s="232" t="e">
        <f>IF(AE17="Quoted","",(M17*N17)/1000000)</f>
        <v>#VALUE!</v>
      </c>
      <c r="AE19" s="906" t="str">
        <f>IF(AND(D17="",E17="",J17="",M17="",N17=""),0,IF(OR(D17="",E17="",J17="",M17="",N17="",AND(E17="Antigua",J17="Clearview")),"Incomplete",IF(ISNA(IF(AE17="Quoted",INDEX(Matrix2!O75:O85,MATCH(Survey_Pricing!E17,Matrix2!K75:K85,0))+AD19*Matrix2!C19+Matrix2!O95+Matrix2!V95+Matrix2!R95+Matrix2!P95,INDEX(Matrix2!O17:O27,MATCH(Survey_Pricing!E17,Matrix2!K17:K27,0))+AD19*Matrix2!C19+Matrix2!O36+Matrix2!V36+Matrix2!R36+Matrix2!P36)),,IF(AE17="Quoted",INDEX(Matrix2!O75:O85,MATCH(Survey_Pricing!E17,Matrix2!K75:K85,0))+AD19*Matrix2!C19+Matrix2!O95+Matrix2!V95+Matrix2!R95+Matrix2!P95+Matrix2!M95,INDEX(Matrix2!O167:O177,MATCH(Survey_Pricing!E17,Matrix2!K167:K177,0))+AD19*Matrix2!C19)+(Matrix2!O186)+Matrix2!V186+Matrix2!R186+Matrix2!P186+Matrix2!W186+Matrix2!Y186+Matrix2!O261+Matrix2!O264+Matrix2!O266+Matrix2!M186)))</f>
        <v>Incomplete</v>
      </c>
      <c r="AF19" s="907"/>
      <c r="AH19" s="8" t="e">
        <f>IF(AE17="Quoted",IF(J17="Silent",AD19,IF(J17="Split Tilt",AD19,0)),IF(J17="Silent",AD19,IF(J17="Split Tilt",AD19,0)))</f>
        <v>#VALUE!</v>
      </c>
      <c r="AJ19" s="173" t="s">
        <v>46</v>
      </c>
    </row>
    <row r="20" spans="2:36" ht="15.75" customHeight="1" thickTop="1">
      <c r="B20" s="774">
        <v>5</v>
      </c>
      <c r="C20" s="237" t="str">
        <f>'Survey Front'!C24</f>
        <v/>
      </c>
      <c r="D20" s="725" t="str">
        <f>'Survey Front'!D24</f>
        <v/>
      </c>
      <c r="E20" s="725" t="str">
        <f>'Survey Front'!E24</f>
        <v/>
      </c>
      <c r="F20" s="772" t="str">
        <f>'Survey Front'!F24</f>
        <v/>
      </c>
      <c r="G20" s="773"/>
      <c r="H20" s="725" t="str">
        <f>'Survey Front'!H24</f>
        <v/>
      </c>
      <c r="I20" s="725" t="str">
        <f>'Survey Front'!I24</f>
        <v/>
      </c>
      <c r="J20" s="725" t="str">
        <f>'Survey Front'!L24</f>
        <v/>
      </c>
      <c r="K20" s="629" t="str">
        <f>'Survey Front'!M24</f>
        <v/>
      </c>
      <c r="L20" s="630"/>
      <c r="M20" s="749" t="str">
        <f>IF(SUM(K20:L22)=0,"",SUM(K20:L22))</f>
        <v/>
      </c>
      <c r="N20" s="749" t="str">
        <f>'Survey Front'!N24</f>
        <v/>
      </c>
      <c r="O20" s="725" t="str">
        <f>'Survey Front'!O24</f>
        <v/>
      </c>
      <c r="P20" s="752" t="s">
        <v>24</v>
      </c>
      <c r="Q20" s="753"/>
      <c r="R20" s="236" t="str">
        <f>'Survey Front'!S24</f>
        <v/>
      </c>
      <c r="S20" s="236" t="str">
        <f>'Survey Front'!T24</f>
        <v/>
      </c>
      <c r="T20" s="236" t="str">
        <f>'Survey Front'!U24</f>
        <v/>
      </c>
      <c r="U20" s="236" t="str">
        <f>'Survey Front'!V24</f>
        <v/>
      </c>
      <c r="V20" s="236" t="str">
        <f>'Survey Front'!W24</f>
        <v/>
      </c>
      <c r="W20" s="236" t="str">
        <f>'Survey Front'!X24</f>
        <v/>
      </c>
      <c r="X20" s="236" t="str">
        <f>'Survey Front'!Y24</f>
        <v/>
      </c>
      <c r="Y20" s="236" t="str">
        <f>'Survey Front'!Z24</f>
        <v/>
      </c>
      <c r="Z20" s="236" t="str">
        <f>'Survey Front'!AA24</f>
        <v/>
      </c>
      <c r="AA20" s="236" t="str">
        <f>'Survey Front'!AB24</f>
        <v/>
      </c>
      <c r="AB20" s="236" t="str">
        <f>'Survey Front'!AC24</f>
        <v/>
      </c>
      <c r="AC20" s="248" t="str">
        <f>'Survey Front'!AD24</f>
        <v/>
      </c>
      <c r="AD20" s="251"/>
      <c r="AE20" s="962" t="s">
        <v>26</v>
      </c>
      <c r="AF20" s="963"/>
      <c r="AJ20" s="173" t="e">
        <f>IF(AND(C8="Bathroom",E8&lt;&gt;"Java"),"Recommend JAVA upgrade(Warranty Issue)",IF(AND(D8="S/Shade",I8&lt;&gt;"F/Frame"),"F/Frame Required with S/Shade",IF(AND(D8&lt;&gt;"S/Shade",I8="F/Frame"),"S/Shade required with F/Frame",IF(OR(AND(D8="Shape",E8&lt;&gt;"Fiji"),AND(D8="Shape",E8&lt;&gt;"Samoa")),"Fiji or Samoa required for SHAPE shutters",IF(OR(AND(D8="French Door Cutout",E8&lt;&gt;"Fiji"),AND(D8="French Door Cutout",E8&lt;&gt;"Samoa")),"Fiji or Samoa required for French Doors",IF(ISNUMBER(SEARCH("(",Matrix2!AD22))=FALSE,IF(OR(AND((Survey_Pricing!M8/LEN(Matrix2!AD22)&gt;890),E8="Fiji",H8="63mm",OR(Matrix2!AD22="L",Matrix2!AD22="R",Matrix2!AD22="LR")),AND((Survey_Pricing!M8/LEN(Matrix2!AD22)&gt;890),E8="Fiji",H8="76mm",OR(Matrix2!AD22="L",Matrix2!AD22="R",Matrix2!AD22="LR"))),"Max Panel Width of 890mm with Fiji 63/76mm Louvre exceeded","The End"),IF(ISNUMBER(SEARCH("(",Matrix2!AD22))=FALSE,IF(OR(AND((Survey_Pricing!M8/LEN(Matrix2!AD22)&gt;1047),E8="Fiji",H8="89mm",OR(Matrix2!AD22="L",Matrix2!AD22="R",Matrix2!AD22="LR")),AND((Survey_Pricing!M8/LEN(Matrix2!AD22)&gt;1047),E8="Fiji",H8="114mm",OR(Matrix2!AD22="L",Matrix2!AD22="R",Matrix2!AD22="LR"))),"Max Panel Width of 1047mm with Java 89/114mm Louvre exceeded",IF(ISNUMBER(SEARCH("(",Matrix2!AD22))=FALSE,IF(AND(OR(ISNUMBER(SEARCH("LL",Matrix2!AD22)),ISNUMBER(SEARCH("RR",Matrix2!AD22))),(M8/Matrix2!AD19)&gt;660,E8="Fiji"),"Max Bifold/Tracked Panel width of 660 exceeded",IF(ISNUMBER(SEARCH("(",Matrix2!AD22))=FALSE,IF(AND(I8="Top Track Only",(M8/Matrix2!AD19)&gt;550,E8="Fiji"),"Max (Top Track) Panel width of 550 exceeded"),"The End")))))))))))</f>
        <v>#VALUE!</v>
      </c>
    </row>
    <row r="21" spans="2:36">
      <c r="B21" s="774"/>
      <c r="C21" s="239" t="str">
        <f>'Survey Front'!C25</f>
        <v/>
      </c>
      <c r="D21" s="726"/>
      <c r="E21" s="726"/>
      <c r="F21" s="770" t="str">
        <f>'Survey Front'!F25</f>
        <v/>
      </c>
      <c r="G21" s="771"/>
      <c r="H21" s="726"/>
      <c r="I21" s="726"/>
      <c r="J21" s="726"/>
      <c r="K21" s="616"/>
      <c r="L21" s="631"/>
      <c r="M21" s="750"/>
      <c r="N21" s="750"/>
      <c r="O21" s="726"/>
      <c r="P21" s="754" t="s">
        <v>27</v>
      </c>
      <c r="Q21" s="755"/>
      <c r="R21" s="240" t="str">
        <f>'Survey Front'!S25</f>
        <v/>
      </c>
      <c r="S21" s="240" t="str">
        <f>'Survey Front'!T25</f>
        <v/>
      </c>
      <c r="T21" s="240" t="str">
        <f>'Survey Front'!U25</f>
        <v/>
      </c>
      <c r="U21" s="240" t="str">
        <f>'Survey Front'!V25</f>
        <v/>
      </c>
      <c r="V21" s="240" t="str">
        <f>'Survey Front'!W25</f>
        <v/>
      </c>
      <c r="W21" s="240" t="str">
        <f>'Survey Front'!X25</f>
        <v/>
      </c>
      <c r="X21" s="240" t="str">
        <f>'Survey Front'!Y25</f>
        <v/>
      </c>
      <c r="Y21" s="240" t="str">
        <f>'Survey Front'!Z25</f>
        <v/>
      </c>
      <c r="Z21" s="240" t="str">
        <f>'Survey Front'!AA25</f>
        <v/>
      </c>
      <c r="AA21" s="240" t="str">
        <f>'Survey Front'!AB25</f>
        <v/>
      </c>
      <c r="AB21" s="240" t="s">
        <v>28</v>
      </c>
      <c r="AC21" s="241" t="s">
        <v>29</v>
      </c>
      <c r="AD21" s="242" t="s">
        <v>30</v>
      </c>
      <c r="AE21" s="924">
        <f>IF(ISNA(IF(AE20="Quoted",INDEX(Matrix2!P57:P67,MATCH(Survey_Pricing!E20,Matrix2!K57:K67,0))+AD22*Matrix2!C19,INDEX(Matrix2!P3:P13,MATCH(Survey_Pricing!E20,Matrix2!K3:K13,0))+(AD22*Matrix2!C19)+Matrix2!O37+Matrix2!V37+Matrix2!R37+Matrix2!P37)),,IF(AE20="Quoted",(INDEX(Matrix2!P57:P67,MATCH(Survey_Pricing!E20,Matrix2!K57:K67,0))+(AD22*Matrix2!C19)+Matrix2!V96+(Matrix2!T96*Matrix2!F3)+Matrix2!P96+Matrix2!Y96+Matrix2!P264+Matrix2!P266+Matrix2!M96),INDEX(Matrix2!P3:P13,MATCH(Survey_Pricing!E20,Matrix2!K3:K13,0))+(AD22*Matrix2!C19)+Matrix2!V37+(Matrix2!T37*Matrix2!F3)+Matrix2!P37+Matrix2!Y37+Matrix2!P264+Matrix2!P266)+(Matrix2!C9*AH22)+Matrix2!M37)</f>
        <v>0</v>
      </c>
      <c r="AF21" s="925"/>
    </row>
    <row r="22" spans="2:36" ht="15" thickBot="1">
      <c r="B22" s="774"/>
      <c r="C22" s="253" t="str">
        <f>'Survey Front'!C26</f>
        <v/>
      </c>
      <c r="D22" s="726"/>
      <c r="E22" s="728"/>
      <c r="F22" s="244" t="s">
        <v>31</v>
      </c>
      <c r="G22" s="245" t="str">
        <f>'Survey Front'!G26</f>
        <v/>
      </c>
      <c r="H22" s="727"/>
      <c r="I22" s="728"/>
      <c r="J22" s="727"/>
      <c r="K22" s="632"/>
      <c r="L22" s="633"/>
      <c r="M22" s="778"/>
      <c r="N22" s="751"/>
      <c r="O22" s="727"/>
      <c r="P22" s="736" t="s">
        <v>32</v>
      </c>
      <c r="Q22" s="737"/>
      <c r="R22" s="746" t="str">
        <f>'Survey Front'!S26</f>
        <v/>
      </c>
      <c r="S22" s="747"/>
      <c r="T22" s="747"/>
      <c r="U22" s="747"/>
      <c r="V22" s="747"/>
      <c r="W22" s="747"/>
      <c r="X22" s="747"/>
      <c r="Y22" s="747"/>
      <c r="Z22" s="747"/>
      <c r="AA22" s="747"/>
      <c r="AB22" s="748"/>
      <c r="AC22" s="246">
        <f>'Survey Front'!AD26</f>
        <v>0</v>
      </c>
      <c r="AD22" s="250" t="e">
        <f>IF(AE20="Quoted","",(M20*N20)/1000000)</f>
        <v>#VALUE!</v>
      </c>
      <c r="AE22" s="906">
        <f>IF(AND(D20="",E20="",J20="",M20="",N20=""),0,IF(OR(D20="",E20="",J20="",M20="",N20="",AND(E20="Antigua",J20="Clearview")),"Incomplete",IF(ISNA(IF(AE20="Quoted",INDEX(Matrix2!P75:P85,MATCH(Survey_Pricing!E20,Matrix2!K75:K85,0))+AD22*Matrix2!C19+Matrix2!O96+Matrix2!V96+Matrix2!R96+Matrix2!P96,INDEX(Matrix2!P17:P27,MATCH(Survey_Pricing!E20,Matrix2!K17:K27,0))+AD22*Matrix2!C19+Matrix2!O37+Matrix2!V37+Matrix2!R37+Matrix2!P37)),,IF(AE20="Quoted",INDEX(Matrix2!P75:P85,MATCH(Survey_Pricing!E20,Matrix2!K75:K85,0))+AD22*Matrix2!C19+Matrix2!O96+Matrix2!V96+Matrix2!R96+Matrix2!P96+Matrix2!M96,INDEX(Matrix2!P17:P27,MATCH(Survey_Pricing!E20,Matrix2!K167:K177,0))+AD22*Matrix2!C19)+(Matrix2!O187)+Matrix2!V187+Matrix2!R187+Matrix2!P187+Matrix2!W187+Matrix2!Y187+Matrix2!P261+Matrix2!P264+Matrix2!P266+Matrix2!M187)))</f>
        <v>0</v>
      </c>
      <c r="AF22" s="907"/>
      <c r="AH22" s="8">
        <f>IF(AE20="Quoted",IF(J20="Silent",AD22,IF(J20="Split Tilt",AD22,0)),IF(J20="Silent",AD22,IF(J20="Split Tilt",AD22,0)))</f>
        <v>0</v>
      </c>
      <c r="AJ22" s="173" t="s">
        <v>48</v>
      </c>
    </row>
    <row r="23" spans="2:36" ht="15.75" customHeight="1" thickTop="1">
      <c r="B23" s="774">
        <v>6</v>
      </c>
      <c r="C23" s="254" t="str">
        <f>'Survey Front'!C27</f>
        <v/>
      </c>
      <c r="D23" s="761" t="str">
        <f>'Survey Front'!D27</f>
        <v/>
      </c>
      <c r="E23" s="761" t="str">
        <f>'Survey Front'!E27</f>
        <v/>
      </c>
      <c r="F23" s="775" t="str">
        <f>'Survey Front'!F27</f>
        <v/>
      </c>
      <c r="G23" s="776"/>
      <c r="H23" s="761" t="str">
        <f>'Survey Front'!H27</f>
        <v/>
      </c>
      <c r="I23" s="761" t="str">
        <f>'Survey Front'!I27</f>
        <v/>
      </c>
      <c r="J23" s="761" t="str">
        <f>'Survey Front'!L27</f>
        <v/>
      </c>
      <c r="K23" s="634" t="str">
        <f>'Survey Front'!M27</f>
        <v/>
      </c>
      <c r="L23" s="635"/>
      <c r="M23" s="741" t="str">
        <f>IF(SUM(K23:L25)=0,"",SUM(K23:L25))</f>
        <v/>
      </c>
      <c r="N23" s="741" t="str">
        <f>'Survey Front'!N27</f>
        <v/>
      </c>
      <c r="O23" s="761" t="str">
        <f>'Survey Front'!O27</f>
        <v/>
      </c>
      <c r="P23" s="764" t="s">
        <v>24</v>
      </c>
      <c r="Q23" s="765"/>
      <c r="R23" s="224" t="str">
        <f>'Survey Front'!S27</f>
        <v/>
      </c>
      <c r="S23" s="224" t="str">
        <f>'Survey Front'!T27</f>
        <v/>
      </c>
      <c r="T23" s="224" t="str">
        <f>'Survey Front'!U27</f>
        <v/>
      </c>
      <c r="U23" s="224" t="str">
        <f>'Survey Front'!V27</f>
        <v/>
      </c>
      <c r="V23" s="224" t="str">
        <f>'Survey Front'!W27</f>
        <v/>
      </c>
      <c r="W23" s="224" t="str">
        <f>'Survey Front'!X27</f>
        <v/>
      </c>
      <c r="X23" s="224" t="str">
        <f>'Survey Front'!Y27</f>
        <v/>
      </c>
      <c r="Y23" s="224" t="str">
        <f>'Survey Front'!Z27</f>
        <v/>
      </c>
      <c r="Z23" s="224" t="str">
        <f>'Survey Front'!AA27</f>
        <v/>
      </c>
      <c r="AA23" s="224" t="str">
        <f>'Survey Front'!AB27</f>
        <v/>
      </c>
      <c r="AB23" s="224" t="str">
        <f>'Survey Front'!AC27</f>
        <v/>
      </c>
      <c r="AC23" s="225" t="str">
        <f>'Survey Front'!AD27</f>
        <v/>
      </c>
      <c r="AD23" s="226"/>
      <c r="AE23" s="937" t="s">
        <v>26</v>
      </c>
      <c r="AF23" s="938"/>
    </row>
    <row r="24" spans="2:36">
      <c r="B24" s="774"/>
      <c r="C24" s="227" t="str">
        <f>'Survey Front'!C28</f>
        <v/>
      </c>
      <c r="D24" s="762"/>
      <c r="E24" s="762"/>
      <c r="F24" s="744" t="str">
        <f>'Survey Front'!F28</f>
        <v/>
      </c>
      <c r="G24" s="745"/>
      <c r="H24" s="762"/>
      <c r="I24" s="762"/>
      <c r="J24" s="762"/>
      <c r="K24" s="618"/>
      <c r="L24" s="636"/>
      <c r="M24" s="742"/>
      <c r="N24" s="742"/>
      <c r="O24" s="762"/>
      <c r="P24" s="766" t="s">
        <v>27</v>
      </c>
      <c r="Q24" s="767"/>
      <c r="R24" s="228" t="str">
        <f>'Survey Front'!S28</f>
        <v/>
      </c>
      <c r="S24" s="228" t="str">
        <f>'Survey Front'!T28</f>
        <v/>
      </c>
      <c r="T24" s="228" t="str">
        <f>'Survey Front'!U28</f>
        <v/>
      </c>
      <c r="U24" s="228" t="str">
        <f>'Survey Front'!V28</f>
        <v/>
      </c>
      <c r="V24" s="228" t="str">
        <f>'Survey Front'!W28</f>
        <v/>
      </c>
      <c r="W24" s="228" t="str">
        <f>'Survey Front'!X28</f>
        <v/>
      </c>
      <c r="X24" s="228" t="str">
        <f>'Survey Front'!Y28</f>
        <v/>
      </c>
      <c r="Y24" s="228" t="str">
        <f>'Survey Front'!Z28</f>
        <v/>
      </c>
      <c r="Z24" s="228" t="str">
        <f>'Survey Front'!AA28</f>
        <v/>
      </c>
      <c r="AA24" s="228" t="str">
        <f>'Survey Front'!AB28</f>
        <v/>
      </c>
      <c r="AB24" s="228" t="s">
        <v>28</v>
      </c>
      <c r="AC24" s="207" t="s">
        <v>29</v>
      </c>
      <c r="AD24" s="208" t="s">
        <v>30</v>
      </c>
      <c r="AE24" s="939">
        <f>IF(ISNA(IF(AE23="Quoted",INDEX(Matrix2!Q57:Q67,MATCH(Survey_Pricing!E23,Matrix2!K57:K67,0))+AD25*Matrix2!C19,INDEX(Matrix2!Q3:Q13,MATCH(Survey_Pricing!E23,Matrix2!K3:K13,0))+(AD25*Matrix2!C19)+Matrix2!O38+Matrix2!V38+Matrix2!R38+Matrix2!P38)),,IF(AE23="Quoted",(INDEX(Matrix2!Q57:Q67,MATCH(Survey_Pricing!E23,Matrix2!K57:K67,0))+(AD25*Matrix2!C19)+Matrix2!V97+(Matrix2!T97*Matrix2!F3)+Matrix2!P97+Matrix2!Y97+Matrix2!Q264+Matrix2!Q266+Matrix2!M97),INDEX(Matrix2!Q3:Q13,MATCH(Survey_Pricing!E23,Matrix2!K3:K13,0))+(AD25*Matrix2!C19)+Matrix2!V38+(Matrix2!T38*Matrix2!F3)+Matrix2!P38+Matrix2!Y38+Matrix2!Q264+Matrix2!Q266)+(Matrix2!C9*AH25)+Matrix2!M38)</f>
        <v>0</v>
      </c>
      <c r="AF24" s="940"/>
    </row>
    <row r="25" spans="2:36" ht="15" thickBot="1">
      <c r="B25" s="774"/>
      <c r="C25" s="255" t="str">
        <f>'Survey Front'!C29</f>
        <v/>
      </c>
      <c r="D25" s="762"/>
      <c r="E25" s="777"/>
      <c r="F25" s="229" t="s">
        <v>31</v>
      </c>
      <c r="G25" s="230" t="str">
        <f>'Survey Front'!G29</f>
        <v/>
      </c>
      <c r="H25" s="763"/>
      <c r="I25" s="777"/>
      <c r="J25" s="763"/>
      <c r="K25" s="637"/>
      <c r="L25" s="638"/>
      <c r="M25" s="743"/>
      <c r="N25" s="743"/>
      <c r="O25" s="777"/>
      <c r="P25" s="756" t="s">
        <v>32</v>
      </c>
      <c r="Q25" s="757"/>
      <c r="R25" s="758" t="str">
        <f>'Survey Front'!S29</f>
        <v/>
      </c>
      <c r="S25" s="759"/>
      <c r="T25" s="759"/>
      <c r="U25" s="759"/>
      <c r="V25" s="759"/>
      <c r="W25" s="759"/>
      <c r="X25" s="759"/>
      <c r="Y25" s="759"/>
      <c r="Z25" s="759"/>
      <c r="AA25" s="759"/>
      <c r="AB25" s="760"/>
      <c r="AC25" s="231">
        <f>'Survey Front'!AD29</f>
        <v>0</v>
      </c>
      <c r="AD25" s="232" t="e">
        <f>IF(AE23="Quoted","",(M23*N23)/1000000)</f>
        <v>#VALUE!</v>
      </c>
      <c r="AE25" s="906">
        <f>IF(AND(D23="",E23="",J23="",M23="",N23=""),0,IF(OR(D23="",E23="",J23="",M23="",N23="",AND(E23="Antigua",J23="Clearview")),"Incomplete",IF(ISNA(IF(AE23="Quoted",INDEX(Matrix2!Q75:Q85,MATCH(Survey_Pricing!E23,Matrix2!K75:K85,0))+AD25*Matrix2!C19+Matrix2!O97+Matrix2!V97+Matrix2!R97+Matrix2!P97,INDEX(Matrix2!Q17:Q27,MATCH(Survey_Pricing!E23,Matrix2!K17:K27,0))+AD25*Matrix2!C19+Matrix2!O38+Matrix2!V38+Matrix2!R38+Matrix2!P38)),,IF(AE23="Quoted",INDEX(Matrix2!Q75:Q85,MATCH(Survey_Pricing!E23,Matrix2!K75:K85,0))+AD25*Matrix2!C19+Matrix2!O97+Matrix2!V97+Matrix2!R97+Matrix2!P97+Matrix2!M97,INDEX(Matrix2!Q167:Q177,MATCH(Survey_Pricing!E23,Matrix2!K167:K177,0))+AD25*Matrix2!C19)+(Matrix2!O188)+Matrix2!V188+Matrix2!R188+Matrix2!P188+Matrix2!W188+Matrix2!Y188+Matrix2!Q261+Matrix2!Q264+Matrix2!Q266+Matrix2!M188)))</f>
        <v>0</v>
      </c>
      <c r="AF25" s="907"/>
      <c r="AH25" s="8">
        <f>IF(AE23="Quoted",IF(J23="Silent",AD25,IF(J23="Split Tilt",AD25,0)),IF(J23="Silent",AD25,IF(J23="Split Tilt",AD25,0)))</f>
        <v>0</v>
      </c>
    </row>
    <row r="26" spans="2:36" ht="15.75" customHeight="1" thickTop="1">
      <c r="B26" s="774">
        <v>7</v>
      </c>
      <c r="C26" s="237" t="str">
        <f>'Survey Front'!C30</f>
        <v/>
      </c>
      <c r="D26" s="725" t="str">
        <f>'Survey Front'!D30</f>
        <v/>
      </c>
      <c r="E26" s="725" t="str">
        <f>'Survey Front'!E30</f>
        <v/>
      </c>
      <c r="F26" s="772" t="str">
        <f>'Survey Front'!F30</f>
        <v/>
      </c>
      <c r="G26" s="773"/>
      <c r="H26" s="725" t="str">
        <f>'Survey Front'!H30</f>
        <v/>
      </c>
      <c r="I26" s="725" t="str">
        <f>'Survey Front'!I30</f>
        <v/>
      </c>
      <c r="J26" s="725" t="str">
        <f>'Survey Front'!L30</f>
        <v/>
      </c>
      <c r="K26" s="629" t="str">
        <f>'Survey Front'!M30</f>
        <v/>
      </c>
      <c r="L26" s="630"/>
      <c r="M26" s="749" t="str">
        <f>IF(SUM(K26:L28)=0,"",SUM(K26:L28))</f>
        <v/>
      </c>
      <c r="N26" s="749" t="str">
        <f>'Survey Front'!N30</f>
        <v/>
      </c>
      <c r="O26" s="725" t="str">
        <f>'Survey Front'!O30</f>
        <v/>
      </c>
      <c r="P26" s="752" t="s">
        <v>24</v>
      </c>
      <c r="Q26" s="753"/>
      <c r="R26" s="236" t="str">
        <f>'Survey Front'!S30</f>
        <v/>
      </c>
      <c r="S26" s="236" t="str">
        <f>'Survey Front'!T30</f>
        <v/>
      </c>
      <c r="T26" s="236" t="str">
        <f>'Survey Front'!U30</f>
        <v/>
      </c>
      <c r="U26" s="236" t="str">
        <f>'Survey Front'!V30</f>
        <v/>
      </c>
      <c r="V26" s="236" t="str">
        <f>'Survey Front'!W30</f>
        <v/>
      </c>
      <c r="W26" s="236" t="str">
        <f>'Survey Front'!X30</f>
        <v/>
      </c>
      <c r="X26" s="236" t="str">
        <f>'Survey Front'!Y30</f>
        <v/>
      </c>
      <c r="Y26" s="236" t="str">
        <f>'Survey Front'!Z30</f>
        <v/>
      </c>
      <c r="Z26" s="236" t="str">
        <f>'Survey Front'!AA30</f>
        <v/>
      </c>
      <c r="AA26" s="236" t="str">
        <f>'Survey Front'!AB30</f>
        <v/>
      </c>
      <c r="AB26" s="236" t="str">
        <f>'Survey Front'!AC30</f>
        <v/>
      </c>
      <c r="AC26" s="248" t="str">
        <f>'Survey Front'!AD30</f>
        <v/>
      </c>
      <c r="AD26" s="249"/>
      <c r="AE26" s="908" t="s">
        <v>26</v>
      </c>
      <c r="AF26" s="909"/>
    </row>
    <row r="27" spans="2:36">
      <c r="B27" s="774"/>
      <c r="C27" s="239" t="str">
        <f>'Survey Front'!C31</f>
        <v/>
      </c>
      <c r="D27" s="726"/>
      <c r="E27" s="726"/>
      <c r="F27" s="770" t="str">
        <f>'Survey Front'!F31</f>
        <v/>
      </c>
      <c r="G27" s="771"/>
      <c r="H27" s="726"/>
      <c r="I27" s="726"/>
      <c r="J27" s="726"/>
      <c r="K27" s="616"/>
      <c r="L27" s="631"/>
      <c r="M27" s="750"/>
      <c r="N27" s="750"/>
      <c r="O27" s="726"/>
      <c r="P27" s="754" t="s">
        <v>27</v>
      </c>
      <c r="Q27" s="755"/>
      <c r="R27" s="240" t="str">
        <f>'Survey Front'!S31</f>
        <v/>
      </c>
      <c r="S27" s="240" t="str">
        <f>'Survey Front'!T31</f>
        <v/>
      </c>
      <c r="T27" s="240" t="str">
        <f>'Survey Front'!U31</f>
        <v/>
      </c>
      <c r="U27" s="240" t="str">
        <f>'Survey Front'!V31</f>
        <v/>
      </c>
      <c r="V27" s="240" t="str">
        <f>'Survey Front'!W31</f>
        <v/>
      </c>
      <c r="W27" s="240" t="str">
        <f>'Survey Front'!X31</f>
        <v/>
      </c>
      <c r="X27" s="240" t="str">
        <f>'Survey Front'!Y31</f>
        <v/>
      </c>
      <c r="Y27" s="240" t="str">
        <f>'Survey Front'!Z31</f>
        <v/>
      </c>
      <c r="Z27" s="240" t="str">
        <f>'Survey Front'!AA31</f>
        <v/>
      </c>
      <c r="AA27" s="240" t="str">
        <f>'Survey Front'!AB31</f>
        <v/>
      </c>
      <c r="AB27" s="240" t="s">
        <v>28</v>
      </c>
      <c r="AC27" s="241" t="s">
        <v>29</v>
      </c>
      <c r="AD27" s="242" t="s">
        <v>30</v>
      </c>
      <c r="AE27" s="924">
        <f>IF(ISNA(IF(AE26="Quoted",INDEX(Matrix2!R57:R67,MATCH(Survey_Pricing!E26,Matrix2!K57:K67,0))+AD28*Matrix2!C19,INDEX(Matrix2!R3:R13,MATCH(Survey_Pricing!E26,Matrix2!K3:K13,0))+(AD28*Matrix2!C19)+Matrix2!O39+Matrix2!V39+Matrix2!R39+Matrix2!P39)),,IF(AE26="Quoted",(INDEX(Matrix2!R57:R67,MATCH(Survey_Pricing!E26,Matrix2!K57:K67,0))+(AD28*Matrix2!C19)+Matrix2!V98+(Matrix2!T98*Matrix2!F3)+Matrix2!P98+Matrix2!Y98+Matrix2!R264+Matrix2!R266+Matrix2!M98),INDEX(Matrix2!R3:R13,MATCH(Survey_Pricing!E26,Matrix2!K3:K13,0))+(AD26*Matrix2!C19)+Matrix2!V39+(Matrix2!T39*Matrix2!F3)+Matrix2!P39+Matrix2!Y39+Matrix2!R264+Matrix2!R266)+(Matrix2!C9*AH28)+Matrix2!M39)</f>
        <v>0</v>
      </c>
      <c r="AF27" s="925"/>
    </row>
    <row r="28" spans="2:36" ht="15" thickBot="1">
      <c r="B28" s="774"/>
      <c r="C28" s="253" t="str">
        <f>'Survey Front'!C32</f>
        <v/>
      </c>
      <c r="D28" s="726"/>
      <c r="E28" s="726"/>
      <c r="F28" s="244" t="s">
        <v>31</v>
      </c>
      <c r="G28" s="245" t="str">
        <f>'Survey Front'!G32</f>
        <v/>
      </c>
      <c r="H28" s="727"/>
      <c r="I28" s="728"/>
      <c r="J28" s="727"/>
      <c r="K28" s="632"/>
      <c r="L28" s="633"/>
      <c r="M28" s="751"/>
      <c r="N28" s="751"/>
      <c r="O28" s="727"/>
      <c r="P28" s="736" t="s">
        <v>32</v>
      </c>
      <c r="Q28" s="737"/>
      <c r="R28" s="746" t="str">
        <f>'Survey Front'!S32</f>
        <v/>
      </c>
      <c r="S28" s="747"/>
      <c r="T28" s="747"/>
      <c r="U28" s="747"/>
      <c r="V28" s="747"/>
      <c r="W28" s="747"/>
      <c r="X28" s="747"/>
      <c r="Y28" s="747"/>
      <c r="Z28" s="747"/>
      <c r="AA28" s="747"/>
      <c r="AB28" s="748"/>
      <c r="AC28" s="246">
        <f>'Survey Front'!AD32</f>
        <v>0</v>
      </c>
      <c r="AD28" s="250" t="e">
        <f>IF(AE26="Quoted","",(M26*N26)/1000000)</f>
        <v>#VALUE!</v>
      </c>
      <c r="AE28" s="906">
        <f>IF(AND(D26="",E26="",J26="",M26="",N26=""),0,IF(OR(D26="",E26="",J26="",M26="",N26="",AND(E26="Antigua",J26="Clearview")),"Incomplete",IF(ISNA(IF(AE26="Quoted",INDEX(Matrix2!R75:R85,MATCH(Survey_Pricing!E26,Matrix2!K75:K85,0))+AD28*Matrix2!C19+Matrix2!O98+Matrix2!V98+Matrix2!R98+Matrix2!P98,INDEX(Matrix2!R17:R27,MATCH(Survey_Pricing!E26,Matrix2!K17:K27,0))+AD28*Matrix2!C19+Matrix2!O39+Matrix2!V39+Matrix2!R39+Matrix2!P39)),,IF(AE26="Quoted",INDEX(Matrix2!R75:R85,MATCH(Survey_Pricing!E26,Matrix2!K75:K85,0))+AD28*Matrix2!C19+Matrix2!O98+Matrix2!V98+Matrix2!R98+Matrix2!P98+Matrix2!M98,INDEX(Matrix2!R167:R177,MATCH(Survey_Pricing!E26,Matrix2!K167:K177,0))+AD28*Matrix2!C189)+(Matrix2!O189)+Matrix2!V189+Matrix2!R189+Matrix2!P189+Matrix2!W189+Matrix2!Y189+Matrix2!R261+Matrix2!R264+Matrix2!R266+Matrix2!M189)))</f>
        <v>0</v>
      </c>
      <c r="AF28" s="907"/>
      <c r="AH28" s="8">
        <f>IF(AE26="Quoted",IF(J26="Silent",AD28,IF(J26="Split Tilt",AD28,0)),IF(J26="Silent",AD28,IF(J26="Split Tilt",AD28,0)))</f>
        <v>0</v>
      </c>
    </row>
    <row r="29" spans="2:36" ht="15.75" customHeight="1" thickTop="1">
      <c r="B29" s="774">
        <v>8</v>
      </c>
      <c r="C29" s="254" t="str">
        <f>'Survey Front'!C33</f>
        <v/>
      </c>
      <c r="D29" s="761" t="str">
        <f>'Survey Front'!D33</f>
        <v/>
      </c>
      <c r="E29" s="761" t="str">
        <f>'Survey Front'!E33</f>
        <v/>
      </c>
      <c r="F29" s="775" t="str">
        <f>'Survey Front'!F33</f>
        <v/>
      </c>
      <c r="G29" s="776"/>
      <c r="H29" s="761" t="str">
        <f>'Survey Front'!H33</f>
        <v/>
      </c>
      <c r="I29" s="761" t="str">
        <f>'Survey Front'!I33</f>
        <v/>
      </c>
      <c r="J29" s="761" t="str">
        <f>'Survey Front'!L33</f>
        <v/>
      </c>
      <c r="K29" s="634" t="str">
        <f>'Survey Front'!M33</f>
        <v/>
      </c>
      <c r="L29" s="635"/>
      <c r="M29" s="741" t="str">
        <f>IF(SUM(K29:L31)=0,"",SUM(K29:L31))</f>
        <v/>
      </c>
      <c r="N29" s="741" t="str">
        <f>'Survey Front'!N33</f>
        <v/>
      </c>
      <c r="O29" s="761" t="str">
        <f>'Survey Front'!O33</f>
        <v/>
      </c>
      <c r="P29" s="764" t="s">
        <v>24</v>
      </c>
      <c r="Q29" s="765"/>
      <c r="R29" s="224" t="str">
        <f>'Survey Front'!S33</f>
        <v/>
      </c>
      <c r="S29" s="224" t="str">
        <f>'Survey Front'!T33</f>
        <v/>
      </c>
      <c r="T29" s="224" t="str">
        <f>'Survey Front'!U33</f>
        <v/>
      </c>
      <c r="U29" s="224" t="str">
        <f>'Survey Front'!V33</f>
        <v/>
      </c>
      <c r="V29" s="224" t="str">
        <f>'Survey Front'!W33</f>
        <v/>
      </c>
      <c r="W29" s="224" t="str">
        <f>'Survey Front'!X33</f>
        <v/>
      </c>
      <c r="X29" s="224" t="str">
        <f>'Survey Front'!Y33</f>
        <v/>
      </c>
      <c r="Y29" s="224" t="str">
        <f>'Survey Front'!Z33</f>
        <v/>
      </c>
      <c r="Z29" s="224" t="str">
        <f>'Survey Front'!AA33</f>
        <v/>
      </c>
      <c r="AA29" s="224" t="str">
        <f>'Survey Front'!AB33</f>
        <v/>
      </c>
      <c r="AB29" s="224" t="str">
        <f>'Survey Front'!AC33</f>
        <v/>
      </c>
      <c r="AC29" s="225" t="str">
        <f>'Survey Front'!AD33</f>
        <v/>
      </c>
      <c r="AD29" s="226"/>
      <c r="AE29" s="937" t="s">
        <v>26</v>
      </c>
      <c r="AF29" s="938"/>
    </row>
    <row r="30" spans="2:36">
      <c r="B30" s="774"/>
      <c r="C30" s="227" t="str">
        <f>'Survey Front'!C34</f>
        <v/>
      </c>
      <c r="D30" s="762"/>
      <c r="E30" s="762"/>
      <c r="F30" s="744" t="str">
        <f>'Survey Front'!F34</f>
        <v/>
      </c>
      <c r="G30" s="745"/>
      <c r="H30" s="762"/>
      <c r="I30" s="762"/>
      <c r="J30" s="762"/>
      <c r="K30" s="618"/>
      <c r="L30" s="636"/>
      <c r="M30" s="742"/>
      <c r="N30" s="742"/>
      <c r="O30" s="762"/>
      <c r="P30" s="766" t="s">
        <v>27</v>
      </c>
      <c r="Q30" s="767"/>
      <c r="R30" s="228" t="str">
        <f>'Survey Front'!S34</f>
        <v/>
      </c>
      <c r="S30" s="228" t="str">
        <f>'Survey Front'!T34</f>
        <v/>
      </c>
      <c r="T30" s="228" t="str">
        <f>'Survey Front'!U34</f>
        <v/>
      </c>
      <c r="U30" s="228" t="str">
        <f>'Survey Front'!V34</f>
        <v/>
      </c>
      <c r="V30" s="228" t="str">
        <f>'Survey Front'!W34</f>
        <v/>
      </c>
      <c r="W30" s="228" t="str">
        <f>'Survey Front'!X34</f>
        <v/>
      </c>
      <c r="X30" s="228" t="str">
        <f>'Survey Front'!Y34</f>
        <v/>
      </c>
      <c r="Y30" s="228" t="str">
        <f>'Survey Front'!Z34</f>
        <v/>
      </c>
      <c r="Z30" s="228" t="str">
        <f>'Survey Front'!AA34</f>
        <v/>
      </c>
      <c r="AA30" s="228" t="str">
        <f>'Survey Front'!AB34</f>
        <v/>
      </c>
      <c r="AB30" s="228" t="s">
        <v>28</v>
      </c>
      <c r="AC30" s="207" t="s">
        <v>29</v>
      </c>
      <c r="AD30" s="208" t="s">
        <v>30</v>
      </c>
      <c r="AE30" s="939">
        <f>IF(ISNA(IF(AE29="Quoted",INDEX(Matrix2!S57:S67,MATCH(Survey_Pricing!E29,Matrix2!K57:K67,0))+AD31*Matrix2!C19,INDEX(Matrix2!S3:S13,MATCH(Survey_Pricing!E29,Matrix2!K3:K13,0))+(AD31*Matrix2!C19)+Matrix2!O40+Matrix2!V40+Matrix2!R40+Matrix2!P40)),,IF(AE29="Quoted",(INDEX(Matrix2!S57:S67,MATCH(Survey_Pricing!E29,Matrix2!K57:K67,0))+(AD31*Matrix2!C19)+Matrix2!V99+(Matrix2!T99*Matrix2!F3)+Matrix2!P99+Matrix2!Y99+Matrix2!S264+Matrix2!S266+Matrix2!M99),INDEX(Matrix2!S3:S13,MATCH(Survey_Pricing!E29,Matrix2!K3:K13,0))+(AD29*Matrix2!C19)+Matrix2!V40+(Matrix2!T40*Matrix2!F3)+Matrix2!P40+Matrix2!Y40+Matrix2!S264+Matrix2!S266)+(Matrix2!C9*AH31)+Matrix2!M40)</f>
        <v>0</v>
      </c>
      <c r="AF30" s="940"/>
    </row>
    <row r="31" spans="2:36" ht="15" thickBot="1">
      <c r="B31" s="774"/>
      <c r="C31" s="255" t="str">
        <f>'Survey Front'!C35</f>
        <v/>
      </c>
      <c r="D31" s="762"/>
      <c r="E31" s="762"/>
      <c r="F31" s="229" t="s">
        <v>31</v>
      </c>
      <c r="G31" s="230" t="str">
        <f>'Survey Front'!G35</f>
        <v/>
      </c>
      <c r="H31" s="763"/>
      <c r="I31" s="777"/>
      <c r="J31" s="763"/>
      <c r="K31" s="637"/>
      <c r="L31" s="638"/>
      <c r="M31" s="743"/>
      <c r="N31" s="743"/>
      <c r="O31" s="763"/>
      <c r="P31" s="756" t="s">
        <v>32</v>
      </c>
      <c r="Q31" s="757"/>
      <c r="R31" s="758" t="str">
        <f>'Survey Front'!S35</f>
        <v/>
      </c>
      <c r="S31" s="759"/>
      <c r="T31" s="759"/>
      <c r="U31" s="759"/>
      <c r="V31" s="759"/>
      <c r="W31" s="759"/>
      <c r="X31" s="759"/>
      <c r="Y31" s="759"/>
      <c r="Z31" s="759"/>
      <c r="AA31" s="759"/>
      <c r="AB31" s="760"/>
      <c r="AC31" s="231">
        <f>'Survey Front'!AD35</f>
        <v>0</v>
      </c>
      <c r="AD31" s="232" t="e">
        <f>IF(AE29="Quoted","",(M29*N29)/1000000)</f>
        <v>#VALUE!</v>
      </c>
      <c r="AE31" s="906">
        <f>IF(AND(D29="",E29="",J29="",M29="",N29=""),0,IF(OR(D29="",E29="",J29="",M29="",N29="",AND(E29="Antigua",J29="Clearview")),"Incomplete",IF(ISNA(IF(AE29="Quoted",INDEX(Matrix2!S75:S85,MATCH(Survey_Pricing!E29,Matrix2!K75:K85,0))+AD31*Matrix2!C19+Matrix2!O99+Matrix2!V99+Matrix2!R99+Matrix2!P99,INDEX(Matrix2!S17:S27,MATCH(Survey_Pricing!E29,Matrix2!K17:K27,0))+AD31*Matrix2!C19+Matrix2!O40+Matrix2!V40+Matrix2!R40+Matrix2!P40)),,IF(AE29="Quoted",INDEX(Matrix2!S75:S85,MATCH(Survey_Pricing!E29,Matrix2!K75:K85,0))+AD31*Matrix2!C19+Matrix2!O99+Matrix2!V99+Matrix2!R99+Matrix2!P99+Matrix2!M99,INDEX(Matrix2!S167:S177,MATCH(Survey_Pricing!E29,Matrix2!K167:K177,0))+AD31*Matrix2!C19)+(Matrix2!O190)+Matrix2!V190+Matrix2!R190+Matrix2!P190+Matrix2!W190+Matrix2!Y190+Matrix2!S261+Matrix2!S264+Matrix2!S266+Matrix2!M190)))</f>
        <v>0</v>
      </c>
      <c r="AF31" s="907"/>
      <c r="AH31" s="8">
        <f>IF(AE29="Quoted",IF(J29="Silent",AD31,IF(J29="Split Tilt",AD31,0)),IF(J29="Silent",AD31,IF(J29="Split Tilt",AD31,0)))</f>
        <v>0</v>
      </c>
    </row>
    <row r="32" spans="2:36" ht="15.75" customHeight="1" thickTop="1">
      <c r="B32" s="774">
        <v>9</v>
      </c>
      <c r="C32" s="237" t="str">
        <f>'Survey Front'!C36</f>
        <v/>
      </c>
      <c r="D32" s="725" t="str">
        <f>'Survey Front'!D36</f>
        <v/>
      </c>
      <c r="E32" s="725" t="str">
        <f>'Survey Front'!E36</f>
        <v/>
      </c>
      <c r="F32" s="772" t="str">
        <f>'Survey Front'!F36</f>
        <v/>
      </c>
      <c r="G32" s="773"/>
      <c r="H32" s="725" t="str">
        <f>'Survey Front'!H36</f>
        <v/>
      </c>
      <c r="I32" s="725" t="str">
        <f>'Survey Front'!I36</f>
        <v/>
      </c>
      <c r="J32" s="725" t="str">
        <f>'Survey Front'!L36</f>
        <v/>
      </c>
      <c r="K32" s="629" t="str">
        <f>'Survey Front'!M36</f>
        <v/>
      </c>
      <c r="L32" s="630"/>
      <c r="M32" s="749" t="str">
        <f>IF(SUM(K32:L34)=0,"",SUM(K32:L34))</f>
        <v/>
      </c>
      <c r="N32" s="749" t="str">
        <f>'Survey Front'!N36</f>
        <v/>
      </c>
      <c r="O32" s="725" t="str">
        <f>'Survey Front'!O36</f>
        <v/>
      </c>
      <c r="P32" s="752" t="s">
        <v>24</v>
      </c>
      <c r="Q32" s="753"/>
      <c r="R32" s="236" t="str">
        <f>'Survey Front'!S36</f>
        <v/>
      </c>
      <c r="S32" s="236" t="str">
        <f>'Survey Front'!T36</f>
        <v/>
      </c>
      <c r="T32" s="236" t="str">
        <f>'Survey Front'!U36</f>
        <v/>
      </c>
      <c r="U32" s="236" t="str">
        <f>'Survey Front'!V36</f>
        <v/>
      </c>
      <c r="V32" s="236" t="str">
        <f>'Survey Front'!W36</f>
        <v/>
      </c>
      <c r="W32" s="236" t="str">
        <f>'Survey Front'!X36</f>
        <v/>
      </c>
      <c r="X32" s="236" t="str">
        <f>'Survey Front'!Y36</f>
        <v/>
      </c>
      <c r="Y32" s="236" t="str">
        <f>'Survey Front'!Z36</f>
        <v/>
      </c>
      <c r="Z32" s="236" t="str">
        <f>'Survey Front'!AA36</f>
        <v/>
      </c>
      <c r="AA32" s="236" t="str">
        <f>'Survey Front'!AB36</f>
        <v/>
      </c>
      <c r="AB32" s="236" t="str">
        <f>'Survey Front'!AC36</f>
        <v/>
      </c>
      <c r="AC32" s="248" t="str">
        <f>'Survey Front'!AD36</f>
        <v/>
      </c>
      <c r="AD32" s="249"/>
      <c r="AE32" s="908" t="s">
        <v>26</v>
      </c>
      <c r="AF32" s="909"/>
    </row>
    <row r="33" spans="2:34">
      <c r="B33" s="774"/>
      <c r="C33" s="239" t="str">
        <f>'Survey Front'!C37</f>
        <v/>
      </c>
      <c r="D33" s="726"/>
      <c r="E33" s="726"/>
      <c r="F33" s="770" t="str">
        <f>'Survey Front'!F37</f>
        <v/>
      </c>
      <c r="G33" s="771"/>
      <c r="H33" s="726"/>
      <c r="I33" s="726"/>
      <c r="J33" s="726"/>
      <c r="K33" s="616"/>
      <c r="L33" s="631"/>
      <c r="M33" s="750"/>
      <c r="N33" s="750"/>
      <c r="O33" s="726"/>
      <c r="P33" s="754" t="s">
        <v>27</v>
      </c>
      <c r="Q33" s="755"/>
      <c r="R33" s="240" t="str">
        <f>'Survey Front'!S37</f>
        <v/>
      </c>
      <c r="S33" s="240" t="str">
        <f>'Survey Front'!T37</f>
        <v/>
      </c>
      <c r="T33" s="240" t="str">
        <f>'Survey Front'!U37</f>
        <v/>
      </c>
      <c r="U33" s="240" t="str">
        <f>'Survey Front'!V37</f>
        <v/>
      </c>
      <c r="V33" s="240" t="str">
        <f>'Survey Front'!W37</f>
        <v/>
      </c>
      <c r="W33" s="240" t="str">
        <f>'Survey Front'!X37</f>
        <v/>
      </c>
      <c r="X33" s="240" t="str">
        <f>'Survey Front'!Y37</f>
        <v/>
      </c>
      <c r="Y33" s="240" t="str">
        <f>'Survey Front'!Z37</f>
        <v/>
      </c>
      <c r="Z33" s="240" t="str">
        <f>'Survey Front'!AA37</f>
        <v/>
      </c>
      <c r="AA33" s="240" t="str">
        <f>'Survey Front'!AB37</f>
        <v/>
      </c>
      <c r="AB33" s="240" t="s">
        <v>28</v>
      </c>
      <c r="AC33" s="241" t="s">
        <v>29</v>
      </c>
      <c r="AD33" s="242" t="s">
        <v>30</v>
      </c>
      <c r="AE33" s="924">
        <f>IF(ISNA(IF(AE32="Quoted",INDEX(Matrix2!T57:T67,MATCH(Survey_Pricing!E32,Matrix2!K57:K67,0))+AD34*Matrix2!C19,INDEX(Matrix2!T3:T13,MATCH(Survey_Pricing!E32,Matrix2!K3:K13,0))+(AD34*Matrix2!C19)+Matrix2!O41+Matrix2!V41+Matrix2!R41+Matrix2!P41)),,IF(AE32="Quoted",INDEX(Matrix2!T57:T67,MATCH(Survey_Pricing!E32,Matrix2!K57:K67,0))+AD34*Matrix2!C19+Matrix2!V100+Matrix2!R100+Matrix2!P100+Matrix2!M100,INDEX(Matrix2!T3:T13,MATCH(Survey_Pricing!E32,Matrix2!K3:K13,0))+(AD34*Matrix2!C19)+Matrix2!V41+(Matrix2!T41*Matrix2!F3)+Matrix2!P41+Matrix2!Y41+Matrix2!T264+Matrix2!T266)+(Matrix2!C9*AH34)+Matrix2!M41)</f>
        <v>0</v>
      </c>
      <c r="AF33" s="925"/>
    </row>
    <row r="34" spans="2:34" ht="15" thickBot="1">
      <c r="B34" s="774"/>
      <c r="C34" s="253" t="str">
        <f>'Survey Front'!C38</f>
        <v/>
      </c>
      <c r="D34" s="726"/>
      <c r="E34" s="726"/>
      <c r="F34" s="244" t="s">
        <v>31</v>
      </c>
      <c r="G34" s="245" t="str">
        <f>'Survey Front'!G38</f>
        <v/>
      </c>
      <c r="H34" s="727"/>
      <c r="I34" s="728"/>
      <c r="J34" s="727"/>
      <c r="K34" s="632"/>
      <c r="L34" s="633"/>
      <c r="M34" s="751"/>
      <c r="N34" s="751"/>
      <c r="O34" s="727"/>
      <c r="P34" s="736" t="s">
        <v>32</v>
      </c>
      <c r="Q34" s="737"/>
      <c r="R34" s="746" t="str">
        <f>'Survey Front'!S38</f>
        <v/>
      </c>
      <c r="S34" s="747"/>
      <c r="T34" s="747"/>
      <c r="U34" s="747"/>
      <c r="V34" s="747"/>
      <c r="W34" s="747"/>
      <c r="X34" s="747"/>
      <c r="Y34" s="747"/>
      <c r="Z34" s="747"/>
      <c r="AA34" s="747"/>
      <c r="AB34" s="748"/>
      <c r="AC34" s="246">
        <f>'Survey Front'!AD38</f>
        <v>0</v>
      </c>
      <c r="AD34" s="250" t="e">
        <f>IF(AE32="Quoted","",(M32*N32)/1000000)</f>
        <v>#VALUE!</v>
      </c>
      <c r="AE34" s="906">
        <f>IF(AND(D32="",E32="",J32="",M32="",N32=""),0,IF(OR(D32="",E32="",J32="",M32="",N32="",AND(E32="Antigua",J32="Clearview")),"Incomplete",IF(ISNA(IF(AE32="Quoted",INDEX(Matrix2!T75:T85,MATCH(Survey_Pricing!E32,Matrix2!K75:K85,0))+AD34*Matrix2!C19+Matrix2!O100+Matrix2!V100+Matrix2!R100+Matrix2!P100,INDEX(Matrix2!T17:T27,MATCH(Survey_Pricing!E32,Matrix2!K17:K27,0))+AD34*Matrix2!C19+Matrix2!O41+Matrix2!V41+Matrix2!R41+Matrix2!P41)),,IF(AE32="Quoted",INDEX(Matrix2!T75:T85,MATCH(Survey_Pricing!E32,Matrix2!K75:K85,0))+AD34*Matrix2!C19+Matrix2!O100+Matrix2!V100+Matrix2!R100+Matrix2!P100+Matrix2!M100,INDEX(Matrix2!T167:T177,MATCH(Survey_Pricing!E32,Matrix2!K167:K177,0))+AD34*Matrix2!C19)+(Matrix2!O191)+Matrix2!V191+Matrix2!R191+Matrix2!P191+Matrix2!W191+Matrix2!Y191+Matrix2!T261+Matrix2!T264+Matrix2!T266+Matrix2!M191)))</f>
        <v>0</v>
      </c>
      <c r="AF34" s="907"/>
      <c r="AH34" s="8">
        <f>IF(AE32="Quoted",IF(J32="Silent",AD34,IF(J32="Split Tilt",AD34,0)),IF(J32="Silent",AD34,IF(J32="Split Tilt",AD34,0)))</f>
        <v>0</v>
      </c>
    </row>
    <row r="35" spans="2:34" ht="15" thickTop="1">
      <c r="B35" s="774">
        <v>10</v>
      </c>
      <c r="C35" s="254" t="str">
        <f>'Survey Front'!C39</f>
        <v/>
      </c>
      <c r="D35" s="761" t="str">
        <f>'Survey Front'!D39</f>
        <v/>
      </c>
      <c r="E35" s="761" t="str">
        <f>'Survey Front'!E39</f>
        <v/>
      </c>
      <c r="F35" s="775" t="str">
        <f>'Survey Front'!F39</f>
        <v/>
      </c>
      <c r="G35" s="776"/>
      <c r="H35" s="761" t="str">
        <f>'Survey Front'!H39</f>
        <v/>
      </c>
      <c r="I35" s="761" t="str">
        <f>'Survey Front'!I39</f>
        <v/>
      </c>
      <c r="J35" s="761" t="str">
        <f>'Survey Front'!L39</f>
        <v/>
      </c>
      <c r="K35" s="647" t="str">
        <f>'Survey Front'!M39</f>
        <v/>
      </c>
      <c r="L35" s="635"/>
      <c r="M35" s="741" t="str">
        <f>IF(SUM(K35:L37)=0,"",SUM(K35:L37))</f>
        <v/>
      </c>
      <c r="N35" s="741" t="str">
        <f>'Survey Front'!N39</f>
        <v/>
      </c>
      <c r="O35" s="761" t="str">
        <f>'Survey Front'!O39</f>
        <v/>
      </c>
      <c r="P35" s="764" t="s">
        <v>24</v>
      </c>
      <c r="Q35" s="765"/>
      <c r="R35" s="224" t="str">
        <f>'Survey Front'!S39</f>
        <v/>
      </c>
      <c r="S35" s="224" t="str">
        <f>'Survey Front'!T39</f>
        <v/>
      </c>
      <c r="T35" s="224" t="str">
        <f>'Survey Front'!U39</f>
        <v/>
      </c>
      <c r="U35" s="224" t="str">
        <f>'Survey Front'!V39</f>
        <v/>
      </c>
      <c r="V35" s="224" t="str">
        <f>'Survey Front'!W39</f>
        <v/>
      </c>
      <c r="W35" s="224" t="str">
        <f>'Survey Front'!X39</f>
        <v/>
      </c>
      <c r="X35" s="224" t="str">
        <f>'Survey Front'!Y39</f>
        <v/>
      </c>
      <c r="Y35" s="224" t="str">
        <f>'Survey Front'!Z39</f>
        <v/>
      </c>
      <c r="Z35" s="224" t="str">
        <f>'Survey Front'!AA39</f>
        <v/>
      </c>
      <c r="AA35" s="224" t="str">
        <f>'Survey Front'!AB39</f>
        <v/>
      </c>
      <c r="AB35" s="224" t="str">
        <f>'Survey Front'!AC39</f>
        <v/>
      </c>
      <c r="AC35" s="225" t="str">
        <f>'Survey Front'!AD39</f>
        <v/>
      </c>
      <c r="AD35" s="226"/>
      <c r="AE35" s="937" t="s">
        <v>26</v>
      </c>
      <c r="AF35" s="938"/>
    </row>
    <row r="36" spans="2:34">
      <c r="B36" s="774"/>
      <c r="C36" s="227" t="str">
        <f>'Survey Front'!C40</f>
        <v/>
      </c>
      <c r="D36" s="762"/>
      <c r="E36" s="762"/>
      <c r="F36" s="744" t="str">
        <f>'Survey Front'!F40</f>
        <v/>
      </c>
      <c r="G36" s="745"/>
      <c r="H36" s="762"/>
      <c r="I36" s="762"/>
      <c r="J36" s="762"/>
      <c r="K36" s="618"/>
      <c r="L36" s="636"/>
      <c r="M36" s="742"/>
      <c r="N36" s="742"/>
      <c r="O36" s="762"/>
      <c r="P36" s="766" t="s">
        <v>27</v>
      </c>
      <c r="Q36" s="767"/>
      <c r="R36" s="228" t="str">
        <f>'Survey Front'!S40</f>
        <v/>
      </c>
      <c r="S36" s="228" t="str">
        <f>'Survey Front'!T40</f>
        <v/>
      </c>
      <c r="T36" s="228" t="str">
        <f>'Survey Front'!U40</f>
        <v/>
      </c>
      <c r="U36" s="228" t="str">
        <f>'Survey Front'!V40</f>
        <v/>
      </c>
      <c r="V36" s="228" t="str">
        <f>'Survey Front'!W40</f>
        <v/>
      </c>
      <c r="W36" s="228" t="str">
        <f>'Survey Front'!X40</f>
        <v/>
      </c>
      <c r="X36" s="228" t="str">
        <f>'Survey Front'!Y40</f>
        <v/>
      </c>
      <c r="Y36" s="228" t="str">
        <f>'Survey Front'!Z40</f>
        <v/>
      </c>
      <c r="Z36" s="228" t="str">
        <f>'Survey Front'!AA40</f>
        <v/>
      </c>
      <c r="AA36" s="228" t="str">
        <f>'Survey Front'!AB40</f>
        <v/>
      </c>
      <c r="AB36" s="228" t="s">
        <v>28</v>
      </c>
      <c r="AC36" s="207" t="s">
        <v>29</v>
      </c>
      <c r="AD36" s="208" t="s">
        <v>30</v>
      </c>
      <c r="AE36" s="939">
        <f>IF(ISNA(IF(AE35="Quoted",INDEX(Matrix2!U57:U67,MATCH(Survey_Pricing!E35,Matrix2!K57:K67,0))+AD37*Matrix2!C19,INDEX(Matrix2!U3:U13,MATCH(Survey_Pricing!E35,Matrix2!K3:K13,0))+(AD37*Matrix2!C19)+Matrix2!O42+Matrix2!V42+Matrix2!R42+Matrix2!P42)),,IF(AE35="Quoted",INDEX(Matrix2!U57:U67,MATCH(Survey_Pricing!E35,Matrix2!K57:K67,0))+AD37*Matrix2!C19+Matrix2!V101+Matrix2!R101+Matrix2!P101+Matrix2!M101,INDEX(Matrix2!U3:U13,MATCH(Survey_Pricing!E35,Matrix2!K3:K13,0))+(AD37*Matrix2!C19)+Matrix2!V42+(Matrix2!T42*Matrix2!F3)+Matrix2!P42+Matrix2!Y42+Matrix2!U264+Matrix2!U266)+(Matrix2!C9*AH37)+Matrix2!M42)</f>
        <v>0</v>
      </c>
      <c r="AF36" s="940"/>
    </row>
    <row r="37" spans="2:34" ht="15" thickBot="1">
      <c r="B37" s="774"/>
      <c r="C37" s="255" t="str">
        <f>'Survey Front'!C41</f>
        <v/>
      </c>
      <c r="D37" s="762"/>
      <c r="E37" s="762"/>
      <c r="F37" s="229" t="s">
        <v>31</v>
      </c>
      <c r="G37" s="230" t="str">
        <f>'Survey Front'!G41</f>
        <v/>
      </c>
      <c r="H37" s="763"/>
      <c r="I37" s="777"/>
      <c r="J37" s="763"/>
      <c r="K37" s="637"/>
      <c r="L37" s="638"/>
      <c r="M37" s="743"/>
      <c r="N37" s="743"/>
      <c r="O37" s="763"/>
      <c r="P37" s="756" t="s">
        <v>32</v>
      </c>
      <c r="Q37" s="757"/>
      <c r="R37" s="758" t="str">
        <f>'Survey Front'!S41</f>
        <v/>
      </c>
      <c r="S37" s="759"/>
      <c r="T37" s="759"/>
      <c r="U37" s="759"/>
      <c r="V37" s="759"/>
      <c r="W37" s="759"/>
      <c r="X37" s="759"/>
      <c r="Y37" s="759"/>
      <c r="Z37" s="759"/>
      <c r="AA37" s="759"/>
      <c r="AB37" s="760"/>
      <c r="AC37" s="231">
        <f>'Survey Front'!AD41</f>
        <v>0</v>
      </c>
      <c r="AD37" s="232" t="e">
        <f>IF(AE35="Quoted","",(M35*N35)/1000000)</f>
        <v>#VALUE!</v>
      </c>
      <c r="AE37" s="906">
        <f>IF(AND(D35="",E35="",J35="",M35="",N35=""),0,IF(OR(D35="",E35="",J35="",M35="",N35="",AND(E35="Antigua",J35="Clearview")),"Incomplete",IF(ISNA(IF(AE35="Quoted",INDEX(Matrix2!U75:U85,MATCH(Survey_Pricing!E35,Matrix2!K75:K85,0))+AD37*Matrix2!C19+Matrix2!O101+Matrix2!V101+Matrix2!R101+Matrix2!P101,INDEX(Matrix2!U17:U27,MATCH(Survey_Pricing!E35,Matrix2!K17:K27,0))+AD37*Matrix2!C19+Matrix2!O42+Matrix2!V42+Matrix2!R42+Matrix2!P42)),,IF(AE35="Quoted",INDEX(Matrix2!U75:U85,MATCH(Survey_Pricing!E35,Matrix2!K75:K85,0))+AD37*Matrix2!C19+Matrix2!O101+Matrix2!V101+Matrix2!R101+Matrix2!P101+Matrix2!M101,INDEX(Matrix2!U167:U177,MATCH(Survey_Pricing!E35,Matrix2!K167:K177,0))+AD37*Matrix2!C19)+(Matrix2!O192)+Matrix2!V192+Matrix2!R192+Matrix2!P192+Matrix2!W192+Matrix2!Y192+Matrix2!U261+Matrix2!U264+Matrix2!U266+Matrix2!M192)))</f>
        <v>0</v>
      </c>
      <c r="AF37" s="907"/>
      <c r="AH37" s="8">
        <f>IF(AE35="Quoted",IF(J35="Silent",AD37,IF(J35="Split Tilt",AD37,0)),IF(J35="Silent",AD37,IF(J35="Split Tilt",AD37,0)))</f>
        <v>0</v>
      </c>
    </row>
    <row r="38" spans="2:34" ht="15" thickTop="1">
      <c r="B38" s="774">
        <v>11</v>
      </c>
      <c r="C38" s="237" t="str">
        <f>'Survey Front'!C42</f>
        <v/>
      </c>
      <c r="D38" s="725" t="str">
        <f>'Survey Front'!D42</f>
        <v/>
      </c>
      <c r="E38" s="725" t="str">
        <f>'Survey Front'!E42</f>
        <v/>
      </c>
      <c r="F38" s="772" t="str">
        <f>'Survey Front'!F42</f>
        <v/>
      </c>
      <c r="G38" s="773"/>
      <c r="H38" s="725" t="str">
        <f>'Survey Front'!H42</f>
        <v/>
      </c>
      <c r="I38" s="725" t="str">
        <f>'Survey Front'!I42</f>
        <v/>
      </c>
      <c r="J38" s="725" t="str">
        <f>'Survey Front'!L42</f>
        <v/>
      </c>
      <c r="K38" s="629" t="str">
        <f>'Survey Front'!M42</f>
        <v/>
      </c>
      <c r="L38" s="630"/>
      <c r="M38" s="749" t="str">
        <f>IF(SUM(K38:L40)=0,"",SUM(K38:L40))</f>
        <v/>
      </c>
      <c r="N38" s="749" t="str">
        <f>'Survey Front'!N42</f>
        <v/>
      </c>
      <c r="O38" s="725" t="str">
        <f>'Survey Front'!O42</f>
        <v/>
      </c>
      <c r="P38" s="752" t="s">
        <v>24</v>
      </c>
      <c r="Q38" s="753"/>
      <c r="R38" s="236" t="str">
        <f>'Survey Front'!S42</f>
        <v/>
      </c>
      <c r="S38" s="236" t="str">
        <f>'Survey Front'!T42</f>
        <v/>
      </c>
      <c r="T38" s="236" t="str">
        <f>'Survey Front'!U42</f>
        <v/>
      </c>
      <c r="U38" s="236" t="str">
        <f>'Survey Front'!V42</f>
        <v/>
      </c>
      <c r="V38" s="236" t="str">
        <f>'Survey Front'!W42</f>
        <v/>
      </c>
      <c r="W38" s="236" t="str">
        <f>'Survey Front'!X42</f>
        <v/>
      </c>
      <c r="X38" s="236" t="str">
        <f>'Survey Front'!Y42</f>
        <v/>
      </c>
      <c r="Y38" s="236" t="str">
        <f>'Survey Front'!Z42</f>
        <v/>
      </c>
      <c r="Z38" s="236" t="str">
        <f>'Survey Front'!AA42</f>
        <v/>
      </c>
      <c r="AA38" s="236" t="str">
        <f>'Survey Front'!AB42</f>
        <v/>
      </c>
      <c r="AB38" s="236" t="str">
        <f>'Survey Front'!AC42</f>
        <v/>
      </c>
      <c r="AC38" s="248" t="str">
        <f>'Survey Front'!AD42</f>
        <v/>
      </c>
      <c r="AD38" s="249"/>
      <c r="AE38" s="908" t="s">
        <v>26</v>
      </c>
      <c r="AF38" s="909"/>
    </row>
    <row r="39" spans="2:34">
      <c r="B39" s="774"/>
      <c r="C39" s="239" t="str">
        <f>'Survey Front'!C43</f>
        <v/>
      </c>
      <c r="D39" s="726"/>
      <c r="E39" s="726"/>
      <c r="F39" s="770" t="str">
        <f>'Survey Front'!F43</f>
        <v/>
      </c>
      <c r="G39" s="771"/>
      <c r="H39" s="726"/>
      <c r="I39" s="726"/>
      <c r="J39" s="726"/>
      <c r="K39" s="616"/>
      <c r="L39" s="631"/>
      <c r="M39" s="750"/>
      <c r="N39" s="750"/>
      <c r="O39" s="726"/>
      <c r="P39" s="754" t="s">
        <v>27</v>
      </c>
      <c r="Q39" s="755"/>
      <c r="R39" s="240" t="str">
        <f>'Survey Front'!S43</f>
        <v/>
      </c>
      <c r="S39" s="240" t="str">
        <f>'Survey Front'!T43</f>
        <v/>
      </c>
      <c r="T39" s="240" t="str">
        <f>'Survey Front'!U43</f>
        <v/>
      </c>
      <c r="U39" s="240" t="str">
        <f>'Survey Front'!V43</f>
        <v/>
      </c>
      <c r="V39" s="240" t="str">
        <f>'Survey Front'!W43</f>
        <v/>
      </c>
      <c r="W39" s="240" t="str">
        <f>'Survey Front'!X43</f>
        <v/>
      </c>
      <c r="X39" s="240" t="str">
        <f>'Survey Front'!Y43</f>
        <v/>
      </c>
      <c r="Y39" s="240" t="str">
        <f>'Survey Front'!Z43</f>
        <v/>
      </c>
      <c r="Z39" s="240" t="str">
        <f>'Survey Front'!AA43</f>
        <v/>
      </c>
      <c r="AA39" s="240" t="str">
        <f>'Survey Front'!AB43</f>
        <v/>
      </c>
      <c r="AB39" s="240" t="s">
        <v>28</v>
      </c>
      <c r="AC39" s="241" t="s">
        <v>29</v>
      </c>
      <c r="AD39" s="242" t="s">
        <v>30</v>
      </c>
      <c r="AE39" s="924">
        <f>IF(ISNA(IF(AE38="Quoted",INDEX(Matrix2!V57:V67,MATCH(Survey_Pricing!E38,Matrix2!K57:K67,0))+AD40*Matrix2!C19,INDEX(Matrix2!V3:V13,MATCH(Survey_Pricing!E38,Matrix2!K3:K13,0))+(AD40*Matrix2!C19)+Matrix2!O43+Matrix2!V43+Matrix2!R43+Matrix2!P43)),,IF(AE38="Quoted",INDEX(Matrix2!V57:V67,MATCH(Survey_Pricing!E38,Matrix2!K57:K67,0))+AD40*Matrix2!C19+Matrix2!V102+Matrix2!R102+Matrix2!P102+Matrix2!M102,INDEX(Matrix2!V3:V13,MATCH(Survey_Pricing!E38,Matrix2!K3:K13,0))+(AD40*Matrix2!C19)+Matrix2!V43+(Matrix2!T43*Matrix2!F3)+Matrix2!P43+Matrix2!Y43+Matrix2!V264+Matrix2!V266)+(Matrix2!C9*AH40)+Matrix2!M43)</f>
        <v>0</v>
      </c>
      <c r="AF39" s="925"/>
    </row>
    <row r="40" spans="2:34" ht="15" thickBot="1">
      <c r="B40" s="774"/>
      <c r="C40" s="253" t="str">
        <f>'Survey Front'!C44</f>
        <v/>
      </c>
      <c r="D40" s="726"/>
      <c r="E40" s="726"/>
      <c r="F40" s="244" t="s">
        <v>31</v>
      </c>
      <c r="G40" s="245" t="str">
        <f>'Survey Front'!G44</f>
        <v/>
      </c>
      <c r="H40" s="727"/>
      <c r="I40" s="728"/>
      <c r="J40" s="727"/>
      <c r="K40" s="632"/>
      <c r="L40" s="633"/>
      <c r="M40" s="751"/>
      <c r="N40" s="751"/>
      <c r="O40" s="727"/>
      <c r="P40" s="736" t="s">
        <v>32</v>
      </c>
      <c r="Q40" s="737"/>
      <c r="R40" s="746" t="str">
        <f>'Survey Front'!S44</f>
        <v/>
      </c>
      <c r="S40" s="747"/>
      <c r="T40" s="747"/>
      <c r="U40" s="747"/>
      <c r="V40" s="747"/>
      <c r="W40" s="747"/>
      <c r="X40" s="747"/>
      <c r="Y40" s="747"/>
      <c r="Z40" s="747"/>
      <c r="AA40" s="747"/>
      <c r="AB40" s="748"/>
      <c r="AC40" s="246">
        <f>'Survey Front'!AD44</f>
        <v>0</v>
      </c>
      <c r="AD40" s="250" t="e">
        <f>IF(AE38="Quoted","",(M38*N38)/1000000)</f>
        <v>#VALUE!</v>
      </c>
      <c r="AE40" s="906">
        <f>IF(AND(D38="",E38="",J38="",M38="",N38=""),0,IF(OR(D38="",E38="",J38="",M38="",N38="",AND(E38="Antigua",J38="Clearview")),"Incomplete",IF(ISNA(IF(AE38="Quoted",INDEX(Matrix2!V75:V85,MATCH(Survey_Pricing!E38,Matrix2!K75:K85,0))+AD40*Matrix2!C19+Matrix2!O102+Matrix2!V102+Matrix2!R102+Matrix2!P102,INDEX(Matrix2!V17:V27,MATCH(Survey_Pricing!E38,Matrix2!K17:K27,0))+AD40*Matrix2!C19+Matrix2!O43+Matrix2!V43+Matrix2!R43+Matrix2!P43)),,IF(AE38="Quoted",INDEX(Matrix2!V75:V85,MATCH(Survey_Pricing!E38,Matrix2!K75:K85,0))+AD40*Matrix2!C19+Matrix2!O102+Matrix2!V102+Matrix2!R102+Matrix2!P102+Matrix2!M102,INDEX(Matrix2!V167:V177,MATCH(Survey_Pricing!E38,Matrix2!K167:K177,0))+AD40*Matrix2!C19)+(Matrix2!O193)+Matrix2!V193+Matrix2!R193+Matrix2!P193+Matrix2!W193+Matrix2!Y193+Matrix2!V261+Matrix2!V264+Matrix2!V266+Matrix2!M193)))</f>
        <v>0</v>
      </c>
      <c r="AF40" s="907"/>
      <c r="AH40" s="8">
        <f>IF(AE38="Quoted",IF(J38="Silent",AD40,IF(J38="Split Tilt",AD40,0)),IF(J38="Silent",AD40,IF(J38="Split Tilt",AD40,0)))</f>
        <v>0</v>
      </c>
    </row>
    <row r="41" spans="2:34" ht="15" thickTop="1">
      <c r="B41" s="774">
        <v>12</v>
      </c>
      <c r="C41" s="254" t="str">
        <f>'Survey Front'!C45</f>
        <v/>
      </c>
      <c r="D41" s="761" t="str">
        <f>'Survey Front'!D45</f>
        <v/>
      </c>
      <c r="E41" s="761" t="str">
        <f>'Survey Front'!E45</f>
        <v/>
      </c>
      <c r="F41" s="775" t="str">
        <f>'Survey Front'!F45</f>
        <v/>
      </c>
      <c r="G41" s="776"/>
      <c r="H41" s="761" t="str">
        <f>'Survey Front'!H45</f>
        <v/>
      </c>
      <c r="I41" s="761" t="str">
        <f>'Survey Front'!I45</f>
        <v/>
      </c>
      <c r="J41" s="761" t="str">
        <f>'Survey Front'!L45</f>
        <v/>
      </c>
      <c r="K41" s="634" t="str">
        <f>'Survey Front'!M45</f>
        <v/>
      </c>
      <c r="L41" s="635"/>
      <c r="M41" s="741" t="str">
        <f>IF(SUM(K41:L43)=0,"",SUM(K41:L43))</f>
        <v/>
      </c>
      <c r="N41" s="741" t="str">
        <f>'Survey Front'!N45</f>
        <v/>
      </c>
      <c r="O41" s="761" t="str">
        <f>'Survey Front'!O45</f>
        <v/>
      </c>
      <c r="P41" s="764" t="s">
        <v>24</v>
      </c>
      <c r="Q41" s="765"/>
      <c r="R41" s="224" t="str">
        <f>'Survey Front'!S45</f>
        <v/>
      </c>
      <c r="S41" s="224" t="str">
        <f>'Survey Front'!T45</f>
        <v/>
      </c>
      <c r="T41" s="224" t="str">
        <f>'Survey Front'!U45</f>
        <v/>
      </c>
      <c r="U41" s="224" t="str">
        <f>'Survey Front'!V45</f>
        <v/>
      </c>
      <c r="V41" s="224" t="str">
        <f>'Survey Front'!W45</f>
        <v/>
      </c>
      <c r="W41" s="224" t="str">
        <f>'Survey Front'!X45</f>
        <v/>
      </c>
      <c r="X41" s="224" t="str">
        <f>'Survey Front'!Y45</f>
        <v/>
      </c>
      <c r="Y41" s="224" t="str">
        <f>'Survey Front'!Z45</f>
        <v/>
      </c>
      <c r="Z41" s="224" t="str">
        <f>'Survey Front'!AA45</f>
        <v/>
      </c>
      <c r="AA41" s="224" t="str">
        <f>'Survey Front'!AB45</f>
        <v/>
      </c>
      <c r="AB41" s="224" t="str">
        <f>'Survey Front'!AC45</f>
        <v/>
      </c>
      <c r="AC41" s="225" t="str">
        <f>'Survey Front'!AD45</f>
        <v/>
      </c>
      <c r="AD41" s="233"/>
      <c r="AE41" s="937" t="s">
        <v>26</v>
      </c>
      <c r="AF41" s="938"/>
    </row>
    <row r="42" spans="2:34">
      <c r="B42" s="774"/>
      <c r="C42" s="227" t="str">
        <f>'Survey Front'!C46</f>
        <v/>
      </c>
      <c r="D42" s="762"/>
      <c r="E42" s="762"/>
      <c r="F42" s="744" t="str">
        <f>'Survey Front'!F46</f>
        <v/>
      </c>
      <c r="G42" s="745"/>
      <c r="H42" s="762"/>
      <c r="I42" s="762"/>
      <c r="J42" s="762"/>
      <c r="K42" s="618"/>
      <c r="L42" s="636"/>
      <c r="M42" s="742"/>
      <c r="N42" s="742"/>
      <c r="O42" s="762"/>
      <c r="P42" s="766" t="s">
        <v>27</v>
      </c>
      <c r="Q42" s="767"/>
      <c r="R42" s="228" t="str">
        <f>'Survey Front'!S46</f>
        <v/>
      </c>
      <c r="S42" s="228" t="str">
        <f>'Survey Front'!T46</f>
        <v/>
      </c>
      <c r="T42" s="228" t="str">
        <f>'Survey Front'!U46</f>
        <v/>
      </c>
      <c r="U42" s="228" t="str">
        <f>'Survey Front'!V46</f>
        <v/>
      </c>
      <c r="V42" s="228" t="str">
        <f>'Survey Front'!W46</f>
        <v/>
      </c>
      <c r="W42" s="228" t="str">
        <f>'Survey Front'!X46</f>
        <v/>
      </c>
      <c r="X42" s="228" t="str">
        <f>'Survey Front'!Y46</f>
        <v/>
      </c>
      <c r="Y42" s="228" t="str">
        <f>'Survey Front'!Z46</f>
        <v/>
      </c>
      <c r="Z42" s="228" t="str">
        <f>'Survey Front'!AA46</f>
        <v/>
      </c>
      <c r="AA42" s="228" t="str">
        <f>'Survey Front'!AB46</f>
        <v/>
      </c>
      <c r="AB42" s="228" t="s">
        <v>28</v>
      </c>
      <c r="AC42" s="207" t="s">
        <v>29</v>
      </c>
      <c r="AD42" s="208" t="s">
        <v>30</v>
      </c>
      <c r="AE42" s="939">
        <f>IF(ISNA(IF(AE41="Quoted",INDEX(Matrix2!W57:W67,MATCH(Survey_Pricing!E41,Matrix2!K57:K67,0))+AD43*Matrix2!C19,INDEX(Matrix2!W3:W13,MATCH(Survey_Pricing!E41,Matrix2!K3:K13,0))+(AD43*Matrix2!C19)+Matrix2!O44+Matrix2!V44+Matrix2!R44+Matrix2!P44)),,IF(AE41="Quoted",INDEX(Matrix2!W57:W67,MATCH(Survey_Pricing!E41,Matrix2!K57:K67,0))+AD43*Matrix2!C19+Matrix2!V103+Matrix2!R103+Matrix2!P103+Matrix2!M103,INDEX(Matrix2!W3:W13,MATCH(Survey_Pricing!E41,Matrix2!K3:K13,0))+(AD43*Matrix2!C19)+Matrix2!V44+(Matrix2!T44*Matrix2!F3)+Matrix2!P44+Matrix2!Y44+Matrix2!W264+Matrix2!W266)+(Matrix2!C9*AH43)+Matrix2!M44)</f>
        <v>0</v>
      </c>
      <c r="AF42" s="940"/>
    </row>
    <row r="43" spans="2:34" ht="15" thickBot="1">
      <c r="B43" s="774"/>
      <c r="C43" s="255" t="str">
        <f>'Survey Front'!C47</f>
        <v/>
      </c>
      <c r="D43" s="762"/>
      <c r="E43" s="762"/>
      <c r="F43" s="229" t="s">
        <v>31</v>
      </c>
      <c r="G43" s="230" t="str">
        <f>'Survey Front'!G47</f>
        <v/>
      </c>
      <c r="H43" s="763"/>
      <c r="I43" s="777"/>
      <c r="J43" s="763"/>
      <c r="K43" s="637"/>
      <c r="L43" s="638"/>
      <c r="M43" s="743"/>
      <c r="N43" s="743"/>
      <c r="O43" s="763"/>
      <c r="P43" s="756" t="s">
        <v>32</v>
      </c>
      <c r="Q43" s="757"/>
      <c r="R43" s="758" t="str">
        <f>'Survey Front'!S47</f>
        <v/>
      </c>
      <c r="S43" s="759"/>
      <c r="T43" s="759"/>
      <c r="U43" s="759"/>
      <c r="V43" s="759"/>
      <c r="W43" s="759"/>
      <c r="X43" s="759"/>
      <c r="Y43" s="759"/>
      <c r="Z43" s="759"/>
      <c r="AA43" s="759"/>
      <c r="AB43" s="760"/>
      <c r="AC43" s="234">
        <f>'Survey Front'!AD47</f>
        <v>0</v>
      </c>
      <c r="AD43" s="232" t="e">
        <f>IF(AE41="Quoted","",(M41*N41)/1000000)</f>
        <v>#VALUE!</v>
      </c>
      <c r="AE43" s="906">
        <f>IF(AND(D41="",E41="",J41="",M41="",N41=""),0,IF(OR(D41="",E41="",J41="",M41="",N41="",AND(E41="Antigua",J41="Clearview")),"Incomplete",IF(ISNA(IF(AE41="Quoted",INDEX(Matrix2!W75:W85,MATCH(Survey_Pricing!E41,Matrix2!K75:K85,0))+AD43*Matrix2!C19+Matrix2!O103+Matrix2!V103+Matrix2!R103+Matrix2!P103,INDEX(Matrix2!W17:W27,MATCH(Survey_Pricing!E41,Matrix2!K17:K27,0))+AD43*Matrix2!C19+Matrix2!O44+Matrix2!V44+Matrix2!R44+Matrix2!P44)),,IF(AE41="Quoted",INDEX(Matrix2!W75:W85,MATCH(Survey_Pricing!E41,Matrix2!K75:K85,0))+AD43*Matrix2!C19+Matrix2!O103+Matrix2!V103+Matrix2!R103+Matrix2!P103+Matrix2!M103,INDEX(Matrix2!W167:W177,MATCH(Survey_Pricing!E41,Matrix2!K167:K177,0))+AD43*Matrix2!C19)+(Matrix2!O194)+Matrix2!V194+Matrix2!R194+Matrix2!P194+Matrix2!W194+Matrix2!Y194+Matrix2!W261+Matrix2!W264+Matrix2!W266+Matrix2!M194)))</f>
        <v>0</v>
      </c>
      <c r="AF43" s="907"/>
      <c r="AH43" s="8">
        <f>IF(AE41="Quoted",IF(J41="Silent",AD43,IF(J41="Split Tilt",AD43,0)),IF(J41="Silent",AD43,IF(J41="Split Tilt",AD43,0)))</f>
        <v>0</v>
      </c>
    </row>
    <row r="44" spans="2:34" ht="15" thickTop="1">
      <c r="B44" s="774">
        <v>13</v>
      </c>
      <c r="C44" s="237" t="str">
        <f>'Survey Front'!C48</f>
        <v/>
      </c>
      <c r="D44" s="725" t="str">
        <f>'Survey Front'!D48</f>
        <v/>
      </c>
      <c r="E44" s="725" t="str">
        <f>'Survey Front'!E48</f>
        <v/>
      </c>
      <c r="F44" s="772" t="str">
        <f>'Survey Front'!F48</f>
        <v/>
      </c>
      <c r="G44" s="773"/>
      <c r="H44" s="725" t="str">
        <f>'Survey Front'!H48</f>
        <v/>
      </c>
      <c r="I44" s="725" t="str">
        <f>'Survey Front'!I48</f>
        <v/>
      </c>
      <c r="J44" s="738" t="str">
        <f>'Survey Front'!L48</f>
        <v/>
      </c>
      <c r="K44" s="629" t="str">
        <f>'Survey Front'!M48</f>
        <v/>
      </c>
      <c r="L44" s="630"/>
      <c r="M44" s="749" t="str">
        <f>IF(SUM(K44:L46)=0,"",SUM(K44:L46))</f>
        <v/>
      </c>
      <c r="N44" s="749" t="str">
        <f>'Survey Front'!N48</f>
        <v/>
      </c>
      <c r="O44" s="725" t="str">
        <f>'Survey Front'!O48</f>
        <v/>
      </c>
      <c r="P44" s="752" t="s">
        <v>24</v>
      </c>
      <c r="Q44" s="753"/>
      <c r="R44" s="236" t="str">
        <f>'Survey Front'!S48</f>
        <v/>
      </c>
      <c r="S44" s="236" t="str">
        <f>'Survey Front'!T48</f>
        <v/>
      </c>
      <c r="T44" s="236" t="str">
        <f>'Survey Front'!U48</f>
        <v/>
      </c>
      <c r="U44" s="236" t="str">
        <f>'Survey Front'!V48</f>
        <v/>
      </c>
      <c r="V44" s="236" t="str">
        <f>'Survey Front'!W48</f>
        <v/>
      </c>
      <c r="W44" s="236" t="str">
        <f>'Survey Front'!X48</f>
        <v/>
      </c>
      <c r="X44" s="236" t="str">
        <f>'Survey Front'!Y48</f>
        <v/>
      </c>
      <c r="Y44" s="236" t="str">
        <f>'Survey Front'!Z48</f>
        <v/>
      </c>
      <c r="Z44" s="236" t="str">
        <f>'Survey Front'!AA48</f>
        <v/>
      </c>
      <c r="AA44" s="236" t="str">
        <f>'Survey Front'!AB48</f>
        <v/>
      </c>
      <c r="AB44" s="236" t="str">
        <f>'Survey Front'!AC48</f>
        <v/>
      </c>
      <c r="AC44" s="235" t="str">
        <f>'Survey Front'!AD48</f>
        <v/>
      </c>
      <c r="AD44" s="251"/>
      <c r="AE44" s="908" t="s">
        <v>26</v>
      </c>
      <c r="AF44" s="909"/>
    </row>
    <row r="45" spans="2:34">
      <c r="B45" s="774"/>
      <c r="C45" s="239" t="str">
        <f>'Survey Front'!C49</f>
        <v/>
      </c>
      <c r="D45" s="726"/>
      <c r="E45" s="726"/>
      <c r="F45" s="770" t="str">
        <f>'Survey Front'!F49</f>
        <v/>
      </c>
      <c r="G45" s="771"/>
      <c r="H45" s="726"/>
      <c r="I45" s="726"/>
      <c r="J45" s="739"/>
      <c r="K45" s="616"/>
      <c r="L45" s="631"/>
      <c r="M45" s="750"/>
      <c r="N45" s="750"/>
      <c r="O45" s="726"/>
      <c r="P45" s="754" t="s">
        <v>27</v>
      </c>
      <c r="Q45" s="755"/>
      <c r="R45" s="240" t="str">
        <f>'Survey Front'!S49</f>
        <v/>
      </c>
      <c r="S45" s="240" t="str">
        <f>'Survey Front'!T49</f>
        <v/>
      </c>
      <c r="T45" s="240" t="str">
        <f>'Survey Front'!U49</f>
        <v/>
      </c>
      <c r="U45" s="240" t="str">
        <f>'Survey Front'!V49</f>
        <v/>
      </c>
      <c r="V45" s="240" t="str">
        <f>'Survey Front'!W49</f>
        <v/>
      </c>
      <c r="W45" s="240" t="str">
        <f>'Survey Front'!X49</f>
        <v/>
      </c>
      <c r="X45" s="240" t="str">
        <f>'Survey Front'!Y49</f>
        <v/>
      </c>
      <c r="Y45" s="240" t="str">
        <f>'Survey Front'!Z49</f>
        <v/>
      </c>
      <c r="Z45" s="240" t="str">
        <f>'Survey Front'!AA49</f>
        <v/>
      </c>
      <c r="AA45" s="240" t="str">
        <f>'Survey Front'!AB49</f>
        <v/>
      </c>
      <c r="AB45" s="240" t="s">
        <v>28</v>
      </c>
      <c r="AC45" s="241" t="s">
        <v>29</v>
      </c>
      <c r="AD45" s="242" t="s">
        <v>30</v>
      </c>
      <c r="AE45" s="924">
        <f>IF(ISNA(IF(AE44="Quoted",INDEX(Matrix2!X57:X67,MATCH(Survey_Pricing!E44,Matrix2!K57:K67,0))+AD46*Matrix2!C19,INDEX(Matrix2!X3:X13,MATCH(Survey_Pricing!E44,Matrix2!K3:K13,0))+(AD46*Matrix2!C19)+Matrix2!O45+Matrix2!V45+Matrix2!R45+Matrix2!P45)),,IF(AE44="Quoted",INDEX(Matrix2!X57:X67,MATCH(Survey_Pricing!E44,Matrix2!K57:K67,0))+AD46*Matrix2!C19+Matrix2!V104+Matrix2!R104+Matrix2!P104+Matrix2!M104,INDEX(Matrix2!X3:X13,MATCH(Survey_Pricing!E44,Matrix2!K3:K13,0))+(AD46*Matrix2!C19)+Matrix2!V45+(Matrix2!T45*Matrix2!F3)+Matrix2!P45+Matrix2!Y45+Matrix2!X264+Matrix2!X266)+(Matrix2!C9*AH46)+Matrix2!M45)</f>
        <v>0</v>
      </c>
      <c r="AF45" s="925"/>
    </row>
    <row r="46" spans="2:34" ht="15" thickBot="1">
      <c r="B46" s="774"/>
      <c r="C46" s="253" t="str">
        <f>'Survey Front'!C50</f>
        <v/>
      </c>
      <c r="D46" s="726"/>
      <c r="E46" s="726"/>
      <c r="F46" s="244" t="s">
        <v>31</v>
      </c>
      <c r="G46" s="245" t="str">
        <f>'Survey Front'!G50</f>
        <v/>
      </c>
      <c r="H46" s="727"/>
      <c r="I46" s="728"/>
      <c r="J46" s="740"/>
      <c r="K46" s="632"/>
      <c r="L46" s="633"/>
      <c r="M46" s="751"/>
      <c r="N46" s="751"/>
      <c r="O46" s="727"/>
      <c r="P46" s="736" t="s">
        <v>32</v>
      </c>
      <c r="Q46" s="737"/>
      <c r="R46" s="746" t="str">
        <f>'Survey Front'!S50</f>
        <v/>
      </c>
      <c r="S46" s="747"/>
      <c r="T46" s="747"/>
      <c r="U46" s="747"/>
      <c r="V46" s="747"/>
      <c r="W46" s="747"/>
      <c r="X46" s="747"/>
      <c r="Y46" s="747"/>
      <c r="Z46" s="747"/>
      <c r="AA46" s="747"/>
      <c r="AB46" s="748"/>
      <c r="AC46" s="246">
        <f>'Survey Front'!AD50</f>
        <v>0</v>
      </c>
      <c r="AD46" s="250" t="e">
        <f>IF(AE44="Quoted","",(M44*N44)/1000000)</f>
        <v>#VALUE!</v>
      </c>
      <c r="AE46" s="906">
        <f>IF(AND(D44="",E44="",J44="",M44="",N44=""),0,IF(OR(D44="",E44="",J44="",M44="",N44="",AND(E44="Antigua",J44="Clearview")),"Incomplete",IF(ISNA(IF(AE44="Quoted",INDEX(Matrix2!X75:X85,MATCH(Survey_Pricing!E44,Matrix2!K75:K85,0))+AD46*Matrix2!C19+Matrix2!O104+Matrix2!V104+Matrix2!R104+Matrix2!P104,INDEX(Matrix2!X17:X27,MATCH(Survey_Pricing!E44,Matrix2!K17:K27,0))+AD46*Matrix2!C19+Matrix2!O45+Matrix2!V45+Matrix2!R45+Matrix2!P45)),,IF(AE44="Quoted",INDEX(Matrix2!X75:X85,MATCH(Survey_Pricing!E44,Matrix2!K75:K85,0))+AD46*Matrix2!C19+Matrix2!O104+Matrix2!V104+Matrix2!R104+Matrix2!P104+Matrix2!M104,INDEX(Matrix2!X167:X177,MATCH(Survey_Pricing!E44,Matrix2!K167:K177,0))+AD46*Matrix2!C19)+(Matrix2!O195)+Matrix2!V195+Matrix2!R195+Matrix2!P195+Matrix2!W195+Matrix2!Y195+Matrix2!X261+Matrix2!X264+Matrix2!X266+Matrix2!M195)))</f>
        <v>0</v>
      </c>
      <c r="AF46" s="907"/>
      <c r="AH46" s="8">
        <f>IF(AE44="Quoted",IF(J44="Silent",AD46,IF(J44="Split Tilt",AD46,0)),IF(J44="Silent",AD46,IF(J44="Split Tilt",AD46,0)))</f>
        <v>0</v>
      </c>
    </row>
    <row r="47" spans="2:34" ht="15" thickTop="1">
      <c r="B47" s="774">
        <v>14</v>
      </c>
      <c r="C47" s="254" t="str">
        <f>'Survey Front'!C51</f>
        <v/>
      </c>
      <c r="D47" s="761" t="str">
        <f>'Survey Front'!D51</f>
        <v/>
      </c>
      <c r="E47" s="761" t="str">
        <f>'Survey Front'!E51</f>
        <v/>
      </c>
      <c r="F47" s="775" t="str">
        <f>'Survey Front'!F51</f>
        <v/>
      </c>
      <c r="G47" s="776"/>
      <c r="H47" s="761" t="str">
        <f>'Survey Front'!H51</f>
        <v/>
      </c>
      <c r="I47" s="761" t="str">
        <f>'Survey Front'!I51</f>
        <v/>
      </c>
      <c r="J47" s="761" t="str">
        <f>'Survey Front'!L51</f>
        <v/>
      </c>
      <c r="K47" s="634" t="str">
        <f>'Survey Front'!M51</f>
        <v/>
      </c>
      <c r="L47" s="635"/>
      <c r="M47" s="741" t="str">
        <f>IF(SUM(K47:L49)=0,"",SUM(K47:L49))</f>
        <v/>
      </c>
      <c r="N47" s="741" t="str">
        <f>'Survey Front'!N51</f>
        <v/>
      </c>
      <c r="O47" s="761" t="str">
        <f>'Survey Front'!O51</f>
        <v/>
      </c>
      <c r="P47" s="764" t="s">
        <v>24</v>
      </c>
      <c r="Q47" s="765"/>
      <c r="R47" s="224" t="str">
        <f>'Survey Front'!S51</f>
        <v/>
      </c>
      <c r="S47" s="224" t="str">
        <f>'Survey Front'!T51</f>
        <v/>
      </c>
      <c r="T47" s="224" t="str">
        <f>'Survey Front'!U51</f>
        <v/>
      </c>
      <c r="U47" s="224" t="str">
        <f>'Survey Front'!V51</f>
        <v/>
      </c>
      <c r="V47" s="224" t="str">
        <f>'Survey Front'!W51</f>
        <v/>
      </c>
      <c r="W47" s="224" t="str">
        <f>'Survey Front'!X51</f>
        <v/>
      </c>
      <c r="X47" s="224" t="str">
        <f>'Survey Front'!Y51</f>
        <v/>
      </c>
      <c r="Y47" s="224" t="str">
        <f>'Survey Front'!Z51</f>
        <v/>
      </c>
      <c r="Z47" s="224" t="str">
        <f>'Survey Front'!AA51</f>
        <v/>
      </c>
      <c r="AA47" s="224" t="str">
        <f>'Survey Front'!AB51</f>
        <v/>
      </c>
      <c r="AB47" s="224" t="str">
        <f>'Survey Front'!AC51</f>
        <v/>
      </c>
      <c r="AC47" s="225" t="str">
        <f>'Survey Front'!AD51</f>
        <v/>
      </c>
      <c r="AD47" s="233"/>
      <c r="AE47" s="937" t="s">
        <v>26</v>
      </c>
      <c r="AF47" s="938"/>
    </row>
    <row r="48" spans="2:34">
      <c r="B48" s="774"/>
      <c r="C48" s="227" t="str">
        <f>'Survey Front'!C52</f>
        <v/>
      </c>
      <c r="D48" s="762"/>
      <c r="E48" s="762"/>
      <c r="F48" s="744" t="str">
        <f>'Survey Front'!F52</f>
        <v/>
      </c>
      <c r="G48" s="745"/>
      <c r="H48" s="762"/>
      <c r="I48" s="762"/>
      <c r="J48" s="762"/>
      <c r="K48" s="618"/>
      <c r="L48" s="636"/>
      <c r="M48" s="742"/>
      <c r="N48" s="742"/>
      <c r="O48" s="762"/>
      <c r="P48" s="766" t="s">
        <v>27</v>
      </c>
      <c r="Q48" s="767"/>
      <c r="R48" s="228" t="str">
        <f>'Survey Front'!S52</f>
        <v/>
      </c>
      <c r="S48" s="228" t="str">
        <f>'Survey Front'!T52</f>
        <v/>
      </c>
      <c r="T48" s="228" t="str">
        <f>'Survey Front'!U52</f>
        <v/>
      </c>
      <c r="U48" s="228" t="str">
        <f>'Survey Front'!V52</f>
        <v/>
      </c>
      <c r="V48" s="228" t="str">
        <f>'Survey Front'!W52</f>
        <v/>
      </c>
      <c r="W48" s="228" t="str">
        <f>'Survey Front'!X52</f>
        <v/>
      </c>
      <c r="X48" s="228" t="str">
        <f>'Survey Front'!Y52</f>
        <v/>
      </c>
      <c r="Y48" s="228" t="str">
        <f>'Survey Front'!Z52</f>
        <v/>
      </c>
      <c r="Z48" s="228" t="str">
        <f>'Survey Front'!AA52</f>
        <v/>
      </c>
      <c r="AA48" s="228" t="str">
        <f>'Survey Front'!AB52</f>
        <v/>
      </c>
      <c r="AB48" s="228" t="s">
        <v>28</v>
      </c>
      <c r="AC48" s="207" t="s">
        <v>29</v>
      </c>
      <c r="AD48" s="208" t="s">
        <v>30</v>
      </c>
      <c r="AE48" s="939">
        <f>IF(ISNA(IF(AE47="Quoted",INDEX(Matrix2!Y57:Y67,MATCH(Survey_Pricing!E47,Matrix2!K57:K67,0))+AD49*Matrix2!C19,INDEX(Matrix2!Y3:Y13,MATCH(Survey_Pricing!E47,Matrix2!K3:K13,0))+(AD49*Matrix2!C19)+Matrix2!O46+Matrix2!V46+Matrix2!R46+Matrix2!P46)),,IF(AE47="Quoted",INDEX(Matrix2!Y57:Y67,MATCH(Survey_Pricing!E47,Matrix2!K57:K67,0))+AD49*Matrix2!C19+Matrix2!V105+Matrix2!R105+Matrix2!P105+Matrix2!M105,INDEX(Matrix2!Y3:Y13,MATCH(Survey_Pricing!E47,Matrix2!K3:K13,0))+(AD49*Matrix2!C19)+Matrix2!V46+(Matrix2!T46*Matrix2!F3)+Matrix2!P46+Matrix2!Y46+Matrix2!Y264+Matrix2!Y266)+(Matrix2!C9*AH49)+Matrix2!M46)</f>
        <v>0</v>
      </c>
      <c r="AF48" s="940"/>
    </row>
    <row r="49" spans="2:35" ht="15" thickBot="1">
      <c r="B49" s="774"/>
      <c r="C49" s="255" t="str">
        <f>'Survey Front'!C53</f>
        <v/>
      </c>
      <c r="D49" s="762"/>
      <c r="E49" s="762"/>
      <c r="F49" s="229" t="s">
        <v>31</v>
      </c>
      <c r="G49" s="230" t="str">
        <f>'Survey Front'!G53</f>
        <v/>
      </c>
      <c r="H49" s="763"/>
      <c r="I49" s="777"/>
      <c r="J49" s="763"/>
      <c r="K49" s="637"/>
      <c r="L49" s="638"/>
      <c r="M49" s="743"/>
      <c r="N49" s="743"/>
      <c r="O49" s="763"/>
      <c r="P49" s="756" t="s">
        <v>32</v>
      </c>
      <c r="Q49" s="757"/>
      <c r="R49" s="758" t="str">
        <f>'Survey Front'!S53</f>
        <v/>
      </c>
      <c r="S49" s="759"/>
      <c r="T49" s="759"/>
      <c r="U49" s="759"/>
      <c r="V49" s="759"/>
      <c r="W49" s="759"/>
      <c r="X49" s="759"/>
      <c r="Y49" s="759"/>
      <c r="Z49" s="759"/>
      <c r="AA49" s="759"/>
      <c r="AB49" s="760"/>
      <c r="AC49" s="231">
        <f>'Survey Front'!AD53</f>
        <v>0</v>
      </c>
      <c r="AD49" s="232" t="e">
        <f>IF(AE47="Quoted","",(M47*N47)/1000000)</f>
        <v>#VALUE!</v>
      </c>
      <c r="AE49" s="906">
        <f>IF(AND(D47="",E47="",J47="",M47="",N47=""),0,IF(OR(D47="",E47="",J47="",M47="",N47="",AND(E47="Antigua",J47="Clearview")),"Incomplete",IF(ISNA(IF(AE47="Quoted",INDEX(Matrix2!Y75:Y85,MATCH(Survey_Pricing!E47,Matrix2!K75:K85,0))+AD49*Matrix2!C19+Matrix2!O105+Matrix2!V105+Matrix2!R105+Matrix2!P105,INDEX(Matrix2!Y17:Y27,MATCH(Survey_Pricing!E47,Matrix2!K17:K27,0))+AD49*Matrix2!C19+Matrix2!O46+Matrix2!V46+Matrix2!R46+Matrix2!P46)),,IF(AE47="Quoted",INDEX(Matrix2!Y75:Y85,MATCH(Survey_Pricing!E47,Matrix2!K75:K85,0))+AD49*Matrix2!C19+Matrix2!O105+Matrix2!V105+Matrix2!R105+Matrix2!P105+Matrix2!M105,INDEX(Matrix2!Y167:Y177,MATCH(Survey_Pricing!E47,Matrix2!K167:K177,0))+AD49*Matrix2!C19)+(Matrix2!O196)+Matrix2!V196+Matrix2!R196+Matrix2!P196+Matrix2!W196+Matrix2!Y196+Matrix2!Y261+Matrix2!Y264+Matrix2!Y266+Matrix2!M197)))</f>
        <v>0</v>
      </c>
      <c r="AF49" s="907"/>
      <c r="AH49" s="8">
        <f>IF(AE47="Quoted",IF(J47="Silent",AD49,IF(J47="Split Tilt",AD49,0)),IF(J47="Silent",AD49,IF(J47="Split Tilt",AD49,0)))</f>
        <v>0</v>
      </c>
    </row>
    <row r="50" spans="2:35" ht="15" thickTop="1">
      <c r="B50" s="774">
        <v>15</v>
      </c>
      <c r="C50" s="237" t="str">
        <f>'Survey Front'!C54</f>
        <v/>
      </c>
      <c r="D50" s="725" t="str">
        <f>'Survey Front'!D54</f>
        <v/>
      </c>
      <c r="E50" s="725" t="str">
        <f>'Survey Front'!E54</f>
        <v/>
      </c>
      <c r="F50" s="772" t="str">
        <f>'Survey Front'!F54</f>
        <v/>
      </c>
      <c r="G50" s="773"/>
      <c r="H50" s="725" t="str">
        <f>'Survey Front'!H54</f>
        <v/>
      </c>
      <c r="I50" s="725" t="str">
        <f>'Survey Front'!I54</f>
        <v/>
      </c>
      <c r="J50" s="725" t="str">
        <f>'Survey Front'!L54</f>
        <v/>
      </c>
      <c r="K50" s="629" t="str">
        <f>'Survey Front'!M54</f>
        <v/>
      </c>
      <c r="L50" s="630"/>
      <c r="M50" s="749" t="str">
        <f>IF(SUM(K50:L52)=0,"",SUM(K50:L52))</f>
        <v/>
      </c>
      <c r="N50" s="749" t="str">
        <f>'Survey Front'!N54</f>
        <v/>
      </c>
      <c r="O50" s="725" t="str">
        <f>'Survey Front'!O54</f>
        <v/>
      </c>
      <c r="P50" s="752" t="s">
        <v>24</v>
      </c>
      <c r="Q50" s="753"/>
      <c r="R50" s="236" t="str">
        <f>'Survey Front'!S54</f>
        <v/>
      </c>
      <c r="S50" s="236" t="str">
        <f>'Survey Front'!T54</f>
        <v/>
      </c>
      <c r="T50" s="236" t="str">
        <f>'Survey Front'!U54</f>
        <v/>
      </c>
      <c r="U50" s="236" t="str">
        <f>'Survey Front'!V54</f>
        <v/>
      </c>
      <c r="V50" s="236" t="str">
        <f>'Survey Front'!W54</f>
        <v/>
      </c>
      <c r="W50" s="236" t="str">
        <f>'Survey Front'!X54</f>
        <v/>
      </c>
      <c r="X50" s="236" t="str">
        <f>'Survey Front'!Y54</f>
        <v/>
      </c>
      <c r="Y50" s="236" t="str">
        <f>'Survey Front'!Z54</f>
        <v/>
      </c>
      <c r="Z50" s="236" t="str">
        <f>'Survey Front'!AA54</f>
        <v/>
      </c>
      <c r="AA50" s="236" t="str">
        <f>'Survey Front'!AB54</f>
        <v/>
      </c>
      <c r="AB50" s="236" t="str">
        <f>'Survey Front'!AC54</f>
        <v/>
      </c>
      <c r="AC50" s="248" t="str">
        <f>'Survey Front'!AD54</f>
        <v/>
      </c>
      <c r="AD50" s="251"/>
      <c r="AE50" s="908" t="s">
        <v>26</v>
      </c>
      <c r="AF50" s="909"/>
    </row>
    <row r="51" spans="2:35">
      <c r="B51" s="774"/>
      <c r="C51" s="239" t="str">
        <f>'Survey Front'!C52</f>
        <v/>
      </c>
      <c r="D51" s="726"/>
      <c r="E51" s="726"/>
      <c r="F51" s="770" t="str">
        <f>'Survey Front'!F55</f>
        <v/>
      </c>
      <c r="G51" s="771"/>
      <c r="H51" s="726"/>
      <c r="I51" s="726"/>
      <c r="J51" s="726"/>
      <c r="K51" s="616"/>
      <c r="L51" s="631"/>
      <c r="M51" s="750"/>
      <c r="N51" s="750"/>
      <c r="O51" s="726"/>
      <c r="P51" s="754" t="s">
        <v>27</v>
      </c>
      <c r="Q51" s="755"/>
      <c r="R51" s="240" t="str">
        <f>'Survey Front'!S55</f>
        <v/>
      </c>
      <c r="S51" s="240" t="str">
        <f>'Survey Front'!T55</f>
        <v/>
      </c>
      <c r="T51" s="240" t="str">
        <f>'Survey Front'!U55</f>
        <v/>
      </c>
      <c r="U51" s="240" t="str">
        <f>'Survey Front'!V55</f>
        <v/>
      </c>
      <c r="V51" s="240" t="str">
        <f>'Survey Front'!W55</f>
        <v/>
      </c>
      <c r="W51" s="240" t="str">
        <f>'Survey Front'!X55</f>
        <v/>
      </c>
      <c r="X51" s="240" t="str">
        <f>'Survey Front'!Y55</f>
        <v/>
      </c>
      <c r="Y51" s="240" t="str">
        <f>'Survey Front'!Z55</f>
        <v/>
      </c>
      <c r="Z51" s="240" t="str">
        <f>'Survey Front'!AA55</f>
        <v/>
      </c>
      <c r="AA51" s="240" t="str">
        <f>'Survey Front'!AB55</f>
        <v/>
      </c>
      <c r="AB51" s="240" t="s">
        <v>28</v>
      </c>
      <c r="AC51" s="241" t="s">
        <v>29</v>
      </c>
      <c r="AD51" s="242" t="s">
        <v>30</v>
      </c>
      <c r="AE51" s="924">
        <f>IF(ISNA(IF(AE50="Quoted",INDEX(Matrix2!Z57:Z67,MATCH(Survey_Pricing!E50,Matrix2!K57:K67,0))+AD52*Matrix2!C19,INDEX(Matrix2!Z3:Z13,MATCH(Survey_Pricing!E50,Matrix2!K3:K13,0))+(AD52*Matrix2!C19)+Matrix2!O47+Matrix2!V47+Matrix2!R47+Matrix2!P47)),,IF(AE50="Quoted",INDEX(Matrix2!Z57:Z67,MATCH(Survey_Pricing!E50,Matrix2!K57:K67,0))+AD52*Matrix2!C19+Matrix2!V106+Matrix2!R106+Matrix2!P106+Matrix2!M106,INDEX(Matrix2!Z3:Z13,MATCH(Survey_Pricing!E50,Matrix2!K3:K13,0))+(AD52*Matrix2!C19)+Matrix2!V47+(Matrix2!T47*Matrix2!F3)+Matrix2!P47+Matrix2!Y47+Matrix2!Z264+Matrix2!Z266)+(Matrix2!C9*AH52)+Matrix2!M47)</f>
        <v>0</v>
      </c>
      <c r="AF51" s="925"/>
    </row>
    <row r="52" spans="2:35" ht="15" thickBot="1">
      <c r="B52" s="774"/>
      <c r="C52" s="243" t="str">
        <f>'Survey Front'!C56</f>
        <v/>
      </c>
      <c r="D52" s="726"/>
      <c r="E52" s="726"/>
      <c r="F52" s="244" t="s">
        <v>31</v>
      </c>
      <c r="G52" s="245" t="str">
        <f>'Survey Front'!G56</f>
        <v/>
      </c>
      <c r="H52" s="727"/>
      <c r="I52" s="727"/>
      <c r="J52" s="727"/>
      <c r="K52" s="617"/>
      <c r="L52" s="639"/>
      <c r="M52" s="751"/>
      <c r="N52" s="751"/>
      <c r="O52" s="727"/>
      <c r="P52" s="736" t="s">
        <v>32</v>
      </c>
      <c r="Q52" s="737"/>
      <c r="R52" s="798" t="str">
        <f>'Survey Front'!S56</f>
        <v/>
      </c>
      <c r="S52" s="747"/>
      <c r="T52" s="747"/>
      <c r="U52" s="747"/>
      <c r="V52" s="747"/>
      <c r="W52" s="747"/>
      <c r="X52" s="747"/>
      <c r="Y52" s="747"/>
      <c r="Z52" s="747"/>
      <c r="AA52" s="747"/>
      <c r="AB52" s="748"/>
      <c r="AC52" s="252">
        <f>'Survey Front'!AD56</f>
        <v>0</v>
      </c>
      <c r="AD52" s="247" t="e">
        <f>IF(AE50="Quoted","",(M50*N50)/1000000)</f>
        <v>#VALUE!</v>
      </c>
      <c r="AE52" s="906">
        <f>IF(AND(D50="",E50="",J50="",M50="",N50=""),0,IF(OR(D50="",E50="",J50="",M50="",N50="",AND(E50="Antigua",J50="Clearview")),"Incomplete",IF(ISNA(IF(AE50="Quoted",INDEX(Matrix2!Z75:Z85,MATCH(Survey_Pricing!E50,Matrix2!K75:K85,0))+AD52*Matrix2!C19+Matrix2!O106+Matrix2!V106+Matrix2!R106+Matrix2!P106,INDEX(Matrix2!Z17:Z27,MATCH(Survey_Pricing!E50,Matrix2!K17:K27,0))+AD52*Matrix2!C19+Matrix2!O47+Matrix2!V47+Matrix2!R47+Matrix2!P47)),,IF(AE50="Quoted",INDEX(Matrix2!Z75:Z85,MATCH(Survey_Pricing!E50,Matrix2!K75:K85,0))+AD52*Matrix2!C19+Matrix2!O106+Matrix2!V106+Matrix2!R106+Matrix2!P106+Matrix2!M106,INDEX(Matrix2!Z167:Z177,MATCH(Survey_Pricing!E50,Matrix2!K167:K177,0))+AD52*Matrix2!C19)+(Matrix2!O197)+Matrix2!V197+Matrix2!R197+Matrix2!P197+Matrix2!W197+Matrix2!Y197+Matrix2!Z261+Matrix2!Z264+Matrix2!Z266+Matrix2!M197)))</f>
        <v>0</v>
      </c>
      <c r="AF52" s="907"/>
      <c r="AH52" s="8">
        <f>IF(AE50="Quoted",IF(J50="Silent",AD52,IF(J50="Split Tilt",AD52,0)),IF(J50="Silent",AD52,IF(J50="Split Tilt",AD52,0)))</f>
        <v>0</v>
      </c>
      <c r="AI52" s="8">
        <f>VLOOKUP(L59,Matrix2!B31:C41,2,0)</f>
        <v>0.25</v>
      </c>
    </row>
    <row r="53" spans="2:35">
      <c r="B53" s="808" t="s">
        <v>49</v>
      </c>
      <c r="C53" s="809"/>
      <c r="D53" s="814" t="s">
        <v>50</v>
      </c>
      <c r="E53" s="799"/>
      <c r="F53" s="800"/>
      <c r="G53" s="800"/>
      <c r="H53" s="800"/>
      <c r="I53" s="800"/>
      <c r="J53" s="800"/>
      <c r="K53" s="800"/>
      <c r="L53" s="800"/>
      <c r="M53" s="800"/>
      <c r="N53" s="800"/>
      <c r="O53" s="800"/>
      <c r="P53" s="800"/>
      <c r="Q53" s="800"/>
      <c r="R53" s="800"/>
      <c r="S53" s="800"/>
      <c r="T53" s="800"/>
      <c r="U53" s="800"/>
      <c r="V53" s="800"/>
      <c r="W53" s="800"/>
      <c r="X53" s="800"/>
      <c r="Y53" s="800"/>
      <c r="Z53" s="800"/>
      <c r="AA53" s="800"/>
      <c r="AB53" s="800"/>
      <c r="AC53" s="801"/>
      <c r="AD53" s="215" t="str">
        <f>""</f>
        <v/>
      </c>
      <c r="AE53" s="218" t="s">
        <v>51</v>
      </c>
      <c r="AF53" s="217" t="str">
        <f>IF(AD53="","","Discount")</f>
        <v/>
      </c>
    </row>
    <row r="54" spans="2:35">
      <c r="B54" s="810"/>
      <c r="C54" s="811"/>
      <c r="D54" s="815"/>
      <c r="E54" s="802"/>
      <c r="F54" s="803"/>
      <c r="G54" s="803"/>
      <c r="H54" s="803"/>
      <c r="I54" s="803"/>
      <c r="J54" s="803"/>
      <c r="K54" s="803"/>
      <c r="L54" s="803"/>
      <c r="M54" s="803"/>
      <c r="N54" s="803"/>
      <c r="O54" s="803"/>
      <c r="P54" s="803"/>
      <c r="Q54" s="803"/>
      <c r="R54" s="803"/>
      <c r="S54" s="803"/>
      <c r="T54" s="803"/>
      <c r="U54" s="803"/>
      <c r="V54" s="803"/>
      <c r="W54" s="803"/>
      <c r="X54" s="803"/>
      <c r="Y54" s="803"/>
      <c r="Z54" s="803"/>
      <c r="AA54" s="803"/>
      <c r="AB54" s="803"/>
      <c r="AC54" s="804"/>
      <c r="AD54" s="910" t="str">
        <f>IF(AD53="","",SUM(IF(AD9="3 for 2",AD10,0) + IF(AD12="3 for 2",AD13,0) + IF(AD15="3 for 2",AD16,0)) + IF(AD18="3 for 2",AD19,0) +IF(AD21="3 for 2",AD22,0) + IF(AD24="3 for 2",AD25,0)+IF(AD27="3 for 2",AD28,0)+IF(AD30="3 for 2",AD31,0)+IF(AD33="3 for 2",AD34,0) +IF(AD36="3 for 2",AD37,0) +IF(AD39="3 for 2",AD40,0) + IF(AD42="3 for 2",AD43,0) +IF(AD45="3 for 2",AD46,0) + IF(AD48="3 for 2",AD49,0) +IF(AD51="3 for 2",AD52,0))</f>
        <v/>
      </c>
      <c r="AE54" s="910" t="e">
        <f>SUM(AD52,AD49,AD46,AD43,AD40,AD37,AD34,AD31,AD28,AD25,AD22,AD19,AD16,AD13,AD10)</f>
        <v>#VALUE!</v>
      </c>
      <c r="AF54" s="912" t="str">
        <f>IF(AD53="","",IF(AE54=AD54,"N/A",(AE54-AD54)/AE54 - 1))</f>
        <v/>
      </c>
    </row>
    <row r="55" spans="2:35" ht="15" thickBot="1">
      <c r="B55" s="812"/>
      <c r="C55" s="813"/>
      <c r="D55" s="816"/>
      <c r="E55" s="805"/>
      <c r="F55" s="806"/>
      <c r="G55" s="806"/>
      <c r="H55" s="806"/>
      <c r="I55" s="806"/>
      <c r="J55" s="806"/>
      <c r="K55" s="806"/>
      <c r="L55" s="806"/>
      <c r="M55" s="806"/>
      <c r="N55" s="806"/>
      <c r="O55" s="806"/>
      <c r="P55" s="806"/>
      <c r="Q55" s="806"/>
      <c r="R55" s="806"/>
      <c r="S55" s="806"/>
      <c r="T55" s="806"/>
      <c r="U55" s="806"/>
      <c r="V55" s="806"/>
      <c r="W55" s="806"/>
      <c r="X55" s="806"/>
      <c r="Y55" s="806"/>
      <c r="Z55" s="806"/>
      <c r="AA55" s="806"/>
      <c r="AB55" s="806"/>
      <c r="AC55" s="807"/>
      <c r="AD55" s="911"/>
      <c r="AE55" s="911"/>
      <c r="AF55" s="913"/>
    </row>
    <row r="56" spans="2:35" ht="15" thickBot="1">
      <c r="B56" s="163"/>
      <c r="C56" s="164"/>
      <c r="D56" s="164"/>
      <c r="E56" s="164"/>
      <c r="F56" s="164"/>
      <c r="G56" s="164"/>
      <c r="H56" s="164"/>
      <c r="I56" s="164"/>
      <c r="J56" s="164"/>
      <c r="K56" s="164"/>
      <c r="L56" s="164"/>
      <c r="M56" s="164"/>
      <c r="N56" s="164"/>
      <c r="O56" s="164"/>
      <c r="P56" s="164"/>
      <c r="Q56" s="164"/>
      <c r="R56" s="164"/>
      <c r="S56" s="164"/>
      <c r="T56" s="164"/>
      <c r="U56" s="164"/>
      <c r="V56" s="164"/>
      <c r="W56" s="164"/>
      <c r="X56" s="164"/>
      <c r="Y56" s="164"/>
      <c r="Z56" s="164"/>
      <c r="AA56" s="164"/>
      <c r="AB56" s="164"/>
      <c r="AC56" s="164"/>
      <c r="AD56" s="164"/>
      <c r="AE56" s="164"/>
      <c r="AF56" s="165"/>
      <c r="AG56" s="13"/>
    </row>
    <row r="57" spans="2:35" ht="15.6" thickTop="1" thickBot="1">
      <c r="B57" s="166"/>
      <c r="C57" s="166"/>
      <c r="D57" s="166"/>
      <c r="E57" s="166"/>
      <c r="F57" s="166"/>
      <c r="G57" s="166"/>
      <c r="H57" s="166"/>
      <c r="I57" s="166"/>
      <c r="J57" s="166"/>
      <c r="K57" s="166"/>
      <c r="L57" s="166"/>
      <c r="M57" s="166"/>
      <c r="N57" s="166"/>
      <c r="O57" s="166"/>
      <c r="P57" s="166"/>
      <c r="Q57" s="166"/>
      <c r="R57" s="166"/>
      <c r="S57" s="166"/>
      <c r="T57" s="166"/>
      <c r="U57" s="166"/>
      <c r="V57" s="166"/>
      <c r="W57" s="166"/>
      <c r="X57" s="166"/>
      <c r="Y57" s="166"/>
      <c r="Z57" s="166"/>
      <c r="AA57" s="166"/>
      <c r="AB57" s="166"/>
      <c r="AC57" s="166"/>
      <c r="AD57" s="166"/>
      <c r="AE57" s="166"/>
      <c r="AF57" s="166"/>
    </row>
    <row r="58" spans="2:35" ht="23.45" customHeight="1" thickBot="1">
      <c r="B58" s="793" t="s">
        <v>52</v>
      </c>
      <c r="C58" s="794"/>
      <c r="D58" s="795"/>
      <c r="E58" s="575" t="s">
        <v>53</v>
      </c>
      <c r="F58" s="576"/>
      <c r="G58" s="796" t="s">
        <v>54</v>
      </c>
      <c r="H58" s="797"/>
      <c r="I58" s="797"/>
      <c r="J58" s="797"/>
      <c r="K58" s="615"/>
      <c r="L58" s="793" t="s">
        <v>55</v>
      </c>
      <c r="M58" s="795"/>
      <c r="N58" s="555" t="s">
        <v>56</v>
      </c>
      <c r="O58" s="286" t="s">
        <v>57</v>
      </c>
      <c r="P58" s="220" t="s">
        <v>58</v>
      </c>
      <c r="Q58" s="547" t="s">
        <v>59</v>
      </c>
      <c r="R58" s="550" t="s">
        <v>60</v>
      </c>
      <c r="S58" s="817" t="s">
        <v>61</v>
      </c>
      <c r="T58" s="817"/>
      <c r="U58" s="817"/>
      <c r="V58" s="817"/>
      <c r="W58" s="818"/>
      <c r="X58" s="920" t="s">
        <v>62</v>
      </c>
      <c r="Y58" s="921"/>
      <c r="Z58" s="921"/>
      <c r="AA58" s="921"/>
      <c r="AB58" s="921" t="s">
        <v>58</v>
      </c>
      <c r="AC58" s="921"/>
      <c r="AD58" s="921"/>
      <c r="AE58" s="946">
        <f>IF(ISERROR(+(O59-P59)/O59),,+(O59-P59)/O59)</f>
        <v>0.2500630757249751</v>
      </c>
      <c r="AF58" s="947"/>
      <c r="AG58" s="191"/>
      <c r="AH58" s="192"/>
    </row>
    <row r="59" spans="2:35">
      <c r="B59" s="819"/>
      <c r="C59" s="820"/>
      <c r="D59" s="820"/>
      <c r="E59" s="823"/>
      <c r="F59" s="824"/>
      <c r="G59" s="827"/>
      <c r="H59" s="828"/>
      <c r="I59" s="828"/>
      <c r="J59" s="828"/>
      <c r="K59" s="285"/>
      <c r="L59" s="343" t="s">
        <v>63</v>
      </c>
      <c r="M59" s="344"/>
      <c r="N59" s="287">
        <f>IF(ISNA(INDEX(Matrix2!$AA$116:$AA$126,MATCH(Survey_Pricing!L59,Matrix2!$K$116:$K$126,0))),"",INDEX(Matrix2!$AA$116:$AA$126,MATCH(Survey_Pricing!L59,Matrix2!$K$116:$K$126,0)))</f>
        <v>14.405021</v>
      </c>
      <c r="O59" s="541">
        <f>IF(ISNA(INDEX(Matrix2!$AE$86:$AE$96,MATCH(Survey_Pricing!L59,Matrix2!$AC$86:$AC$96,0))),"",INDEX(Matrix2!$AE$86:$AE$96,MATCH(Survey_Pricing!L59,Matrix2!$AC$86:$AC$96,0)))</f>
        <v>5041.7573499999999</v>
      </c>
      <c r="P59" s="541">
        <f>IF(N59="","",IF(N59&gt;0,ROUNDDOWN(O59-(O59*VLOOKUP(L59,Matrix2!$B$31:$C$41,2,0)),0.2),))</f>
        <v>3781</v>
      </c>
      <c r="Q59" s="552">
        <f>IF(SUM(Matrix2!N92:N106)&gt;0,Matrix2!AA75,)</f>
        <v>0</v>
      </c>
      <c r="R59" s="551">
        <f>IF(ISERROR(SUM(P59/O59)-1),0,SUM(P59/O59)-1)</f>
        <v>-0.2500630757249751</v>
      </c>
      <c r="S59" s="668">
        <f>IF(ISERROR(+(O59-P59)/O59),,+(O59-P59)/O59)</f>
        <v>0.2500630757249751</v>
      </c>
      <c r="T59" s="669"/>
      <c r="U59" s="669"/>
      <c r="V59" s="669"/>
      <c r="W59" s="670"/>
      <c r="X59" s="922">
        <f>SUM(O59)</f>
        <v>5041.7573499999999</v>
      </c>
      <c r="Y59" s="718"/>
      <c r="Z59" s="718"/>
      <c r="AA59" s="718"/>
      <c r="AB59" s="923">
        <f>SUM(P59)</f>
        <v>3781</v>
      </c>
      <c r="AC59" s="718"/>
      <c r="AD59" s="718"/>
      <c r="AE59" s="948"/>
      <c r="AF59" s="949"/>
    </row>
    <row r="60" spans="2:35" ht="15" thickBot="1">
      <c r="B60" s="821"/>
      <c r="C60" s="822"/>
      <c r="D60" s="822"/>
      <c r="E60" s="825"/>
      <c r="F60" s="826"/>
      <c r="G60" s="829" t="s">
        <v>64</v>
      </c>
      <c r="H60" s="830"/>
      <c r="I60" s="830"/>
      <c r="J60" s="830"/>
      <c r="K60" s="612"/>
      <c r="L60" s="345" t="str" cm="1">
        <f t="array" ref="L60">_xlfn._xlws.SORT(_xlfn.UNIQUE(_xlfn._xlws.FILTER(E8:E52,(E8:E52&lt;&gt;"")*(E8:E52&lt;&gt;"Aruba"),"")))</f>
        <v>Barbados</v>
      </c>
      <c r="M60" s="346"/>
      <c r="N60" s="287">
        <f>IF(ISNA(INDEX(Matrix2!$AA$116:$AA$126,MATCH(Survey_Pricing!L60,Matrix2!$K$116:$K$126,0))),"",INDEX(Matrix2!$AA$116:$AA$126,MATCH(Survey_Pricing!L60,Matrix2!$K$116:$K$126,0)))</f>
        <v>14.405021</v>
      </c>
      <c r="O60" s="541">
        <f>IF(ISNA(INDEX(Matrix2!$AE$86:$AE$96,MATCH(Survey_Pricing!L60,Matrix2!$AC$86:$AC$96,0))),"",INDEX(Matrix2!$AE$86:$AE$96,MATCH(Survey_Pricing!L60,Matrix2!$AC$86:$AC$96,0)))</f>
        <v>1080.376575</v>
      </c>
      <c r="P60" s="541">
        <f>IF(N60="","",IF(N60&gt;0,ROUNDDOWN(O60-(O60*VLOOKUP(L60,Matrix2!$B$31:$C$41,2,0)),0.2),))</f>
        <v>594</v>
      </c>
      <c r="Q60" s="552">
        <f>IF(ISNA(IF(INDEX(Matrix2!$AA$133:$AA$140,MATCH(Survey_Pricing!L60,Matrix2!$K$133:$K$140,0))&gt;0,ROUNDDOWN(INDEX(Matrix2!$AA$149:$AA$156,MATCH(Survey_Pricing!L60,Matrix2!$K$149:$K$156,0)),0.2),)),"",IF(INDEX(Matrix2!$AA$133:$AA$140,MATCH(Survey_Pricing!L60,Matrix2!$K$133:$K$140,0))&gt;0,ROUNDDOWN(INDEX(Matrix2!$AA$149:$AA$156,MATCH(Survey_Pricing!L60,Matrix2!$K$149:$K$156,0)),0.2),))</f>
        <v>0</v>
      </c>
      <c r="R60" s="551">
        <f t="shared" ref="R60:R71" si="0">IF(ISERROR(SUM(P60/O60)-1),,SUM(P60/O60)-1)</f>
        <v>-0.45019170746089154</v>
      </c>
      <c r="S60" s="671"/>
      <c r="T60" s="672"/>
      <c r="U60" s="672"/>
      <c r="V60" s="672"/>
      <c r="W60" s="673"/>
      <c r="X60" s="717"/>
      <c r="Y60" s="718"/>
      <c r="Z60" s="718"/>
      <c r="AA60" s="718"/>
      <c r="AB60" s="718"/>
      <c r="AC60" s="718"/>
      <c r="AD60" s="718"/>
      <c r="AE60" s="948"/>
      <c r="AF60" s="949"/>
    </row>
    <row r="61" spans="2:35">
      <c r="B61" s="853" t="s">
        <v>65</v>
      </c>
      <c r="C61" s="854"/>
      <c r="D61" s="855"/>
      <c r="E61" s="856" t="s">
        <v>66</v>
      </c>
      <c r="F61" s="857"/>
      <c r="G61" s="858" t="s">
        <v>50</v>
      </c>
      <c r="H61" s="859"/>
      <c r="I61" s="859"/>
      <c r="J61" s="859"/>
      <c r="K61" s="613"/>
      <c r="L61" s="345"/>
      <c r="M61" s="346"/>
      <c r="N61" s="287" t="str">
        <f>IF(ISNA(INDEX(Matrix2!$AA$116:$AA$126,MATCH(Survey_Pricing!L61,Matrix2!$K$116:$K$126,0))),"",INDEX(Matrix2!$AA$116:$AA$126,MATCH(Survey_Pricing!L61,Matrix2!$K$116:$K$126,0)))</f>
        <v/>
      </c>
      <c r="O61" s="541" t="str">
        <f>IF(ISNA(INDEX(Matrix2!$AE$86:$AE$96,MATCH(Survey_Pricing!L61,Matrix2!$AC$86:$AC$96,0))),"",INDEX(Matrix2!$AE$86:$AE$96,MATCH(Survey_Pricing!L61,Matrix2!$AC$86:$AC$96,0)))</f>
        <v/>
      </c>
      <c r="P61" s="541" t="str">
        <f>IF(N61="","",IF(N61&gt;0,ROUNDDOWN(O61-(O61*VLOOKUP(L61,Matrix2!$B$31:$C$41,2,0)),0.2),))</f>
        <v/>
      </c>
      <c r="Q61" s="552" t="str">
        <f>IF(ISNA(IF(INDEX(Matrix2!$AA$133:$AA$140,MATCH(Survey_Pricing!L61,Matrix2!$K$133:$K$140,0))&gt;0,ROUNDDOWN(INDEX(Matrix2!$AA$149:$AA$156,MATCH(Survey_Pricing!L61,Matrix2!$K$149:$K$156,0)),0.2),)),"",IF(INDEX(Matrix2!$AA$133:$AA$140,MATCH(Survey_Pricing!L61,Matrix2!$K$133:$K$140,0))&gt;0,ROUNDDOWN(INDEX(Matrix2!$AA$149:$AA$156,MATCH(Survey_Pricing!L61,Matrix2!$K$149:$K$156,0)),0.2),))</f>
        <v/>
      </c>
      <c r="R61" s="551">
        <f t="shared" si="0"/>
        <v>0</v>
      </c>
      <c r="S61" s="869" t="str">
        <f>Pricing!S61</f>
        <v>Please Select</v>
      </c>
      <c r="T61" s="869"/>
      <c r="U61" s="869"/>
      <c r="V61" s="869"/>
      <c r="W61" s="870"/>
      <c r="X61" s="917" t="s">
        <v>67</v>
      </c>
      <c r="Y61" s="714"/>
      <c r="Z61" s="714"/>
      <c r="AA61" s="714"/>
      <c r="AB61" s="714"/>
      <c r="AC61" s="714"/>
      <c r="AD61" s="714"/>
      <c r="AE61" s="950">
        <f>IF(ISERROR(+(X62-AB62)/X62),,+(X62-AB62)/X62)</f>
        <v>0.44638234252278297</v>
      </c>
      <c r="AF61" s="951"/>
    </row>
    <row r="62" spans="2:35">
      <c r="B62" s="862"/>
      <c r="C62" s="863"/>
      <c r="D62" s="863"/>
      <c r="E62" s="864"/>
      <c r="F62" s="865"/>
      <c r="G62" s="829" t="s">
        <v>68</v>
      </c>
      <c r="H62" s="830"/>
      <c r="I62" s="830"/>
      <c r="J62" s="830"/>
      <c r="K62" s="612"/>
      <c r="L62" s="345"/>
      <c r="M62" s="346"/>
      <c r="N62" s="287" t="str">
        <f>IF(ISNA(INDEX(Matrix2!$AA$116:$AA$126,MATCH(Survey_Pricing!L62,Matrix2!$K$116:$K$126,0))),"",INDEX(Matrix2!$AA$116:$AA$126,MATCH(Survey_Pricing!L62,Matrix2!$K$116:$K$126,0)))</f>
        <v/>
      </c>
      <c r="O62" s="541" t="str">
        <f>IF(ISNA(INDEX(Matrix2!$AE$86:$AE$96,MATCH(Survey_Pricing!L62,Matrix2!$AC$86:$AC$96,0))),"",INDEX(Matrix2!$AE$86:$AE$96,MATCH(Survey_Pricing!L62,Matrix2!$AC$86:$AC$96,0)))</f>
        <v/>
      </c>
      <c r="P62" s="541" t="str">
        <f>IF(N62="","",IF(N62&gt;0,ROUNDDOWN(O62-(O62*VLOOKUP(L62,Matrix2!$B$31:$C$41,2,0)),0.2),))</f>
        <v/>
      </c>
      <c r="Q62" s="552" t="str">
        <f>IF(ISNA(IF(INDEX(Matrix2!$AA$133:$AA$140,MATCH(Survey_Pricing!L62,Matrix2!$K$133:$K$140,0))&gt;0,ROUNDDOWN(INDEX(Matrix2!$AA$149:$AA$156,MATCH(Survey_Pricing!L62,Matrix2!$K$149:$K$156,0)),0.2),)),"",IF(INDEX(Matrix2!$AA$133:$AA$140,MATCH(Survey_Pricing!L62,Matrix2!$K$133:$K$140,0))&gt;0,ROUNDDOWN(INDEX(Matrix2!$AA$149:$AA$156,MATCH(Survey_Pricing!L62,Matrix2!$K$149:$K$156,0)),0.2),))</f>
        <v/>
      </c>
      <c r="R62" s="551">
        <f t="shared" si="0"/>
        <v>0</v>
      </c>
      <c r="S62" s="842" t="s">
        <v>69</v>
      </c>
      <c r="T62" s="880"/>
      <c r="U62" s="872">
        <f>IF(S61="Finance Not Available",0,AB66)</f>
        <v>4920</v>
      </c>
      <c r="V62" s="873"/>
      <c r="W62" s="874"/>
      <c r="X62" s="922">
        <f>SUM(O60:O71)</f>
        <v>2057.3765750000002</v>
      </c>
      <c r="Y62" s="718"/>
      <c r="Z62" s="718"/>
      <c r="AA62" s="718"/>
      <c r="AB62" s="923">
        <f>IF(X61= "Upgrade &amp; Extras (10%)", X62-(X62*10%),SUM(P60:P71))</f>
        <v>1139</v>
      </c>
      <c r="AC62" s="718"/>
      <c r="AD62" s="718"/>
      <c r="AE62" s="950"/>
      <c r="AF62" s="951"/>
      <c r="AG62" s="160"/>
    </row>
    <row r="63" spans="2:35" ht="18.75" customHeight="1">
      <c r="B63" s="821"/>
      <c r="C63" s="822"/>
      <c r="D63" s="822"/>
      <c r="E63" s="825"/>
      <c r="F63" s="826"/>
      <c r="G63" s="858" t="s">
        <v>47</v>
      </c>
      <c r="H63" s="859"/>
      <c r="I63" s="859"/>
      <c r="J63" s="859"/>
      <c r="K63" s="613"/>
      <c r="L63" s="345"/>
      <c r="M63" s="346"/>
      <c r="N63" s="287" t="str">
        <f>IF(ISNA(INDEX(Matrix2!$AA$116:$AA$126,MATCH(Survey_Pricing!L63,Matrix2!$K$116:$K$126,0))),"",INDEX(Matrix2!$AA$116:$AA$126,MATCH(Survey_Pricing!L63,Matrix2!$K$116:$K$126,0)))</f>
        <v/>
      </c>
      <c r="O63" s="541" t="str">
        <f>IF(ISNA(INDEX(Matrix2!$AE$86:$AE$96,MATCH(Survey_Pricing!L63,Matrix2!$AC$86:$AC$96,0))),"",INDEX(Matrix2!$AE$86:$AE$96,MATCH(Survey_Pricing!L63,Matrix2!$AC$86:$AC$96,0)))</f>
        <v/>
      </c>
      <c r="P63" s="541" t="str">
        <f>IF(N63="","",IF(N63&gt;0,ROUNDDOWN(O63-(O63*VLOOKUP(L63,Matrix2!$B$31:$C$41,2,0)),0.2),))</f>
        <v/>
      </c>
      <c r="Q63" s="552" t="str">
        <f>IF(ISNA(IF(INDEX(Matrix2!$AA$133:$AA$140,MATCH(Survey_Pricing!L63,Matrix2!$K$133:$K$140,0))&gt;0,ROUNDDOWN(INDEX(Matrix2!$AA$149:$AA$156,MATCH(Survey_Pricing!L63,Matrix2!$K$149:$K$156,0)),0.2),)),"",IF(INDEX(Matrix2!$AA$133:$AA$140,MATCH(Survey_Pricing!L63,Matrix2!$K$133:$K$140,0))&gt;0,ROUNDDOWN(INDEX(Matrix2!$AA$149:$AA$156,MATCH(Survey_Pricing!L63,Matrix2!$K$149:$K$156,0)),0.2),))</f>
        <v/>
      </c>
      <c r="R63" s="551">
        <f t="shared" si="0"/>
        <v>0</v>
      </c>
      <c r="S63" s="871" t="s">
        <v>70</v>
      </c>
      <c r="T63" s="842"/>
      <c r="U63" s="872">
        <f>Matrix2!C12*U62</f>
        <v>1230</v>
      </c>
      <c r="V63" s="873"/>
      <c r="W63" s="874"/>
      <c r="X63" s="918" t="s">
        <v>71</v>
      </c>
      <c r="Y63" s="919"/>
      <c r="Z63" s="919"/>
      <c r="AA63" s="919"/>
      <c r="AB63" s="919"/>
      <c r="AC63" s="919"/>
      <c r="AD63" s="919"/>
      <c r="AE63" s="952">
        <f>IF(ISERROR(+(X64-AB64)/X64),,+(X64-AB64)/X64)</f>
        <v>0</v>
      </c>
      <c r="AF63" s="953"/>
      <c r="AG63" s="169"/>
    </row>
    <row r="64" spans="2:35" ht="18" customHeight="1" thickBot="1">
      <c r="B64" s="577"/>
      <c r="C64" s="285"/>
      <c r="D64" s="285"/>
      <c r="E64" s="167"/>
      <c r="F64" s="168"/>
      <c r="G64" s="860" t="s">
        <v>72</v>
      </c>
      <c r="H64" s="861"/>
      <c r="I64" s="861"/>
      <c r="J64" s="861"/>
      <c r="K64" s="614"/>
      <c r="L64" s="345"/>
      <c r="M64" s="346"/>
      <c r="N64" s="287" t="str">
        <f>IF(ISNA(INDEX(Matrix2!$AA$116:$AA$126,MATCH(Survey_Pricing!L64,Matrix2!$K$116:$K$126,0))),"",INDEX(Matrix2!$AA$116:$AA$126,MATCH(Survey_Pricing!L64,Matrix2!$K$116:$K$126,0)))</f>
        <v/>
      </c>
      <c r="O64" s="541" t="str">
        <f>IF(ISNA(INDEX(Matrix2!$AE$86:$AE$96,MATCH(Survey_Pricing!L64,Matrix2!$AC$86:$AC$96,0))),"",INDEX(Matrix2!$AE$86:$AE$96,MATCH(Survey_Pricing!L64,Matrix2!$AC$86:$AC$96,0)))</f>
        <v/>
      </c>
      <c r="P64" s="541" t="str">
        <f>IF(N64="","",IF(N64&gt;0,ROUNDDOWN(O64-(O64*VLOOKUP(L64,Matrix2!$B$31:$C$41,2,0)),0.2),))</f>
        <v/>
      </c>
      <c r="Q64" s="552" t="str">
        <f>IF(ISNA(IF(INDEX(Matrix2!$AA$133:$AA$140,MATCH(Survey_Pricing!L64,Matrix2!$K$133:$K$140,0))&gt;0,ROUNDDOWN(INDEX(Matrix2!$AA$149:$AA$156,MATCH(Survey_Pricing!L64,Matrix2!$K$149:$K$156,0)),0.2),)),"",IF(INDEX(Matrix2!$AA$133:$AA$140,MATCH(Survey_Pricing!L64,Matrix2!$K$133:$K$140,0))&gt;0,ROUNDDOWN(INDEX(Matrix2!$AA$149:$AA$156,MATCH(Survey_Pricing!L64,Matrix2!$K$149:$K$156,0)),0.2),))</f>
        <v/>
      </c>
      <c r="R64" s="551">
        <f t="shared" si="0"/>
        <v>0</v>
      </c>
      <c r="S64" s="875" t="s">
        <v>73</v>
      </c>
      <c r="T64" s="876"/>
      <c r="U64" s="877">
        <f>IF(ISERROR(IF(OR(S61="Finance Please Select",S61="Finance No"),"",U63/U62)),,IF(OR(S61="Finance Please Select",S61="Finance No"),"",U63/U62))</f>
        <v>0.25</v>
      </c>
      <c r="V64" s="878"/>
      <c r="W64" s="879"/>
      <c r="X64" s="927">
        <f>SUM(Matrix2!Z33:Z47)</f>
        <v>0</v>
      </c>
      <c r="Y64" s="916"/>
      <c r="Z64" s="916"/>
      <c r="AA64" s="916"/>
      <c r="AB64" s="916">
        <f>IF(X63 = "Survey &amp; Installation 25%",(X64-X64*0.25),X64)</f>
        <v>0</v>
      </c>
      <c r="AC64" s="916"/>
      <c r="AD64" s="916"/>
      <c r="AE64" s="954"/>
      <c r="AF64" s="955"/>
      <c r="AG64" s="169"/>
    </row>
    <row r="65" spans="2:34" ht="18" customHeight="1" thickBot="1">
      <c r="B65" s="837" t="s">
        <v>74</v>
      </c>
      <c r="C65" s="838"/>
      <c r="D65" s="771"/>
      <c r="E65" s="839" t="s">
        <v>75</v>
      </c>
      <c r="F65" s="840"/>
      <c r="G65" s="866" t="s">
        <v>76</v>
      </c>
      <c r="H65" s="867"/>
      <c r="I65" s="868"/>
      <c r="J65" s="583" t="s">
        <v>77</v>
      </c>
      <c r="K65" s="627"/>
      <c r="L65" s="841" t="s">
        <v>78</v>
      </c>
      <c r="M65" s="842"/>
      <c r="N65" s="288">
        <f>SUM(Matrix2!U33:U47)</f>
        <v>14.405021</v>
      </c>
      <c r="O65" s="539">
        <f>ROUNDDOWN(SUM(Matrix2!U33:U47)*Matrix2!C9,0.2)</f>
        <v>432</v>
      </c>
      <c r="P65" s="539">
        <f>SUM(Matrix2!O33:O47)</f>
        <v>0</v>
      </c>
      <c r="Q65" s="552">
        <f>SUM(Matrix2!O92:O106)</f>
        <v>0</v>
      </c>
      <c r="R65" s="551">
        <f t="shared" si="0"/>
        <v>-1</v>
      </c>
      <c r="S65" s="892" t="s">
        <v>79</v>
      </c>
      <c r="T65" s="892"/>
      <c r="U65" s="893">
        <f>IF(ISERROR(U62-U63),"",U62-U63)</f>
        <v>3690</v>
      </c>
      <c r="V65" s="894"/>
      <c r="W65" s="895"/>
      <c r="X65" s="928" t="s">
        <v>80</v>
      </c>
      <c r="Y65" s="929"/>
      <c r="Z65" s="929"/>
      <c r="AA65" s="929"/>
      <c r="AB65" s="930" t="s">
        <v>81</v>
      </c>
      <c r="AC65" s="930"/>
      <c r="AD65" s="930"/>
      <c r="AE65" s="956" t="s">
        <v>82</v>
      </c>
      <c r="AF65" s="957"/>
    </row>
    <row r="66" spans="2:34" ht="18" customHeight="1">
      <c r="B66" s="843"/>
      <c r="C66" s="844"/>
      <c r="D66" s="845"/>
      <c r="E66" s="849"/>
      <c r="F66" s="850"/>
      <c r="G66" s="572"/>
      <c r="H66" s="573"/>
      <c r="I66" s="573"/>
      <c r="J66" s="578"/>
      <c r="K66" s="578"/>
      <c r="L66" s="835" t="s">
        <v>17</v>
      </c>
      <c r="M66" s="836"/>
      <c r="N66" s="289">
        <f>IF(COUNTIF(D8:D52,"=Tracked")&gt;=1,SUM(Matrix2!Q33:Q47),)</f>
        <v>3.383</v>
      </c>
      <c r="O66" s="542">
        <f>ROUNDDOWN(SUM(Matrix2!P33:P47),0.2)</f>
        <v>545</v>
      </c>
      <c r="P66" s="579">
        <f t="shared" ref="P66" si="1">O66</f>
        <v>545</v>
      </c>
      <c r="Q66" s="552">
        <f>ROUNDDOWN(SUM(Matrix2!P92:P106),0.2)</f>
        <v>0</v>
      </c>
      <c r="R66" s="551">
        <f t="shared" si="0"/>
        <v>0</v>
      </c>
      <c r="S66" s="887" t="s">
        <v>84</v>
      </c>
      <c r="T66" s="888"/>
      <c r="U66" s="889">
        <f>ABS(IF(OR(S61="Please Select",S61="Finance Not Available"),0,Data!AV12)*-1)</f>
        <v>0</v>
      </c>
      <c r="V66" s="890"/>
      <c r="W66" s="891"/>
      <c r="X66" s="931">
        <f>SUM(X59+X62+X64)</f>
        <v>7099.1339250000001</v>
      </c>
      <c r="Y66" s="932"/>
      <c r="Z66" s="932"/>
      <c r="AA66" s="932"/>
      <c r="AB66" s="935">
        <f>IF(Data!U26&gt;0,"Line Error",(AB59+AB62+AB64)-(IF(P74="",,P74))-P75)+SUM(Matrix2!AA33:AA47)</f>
        <v>4920</v>
      </c>
      <c r="AC66" s="935"/>
      <c r="AD66" s="935"/>
      <c r="AE66" s="958">
        <f>X66-AB66</f>
        <v>2179.1339250000001</v>
      </c>
      <c r="AF66" s="959"/>
    </row>
    <row r="67" spans="2:34" ht="18" customHeight="1" thickBot="1">
      <c r="B67" s="846"/>
      <c r="C67" s="847"/>
      <c r="D67" s="848"/>
      <c r="E67" s="851"/>
      <c r="F67" s="852"/>
      <c r="G67" s="768" t="s">
        <v>85</v>
      </c>
      <c r="H67" s="769"/>
      <c r="I67" s="769"/>
      <c r="J67" s="583" t="s">
        <v>77</v>
      </c>
      <c r="K67" s="627"/>
      <c r="L67" s="841" t="s">
        <v>86</v>
      </c>
      <c r="M67" s="842"/>
      <c r="N67" s="290">
        <f>IF(COUNTIF(Matrix2!T33:T47,"&gt;0"),SUM(Matrix2!T33:T47),)</f>
        <v>0</v>
      </c>
      <c r="O67" s="543">
        <f>SUM(Matrix2!T33:T47)*Matrix2!F3</f>
        <v>0</v>
      </c>
      <c r="P67" s="543">
        <f>SUM(Matrix2!R33:R47)</f>
        <v>0</v>
      </c>
      <c r="Q67" s="552">
        <f>IF(COUNTIF(Matrix2!T92:T106,"&gt;=1"),ROUNDDOWN(SUM(Matrix2!R92:R106),0.2),)</f>
        <v>0</v>
      </c>
      <c r="R67" s="551">
        <f>IF(ISERROR(SUM(P67/O67)-1),,SUM(P67/O67)-1)</f>
        <v>0</v>
      </c>
      <c r="S67" s="882" t="s">
        <v>87</v>
      </c>
      <c r="T67" s="883"/>
      <c r="U67" s="884">
        <f>ABS(IF(OR(S61="Please Select",S61="Finance Not Available"),0,Data!AV13)*-1)</f>
        <v>0</v>
      </c>
      <c r="V67" s="885"/>
      <c r="W67" s="886"/>
      <c r="X67" s="933"/>
      <c r="Y67" s="934"/>
      <c r="Z67" s="934"/>
      <c r="AA67" s="934"/>
      <c r="AB67" s="936"/>
      <c r="AC67" s="936"/>
      <c r="AD67" s="936"/>
      <c r="AE67" s="960"/>
      <c r="AF67" s="961"/>
    </row>
    <row r="68" spans="2:34" ht="18.600000000000001">
      <c r="B68" s="837" t="s">
        <v>88</v>
      </c>
      <c r="C68" s="838"/>
      <c r="D68" s="838"/>
      <c r="E68" s="838"/>
      <c r="F68" s="838"/>
      <c r="G68" s="574"/>
      <c r="H68" s="580"/>
      <c r="I68" s="580"/>
      <c r="J68" s="578"/>
      <c r="K68" s="578"/>
      <c r="L68" s="841" t="s">
        <v>89</v>
      </c>
      <c r="M68" s="842"/>
      <c r="N68" s="289">
        <f>SUMPRODUCT(COUNTIF(Matrix2!Y33:Y47,"&gt;=1"))</f>
        <v>0</v>
      </c>
      <c r="O68" s="539">
        <f>SUM(Matrix2!Y33:Y47)</f>
        <v>0</v>
      </c>
      <c r="P68" s="539">
        <f t="shared" ref="P68:P69" si="2">O68</f>
        <v>0</v>
      </c>
      <c r="Q68" s="552">
        <f>IF(COUNTIF(Matrix2!Y92:Y106,"&gt;=1"),ROUNDDOWN(SUM(Matrix2!Y92:Y106),0.2),)</f>
        <v>0</v>
      </c>
      <c r="R68" s="551">
        <f t="shared" si="0"/>
        <v>0</v>
      </c>
      <c r="S68" s="882" t="s">
        <v>90</v>
      </c>
      <c r="T68" s="883"/>
      <c r="U68" s="884">
        <f>ABS(IF(OR(S61="Please Select",S61="Finance Not Available"),0,Data!AV14)*-1)</f>
        <v>0</v>
      </c>
      <c r="V68" s="885"/>
      <c r="W68" s="886"/>
      <c r="X68" s="926" t="s">
        <v>118</v>
      </c>
      <c r="Y68" s="914"/>
      <c r="Z68" s="914"/>
      <c r="AA68" s="914"/>
      <c r="AB68" s="914" t="s">
        <v>91</v>
      </c>
      <c r="AC68" s="914"/>
      <c r="AD68" s="914"/>
      <c r="AE68" s="914" t="s">
        <v>92</v>
      </c>
      <c r="AF68" s="915"/>
    </row>
    <row r="69" spans="2:34">
      <c r="B69" s="684"/>
      <c r="C69" s="685"/>
      <c r="D69" s="685"/>
      <c r="E69" s="685"/>
      <c r="F69" s="686"/>
      <c r="G69" s="678" t="s">
        <v>93</v>
      </c>
      <c r="H69" s="679"/>
      <c r="I69" s="679"/>
      <c r="J69" s="583" t="s">
        <v>77</v>
      </c>
      <c r="K69" s="627"/>
      <c r="L69" s="841" t="s">
        <v>94</v>
      </c>
      <c r="M69" s="842"/>
      <c r="N69" s="290">
        <f>IF(OR(Matrix2!X48&gt;0,Matrix2!AA264&gt;0,Matrix2!AA266&gt;0,Matrix2!AA261&gt;0),1,0)</f>
        <v>0</v>
      </c>
      <c r="O69" s="539">
        <f>IF(OR(Matrix2!AA261&gt;0,Matrix2!AA264&gt;0,Matrix2!AA266&gt;0),Matrix2!AA264+IF(Matrix2!AA266&gt;0,Matrix2!AA266,+IF(Matrix2!AA261&gt;0,Matrix2!AA261+(IF(AND(N69&gt;=1,Matrix2!X48&gt;0),N69*Matrix2!F11,)),IF(AND(N69&gt;=1,Matrix2!X48&gt;0),N69*Matrix2!F11,))),0)</f>
        <v>0</v>
      </c>
      <c r="P69" s="539">
        <f t="shared" si="2"/>
        <v>0</v>
      </c>
      <c r="Q69" s="553">
        <f>IF(COUNTIF(Matrix2!X92:X106,"&gt;=1"),ROUNDDOWN(SUM(Matrix2!X92:X106),0.2),)</f>
        <v>0</v>
      </c>
      <c r="R69" s="551">
        <f t="shared" si="0"/>
        <v>0</v>
      </c>
      <c r="S69" s="900" t="s">
        <v>95</v>
      </c>
      <c r="T69" s="901"/>
      <c r="U69" s="896">
        <f>ABS(IF(OR(S61="Please Select",S61="Finance Not Available"),0,Data!AV15)*-1)</f>
        <v>0</v>
      </c>
      <c r="V69" s="896"/>
      <c r="W69" s="897"/>
      <c r="X69" s="721" t="e">
        <f>TEXT(INDEX(Matrix2!AA244:AA254,MATCH(Survey_Pricing!X68,Matrix2!K244:K254,0)),"£#,##0")  &amp; IF(TEXT(INDEX(Matrix2!AA244:AA254,MATCH(Survey_Pricing!X68,Matrix2!K244:K254,0)),"£#,##0")="£0",,  "  (£"&amp;ROUND(INDEX(Matrix2!AA244:AA254,MATCH(Survey_Pricing!X68,Matrix2!K244:K254,0))+AB66+SUM(P65:P71),0)&amp;")")</f>
        <v>#N/A</v>
      </c>
      <c r="Y69" s="721"/>
      <c r="Z69" s="721"/>
      <c r="AA69" s="722"/>
      <c r="AB69" s="732" t="str">
        <f>TEXT(INDEX(Matrix2!AA244:AA254,MATCH(Survey_Pricing!AB68,Matrix2!K244:K254,0)),"£#,##0")  &amp; IF(TEXT(INDEX(Matrix2!AA244:AA254,MATCH(Survey_Pricing!AB68,Matrix2!K244:K254,0)),"£#,##0")="£0",,  "  (£"&amp;ROUND(INDEX(Matrix2!AA244:AA254,MATCH(Survey_Pricing!AB68,Matrix2!K244:K254,0))+P59+SUM(P65:P71),0)&amp;")")</f>
        <v>£951  (£5277)</v>
      </c>
      <c r="AC69" s="831"/>
      <c r="AD69" s="832"/>
      <c r="AE69" s="732" t="str">
        <f>TEXT(INDEX(Matrix2!AA244:AA254,MATCH(Survey_Pricing!AE68,Matrix2!K244:K254,0)),"£#,##0")  &amp; IF(TEXT(INDEX(Matrix2!AA244:AA254,MATCH(Survey_Pricing!AE68,Matrix2!K244:K254,0)),"£#,##0")="£0",,  "  (£"&amp;ROUND(INDEX(Matrix2!AA244:AA254,MATCH(Survey_Pricing!AE68,Matrix2!K244:K254,0))+P59+SUM(P65:P71),0)&amp;")")</f>
        <v>£1,426  (£5752)</v>
      </c>
      <c r="AF69" s="733"/>
      <c r="AH69" s="223"/>
    </row>
    <row r="70" spans="2:34" ht="15" thickBot="1">
      <c r="B70" s="687"/>
      <c r="C70" s="688"/>
      <c r="D70" s="688"/>
      <c r="E70" s="688"/>
      <c r="F70" s="689"/>
      <c r="G70" s="456"/>
      <c r="H70" s="578"/>
      <c r="I70" s="578"/>
      <c r="J70" s="578"/>
      <c r="K70" s="578"/>
      <c r="L70" s="841" t="s">
        <v>96</v>
      </c>
      <c r="M70" s="842"/>
      <c r="N70" s="290">
        <f>COUNTIF(Matrix2!V33:V47,"&gt;=1") + COUNTIF(Matrix2!W33:W47,"&gt;=1")</f>
        <v>0</v>
      </c>
      <c r="O70" s="539">
        <f>IF(N70&gt;0,SUM(Matrix2!V33:V47),0) + IF(N70&gt;0,SUM(Matrix2!W33:W47),0)</f>
        <v>0</v>
      </c>
      <c r="P70" s="539">
        <f>O70</f>
        <v>0</v>
      </c>
      <c r="Q70" s="553">
        <f>IF(COUNTIF(Matrix2!V92:V106,"&gt;=1"),ROUNDDOWN(SUM(Matrix2!V92:V106),0.2),)</f>
        <v>0</v>
      </c>
      <c r="R70" s="551">
        <f t="shared" si="0"/>
        <v>0</v>
      </c>
      <c r="S70" s="902" t="s">
        <v>97</v>
      </c>
      <c r="T70" s="903"/>
      <c r="U70" s="898">
        <f>ABS(IF(OR(S61="Please Select",S61="Finance Not Available"),0,Data!AV16)*-1)</f>
        <v>0</v>
      </c>
      <c r="V70" s="898"/>
      <c r="W70" s="899"/>
      <c r="X70" s="723"/>
      <c r="Y70" s="723"/>
      <c r="Z70" s="723"/>
      <c r="AA70" s="724"/>
      <c r="AB70" s="734"/>
      <c r="AC70" s="833"/>
      <c r="AD70" s="834"/>
      <c r="AE70" s="734"/>
      <c r="AF70" s="735"/>
      <c r="AH70" s="223"/>
    </row>
    <row r="71" spans="2:34">
      <c r="B71" s="687"/>
      <c r="C71" s="688"/>
      <c r="D71" s="688"/>
      <c r="E71" s="688"/>
      <c r="F71" s="689"/>
      <c r="G71" s="676" t="s">
        <v>98</v>
      </c>
      <c r="H71" s="677"/>
      <c r="I71" s="677"/>
      <c r="J71" s="584" t="str">
        <f>IF(OR(J65="Select",J65="No"),"N/A","")</f>
        <v>N/A</v>
      </c>
      <c r="K71" s="628"/>
      <c r="L71" s="841" t="s">
        <v>99</v>
      </c>
      <c r="M71" s="842"/>
      <c r="N71" s="290">
        <f>IF(COUNTIF(Matrix2!M33:M47,"&gt;=0"),COUNTIF(Matrix2!M33:M47,"&gt;0"),)</f>
        <v>0</v>
      </c>
      <c r="O71" s="539">
        <f>SUM(Matrix2!M33:M47)</f>
        <v>0</v>
      </c>
      <c r="P71" s="539">
        <f>O71</f>
        <v>0</v>
      </c>
      <c r="Q71" s="553">
        <f>IF(COUNTIF(Matrix2!M92:M106,"&gt;=1"),ROUNDDOWN(SUM(Matrix2!M92:M106),0.2),)</f>
        <v>0</v>
      </c>
      <c r="R71" s="551">
        <f t="shared" si="0"/>
        <v>0</v>
      </c>
      <c r="S71" s="904" t="str">
        <f>IF(OR(N74="Managers Discretion",N75="Managers Discretion"),"Auth Code:","Misc Notes")</f>
        <v>Misc Notes</v>
      </c>
      <c r="T71" s="904"/>
      <c r="U71" s="904"/>
      <c r="V71" s="904"/>
      <c r="W71" s="905"/>
      <c r="X71" s="715" t="s">
        <v>100</v>
      </c>
      <c r="Y71" s="716"/>
      <c r="Z71" s="716"/>
      <c r="AA71" s="716"/>
      <c r="AB71" s="714" t="s">
        <v>101</v>
      </c>
      <c r="AC71" s="714"/>
      <c r="AD71" s="714"/>
      <c r="AE71" s="716" t="s">
        <v>102</v>
      </c>
      <c r="AF71" s="729"/>
    </row>
    <row r="72" spans="2:34" ht="14.45" customHeight="1" thickBot="1">
      <c r="B72" s="687"/>
      <c r="C72" s="688"/>
      <c r="D72" s="688"/>
      <c r="E72" s="688"/>
      <c r="F72" s="689"/>
      <c r="G72" s="456"/>
      <c r="H72" s="578"/>
      <c r="I72" s="578"/>
      <c r="J72" s="578"/>
      <c r="K72" s="578"/>
      <c r="L72" s="881"/>
      <c r="M72" s="683"/>
      <c r="N72" s="288"/>
      <c r="O72" s="539"/>
      <c r="P72" s="539"/>
      <c r="Q72" s="548" t="str">
        <f>"(S &amp; I): £" &amp; ROUND(SUM(Matrix2!Z92:Z106),0.2)</f>
        <v>(S &amp; I): £0</v>
      </c>
      <c r="R72" s="554"/>
      <c r="S72" s="904"/>
      <c r="T72" s="904"/>
      <c r="U72" s="904"/>
      <c r="V72" s="904"/>
      <c r="W72" s="905"/>
      <c r="X72" s="715"/>
      <c r="Y72" s="716"/>
      <c r="Z72" s="716"/>
      <c r="AA72" s="716"/>
      <c r="AB72" s="662">
        <f>IF(AB66=0,0,ROUNDUP(50%*AB66,0.2))</f>
        <v>2460</v>
      </c>
      <c r="AC72" s="663"/>
      <c r="AD72" s="664"/>
      <c r="AE72" s="716"/>
      <c r="AF72" s="729"/>
      <c r="AG72" s="8" t="e">
        <v>#NAME?</v>
      </c>
    </row>
    <row r="73" spans="2:34">
      <c r="B73" s="687"/>
      <c r="C73" s="688"/>
      <c r="D73" s="688"/>
      <c r="E73" s="688"/>
      <c r="F73" s="689"/>
      <c r="G73" s="768" t="s">
        <v>103</v>
      </c>
      <c r="H73" s="769"/>
      <c r="I73" s="769"/>
      <c r="J73" s="583" t="s">
        <v>77</v>
      </c>
      <c r="K73" s="627"/>
      <c r="L73" s="698"/>
      <c r="M73" s="699"/>
      <c r="N73" s="291" t="s">
        <v>104</v>
      </c>
      <c r="O73" s="544">
        <f>SUM(O59:O71)</f>
        <v>7099.1339250000001</v>
      </c>
      <c r="P73" s="544">
        <f>ROUND(SUM(P59:P71),0.2)</f>
        <v>4920</v>
      </c>
      <c r="Q73" s="549">
        <f>ROUND(SUM(Q59:Q72)+SUM(Matrix2!Z92:Z106),0.2)</f>
        <v>0</v>
      </c>
      <c r="R73" s="545"/>
      <c r="S73" s="656" t="str">
        <f>IF(Pricing!S73="","",Pricing!S73)</f>
        <v/>
      </c>
      <c r="T73" s="656"/>
      <c r="U73" s="656"/>
      <c r="V73" s="656"/>
      <c r="W73" s="657"/>
      <c r="X73" s="715"/>
      <c r="Y73" s="716"/>
      <c r="Z73" s="716"/>
      <c r="AA73" s="716"/>
      <c r="AB73" s="714" t="s">
        <v>105</v>
      </c>
      <c r="AC73" s="714"/>
      <c r="AD73" s="714"/>
      <c r="AE73" s="716"/>
      <c r="AF73" s="729"/>
    </row>
    <row r="74" spans="2:34">
      <c r="B74" s="687"/>
      <c r="C74" s="688"/>
      <c r="D74" s="688"/>
      <c r="E74" s="688"/>
      <c r="F74" s="689"/>
      <c r="G74" s="456"/>
      <c r="H74" s="578"/>
      <c r="I74" s="578"/>
      <c r="J74" s="578"/>
      <c r="K74" s="578"/>
      <c r="L74" s="221"/>
      <c r="M74" s="222"/>
      <c r="N74" s="682" t="str">
        <f>Pricing!N74</f>
        <v>Other:</v>
      </c>
      <c r="O74" s="683"/>
      <c r="P74" s="543" t="str">
        <f>Pricing!P74</f>
        <v/>
      </c>
      <c r="Q74" s="682" t="str">
        <f>Pricing!Q74</f>
        <v/>
      </c>
      <c r="R74" s="693"/>
      <c r="S74" s="658"/>
      <c r="T74" s="658"/>
      <c r="U74" s="658"/>
      <c r="V74" s="658"/>
      <c r="W74" s="659"/>
      <c r="X74" s="717" t="s">
        <v>107</v>
      </c>
      <c r="Y74" s="718"/>
      <c r="Z74" s="718"/>
      <c r="AA74" s="718"/>
      <c r="AB74" s="662">
        <f>AB66-AB72</f>
        <v>2460</v>
      </c>
      <c r="AC74" s="663"/>
      <c r="AD74" s="664"/>
      <c r="AE74" s="730" t="s">
        <v>108</v>
      </c>
      <c r="AF74" s="731"/>
    </row>
    <row r="75" spans="2:34" ht="15" thickBot="1">
      <c r="B75" s="690"/>
      <c r="C75" s="691"/>
      <c r="D75" s="691"/>
      <c r="E75" s="691"/>
      <c r="F75" s="692"/>
      <c r="G75" s="581"/>
      <c r="H75" s="582"/>
      <c r="I75" s="582"/>
      <c r="J75" s="582"/>
      <c r="K75" s="582"/>
      <c r="L75" s="694" t="e">
        <f>IF(AE54=0,"",IF(AB66&gt;0,IFERROR("BP: "&amp; IF(AB66&gt;0,ROUND((SUM(AB66-SUM(P60:P71))/AE54),0),ROUND((SUM(AB66-SUM(P60:P71))/AE54),0))&amp;" | SVBP: 0",IFERROR("BP: "&amp;ROUND((SUM(AB66-SUM(P60:P71))/AE54),0)&amp;" | "&amp;"SVBP:"&amp;TEXT(Matrix2!AA167+Matrix2!Z183,"#,##0"),"BP: 0")),IFERROR("BP: "&amp;ROUND((SUM(AB66-SUM(P60:P71))/AE54),0)&amp;" | SVBP: 0",IFERROR("BP: "&amp;ROUND((SUM(AB66-SUM(P60:P71))/AE54),0)&amp;" | "&amp;"SVBP:"&amp;TEXT(Matrix2!AA167+Matrix2!Z183,"#,##0"),"BP: 0"))))</f>
        <v>#VALUE!</v>
      </c>
      <c r="M75" s="695"/>
      <c r="N75" s="680" t="str">
        <f>Pricing!N75</f>
        <v/>
      </c>
      <c r="O75" s="681"/>
      <c r="P75" s="546">
        <f>IF(Pricing!P75="",0,Pricing!P75)</f>
        <v>0</v>
      </c>
      <c r="Q75" s="696" t="str">
        <f>Pricing!Q75</f>
        <v/>
      </c>
      <c r="R75" s="697"/>
      <c r="S75" s="660"/>
      <c r="T75" s="660"/>
      <c r="U75" s="660"/>
      <c r="V75" s="660"/>
      <c r="W75" s="661"/>
      <c r="X75" s="719"/>
      <c r="Y75" s="720"/>
      <c r="Z75" s="720"/>
      <c r="AA75" s="720"/>
      <c r="AB75" s="665"/>
      <c r="AC75" s="666"/>
      <c r="AD75" s="667"/>
      <c r="AE75" s="712"/>
      <c r="AF75" s="713"/>
    </row>
    <row r="76" spans="2:34">
      <c r="B76" s="166"/>
      <c r="C76" s="166"/>
      <c r="D76" s="166"/>
      <c r="E76" s="166"/>
      <c r="F76" s="166"/>
      <c r="G76" s="166"/>
      <c r="H76" s="166"/>
      <c r="I76" s="166"/>
      <c r="J76" s="166"/>
      <c r="K76" s="166"/>
      <c r="L76" s="166"/>
      <c r="M76" s="482"/>
      <c r="N76" s="483" t="e">
        <f>ROUND(SUM(AB66-SUM(O60:O71))/AE54,0)</f>
        <v>#VALUE!</v>
      </c>
      <c r="O76" s="166"/>
      <c r="P76" s="483"/>
      <c r="Q76" s="484" t="e">
        <f>(P76-N76)/P76</f>
        <v>#VALUE!</v>
      </c>
      <c r="R76" s="166"/>
      <c r="S76" s="483" t="e">
        <f>IF(Q76=0,"",IF(OR(Q76&gt;=0.05,Q76&lt;=0.05),"True",IF(Q76=0,"","")))</f>
        <v>#VALUE!</v>
      </c>
      <c r="T76" s="166"/>
      <c r="U76" s="166"/>
      <c r="V76" s="166"/>
      <c r="W76" s="166"/>
      <c r="X76" s="166"/>
      <c r="Y76" s="166"/>
      <c r="Z76" s="166"/>
      <c r="AA76" s="166"/>
      <c r="AB76" s="166"/>
      <c r="AC76" s="166"/>
      <c r="AD76" s="166"/>
      <c r="AE76" s="166"/>
      <c r="AF76" s="166"/>
    </row>
    <row r="77" spans="2:34">
      <c r="B77" s="706" t="s">
        <v>109</v>
      </c>
      <c r="C77" s="707"/>
      <c r="D77" s="700"/>
      <c r="E77" s="700"/>
      <c r="F77" s="700"/>
      <c r="G77" s="700"/>
      <c r="H77" s="700"/>
      <c r="I77" s="700"/>
      <c r="J77" s="700"/>
      <c r="K77" s="700"/>
      <c r="L77" s="700"/>
      <c r="M77" s="700"/>
      <c r="N77" s="700"/>
      <c r="O77" s="700"/>
      <c r="P77" s="700"/>
      <c r="Q77" s="700"/>
      <c r="R77" s="700"/>
      <c r="S77" s="700"/>
      <c r="T77" s="700"/>
      <c r="U77" s="700"/>
      <c r="V77" s="700"/>
      <c r="W77" s="700"/>
      <c r="X77" s="700"/>
      <c r="Y77" s="700"/>
      <c r="Z77" s="700"/>
      <c r="AA77" s="700"/>
      <c r="AB77" s="700"/>
      <c r="AC77" s="700"/>
      <c r="AD77" s="700"/>
      <c r="AE77" s="700"/>
      <c r="AF77" s="701"/>
    </row>
    <row r="78" spans="2:34">
      <c r="B78" s="708"/>
      <c r="C78" s="709"/>
      <c r="D78" s="702"/>
      <c r="E78" s="702"/>
      <c r="F78" s="702"/>
      <c r="G78" s="702"/>
      <c r="H78" s="702"/>
      <c r="I78" s="702"/>
      <c r="J78" s="702"/>
      <c r="K78" s="702"/>
      <c r="L78" s="702"/>
      <c r="M78" s="702"/>
      <c r="N78" s="702"/>
      <c r="O78" s="702"/>
      <c r="P78" s="702"/>
      <c r="Q78" s="702"/>
      <c r="R78" s="702"/>
      <c r="S78" s="702"/>
      <c r="T78" s="702"/>
      <c r="U78" s="702"/>
      <c r="V78" s="702"/>
      <c r="W78" s="702"/>
      <c r="X78" s="702"/>
      <c r="Y78" s="702"/>
      <c r="Z78" s="702"/>
      <c r="AA78" s="702"/>
      <c r="AB78" s="702"/>
      <c r="AC78" s="702"/>
      <c r="AD78" s="702"/>
      <c r="AE78" s="702"/>
      <c r="AF78" s="703"/>
    </row>
    <row r="79" spans="2:34">
      <c r="B79" s="708"/>
      <c r="C79" s="709"/>
      <c r="D79" s="702"/>
      <c r="E79" s="702"/>
      <c r="F79" s="702"/>
      <c r="G79" s="702"/>
      <c r="H79" s="702"/>
      <c r="I79" s="702"/>
      <c r="J79" s="702"/>
      <c r="K79" s="702"/>
      <c r="L79" s="702"/>
      <c r="M79" s="702"/>
      <c r="N79" s="702"/>
      <c r="O79" s="702"/>
      <c r="P79" s="702"/>
      <c r="Q79" s="702"/>
      <c r="R79" s="702"/>
      <c r="S79" s="702"/>
      <c r="T79" s="702"/>
      <c r="U79" s="702"/>
      <c r="V79" s="702"/>
      <c r="W79" s="702"/>
      <c r="X79" s="702"/>
      <c r="Y79" s="702"/>
      <c r="Z79" s="702"/>
      <c r="AA79" s="702"/>
      <c r="AB79" s="702"/>
      <c r="AC79" s="702"/>
      <c r="AD79" s="702"/>
      <c r="AE79" s="702"/>
      <c r="AF79" s="703"/>
    </row>
    <row r="80" spans="2:34">
      <c r="B80" s="708"/>
      <c r="C80" s="709"/>
      <c r="D80" s="702"/>
      <c r="E80" s="702"/>
      <c r="F80" s="702"/>
      <c r="G80" s="702"/>
      <c r="H80" s="702"/>
      <c r="I80" s="702"/>
      <c r="J80" s="702"/>
      <c r="K80" s="702"/>
      <c r="L80" s="702"/>
      <c r="M80" s="702"/>
      <c r="N80" s="702"/>
      <c r="O80" s="702"/>
      <c r="P80" s="702"/>
      <c r="Q80" s="702"/>
      <c r="R80" s="702"/>
      <c r="S80" s="702"/>
      <c r="T80" s="702"/>
      <c r="U80" s="702"/>
      <c r="V80" s="702"/>
      <c r="W80" s="702"/>
      <c r="X80" s="702"/>
      <c r="Y80" s="702"/>
      <c r="Z80" s="702"/>
      <c r="AA80" s="702"/>
      <c r="AB80" s="702"/>
      <c r="AC80" s="702"/>
      <c r="AD80" s="702"/>
      <c r="AE80" s="702"/>
      <c r="AF80" s="703"/>
    </row>
    <row r="81" spans="2:32">
      <c r="B81" s="708"/>
      <c r="C81" s="709"/>
      <c r="D81" s="702"/>
      <c r="E81" s="702"/>
      <c r="F81" s="702"/>
      <c r="G81" s="702"/>
      <c r="H81" s="702"/>
      <c r="I81" s="702"/>
      <c r="J81" s="702"/>
      <c r="K81" s="702"/>
      <c r="L81" s="702"/>
      <c r="M81" s="702"/>
      <c r="N81" s="702"/>
      <c r="O81" s="702"/>
      <c r="P81" s="702"/>
      <c r="Q81" s="702"/>
      <c r="R81" s="702"/>
      <c r="S81" s="702"/>
      <c r="T81" s="702"/>
      <c r="U81" s="702"/>
      <c r="V81" s="702"/>
      <c r="W81" s="702"/>
      <c r="X81" s="702"/>
      <c r="Y81" s="702"/>
      <c r="Z81" s="702"/>
      <c r="AA81" s="702"/>
      <c r="AB81" s="702"/>
      <c r="AC81" s="702"/>
      <c r="AD81" s="702"/>
      <c r="AE81" s="702"/>
      <c r="AF81" s="703"/>
    </row>
    <row r="82" spans="2:32">
      <c r="B82" s="710"/>
      <c r="C82" s="711"/>
      <c r="D82" s="704"/>
      <c r="E82" s="704"/>
      <c r="F82" s="704"/>
      <c r="G82" s="704"/>
      <c r="H82" s="704"/>
      <c r="I82" s="704"/>
      <c r="J82" s="704"/>
      <c r="K82" s="704"/>
      <c r="L82" s="704"/>
      <c r="M82" s="704"/>
      <c r="N82" s="704"/>
      <c r="O82" s="704"/>
      <c r="P82" s="704"/>
      <c r="Q82" s="704"/>
      <c r="R82" s="704"/>
      <c r="S82" s="704"/>
      <c r="T82" s="704"/>
      <c r="U82" s="704"/>
      <c r="V82" s="704"/>
      <c r="W82" s="704"/>
      <c r="X82" s="704"/>
      <c r="Y82" s="704"/>
      <c r="Z82" s="704"/>
      <c r="AA82" s="704"/>
      <c r="AB82" s="704"/>
      <c r="AC82" s="704"/>
      <c r="AD82" s="704"/>
      <c r="AE82" s="704"/>
      <c r="AF82" s="705"/>
    </row>
    <row r="83" spans="2:32">
      <c r="B83" s="457"/>
      <c r="C83" s="458"/>
      <c r="D83" s="458"/>
      <c r="E83" s="458"/>
      <c r="F83" s="458"/>
      <c r="G83" s="458"/>
      <c r="H83" s="458"/>
      <c r="I83" s="458"/>
      <c r="J83" s="458"/>
      <c r="K83" s="458"/>
      <c r="L83" s="458"/>
      <c r="M83" s="458"/>
      <c r="N83" s="458"/>
      <c r="O83" s="458"/>
      <c r="P83" s="458"/>
      <c r="Q83" s="458"/>
      <c r="R83" s="458"/>
      <c r="S83" s="458"/>
      <c r="T83" s="458"/>
      <c r="U83" s="458"/>
      <c r="V83" s="458"/>
      <c r="W83" s="458"/>
      <c r="X83" s="458"/>
      <c r="Y83" s="458"/>
      <c r="Z83" s="458"/>
      <c r="AA83" s="458"/>
      <c r="AB83" s="458"/>
      <c r="AC83" s="458"/>
      <c r="AD83" s="458"/>
      <c r="AE83" s="458"/>
      <c r="AF83" s="457"/>
    </row>
    <row r="84" spans="2:32">
      <c r="B84" s="674" t="s">
        <v>110</v>
      </c>
      <c r="C84" s="674"/>
      <c r="D84" s="674"/>
      <c r="E84" s="674"/>
      <c r="F84" s="674"/>
      <c r="G84" s="674"/>
      <c r="H84" s="674"/>
      <c r="I84" s="674"/>
      <c r="J84" s="674"/>
      <c r="K84" s="674"/>
      <c r="L84" s="674"/>
      <c r="M84" s="458"/>
      <c r="N84" s="458"/>
      <c r="O84" s="481"/>
      <c r="P84" s="458"/>
      <c r="Q84" s="458"/>
      <c r="R84" s="458"/>
      <c r="S84" s="458"/>
      <c r="T84" s="458"/>
      <c r="U84" s="458"/>
      <c r="V84" s="458"/>
      <c r="W84" s="458"/>
      <c r="X84" s="458"/>
      <c r="Y84" s="458"/>
      <c r="Z84" s="458"/>
      <c r="AA84" s="458"/>
      <c r="AB84" s="458"/>
      <c r="AC84" s="458"/>
      <c r="AD84" s="458"/>
      <c r="AE84" s="458"/>
      <c r="AF84" s="458"/>
    </row>
    <row r="85" spans="2:32">
      <c r="B85" s="674"/>
      <c r="C85" s="674"/>
      <c r="D85" s="674"/>
      <c r="E85" s="674"/>
      <c r="F85" s="674"/>
      <c r="G85" s="674"/>
      <c r="H85" s="674"/>
      <c r="I85" s="674"/>
      <c r="J85" s="674"/>
      <c r="K85" s="674"/>
      <c r="L85" s="674"/>
      <c r="M85" s="458"/>
      <c r="N85" s="458"/>
      <c r="O85" s="481"/>
      <c r="P85" s="458"/>
      <c r="Q85" s="458"/>
      <c r="R85" s="458"/>
      <c r="S85" s="458"/>
      <c r="T85" s="458"/>
      <c r="U85" s="458"/>
      <c r="V85" s="458"/>
      <c r="W85" s="458"/>
      <c r="X85" s="458"/>
      <c r="Y85" s="458"/>
      <c r="Z85" s="458"/>
      <c r="AA85" s="458"/>
      <c r="AB85" s="458"/>
      <c r="AC85" s="458"/>
      <c r="AD85" s="458"/>
      <c r="AE85" s="458"/>
      <c r="AF85" s="458"/>
    </row>
    <row r="86" spans="2:32">
      <c r="B86" s="414" t="s">
        <v>111</v>
      </c>
      <c r="C86"/>
      <c r="D86"/>
      <c r="E86"/>
      <c r="F86"/>
      <c r="G86"/>
      <c r="H86"/>
      <c r="I86"/>
      <c r="J86"/>
      <c r="K86"/>
      <c r="L86"/>
      <c r="M86" s="458"/>
      <c r="N86" s="458"/>
      <c r="O86" s="458"/>
      <c r="P86" s="458"/>
      <c r="Q86" s="458"/>
      <c r="R86" s="458"/>
      <c r="S86" s="458"/>
      <c r="T86" s="458"/>
      <c r="U86" s="458"/>
      <c r="V86" s="458"/>
      <c r="W86" s="458"/>
      <c r="X86" s="458"/>
      <c r="Y86" s="458"/>
      <c r="Z86" s="458"/>
      <c r="AA86" s="458"/>
      <c r="AB86" s="458"/>
      <c r="AC86" s="458"/>
      <c r="AD86" s="458"/>
      <c r="AE86" s="458"/>
      <c r="AF86" s="458"/>
    </row>
    <row r="87" spans="2:32">
      <c r="B87" s="675"/>
      <c r="C87" s="675"/>
      <c r="D87" s="675"/>
      <c r="E87" s="675"/>
      <c r="F87" s="675"/>
      <c r="G87" s="675"/>
      <c r="H87" s="675"/>
      <c r="I87" s="675"/>
      <c r="J87" s="675"/>
      <c r="K87" s="675"/>
      <c r="L87" s="675"/>
      <c r="M87" s="458"/>
      <c r="N87" s="458"/>
      <c r="O87" s="458"/>
      <c r="P87" s="458"/>
      <c r="Q87" s="458"/>
      <c r="R87" s="458"/>
      <c r="S87" s="458"/>
      <c r="T87" s="458"/>
      <c r="U87" s="458"/>
      <c r="V87" s="458"/>
      <c r="W87" s="458"/>
      <c r="X87" s="458"/>
      <c r="Y87" s="458"/>
      <c r="Z87" s="458"/>
      <c r="AA87" s="458"/>
      <c r="AB87" s="458"/>
      <c r="AC87" s="458"/>
      <c r="AD87" s="458"/>
      <c r="AE87" s="458"/>
      <c r="AF87" s="458"/>
    </row>
    <row r="88" spans="2:32">
      <c r="B88" s="675"/>
      <c r="C88" s="675"/>
      <c r="D88" s="675"/>
      <c r="E88" s="675"/>
      <c r="F88" s="675"/>
      <c r="G88" s="675"/>
      <c r="H88" s="675"/>
      <c r="I88" s="675"/>
      <c r="J88" s="675"/>
      <c r="K88" s="675"/>
      <c r="L88" s="675"/>
      <c r="M88" s="458"/>
      <c r="N88" s="458"/>
      <c r="O88" s="458"/>
      <c r="P88" s="458"/>
      <c r="Q88" s="458"/>
      <c r="R88" s="458"/>
      <c r="S88" s="458"/>
      <c r="T88" s="458"/>
      <c r="U88" s="458"/>
      <c r="V88" s="458"/>
      <c r="W88" s="458"/>
      <c r="X88" s="458"/>
      <c r="Y88" s="458"/>
      <c r="Z88" s="458"/>
      <c r="AA88" s="458"/>
      <c r="AB88" s="458"/>
      <c r="AC88" s="458"/>
      <c r="AD88" s="458"/>
      <c r="AE88" s="458"/>
      <c r="AF88" s="458"/>
    </row>
    <row r="89" spans="2:32">
      <c r="B89" s="675"/>
      <c r="C89" s="675"/>
      <c r="D89" s="675"/>
      <c r="E89" s="675"/>
      <c r="F89" s="675"/>
      <c r="G89" s="675"/>
      <c r="H89" s="675"/>
      <c r="I89" s="675"/>
      <c r="J89" s="675"/>
      <c r="K89" s="675"/>
      <c r="L89" s="675"/>
    </row>
    <row r="90" spans="2:32">
      <c r="B90" s="675"/>
      <c r="C90" s="675"/>
      <c r="D90" s="675"/>
      <c r="E90" s="675"/>
      <c r="F90" s="675"/>
      <c r="G90" s="675"/>
      <c r="H90" s="675"/>
      <c r="I90" s="675"/>
      <c r="J90" s="675"/>
      <c r="K90" s="675"/>
      <c r="L90" s="675"/>
      <c r="M90" s="157"/>
      <c r="N90" s="157"/>
      <c r="O90" s="157"/>
      <c r="P90" s="157"/>
      <c r="Q90" s="157"/>
      <c r="R90" s="157"/>
      <c r="S90" s="157"/>
      <c r="T90" s="157"/>
      <c r="U90" s="157"/>
      <c r="V90" s="157"/>
      <c r="W90" s="157"/>
      <c r="X90" s="157"/>
      <c r="Y90" s="157"/>
      <c r="Z90" s="157"/>
      <c r="AA90" s="157"/>
      <c r="AB90" s="157"/>
      <c r="AC90" s="157"/>
      <c r="AD90" s="157"/>
      <c r="AE90" s="157"/>
      <c r="AF90" s="157"/>
    </row>
    <row r="91" spans="2:32">
      <c r="B91" s="157"/>
      <c r="C91" s="157"/>
      <c r="D91" s="157"/>
      <c r="E91" s="157"/>
      <c r="F91" s="157"/>
      <c r="G91" s="157"/>
      <c r="H91" s="157"/>
      <c r="I91" s="157"/>
      <c r="J91" s="157"/>
      <c r="K91" s="157"/>
      <c r="L91" s="157"/>
      <c r="M91" s="157"/>
      <c r="N91" s="157"/>
      <c r="O91" s="157"/>
      <c r="P91" s="157"/>
      <c r="Q91" s="157"/>
      <c r="R91" s="157"/>
      <c r="S91" s="157"/>
      <c r="T91" s="157"/>
      <c r="U91" s="157"/>
      <c r="V91" s="157"/>
      <c r="W91" s="157"/>
      <c r="X91" s="157"/>
      <c r="Y91" s="157"/>
      <c r="Z91" s="157"/>
      <c r="AA91" s="157"/>
      <c r="AB91" s="157"/>
      <c r="AC91" s="157"/>
      <c r="AD91" s="157"/>
      <c r="AE91" s="157"/>
      <c r="AF91" s="157"/>
    </row>
    <row r="92" spans="2:32">
      <c r="B92" s="157" t="s">
        <v>112</v>
      </c>
      <c r="C92" s="157"/>
      <c r="D92" s="157"/>
      <c r="E92" s="157"/>
      <c r="F92" s="157"/>
      <c r="G92" s="157"/>
      <c r="H92" s="157"/>
      <c r="I92" s="157"/>
      <c r="J92" s="157"/>
      <c r="K92" s="157"/>
      <c r="L92" s="157"/>
      <c r="M92" s="157"/>
      <c r="N92" s="157"/>
      <c r="O92" s="157"/>
      <c r="P92" s="157"/>
      <c r="Q92" s="157"/>
      <c r="R92" s="157"/>
      <c r="S92" s="157"/>
      <c r="T92" s="157"/>
      <c r="U92" s="157"/>
      <c r="V92" s="157"/>
      <c r="W92" s="157"/>
      <c r="X92" s="157"/>
      <c r="Y92" s="157"/>
      <c r="Z92" s="157"/>
      <c r="AA92" s="157"/>
      <c r="AB92" s="157"/>
      <c r="AC92" s="157"/>
      <c r="AD92" s="157"/>
      <c r="AE92" s="157"/>
      <c r="AF92" s="157"/>
    </row>
    <row r="93" spans="2:32">
      <c r="B93" s="157"/>
      <c r="C93" s="157"/>
      <c r="D93" s="157"/>
      <c r="E93" s="157"/>
      <c r="F93" s="157"/>
      <c r="G93" s="157"/>
      <c r="H93" s="157"/>
      <c r="I93" s="157"/>
      <c r="J93" s="157"/>
      <c r="K93" s="157"/>
      <c r="L93" s="157"/>
      <c r="M93" s="157"/>
      <c r="N93" s="157"/>
      <c r="O93" s="157"/>
      <c r="P93" s="157"/>
      <c r="Q93" s="157"/>
      <c r="R93" s="157"/>
      <c r="S93" s="157"/>
      <c r="T93" s="157"/>
      <c r="U93" s="157"/>
      <c r="V93" s="157"/>
      <c r="W93" s="157"/>
      <c r="X93" s="157"/>
      <c r="Y93" s="157"/>
      <c r="Z93" s="157"/>
      <c r="AA93" s="157"/>
      <c r="AB93" s="157"/>
      <c r="AC93" s="157"/>
      <c r="AD93" s="157"/>
      <c r="AE93" s="157"/>
      <c r="AF93" s="157"/>
    </row>
    <row r="94" spans="2:32">
      <c r="B94" s="157"/>
      <c r="C94" s="157"/>
      <c r="D94" s="157"/>
      <c r="E94" s="157"/>
      <c r="F94" s="157"/>
      <c r="G94" s="157"/>
      <c r="H94" s="157"/>
      <c r="I94" s="157"/>
      <c r="J94" s="157"/>
      <c r="K94" s="157"/>
      <c r="L94" s="157"/>
      <c r="M94" s="157"/>
      <c r="N94" s="157"/>
      <c r="O94" s="157"/>
      <c r="P94" s="157"/>
      <c r="Q94" s="157"/>
      <c r="R94" s="157"/>
      <c r="S94" s="157"/>
      <c r="T94" s="157"/>
      <c r="U94" s="157"/>
      <c r="V94" s="157"/>
      <c r="W94" s="157"/>
      <c r="X94" s="157"/>
      <c r="Y94" s="157"/>
      <c r="Z94" s="157"/>
      <c r="AA94" s="157"/>
      <c r="AB94" s="157"/>
      <c r="AC94" s="157"/>
      <c r="AD94" s="157"/>
      <c r="AE94" s="157"/>
      <c r="AF94" s="157"/>
    </row>
    <row r="103" spans="1:12">
      <c r="A103" s="1563" t="s">
        <v>963</v>
      </c>
      <c r="B103" s="1563"/>
      <c r="C103" s="1563"/>
      <c r="D103" s="1563" t="s">
        <v>964</v>
      </c>
      <c r="E103" s="1563"/>
      <c r="F103" s="1563"/>
      <c r="G103" s="1563"/>
      <c r="H103" s="1563"/>
      <c r="I103" s="1563" t="s">
        <v>965</v>
      </c>
      <c r="J103" s="1563"/>
      <c r="K103" s="1563" t="s">
        <v>966</v>
      </c>
      <c r="L103" s="1563"/>
    </row>
    <row r="104" spans="1:12">
      <c r="A104" s="1564">
        <f>Pricing!AB66</f>
        <v>4920</v>
      </c>
      <c r="B104" s="1564"/>
      <c r="C104" s="1564"/>
      <c r="D104" s="1565">
        <f>AB66</f>
        <v>4920</v>
      </c>
      <c r="E104" s="1566"/>
      <c r="F104" s="1566"/>
      <c r="G104" s="1566"/>
      <c r="H104" s="1567"/>
      <c r="I104" s="1564">
        <f>D104-A104</f>
        <v>0</v>
      </c>
      <c r="J104" s="1563"/>
      <c r="K104" s="1568" t="e">
        <f>(AE54-Pricing!AE54)/Pricing!AE54</f>
        <v>#VALUE!</v>
      </c>
      <c r="L104" s="1568"/>
    </row>
  </sheetData>
  <sheetProtection formatCells="0" selectLockedCells="1"/>
  <dataConsolidate/>
  <mergeCells count="390">
    <mergeCell ref="A103:C103"/>
    <mergeCell ref="D103:H103"/>
    <mergeCell ref="I103:J103"/>
    <mergeCell ref="K103:L103"/>
    <mergeCell ref="A104:C104"/>
    <mergeCell ref="D104:H104"/>
    <mergeCell ref="I104:J104"/>
    <mergeCell ref="K104:L104"/>
    <mergeCell ref="F7:G7"/>
    <mergeCell ref="K7:L7"/>
    <mergeCell ref="B14:B16"/>
    <mergeCell ref="D14:D16"/>
    <mergeCell ref="E14:E16"/>
    <mergeCell ref="F14:G14"/>
    <mergeCell ref="H14:H16"/>
    <mergeCell ref="I14:I16"/>
    <mergeCell ref="J14:J16"/>
    <mergeCell ref="B11:B13"/>
    <mergeCell ref="D11:D13"/>
    <mergeCell ref="E11:E13"/>
    <mergeCell ref="F11:G11"/>
    <mergeCell ref="H17:H19"/>
    <mergeCell ref="I17:I19"/>
    <mergeCell ref="F18:G18"/>
    <mergeCell ref="Q7:AB7"/>
    <mergeCell ref="AE7:AF7"/>
    <mergeCell ref="B8:B10"/>
    <mergeCell ref="D8:D10"/>
    <mergeCell ref="E8:E10"/>
    <mergeCell ref="F8:G8"/>
    <mergeCell ref="H8:H10"/>
    <mergeCell ref="I8:I10"/>
    <mergeCell ref="H11:H13"/>
    <mergeCell ref="I11:I13"/>
    <mergeCell ref="F12:G12"/>
    <mergeCell ref="F9:G9"/>
    <mergeCell ref="P9:Q9"/>
    <mergeCell ref="AE9:AF9"/>
    <mergeCell ref="P10:Q10"/>
    <mergeCell ref="R10:AB10"/>
    <mergeCell ref="AE10:AF10"/>
    <mergeCell ref="J8:J10"/>
    <mergeCell ref="M8:M10"/>
    <mergeCell ref="N8:N10"/>
    <mergeCell ref="O8:O10"/>
    <mergeCell ref="P8:Q8"/>
    <mergeCell ref="AE8:AF8"/>
    <mergeCell ref="AE13:AF13"/>
    <mergeCell ref="M14:M16"/>
    <mergeCell ref="N14:N16"/>
    <mergeCell ref="J11:J13"/>
    <mergeCell ref="M11:M13"/>
    <mergeCell ref="N11:N13"/>
    <mergeCell ref="O11:O13"/>
    <mergeCell ref="P11:Q11"/>
    <mergeCell ref="AE11:AF11"/>
    <mergeCell ref="P12:Q12"/>
    <mergeCell ref="AE12:AF12"/>
    <mergeCell ref="P13:Q13"/>
    <mergeCell ref="R13:AB13"/>
    <mergeCell ref="O14:O16"/>
    <mergeCell ref="P14:Q14"/>
    <mergeCell ref="AE14:AF14"/>
    <mergeCell ref="F15:G15"/>
    <mergeCell ref="P15:Q15"/>
    <mergeCell ref="AE15:AF15"/>
    <mergeCell ref="P16:Q16"/>
    <mergeCell ref="R16:AB16"/>
    <mergeCell ref="AE16:AF16"/>
    <mergeCell ref="AE19:AF19"/>
    <mergeCell ref="B20:B22"/>
    <mergeCell ref="D20:D22"/>
    <mergeCell ref="E20:E22"/>
    <mergeCell ref="F20:G20"/>
    <mergeCell ref="H20:H22"/>
    <mergeCell ref="I20:I22"/>
    <mergeCell ref="J20:J22"/>
    <mergeCell ref="M20:M22"/>
    <mergeCell ref="N20:N22"/>
    <mergeCell ref="J17:J19"/>
    <mergeCell ref="M17:M19"/>
    <mergeCell ref="N17:N19"/>
    <mergeCell ref="O17:O19"/>
    <mergeCell ref="P17:Q17"/>
    <mergeCell ref="AE17:AF17"/>
    <mergeCell ref="P18:Q18"/>
    <mergeCell ref="AE18:AF18"/>
    <mergeCell ref="P19:Q19"/>
    <mergeCell ref="R19:AB19"/>
    <mergeCell ref="B17:B19"/>
    <mergeCell ref="D17:D19"/>
    <mergeCell ref="E17:E19"/>
    <mergeCell ref="F17:G17"/>
    <mergeCell ref="H23:H25"/>
    <mergeCell ref="I23:I25"/>
    <mergeCell ref="F24:G24"/>
    <mergeCell ref="O20:O22"/>
    <mergeCell ref="P20:Q20"/>
    <mergeCell ref="AE20:AF20"/>
    <mergeCell ref="F21:G21"/>
    <mergeCell ref="P21:Q21"/>
    <mergeCell ref="AE21:AF21"/>
    <mergeCell ref="P22:Q22"/>
    <mergeCell ref="R22:AB22"/>
    <mergeCell ref="AE22:AF22"/>
    <mergeCell ref="AE25:AF25"/>
    <mergeCell ref="B26:B28"/>
    <mergeCell ref="D26:D28"/>
    <mergeCell ref="E26:E28"/>
    <mergeCell ref="F26:G26"/>
    <mergeCell ref="H26:H28"/>
    <mergeCell ref="I26:I28"/>
    <mergeCell ref="J26:J28"/>
    <mergeCell ref="M26:M28"/>
    <mergeCell ref="N26:N28"/>
    <mergeCell ref="J23:J25"/>
    <mergeCell ref="M23:M25"/>
    <mergeCell ref="N23:N25"/>
    <mergeCell ref="O23:O25"/>
    <mergeCell ref="P23:Q23"/>
    <mergeCell ref="AE23:AF23"/>
    <mergeCell ref="P24:Q24"/>
    <mergeCell ref="AE24:AF24"/>
    <mergeCell ref="P25:Q25"/>
    <mergeCell ref="R25:AB25"/>
    <mergeCell ref="B23:B25"/>
    <mergeCell ref="D23:D25"/>
    <mergeCell ref="E23:E25"/>
    <mergeCell ref="F23:G23"/>
    <mergeCell ref="H29:H31"/>
    <mergeCell ref="I29:I31"/>
    <mergeCell ref="F30:G30"/>
    <mergeCell ref="O26:O28"/>
    <mergeCell ref="P26:Q26"/>
    <mergeCell ref="AE26:AF26"/>
    <mergeCell ref="F27:G27"/>
    <mergeCell ref="P27:Q27"/>
    <mergeCell ref="AE27:AF27"/>
    <mergeCell ref="P28:Q28"/>
    <mergeCell ref="R28:AB28"/>
    <mergeCell ref="AE28:AF28"/>
    <mergeCell ref="AE31:AF31"/>
    <mergeCell ref="J29:J31"/>
    <mergeCell ref="M29:M31"/>
    <mergeCell ref="N29:N31"/>
    <mergeCell ref="O29:O31"/>
    <mergeCell ref="B32:B34"/>
    <mergeCell ref="D32:D34"/>
    <mergeCell ref="E32:E34"/>
    <mergeCell ref="F32:G32"/>
    <mergeCell ref="H32:H34"/>
    <mergeCell ref="I32:I34"/>
    <mergeCell ref="J32:J34"/>
    <mergeCell ref="M32:M34"/>
    <mergeCell ref="N32:N34"/>
    <mergeCell ref="P29:Q29"/>
    <mergeCell ref="AE29:AF29"/>
    <mergeCell ref="P30:Q30"/>
    <mergeCell ref="AE30:AF30"/>
    <mergeCell ref="P31:Q31"/>
    <mergeCell ref="R31:AB31"/>
    <mergeCell ref="B29:B31"/>
    <mergeCell ref="D29:D31"/>
    <mergeCell ref="E29:E31"/>
    <mergeCell ref="F29:G29"/>
    <mergeCell ref="AE37:AF37"/>
    <mergeCell ref="J35:J37"/>
    <mergeCell ref="M35:M37"/>
    <mergeCell ref="N35:N37"/>
    <mergeCell ref="O35:O37"/>
    <mergeCell ref="P35:Q35"/>
    <mergeCell ref="AE35:AF35"/>
    <mergeCell ref="P36:Q36"/>
    <mergeCell ref="AE36:AF36"/>
    <mergeCell ref="P37:Q37"/>
    <mergeCell ref="R37:AB37"/>
    <mergeCell ref="O32:O34"/>
    <mergeCell ref="P32:Q32"/>
    <mergeCell ref="AE32:AF32"/>
    <mergeCell ref="F33:G33"/>
    <mergeCell ref="P33:Q33"/>
    <mergeCell ref="AE33:AF33"/>
    <mergeCell ref="P34:Q34"/>
    <mergeCell ref="R34:AB34"/>
    <mergeCell ref="AE34:AF34"/>
    <mergeCell ref="B35:B37"/>
    <mergeCell ref="D35:D37"/>
    <mergeCell ref="E35:E37"/>
    <mergeCell ref="F35:G35"/>
    <mergeCell ref="H41:H43"/>
    <mergeCell ref="I41:I43"/>
    <mergeCell ref="F42:G42"/>
    <mergeCell ref="O38:O40"/>
    <mergeCell ref="P38:Q38"/>
    <mergeCell ref="B38:B40"/>
    <mergeCell ref="D38:D40"/>
    <mergeCell ref="E38:E40"/>
    <mergeCell ref="F38:G38"/>
    <mergeCell ref="H38:H40"/>
    <mergeCell ref="I38:I40"/>
    <mergeCell ref="J38:J40"/>
    <mergeCell ref="M38:M40"/>
    <mergeCell ref="N38:N40"/>
    <mergeCell ref="H35:H37"/>
    <mergeCell ref="I35:I37"/>
    <mergeCell ref="F36:G36"/>
    <mergeCell ref="AE38:AF38"/>
    <mergeCell ref="F39:G39"/>
    <mergeCell ref="P39:Q39"/>
    <mergeCell ref="AE39:AF39"/>
    <mergeCell ref="P40:Q40"/>
    <mergeCell ref="R40:AB40"/>
    <mergeCell ref="AE40:AF40"/>
    <mergeCell ref="AE43:AF43"/>
    <mergeCell ref="B44:B46"/>
    <mergeCell ref="D44:D46"/>
    <mergeCell ref="E44:E46"/>
    <mergeCell ref="F44:G44"/>
    <mergeCell ref="H44:H46"/>
    <mergeCell ref="I44:I46"/>
    <mergeCell ref="J44:J46"/>
    <mergeCell ref="M44:M46"/>
    <mergeCell ref="N44:N46"/>
    <mergeCell ref="J41:J43"/>
    <mergeCell ref="M41:M43"/>
    <mergeCell ref="N41:N43"/>
    <mergeCell ref="O41:O43"/>
    <mergeCell ref="P41:Q41"/>
    <mergeCell ref="AE41:AF41"/>
    <mergeCell ref="P42:Q42"/>
    <mergeCell ref="AE42:AF42"/>
    <mergeCell ref="P43:Q43"/>
    <mergeCell ref="R43:AB43"/>
    <mergeCell ref="B41:B43"/>
    <mergeCell ref="D41:D43"/>
    <mergeCell ref="E41:E43"/>
    <mergeCell ref="F41:G41"/>
    <mergeCell ref="H47:H49"/>
    <mergeCell ref="I47:I49"/>
    <mergeCell ref="F48:G48"/>
    <mergeCell ref="O44:O46"/>
    <mergeCell ref="P44:Q44"/>
    <mergeCell ref="AE44:AF44"/>
    <mergeCell ref="F45:G45"/>
    <mergeCell ref="P45:Q45"/>
    <mergeCell ref="AE45:AF45"/>
    <mergeCell ref="P46:Q46"/>
    <mergeCell ref="R46:AB46"/>
    <mergeCell ref="AE46:AF46"/>
    <mergeCell ref="AE49:AF49"/>
    <mergeCell ref="J47:J49"/>
    <mergeCell ref="M47:M49"/>
    <mergeCell ref="N47:N49"/>
    <mergeCell ref="O47:O49"/>
    <mergeCell ref="P47:Q47"/>
    <mergeCell ref="AE47:AF47"/>
    <mergeCell ref="P48:Q48"/>
    <mergeCell ref="AE48:AF48"/>
    <mergeCell ref="P49:Q49"/>
    <mergeCell ref="R49:AB49"/>
    <mergeCell ref="B47:B49"/>
    <mergeCell ref="D47:D49"/>
    <mergeCell ref="E47:E49"/>
    <mergeCell ref="F47:G47"/>
    <mergeCell ref="B53:C55"/>
    <mergeCell ref="D53:D55"/>
    <mergeCell ref="E53:AC55"/>
    <mergeCell ref="AD54:AD55"/>
    <mergeCell ref="AE54:AE55"/>
    <mergeCell ref="AF54:AF55"/>
    <mergeCell ref="O50:O52"/>
    <mergeCell ref="P50:Q50"/>
    <mergeCell ref="AE50:AF50"/>
    <mergeCell ref="F51:G51"/>
    <mergeCell ref="P51:Q51"/>
    <mergeCell ref="AE51:AF51"/>
    <mergeCell ref="P52:Q52"/>
    <mergeCell ref="R52:AB52"/>
    <mergeCell ref="AE52:AF52"/>
    <mergeCell ref="B50:B52"/>
    <mergeCell ref="D50:D52"/>
    <mergeCell ref="E50:E52"/>
    <mergeCell ref="F50:G50"/>
    <mergeCell ref="H50:H52"/>
    <mergeCell ref="I50:I52"/>
    <mergeCell ref="J50:J52"/>
    <mergeCell ref="M50:M52"/>
    <mergeCell ref="N50:N52"/>
    <mergeCell ref="AE58:AF60"/>
    <mergeCell ref="B59:D60"/>
    <mergeCell ref="E59:F60"/>
    <mergeCell ref="G59:J59"/>
    <mergeCell ref="S59:W59"/>
    <mergeCell ref="X59:AA60"/>
    <mergeCell ref="AB59:AD60"/>
    <mergeCell ref="G60:J60"/>
    <mergeCell ref="S60:W60"/>
    <mergeCell ref="B58:D58"/>
    <mergeCell ref="G58:J58"/>
    <mergeCell ref="L58:M58"/>
    <mergeCell ref="S58:W58"/>
    <mergeCell ref="X58:AA58"/>
    <mergeCell ref="AB58:AD58"/>
    <mergeCell ref="B61:D61"/>
    <mergeCell ref="E61:F61"/>
    <mergeCell ref="G61:J61"/>
    <mergeCell ref="S61:W61"/>
    <mergeCell ref="X61:AD61"/>
    <mergeCell ref="AE61:AF62"/>
    <mergeCell ref="B62:D63"/>
    <mergeCell ref="E62:F63"/>
    <mergeCell ref="G62:J62"/>
    <mergeCell ref="S62:T62"/>
    <mergeCell ref="AE63:AF64"/>
    <mergeCell ref="G64:J64"/>
    <mergeCell ref="S64:T64"/>
    <mergeCell ref="U64:W64"/>
    <mergeCell ref="X64:AA64"/>
    <mergeCell ref="AB64:AD64"/>
    <mergeCell ref="U62:W62"/>
    <mergeCell ref="X62:AA62"/>
    <mergeCell ref="AB62:AD62"/>
    <mergeCell ref="G63:J63"/>
    <mergeCell ref="S63:T63"/>
    <mergeCell ref="U63:W63"/>
    <mergeCell ref="X63:AD63"/>
    <mergeCell ref="AE65:AF65"/>
    <mergeCell ref="B66:D67"/>
    <mergeCell ref="E66:F67"/>
    <mergeCell ref="L66:M66"/>
    <mergeCell ref="S66:T66"/>
    <mergeCell ref="U66:W66"/>
    <mergeCell ref="X66:AA67"/>
    <mergeCell ref="AB66:AD67"/>
    <mergeCell ref="B65:D65"/>
    <mergeCell ref="E65:F65"/>
    <mergeCell ref="G65:I65"/>
    <mergeCell ref="L65:M65"/>
    <mergeCell ref="S65:T65"/>
    <mergeCell ref="U65:W65"/>
    <mergeCell ref="AE66:AF67"/>
    <mergeCell ref="G67:I67"/>
    <mergeCell ref="L67:M67"/>
    <mergeCell ref="S67:T67"/>
    <mergeCell ref="U67:W67"/>
    <mergeCell ref="L70:M70"/>
    <mergeCell ref="S70:T70"/>
    <mergeCell ref="U70:W70"/>
    <mergeCell ref="G71:I71"/>
    <mergeCell ref="L71:M71"/>
    <mergeCell ref="S71:W72"/>
    <mergeCell ref="X65:AA65"/>
    <mergeCell ref="AB65:AD65"/>
    <mergeCell ref="AB68:AD68"/>
    <mergeCell ref="AE68:AF68"/>
    <mergeCell ref="B69:F75"/>
    <mergeCell ref="G69:I69"/>
    <mergeCell ref="L69:M69"/>
    <mergeCell ref="S69:T69"/>
    <mergeCell ref="U69:W69"/>
    <mergeCell ref="X69:AA70"/>
    <mergeCell ref="AB69:AD70"/>
    <mergeCell ref="AE69:AF70"/>
    <mergeCell ref="X71:AA73"/>
    <mergeCell ref="AB71:AD71"/>
    <mergeCell ref="AE71:AF73"/>
    <mergeCell ref="L72:M72"/>
    <mergeCell ref="AB72:AD72"/>
    <mergeCell ref="G73:I73"/>
    <mergeCell ref="L73:M73"/>
    <mergeCell ref="S73:W75"/>
    <mergeCell ref="AB73:AD73"/>
    <mergeCell ref="N74:O74"/>
    <mergeCell ref="B68:F68"/>
    <mergeCell ref="L68:M68"/>
    <mergeCell ref="S68:T68"/>
    <mergeCell ref="U68:W68"/>
    <mergeCell ref="X68:AA68"/>
    <mergeCell ref="B77:C82"/>
    <mergeCell ref="D77:AF82"/>
    <mergeCell ref="B84:L85"/>
    <mergeCell ref="B87:L90"/>
    <mergeCell ref="Q74:R74"/>
    <mergeCell ref="X74:AA75"/>
    <mergeCell ref="AB74:AD75"/>
    <mergeCell ref="AE74:AF74"/>
    <mergeCell ref="L75:M75"/>
    <mergeCell ref="N75:O75"/>
    <mergeCell ref="Q75:R75"/>
    <mergeCell ref="AE75:AF75"/>
  </mergeCells>
  <conditionalFormatting sqref="B1:B3">
    <cfRule type="expression" dxfId="256" priority="241">
      <formula>$AH1="Quoted"</formula>
    </cfRule>
  </conditionalFormatting>
  <conditionalFormatting sqref="C8:O10">
    <cfRule type="expression" dxfId="255" priority="18">
      <formula>$AE$8="Quoted"</formula>
    </cfRule>
  </conditionalFormatting>
  <conditionalFormatting sqref="C11:O13">
    <cfRule type="expression" dxfId="254" priority="41">
      <formula>$AE$11="Quoted"</formula>
    </cfRule>
  </conditionalFormatting>
  <conditionalFormatting sqref="C8:AF10">
    <cfRule type="expression" dxfId="253" priority="7">
      <formula>$AE$10="Incomplete"</formula>
    </cfRule>
  </conditionalFormatting>
  <conditionalFormatting sqref="C11:AF13">
    <cfRule type="expression" dxfId="252" priority="5">
      <formula>$AE$13="Incomplete"</formula>
    </cfRule>
  </conditionalFormatting>
  <conditionalFormatting sqref="C14:AF16">
    <cfRule type="expression" dxfId="251" priority="161">
      <formula>$AE$14="Quoted"</formula>
    </cfRule>
    <cfRule type="expression" dxfId="250" priority="55">
      <formula>$AE$16="Incomplete"</formula>
    </cfRule>
  </conditionalFormatting>
  <conditionalFormatting sqref="C17:AF19">
    <cfRule type="expression" dxfId="249" priority="54">
      <formula>$AE$19="Incomplete"</formula>
    </cfRule>
    <cfRule type="expression" dxfId="248" priority="157">
      <formula>$AE$17="Quoted"</formula>
    </cfRule>
  </conditionalFormatting>
  <conditionalFormatting sqref="C20:AF22">
    <cfRule type="expression" dxfId="247" priority="53">
      <formula>$AE$22="Incomplete"</formula>
    </cfRule>
    <cfRule type="expression" dxfId="246" priority="156">
      <formula>$AE$20="Quoted"</formula>
    </cfRule>
  </conditionalFormatting>
  <conditionalFormatting sqref="C23:AF25">
    <cfRule type="expression" dxfId="245" priority="52">
      <formula>$AE$25="Incomplete"</formula>
    </cfRule>
    <cfRule type="expression" dxfId="244" priority="155">
      <formula>$AE$23="Quoted"</formula>
    </cfRule>
  </conditionalFormatting>
  <conditionalFormatting sqref="C26:AF28">
    <cfRule type="expression" dxfId="243" priority="133">
      <formula>$AE$26="Quoted"</formula>
    </cfRule>
    <cfRule type="expression" dxfId="242" priority="51">
      <formula>$AE$28="Incomplete"</formula>
    </cfRule>
  </conditionalFormatting>
  <conditionalFormatting sqref="C29:AF29 C30:F30 H30:AF30 C31:AF31">
    <cfRule type="expression" dxfId="241" priority="50">
      <formula>$AE$31="Incomplete"</formula>
    </cfRule>
  </conditionalFormatting>
  <conditionalFormatting sqref="C29:AF31">
    <cfRule type="expression" dxfId="240" priority="154">
      <formula>$AE$29="Quoted"</formula>
    </cfRule>
  </conditionalFormatting>
  <conditionalFormatting sqref="C32:AF34">
    <cfRule type="expression" dxfId="239" priority="49">
      <formula>$AE$34="Incomplete"</formula>
    </cfRule>
    <cfRule type="expression" dxfId="238" priority="153">
      <formula>$AE$32="Quoted"</formula>
    </cfRule>
  </conditionalFormatting>
  <conditionalFormatting sqref="C35:AF37">
    <cfRule type="expression" dxfId="237" priority="152">
      <formula>$AE$35="Quoted"</formula>
    </cfRule>
    <cfRule type="expression" dxfId="236" priority="48">
      <formula>$AE$37="Incomplete"</formula>
    </cfRule>
  </conditionalFormatting>
  <conditionalFormatting sqref="C38:AF40">
    <cfRule type="expression" dxfId="235" priority="151">
      <formula>$AE$38="Quoted"</formula>
    </cfRule>
    <cfRule type="expression" dxfId="234" priority="47">
      <formula>$AE$40="Incomplete"</formula>
    </cfRule>
  </conditionalFormatting>
  <conditionalFormatting sqref="C41:AF43">
    <cfRule type="expression" dxfId="233" priority="150">
      <formula>$AE$41="Quoted"</formula>
    </cfRule>
    <cfRule type="expression" dxfId="232" priority="46">
      <formula>$AE$43="Incomplete"</formula>
    </cfRule>
  </conditionalFormatting>
  <conditionalFormatting sqref="C44:AF46">
    <cfRule type="expression" dxfId="231" priority="45">
      <formula>$AE$46="Incomplete"</formula>
    </cfRule>
    <cfRule type="expression" dxfId="230" priority="149">
      <formula>$AE$44="Quoted"</formula>
    </cfRule>
  </conditionalFormatting>
  <conditionalFormatting sqref="C47:AF49">
    <cfRule type="expression" dxfId="229" priority="44">
      <formula>$AE$49="Incomplete"</formula>
    </cfRule>
    <cfRule type="expression" dxfId="228" priority="148">
      <formula>$AE$47="Quoted"</formula>
    </cfRule>
  </conditionalFormatting>
  <conditionalFormatting sqref="C50:AF52">
    <cfRule type="expression" dxfId="227" priority="43">
      <formula>$AE$52="Incomplete"</formula>
    </cfRule>
    <cfRule type="expression" dxfId="226" priority="145">
      <formula>$AE$50="Quoted"</formula>
    </cfRule>
  </conditionalFormatting>
  <conditionalFormatting sqref="D8">
    <cfRule type="expression" dxfId="225" priority="17">
      <formula>OR($D$8="Tracked",$D$8="S/Shade", $D$8="Shape",$D$8="French Door Cutout")</formula>
    </cfRule>
  </conditionalFormatting>
  <conditionalFormatting sqref="D8:D10">
    <cfRule type="expression" dxfId="224" priority="24">
      <formula>$D8="Tracked"</formula>
    </cfRule>
  </conditionalFormatting>
  <conditionalFormatting sqref="D11">
    <cfRule type="expression" dxfId="223" priority="37">
      <formula>OR($D$11="Tracked",$D$11="S/Shade", $D$11="Shape",$D$11="French Door Cutout")</formula>
    </cfRule>
  </conditionalFormatting>
  <conditionalFormatting sqref="D11:D13">
    <cfRule type="containsText" dxfId="222" priority="33" operator="containsText" text="Tier">
      <formula>NOT(ISERROR(SEARCH("Tier",D11)))</formula>
    </cfRule>
  </conditionalFormatting>
  <conditionalFormatting sqref="D14">
    <cfRule type="expression" dxfId="221" priority="91">
      <formula>OR($D$14="Tracked",$D$14="S/Shade", $D$14="Shape",$D$14="French Door Cutout")</formula>
    </cfRule>
  </conditionalFormatting>
  <conditionalFormatting sqref="D14:D52">
    <cfRule type="containsText" dxfId="220" priority="92" operator="containsText" text="Tier">
      <formula>NOT(ISERROR(SEARCH("Tier",D14)))</formula>
    </cfRule>
  </conditionalFormatting>
  <conditionalFormatting sqref="D17:D19">
    <cfRule type="expression" dxfId="219" priority="93">
      <formula>OR($D$17="Tracked",$D$17="S/Shade", $D$17="Shape",$D$17="French Door Cutout")</formula>
    </cfRule>
  </conditionalFormatting>
  <conditionalFormatting sqref="D17:D20">
    <cfRule type="expression" dxfId="218" priority="94">
      <formula>IF(C17="","",AND(C17="Shape",D17&lt;&gt;"Fiji",C17="Shape",D17&lt;&gt;"Samoa"))</formula>
    </cfRule>
  </conditionalFormatting>
  <conditionalFormatting sqref="D20">
    <cfRule type="expression" dxfId="217" priority="132">
      <formula>OR($D$20="Tracked",$D$20="S/Shade", $D$20="Shape",$D$20="French Door Cutout")</formula>
    </cfRule>
  </conditionalFormatting>
  <conditionalFormatting sqref="D23">
    <cfRule type="expression" dxfId="216" priority="130">
      <formula>OR($D$23="Tracked",$D$23="S/Shade", $D$23="Shape",$D$23="French Door Cutout")</formula>
    </cfRule>
    <cfRule type="expression" dxfId="215" priority="131">
      <formula>IF(C23="","",AND(C23="Shape",D23&lt;&gt;"Fiji",C23="Shape",D23&lt;&gt;"Samoa"))</formula>
    </cfRule>
  </conditionalFormatting>
  <conditionalFormatting sqref="D26">
    <cfRule type="expression" dxfId="214" priority="128">
      <formula>OR($D$26="Tracked",$D$26="S/Shade", $D$26="Shape",$D$26="French Door Cutout")</formula>
    </cfRule>
    <cfRule type="expression" dxfId="213" priority="129">
      <formula>IF(C26="","",AND(C26="Shape",D26&lt;&gt;"Fiji",C26="Shape",D26&lt;&gt;"Samoa"))</formula>
    </cfRule>
  </conditionalFormatting>
  <conditionalFormatting sqref="D29">
    <cfRule type="expression" dxfId="212" priority="125">
      <formula>OR($D$29="Tracked",$D$29="S/Shade", $D$29="Shape",$D$29="French Door Cutout")</formula>
    </cfRule>
    <cfRule type="expression" dxfId="211" priority="126">
      <formula>IF(C29="","",AND(C29="Shape",D29&lt;&gt;"Fiji",C29="Shape",D29&lt;&gt;"Samoa"))</formula>
    </cfRule>
  </conditionalFormatting>
  <conditionalFormatting sqref="D29:D31">
    <cfRule type="expression" dxfId="210" priority="127">
      <formula>$AE$29="Quoted"</formula>
    </cfRule>
  </conditionalFormatting>
  <conditionalFormatting sqref="D32">
    <cfRule type="expression" dxfId="209" priority="124">
      <formula>IF(C32="","",AND(C32="Shape",D32&lt;&gt;"Fiji",C32="Shape",D32&lt;&gt;"Samoa"))</formula>
    </cfRule>
    <cfRule type="expression" dxfId="208" priority="123">
      <formula>OR($D$32="Tracked",$D$32="S/Shade", $D$32="Shape",$D$32="French Door Cutout")</formula>
    </cfRule>
  </conditionalFormatting>
  <conditionalFormatting sqref="D35">
    <cfRule type="expression" dxfId="207" priority="121">
      <formula>OR($D$35="Tracked",$D$35="S/Shade", $D$35="Shape",$D$35="French Door Cutout")</formula>
    </cfRule>
    <cfRule type="expression" dxfId="206" priority="122">
      <formula>IF(C35="","",AND(C35="Shape",D35&lt;&gt;"Fiji",C35="Shape",D35&lt;&gt;"Samoa"))</formula>
    </cfRule>
  </conditionalFormatting>
  <conditionalFormatting sqref="D38">
    <cfRule type="expression" dxfId="205" priority="120">
      <formula>IF(C38="","",AND(C38="Shape",D38&lt;&gt;"Fiji",C38="Shape",D38&lt;&gt;"Samoa"))</formula>
    </cfRule>
    <cfRule type="expression" dxfId="204" priority="119">
      <formula>OR($D$38="Tracked",$D$38="S/Shade", $D$38="Shape",$D$38="French Door Cutout")</formula>
    </cfRule>
  </conditionalFormatting>
  <conditionalFormatting sqref="D41">
    <cfRule type="expression" dxfId="203" priority="118">
      <formula>IF(C41="","",AND(C41="Shape",D41&lt;&gt;"Fiji",C41="Shape",D41&lt;&gt;"Samoa"))</formula>
    </cfRule>
    <cfRule type="expression" dxfId="202" priority="117">
      <formula>OR($D$41="Tracked",$D$41="S/Shade", $D$41="Shape",$D$41="French Door Cutout")</formula>
    </cfRule>
  </conditionalFormatting>
  <conditionalFormatting sqref="D44">
    <cfRule type="expression" dxfId="201" priority="116">
      <formula>IF(C44="","",AND(C44="Shape",D44&lt;&gt;"Fiji",C44="Shape",D44&lt;&gt;"Samoa"))</formula>
    </cfRule>
    <cfRule type="expression" dxfId="200" priority="115">
      <formula>OR($D$44="Tracked",$D$44="S/Shade", $D$44="Shape",$D$44="French Door Cutout")</formula>
    </cfRule>
  </conditionalFormatting>
  <conditionalFormatting sqref="D47">
    <cfRule type="expression" dxfId="199" priority="114">
      <formula>IF(C47="","",AND(C47="Shape",D47&lt;&gt;"Fiji",C47="Shape",D47&lt;&gt;"Samoa"))</formula>
    </cfRule>
    <cfRule type="expression" dxfId="198" priority="113">
      <formula>OR($D$47="Tracked",$D$47="S/Shade", $D$47="Shape",$D$47="French Door Cutout")</formula>
    </cfRule>
  </conditionalFormatting>
  <conditionalFormatting sqref="D50">
    <cfRule type="expression" dxfId="197" priority="111">
      <formula>OR($D$50="Tracked",$D$50="S/Shade", $D$50="Shape",$D$50="French Door Cutout")</formula>
    </cfRule>
    <cfRule type="expression" dxfId="196" priority="112">
      <formula>IF(C50="","",AND(C50="Shape",D50&lt;&gt;"Fiji",C50="Shape",D50&lt;&gt;"Samoa"))</formula>
    </cfRule>
  </conditionalFormatting>
  <conditionalFormatting sqref="D53:D55">
    <cfRule type="expression" dxfId="195" priority="66">
      <formula>$D$53="Yes"</formula>
    </cfRule>
  </conditionalFormatting>
  <conditionalFormatting sqref="E14">
    <cfRule type="expression" dxfId="194" priority="89">
      <formula>IF(D14="","",AND(D14="French Door Cutout",E14&lt;&gt;"Fiji",D14="French Door Cutout",E14&lt;&gt;"Samoa"))</formula>
    </cfRule>
    <cfRule type="expression" dxfId="193" priority="90">
      <formula>AND(OR($C14="Bathroom",$C15="Bathroom",$C16="Bathroom"),AND($E14&lt;&gt;"Java",$E14&lt;&gt;"Belize"))</formula>
    </cfRule>
  </conditionalFormatting>
  <conditionalFormatting sqref="E14:E19">
    <cfRule type="expression" dxfId="192" priority="88">
      <formula>$AE$20="Quoted"</formula>
    </cfRule>
  </conditionalFormatting>
  <conditionalFormatting sqref="E20:E52">
    <cfRule type="expression" dxfId="191" priority="178">
      <formula>AND(OR($C20="Bathroom",$C21="Bathroom",$C22="Bathroom"),AND($E20&lt;&gt;"Java",$E20&lt;&gt;"Belize"))</formula>
    </cfRule>
    <cfRule type="expression" dxfId="190" priority="105">
      <formula>IF(D20="","",AND(D20="French Door Cutout",E20&lt;&gt;"Fiji",D20="French Door Cutout",E20&lt;&gt;"Samoa"))</formula>
    </cfRule>
  </conditionalFormatting>
  <conditionalFormatting sqref="F9">
    <cfRule type="expression" dxfId="189" priority="16">
      <formula>$F$9&lt;&gt;""</formula>
    </cfRule>
  </conditionalFormatting>
  <conditionalFormatting sqref="F12">
    <cfRule type="expression" dxfId="188" priority="30">
      <formula>$F$12&lt;&gt;""</formula>
    </cfRule>
  </conditionalFormatting>
  <conditionalFormatting sqref="F30">
    <cfRule type="expression" dxfId="187" priority="75">
      <formula>$F$30&lt;&gt;""</formula>
    </cfRule>
  </conditionalFormatting>
  <conditionalFormatting sqref="F9:G9">
    <cfRule type="expression" dxfId="186" priority="25">
      <formula>AND($F8&lt;&gt;"",$D8="Shape",$E8="Capri")</formula>
    </cfRule>
  </conditionalFormatting>
  <conditionalFormatting sqref="F15:G15">
    <cfRule type="expression" dxfId="185" priority="80">
      <formula>$F$15&lt;&gt;""</formula>
    </cfRule>
  </conditionalFormatting>
  <conditionalFormatting sqref="F18:G18">
    <cfRule type="expression" dxfId="184" priority="79">
      <formula>$F$18&lt;&gt;""</formula>
    </cfRule>
  </conditionalFormatting>
  <conditionalFormatting sqref="F21:G21">
    <cfRule type="expression" dxfId="183" priority="78">
      <formula>$F$21&lt;&gt;""</formula>
    </cfRule>
  </conditionalFormatting>
  <conditionalFormatting sqref="F24:G24">
    <cfRule type="expression" dxfId="182" priority="77">
      <formula>$F$24&lt;&gt;""</formula>
    </cfRule>
  </conditionalFormatting>
  <conditionalFormatting sqref="F27:G27">
    <cfRule type="expression" dxfId="181" priority="76">
      <formula>$F$27&lt;&gt;""</formula>
    </cfRule>
  </conditionalFormatting>
  <conditionalFormatting sqref="F33:G33">
    <cfRule type="expression" dxfId="180" priority="74">
      <formula>$F$33&lt;&gt;""</formula>
    </cfRule>
  </conditionalFormatting>
  <conditionalFormatting sqref="F36:G36">
    <cfRule type="expression" dxfId="179" priority="72">
      <formula>$F$36&lt;&gt;""</formula>
    </cfRule>
    <cfRule type="expression" dxfId="178" priority="73">
      <formula>$AE$8="Quoted"</formula>
    </cfRule>
  </conditionalFormatting>
  <conditionalFormatting sqref="F39:G39">
    <cfRule type="expression" dxfId="177" priority="71">
      <formula>$F$39&lt;&gt;""</formula>
    </cfRule>
  </conditionalFormatting>
  <conditionalFormatting sqref="F42:G42">
    <cfRule type="expression" dxfId="176" priority="70">
      <formula>$F$42&lt;&gt;""</formula>
    </cfRule>
  </conditionalFormatting>
  <conditionalFormatting sqref="F45:G45">
    <cfRule type="expression" dxfId="175" priority="69">
      <formula>$F$45&lt;&gt;""</formula>
    </cfRule>
  </conditionalFormatting>
  <conditionalFormatting sqref="F48:G48">
    <cfRule type="expression" dxfId="174" priority="68">
      <formula>$F$48&lt;&gt;""</formula>
    </cfRule>
  </conditionalFormatting>
  <conditionalFormatting sqref="F51:G51">
    <cfRule type="expression" dxfId="173" priority="67">
      <formula>$F$51&lt;&gt;""</formula>
    </cfRule>
  </conditionalFormatting>
  <conditionalFormatting sqref="G10">
    <cfRule type="expression" dxfId="172" priority="4">
      <formula>AND($G$10="",$F$8&lt;&gt;"")</formula>
    </cfRule>
  </conditionalFormatting>
  <conditionalFormatting sqref="G13">
    <cfRule type="expression" dxfId="171" priority="38">
      <formula>AND($E11 = "Java",$G13 &lt;&gt; "Stainless Steel")</formula>
    </cfRule>
    <cfRule type="expression" dxfId="170" priority="34">
      <formula>AND($F11&lt;&gt;"",$G13="")</formula>
    </cfRule>
  </conditionalFormatting>
  <conditionalFormatting sqref="G16 G19 G22 G25 G28 G31 G34 G37 G40 G43 G46 G49 G52">
    <cfRule type="expression" dxfId="169" priority="95">
      <formula>AND($F14&lt;&gt;"",$G16="")</formula>
    </cfRule>
  </conditionalFormatting>
  <conditionalFormatting sqref="G16">
    <cfRule type="expression" dxfId="168" priority="103">
      <formula>AND($E14 = "Java",$G16 &lt;&gt; "Stainless Steel")</formula>
    </cfRule>
  </conditionalFormatting>
  <conditionalFormatting sqref="G19">
    <cfRule type="expression" dxfId="167" priority="104">
      <formula>AND($E17 = "Java",$G19 &lt;&gt; "Stainless Steel")</formula>
    </cfRule>
  </conditionalFormatting>
  <conditionalFormatting sqref="G22">
    <cfRule type="expression" dxfId="166" priority="226">
      <formula>AND($E20 = "Java",$G22 &lt;&gt; "Stainless Steel")</formula>
    </cfRule>
  </conditionalFormatting>
  <conditionalFormatting sqref="G25">
    <cfRule type="expression" dxfId="165" priority="223">
      <formula>AND($E23 = "Java",$G25 &lt;&gt; "Stainless Steel")</formula>
    </cfRule>
  </conditionalFormatting>
  <conditionalFormatting sqref="G28">
    <cfRule type="expression" dxfId="164" priority="221">
      <formula>AND($E26 = "Java",$G28 &lt;&gt; "Stainless Steel")</formula>
    </cfRule>
  </conditionalFormatting>
  <conditionalFormatting sqref="G31">
    <cfRule type="expression" dxfId="163" priority="218">
      <formula>AND($E29 = "Java",$G31 &lt;&gt; "Stainless Steel")</formula>
    </cfRule>
  </conditionalFormatting>
  <conditionalFormatting sqref="G34">
    <cfRule type="expression" dxfId="162" priority="215">
      <formula>AND($E32 = "Java",$G34 &lt;&gt; "Stainless Steel")</formula>
    </cfRule>
  </conditionalFormatting>
  <conditionalFormatting sqref="G37">
    <cfRule type="expression" dxfId="161" priority="212">
      <formula>AND($E35 = "Java",$G37 &lt;&gt; "Stainless Steel")</formula>
    </cfRule>
  </conditionalFormatting>
  <conditionalFormatting sqref="G40">
    <cfRule type="expression" dxfId="160" priority="209">
      <formula>AND($E38 = "Java",$G40 &lt;&gt; "Stainless Steel")</formula>
    </cfRule>
  </conditionalFormatting>
  <conditionalFormatting sqref="G43">
    <cfRule type="expression" dxfId="159" priority="206">
      <formula>AND($E41 = "Java",$G43 &lt;&gt; "Stainless Steel")</formula>
    </cfRule>
  </conditionalFormatting>
  <conditionalFormatting sqref="G46">
    <cfRule type="expression" dxfId="158" priority="203">
      <formula>AND($E44 = "Java",$G46 &lt;&gt; "Stainless Steel")</formula>
    </cfRule>
  </conditionalFormatting>
  <conditionalFormatting sqref="G49">
    <cfRule type="expression" dxfId="157" priority="200">
      <formula>AND($E47 = "Java",$G49 &lt;&gt; "Stainless Steel")</formula>
    </cfRule>
  </conditionalFormatting>
  <conditionalFormatting sqref="G52">
    <cfRule type="expression" dxfId="156" priority="197">
      <formula>AND($E50 = "Java",$G52 &lt;&gt; "Stainless Steel")</formula>
    </cfRule>
  </conditionalFormatting>
  <conditionalFormatting sqref="H8 H11">
    <cfRule type="expression" dxfId="155" priority="32">
      <formula>AND($E8&lt;&gt;"",$H8="")</formula>
    </cfRule>
  </conditionalFormatting>
  <conditionalFormatting sqref="H14 H17 H20 H23 H26 H29 H32 H35 H38 H41 H44 H47 H50">
    <cfRule type="expression" dxfId="154" priority="85">
      <formula>AND($E14&lt;&gt;"",$H14="")</formula>
    </cfRule>
  </conditionalFormatting>
  <conditionalFormatting sqref="I8 I11">
    <cfRule type="expression" dxfId="153" priority="31">
      <formula>AND($E8&lt;&gt;"",$I8="")</formula>
    </cfRule>
  </conditionalFormatting>
  <conditionalFormatting sqref="I8">
    <cfRule type="expression" dxfId="152" priority="12">
      <formula>OR(AND($D5="Tracked",I5&lt;&gt;"M Track"),AND($D5="Tracked",$I5&lt;&gt;"Track and Board"),AND($D5="Tracked",$I5&lt;&gt;"Top Track Only"))</formula>
    </cfRule>
    <cfRule type="expression" dxfId="151" priority="13">
      <formula>OR(AND($D5="Tracked",I5="M Track"),AND($D5="Tracked",$I5="Track and Board"),AND($D5="Tracked",$I5="Top Track Only"),,AND($D5="Tracked",$I5="Track Bypass"))</formula>
    </cfRule>
    <cfRule type="expression" dxfId="150" priority="15">
      <formula>AND(E5="Hampton",I5&lt;&gt;"L Frame",I5&lt;&gt;"Z Frame",I5&lt;&gt;"Deco Frame",I5&lt;&gt;"Tier on Tier +HTP")</formula>
    </cfRule>
    <cfRule type="expression" dxfId="149" priority="11">
      <formula>OR(AND($D5&lt;&gt;"Tracked",I5="M Track"),AND($D5&lt;&gt;"Tracked",$I5="Track and Board"),AND($D5&lt;&gt;"Tracked",$I5="Top Track Only"))</formula>
    </cfRule>
    <cfRule type="expression" dxfId="148" priority="14">
      <formula>AND($D5="S/Shade",$I5&lt;&gt;"FFrame")</formula>
    </cfRule>
  </conditionalFormatting>
  <conditionalFormatting sqref="I8:I10">
    <cfRule type="expression" dxfId="147" priority="21">
      <formula>OR(AND($D8="Tracked",I8="M Track"),AND($D8="Tracked",$I8="Track and Board"),AND($D8="Tracked",$I8="Top Track Only"))</formula>
    </cfRule>
    <cfRule type="expression" dxfId="146" priority="19">
      <formula>AND($D8&lt;&gt;"S/Shade",$I8="FFrame")</formula>
    </cfRule>
  </conditionalFormatting>
  <conditionalFormatting sqref="I8:I11">
    <cfRule type="expression" dxfId="145" priority="23">
      <formula>OR(AND($D8&lt;&gt;"Tracked",I8="M Track"),AND($D8&lt;&gt;"Tracked",$I8="Track and Board"),AND($D8&lt;&gt;"Tracked",$I8="Top Track Only"))</formula>
    </cfRule>
    <cfRule type="expression" dxfId="144" priority="22">
      <formula>OR(AND($D8="Tracked",I8&lt;&gt;"M Track"),AND($D8="Tracked",$I8&lt;&gt;"Track and Board"),AND($D8="Tracked",$I8&lt;&gt;"Top Track Only"))</formula>
    </cfRule>
    <cfRule type="expression" dxfId="143" priority="20">
      <formula>AND($D8="S/Shade",$I8&lt;&gt;"FFrame")</formula>
    </cfRule>
  </conditionalFormatting>
  <conditionalFormatting sqref="I11">
    <cfRule type="expression" dxfId="142" priority="40">
      <formula>OR(AND($D11="Tracked",I11="M Track"),AND($D11="Tracked",$I11="Track and Board"),AND($D11="Tracked",$I11="Top Track Only"),,AND($D11="Tracked",$I11="Track Bypass"))</formula>
    </cfRule>
    <cfRule type="expression" dxfId="141" priority="39">
      <formula>AND(E11="Hampton",I11&lt;&gt;"L Frame",I11&lt;&gt;"Z Frame",I11&lt;&gt;"Deco Frame",I11&lt;&gt;"Tier on Tier +HTP")</formula>
    </cfRule>
  </conditionalFormatting>
  <conditionalFormatting sqref="I14 I17 I20 I23 I26 I29 I32 I35 I38 I41 I44 I47 I50">
    <cfRule type="expression" dxfId="140" priority="84">
      <formula>AND($E14&lt;&gt;"",$I14="")</formula>
    </cfRule>
  </conditionalFormatting>
  <conditionalFormatting sqref="I14">
    <cfRule type="expression" dxfId="139" priority="87">
      <formula>AND($D14="S/Shade",$I14&lt;&gt;"FFrame")</formula>
    </cfRule>
    <cfRule type="expression" dxfId="138" priority="102">
      <formula>IF(H14="","",AND(H14="Shape",I14&lt;&gt;"Fiji",H14="Shape",I14&lt;&gt;"Samoa"))</formula>
    </cfRule>
  </conditionalFormatting>
  <conditionalFormatting sqref="I17">
    <cfRule type="expression" dxfId="137" priority="86">
      <formula>AND($D17="S/Shade",$I17&lt;&gt;"FFrame")</formula>
    </cfRule>
  </conditionalFormatting>
  <conditionalFormatting sqref="I20:I34">
    <cfRule type="expression" dxfId="136" priority="158">
      <formula>OR(AND($D20="Tracked",I20="M Track"),AND($D20="Tracked",$I20="Track and Board"),AND($D20="Tracked",$I20="Top Track Only"))</formula>
    </cfRule>
  </conditionalFormatting>
  <conditionalFormatting sqref="I20:I52">
    <cfRule type="expression" dxfId="135" priority="146">
      <formula>AND($D20&lt;&gt;"S/Shade",$I20="FFrame")</formula>
    </cfRule>
    <cfRule type="expression" dxfId="134" priority="108">
      <formula>AND(E20="Hampton",I20&lt;&gt;"L Frame",I20&lt;&gt;"Z Frame",I20&lt;&gt;"Deco Frame",I20&lt;&gt;"Tier on Tier +HTP")</formula>
    </cfRule>
    <cfRule type="expression" dxfId="133" priority="159">
      <formula>OR(AND($D20="Tracked",I20&lt;&gt;"M Track"),AND($D20="Tracked",$I20&lt;&gt;"Track and Board"),AND($D20="Tracked",$I20&lt;&gt;"Top Track Only"))</formula>
    </cfRule>
    <cfRule type="expression" dxfId="132" priority="160">
      <formula>OR(AND($D20&lt;&gt;"Tracked",I20="M Track"),AND($D20&lt;&gt;"Tracked",$I20="Track and Board"),AND($D20&lt;&gt;"Tracked",$I20="Top Track Only"))</formula>
    </cfRule>
    <cfRule type="expression" dxfId="131" priority="147">
      <formula>AND($D20="S/Shade",$I20&lt;&gt;"FFrame")</formula>
    </cfRule>
  </conditionalFormatting>
  <conditionalFormatting sqref="I35:I43">
    <cfRule type="expression" dxfId="130" priority="165">
      <formula>OR(AND($D35="Tracked",I35="M Track"),AND($D35="Tracked",$I35="Track and Board"),AND($D35="Tracked",$I35="Top Track Only"))</formula>
    </cfRule>
  </conditionalFormatting>
  <conditionalFormatting sqref="I35:I52">
    <cfRule type="expression" dxfId="129" priority="195">
      <formula>OR(AND($D35="Tracked",I35&lt;&gt;"M Track"),AND($D35="Tracked",$I35&lt;&gt;"Track and Board"),AND($D35="Tracked",$I35&lt;&gt;"Top Track Only"))</formula>
    </cfRule>
    <cfRule type="expression" dxfId="128" priority="196">
      <formula>OR(AND($D35&lt;&gt;"Tracked",I35="M Track"),AND($D35&lt;&gt;"Tracked",$I35="Track and Board"),AND($D35&lt;&gt;"Tracked",$I35="Top Track Only"))</formula>
    </cfRule>
  </conditionalFormatting>
  <conditionalFormatting sqref="I44:I46">
    <cfRule type="expression" dxfId="127" priority="164">
      <formula>" =OR(AND($D44=""Tracked"",I44=""M Track""),AND($D44=""Tracked"",$I44=""Track and Board""),AND($D44=""Tracked"",$I44=""Top Track Only""))"</formula>
    </cfRule>
  </conditionalFormatting>
  <conditionalFormatting sqref="I47:I52">
    <cfRule type="expression" dxfId="126" priority="163">
      <formula>OR(AND($D47="Tracked",I47="M Track"),AND($D47="Tracked",$I47="Track and Board"),AND($D47="Tracked",$I47="Top Track Only"))</formula>
    </cfRule>
  </conditionalFormatting>
  <conditionalFormatting sqref="I104">
    <cfRule type="expression" dxfId="125" priority="3">
      <formula>$I$104&lt;0</formula>
    </cfRule>
  </conditionalFormatting>
  <conditionalFormatting sqref="J8:K8 J11:K11 J17:K17 J20:K20 J23:K23 J26:K26 J29:K29 J32:K32 J35:K35 J38:K38 J41:K41 J44:K44 J47:K47 J50:K50">
    <cfRule type="expression" dxfId="124" priority="10">
      <formula>OR(AND(J5="Silent",N5&gt;1276,N5&lt;=1879,O8="Please Select"),AND(J5="Silent",N5&gt;1276,N5&lt;=1879,O5="No"))</formula>
    </cfRule>
    <cfRule type="expression" dxfId="123" priority="27">
      <formula>OR(AND(J8="Silent",N8&gt;1276,N8&lt;=1879,O8="Please Select"),AND(J8="Silent",N8&gt;1276,N8&lt;=1879,O8="No"))</formula>
    </cfRule>
    <cfRule type="expression" dxfId="122" priority="29">
      <formula>AND($E8&lt;&gt;"",$J8="")</formula>
    </cfRule>
  </conditionalFormatting>
  <conditionalFormatting sqref="J8:K52">
    <cfRule type="expression" dxfId="121" priority="26">
      <formula>AND(E8="Hampton",J8&lt;&gt;"Clearview",J8&lt;&gt;"Central",J8&lt;&gt;"Offset")</formula>
    </cfRule>
  </conditionalFormatting>
  <conditionalFormatting sqref="J14:K14">
    <cfRule type="expression" dxfId="120" priority="61">
      <formula>OR(AND(J11="Silent",N11&gt;1276,N11&lt;=1879,O14="Please Select"),AND(J11="Silent",N11&gt;1276,N11&lt;=1879,O11="No"))</formula>
    </cfRule>
    <cfRule type="expression" dxfId="119" priority="62">
      <formula>OR(AND(J14="Silent",N14&gt;1276,N14&lt;=1879,O14="Please Select"),AND(J14="Silent",N14&gt;1276,N14&lt;=1879,O14="No"))</formula>
    </cfRule>
    <cfRule type="expression" dxfId="118" priority="65">
      <formula>AND($E14&lt;&gt;"",$J14="")</formula>
    </cfRule>
  </conditionalFormatting>
  <conditionalFormatting sqref="J20:K22">
    <cfRule type="expression" dxfId="117" priority="175">
      <formula>OR(AND(J20="Silent",N20&gt;1276,N20&lt;=1879,O20="Please Select"),AND(J20="Silent",N20&gt;1276,N8&lt;=1879,O20="No"))</formula>
    </cfRule>
  </conditionalFormatting>
  <conditionalFormatting sqref="J20:K52">
    <cfRule type="expression" dxfId="116" priority="109">
      <formula>AND(E20="Aruba",J20&lt;&gt;"Silent")</formula>
    </cfRule>
  </conditionalFormatting>
  <conditionalFormatting sqref="J23:K25">
    <cfRule type="expression" dxfId="115" priority="174">
      <formula>OR(AND(J23="Silent",N23&gt;1276,N23&lt;=1879,O23="Please Select"),AND(J23="Silent",N23&gt;1276,N8&lt;=1879,O23="No"))</formula>
    </cfRule>
  </conditionalFormatting>
  <conditionalFormatting sqref="J26:K28">
    <cfRule type="expression" dxfId="114" priority="166">
      <formula>OR(AND(J26="Silent",N26&gt;1276,N26&lt;=1879,O26="Please Select"),AND(J26="Silent",N26&gt;1276,N8&lt;=1879,O26="No"))</formula>
    </cfRule>
  </conditionalFormatting>
  <conditionalFormatting sqref="J29:K31">
    <cfRule type="expression" dxfId="113" priority="173">
      <formula>OR(AND(J29="Silent",N29&gt;1276,N29&lt;=1879,O29="Please Select"),AND(J29="Silent",N29&gt;1276,N8&lt;=1879,O29="No"))</formula>
    </cfRule>
  </conditionalFormatting>
  <conditionalFormatting sqref="J32:K34">
    <cfRule type="expression" dxfId="112" priority="172">
      <formula>OR(AND(J32="Silent",N32&gt;1276,N32&lt;=1879,O32="Please Select"),AND(J32="Silent",N32&gt;1276,N8&lt;=1879,O32="No"))</formula>
    </cfRule>
  </conditionalFormatting>
  <conditionalFormatting sqref="J35:K37">
    <cfRule type="expression" dxfId="111" priority="171">
      <formula>OR(AND(J35="Silent",N35&gt;1276,N35&lt;=1879,O35="Please Select"),AND(J35="Silent",N35&gt;1276,N8&lt;=1879,O35="No"))</formula>
    </cfRule>
  </conditionalFormatting>
  <conditionalFormatting sqref="J38:K40">
    <cfRule type="expression" dxfId="110" priority="170">
      <formula>OR(AND(J38="Silent",N38&gt;1276,N38&lt;=1879,O38="Please Select"),AND(J38="Silent",N38&gt;1276,N8&lt;=1879,O38="No"))</formula>
    </cfRule>
  </conditionalFormatting>
  <conditionalFormatting sqref="J41:K43">
    <cfRule type="expression" dxfId="109" priority="169">
      <formula>OR(AND(J41="Silent",N41&gt;1276,N41&lt;=1879,O41="Please Select"),AND(J41="Silent",N41&gt;1276,N8&lt;=1879,O41="No"))</formula>
    </cfRule>
  </conditionalFormatting>
  <conditionalFormatting sqref="J44:K46">
    <cfRule type="expression" dxfId="108" priority="168">
      <formula>OR(AND(J44="Silent",N44&gt;1276,N44&lt;=1879,O44="Please Select"),AND(J44="Silent",N44&gt;1276,N8&lt;=1879,O44="No"))</formula>
    </cfRule>
  </conditionalFormatting>
  <conditionalFormatting sqref="J47:K49">
    <cfRule type="expression" dxfId="107" priority="167">
      <formula>OR(AND(J47="Silent",N47&gt;1276,N47&lt;=1879,O47="Please Select"),AND(J47="Silent",N47&gt;1276,N8&lt;=1879,O47="No"))</formula>
    </cfRule>
  </conditionalFormatting>
  <conditionalFormatting sqref="J50:K52">
    <cfRule type="expression" dxfId="106" priority="162">
      <formula>OR(AND(J50="Silent",N50&gt;1276,N50&lt;=1879,O50="Please Select"),AND(J50="Silent",N50&gt;1276,N8&lt;=1879,O50="No"))</formula>
    </cfRule>
  </conditionalFormatting>
  <conditionalFormatting sqref="J65:K65 J67:K67 J69:K69">
    <cfRule type="cellIs" dxfId="105" priority="83" operator="equal">
      <formula>"Select"</formula>
    </cfRule>
  </conditionalFormatting>
  <conditionalFormatting sqref="J71:K71">
    <cfRule type="cellIs" dxfId="104" priority="82" operator="equal">
      <formula>"N/A"</formula>
    </cfRule>
  </conditionalFormatting>
  <conditionalFormatting sqref="J73:K73">
    <cfRule type="cellIs" dxfId="103" priority="81" operator="equal">
      <formula>"Select"</formula>
    </cfRule>
  </conditionalFormatting>
  <conditionalFormatting sqref="K8:K9 J8:J52 K11:K52">
    <cfRule type="expression" dxfId="102" priority="9">
      <formula>AND(E5="Hampton",J5&lt;&gt;"Clearview",J5&lt;&gt;"Central",J5&lt;&gt;"Offset")</formula>
    </cfRule>
  </conditionalFormatting>
  <conditionalFormatting sqref="K10">
    <cfRule type="expression" dxfId="101" priority="243">
      <formula>AND(F7="Hampton",#REF!&lt;&gt;"Clearview",#REF!&lt;&gt;"Central",#REF!&lt;&gt;"Offset")</formula>
    </cfRule>
  </conditionalFormatting>
  <conditionalFormatting sqref="K104:L104">
    <cfRule type="expression" dxfId="100" priority="2">
      <formula>$K$104&gt;=0.025</formula>
    </cfRule>
    <cfRule type="expression" dxfId="99" priority="1">
      <formula>AND($K$104&gt;0,$K$104&lt;=0.02)</formula>
    </cfRule>
  </conditionalFormatting>
  <conditionalFormatting sqref="L75">
    <cfRule type="expression" dxfId="98" priority="110">
      <formula>IF(Q76=0,"",IF(OR(Q76&gt;=0.05,Q76&lt;=0.05),"True",IF(Q76=0,"","")))</formula>
    </cfRule>
  </conditionalFormatting>
  <conditionalFormatting sqref="M8 M11 M17 M20 M23 M26 M29 M32 M35 M38 M41 M44 M47 M50">
    <cfRule type="expression" dxfId="97" priority="35">
      <formula>AND($E8&lt;&gt;"",$M8="")</formula>
    </cfRule>
  </conditionalFormatting>
  <conditionalFormatting sqref="M8:M52">
    <cfRule type="expression" dxfId="96" priority="36">
      <formula>AND($E8="Hampton",$M8&lt;266)</formula>
    </cfRule>
  </conditionalFormatting>
  <conditionalFormatting sqref="M14">
    <cfRule type="expression" dxfId="95" priority="96">
      <formula>AND($E14&lt;&gt;"",$M14="")</formula>
    </cfRule>
  </conditionalFormatting>
  <conditionalFormatting sqref="N8 N11 N17 N20 N23 N26 N29 N32 N35 N38 N41 N44 N47 N50">
    <cfRule type="expression" dxfId="94" priority="28">
      <formula>AND($E8&lt;&gt;"",$N8="")</formula>
    </cfRule>
  </conditionalFormatting>
  <conditionalFormatting sqref="N14">
    <cfRule type="expression" dxfId="93" priority="63">
      <formula>AND($E14&lt;&gt;"",$N14="")</formula>
    </cfRule>
  </conditionalFormatting>
  <conditionalFormatting sqref="P59:P71">
    <cfRule type="cellIs" dxfId="92" priority="42" operator="lessThan">
      <formula>$O59</formula>
    </cfRule>
  </conditionalFormatting>
  <conditionalFormatting sqref="P65">
    <cfRule type="expression" dxfId="91" priority="176">
      <formula>$O$65&lt;&gt;$P$65</formula>
    </cfRule>
  </conditionalFormatting>
  <conditionalFormatting sqref="P67">
    <cfRule type="expression" dxfId="90" priority="177">
      <formula>$O$67&lt;&gt;$P$67</formula>
    </cfRule>
  </conditionalFormatting>
  <conditionalFormatting sqref="P74">
    <cfRule type="expression" dxfId="89" priority="106">
      <formula>OR($N$74&lt;&gt;"Other:",$N$74="")</formula>
    </cfRule>
  </conditionalFormatting>
  <conditionalFormatting sqref="P75">
    <cfRule type="cellIs" dxfId="88" priority="136" operator="greaterThan">
      <formula>0</formula>
    </cfRule>
    <cfRule type="cellIs" dxfId="87" priority="137" operator="greaterThan">
      <formula>0</formula>
    </cfRule>
    <cfRule type="expression" dxfId="86" priority="138">
      <formula>"&lt;&gt;"""""</formula>
    </cfRule>
  </conditionalFormatting>
  <conditionalFormatting sqref="P8:AF10">
    <cfRule type="expression" dxfId="85" priority="8">
      <formula>$AE$8="Quoted"</formula>
    </cfRule>
  </conditionalFormatting>
  <conditionalFormatting sqref="P11:AF13">
    <cfRule type="expression" dxfId="84" priority="6">
      <formula>$AE$11="Quoted"</formula>
    </cfRule>
  </conditionalFormatting>
  <conditionalFormatting sqref="Q59:R73">
    <cfRule type="expression" dxfId="83" priority="239">
      <formula>$Q$73&gt;0</formula>
    </cfRule>
  </conditionalFormatting>
  <conditionalFormatting sqref="Q74:R75">
    <cfRule type="cellIs" dxfId="82" priority="141" operator="greaterThan">
      <formula>""""""</formula>
    </cfRule>
  </conditionalFormatting>
  <conditionalFormatting sqref="R9:AA9">
    <cfRule type="expression" dxfId="81" priority="100">
      <formula>AND(OR(R8="(C)",R8="(B)",R8="(CB)",R8="(T)",R8="(G)"),R9="")</formula>
    </cfRule>
  </conditionalFormatting>
  <conditionalFormatting sqref="R12:AA12">
    <cfRule type="expression" dxfId="80" priority="229">
      <formula>AND(OR(R11="(C)",R11="(B)",R11="(CB)",R11="(T)",R11="(G)"),R12="")</formula>
    </cfRule>
  </conditionalFormatting>
  <conditionalFormatting sqref="R15:AA15">
    <cfRule type="expression" dxfId="79" priority="98">
      <formula>$AE$14="Quoted"</formula>
    </cfRule>
    <cfRule type="expression" dxfId="78" priority="99">
      <formula>AND(OR(R14="(C)",R14="(B)",R14="(CB)",R14="(T)",R14="(G)"),R15="")</formula>
    </cfRule>
  </conditionalFormatting>
  <conditionalFormatting sqref="R18:AA18">
    <cfRule type="expression" dxfId="77" priority="97">
      <formula>AND(OR(R17="(C)",R17="(B)",R17="(CB)",R17="(T)",R17="(G)"),R18="")</formula>
    </cfRule>
  </conditionalFormatting>
  <conditionalFormatting sqref="R21:AA21">
    <cfRule type="expression" dxfId="76" priority="224">
      <formula>AND(OR(R20="(C)",R20="(B)",R20="(CB)",R20="(T)",R20="(G)"),R21="")</formula>
    </cfRule>
  </conditionalFormatting>
  <conditionalFormatting sqref="R24:AA24">
    <cfRule type="expression" dxfId="75" priority="222">
      <formula>AND(OR(R23="(C)",R23="(B)",R23="(CB)",R23="(T)",R23="(G)"),R24="")</formula>
    </cfRule>
  </conditionalFormatting>
  <conditionalFormatting sqref="R27:AA27">
    <cfRule type="expression" dxfId="74" priority="219">
      <formula>AND(OR(R26="(C)",R26="(B)",R26="(CB)",R26="(T)",R26="(G)"),R27="")</formula>
    </cfRule>
  </conditionalFormatting>
  <conditionalFormatting sqref="R30:AA30">
    <cfRule type="expression" dxfId="73" priority="216">
      <formula>AND(OR(R29="(C)",R29="(B)",R29="(CB)",R29="(T)",R29="(G)"),R30="")</formula>
    </cfRule>
  </conditionalFormatting>
  <conditionalFormatting sqref="R33:AA33">
    <cfRule type="expression" dxfId="72" priority="213">
      <formula>AND(OR(R32="(C)",R32="(B)",R32="(CB)",R32="(T)",R32="(G)"),R33="")</formula>
    </cfRule>
  </conditionalFormatting>
  <conditionalFormatting sqref="R36:AA36">
    <cfRule type="expression" dxfId="71" priority="210">
      <formula>AND(OR(R35="(C)",R35="(B)",R35="(CB)",R35="(T)",R35="(G)"),R36="")</formula>
    </cfRule>
  </conditionalFormatting>
  <conditionalFormatting sqref="R39:AA39">
    <cfRule type="expression" dxfId="70" priority="207">
      <formula>AND(OR(R38="(C)",R38="(B)",R38="(CB)",R38="(T)",R38="(G)"),R39="")</formula>
    </cfRule>
  </conditionalFormatting>
  <conditionalFormatting sqref="R42:AA42">
    <cfRule type="expression" dxfId="69" priority="204">
      <formula>AND(OR(R41="(C)",R41="(B)",R41="(CB)",R41="(T)",R41="(G)"),R42="")</formula>
    </cfRule>
  </conditionalFormatting>
  <conditionalFormatting sqref="R45:AA45">
    <cfRule type="expression" dxfId="68" priority="201">
      <formula>AND(OR(R44="(C)",R44="(B)",R44="(CB)",R44="(T)",R44="(G)"),R45="")</formula>
    </cfRule>
  </conditionalFormatting>
  <conditionalFormatting sqref="R48:AA48">
    <cfRule type="expression" dxfId="67" priority="198">
      <formula>AND(OR(R47="(C)",R47="(B)",R47="(CB)",R47="(T)",R47="(G)"),R48="")</formula>
    </cfRule>
  </conditionalFormatting>
  <conditionalFormatting sqref="R51:AA51">
    <cfRule type="expression" dxfId="66" priority="193">
      <formula>AND(OR(R50="(C)",R50="(B)",R50="(CB)",R50="(T)",R50="(G)"),R51="")</formula>
    </cfRule>
  </conditionalFormatting>
  <conditionalFormatting sqref="R10:AB10">
    <cfRule type="cellIs" dxfId="65" priority="231" operator="greaterThan">
      <formula>""""""</formula>
    </cfRule>
  </conditionalFormatting>
  <conditionalFormatting sqref="R13:AB13">
    <cfRule type="cellIs" dxfId="64" priority="230" operator="greaterThan">
      <formula>""""""</formula>
    </cfRule>
  </conditionalFormatting>
  <conditionalFormatting sqref="R16:AB16">
    <cfRule type="cellIs" dxfId="63" priority="228" operator="greaterThan">
      <formula>""""""</formula>
    </cfRule>
  </conditionalFormatting>
  <conditionalFormatting sqref="R19:AB19">
    <cfRule type="cellIs" dxfId="62" priority="227" operator="greaterThan">
      <formula>""""""</formula>
    </cfRule>
  </conditionalFormatting>
  <conditionalFormatting sqref="R22:AB22">
    <cfRule type="cellIs" dxfId="61" priority="225" operator="greaterThan">
      <formula>""""""</formula>
    </cfRule>
  </conditionalFormatting>
  <conditionalFormatting sqref="R25:AB25">
    <cfRule type="cellIs" dxfId="60" priority="135" operator="greaterThan">
      <formula>""""""</formula>
    </cfRule>
  </conditionalFormatting>
  <conditionalFormatting sqref="R28:AB28">
    <cfRule type="cellIs" dxfId="59" priority="220" operator="greaterThan">
      <formula>""""""</formula>
    </cfRule>
  </conditionalFormatting>
  <conditionalFormatting sqref="R31:AB31">
    <cfRule type="cellIs" dxfId="58" priority="217" operator="greaterThan">
      <formula>""""""</formula>
    </cfRule>
  </conditionalFormatting>
  <conditionalFormatting sqref="R34:AB34">
    <cfRule type="cellIs" dxfId="57" priority="214" operator="greaterThan">
      <formula>""""""</formula>
    </cfRule>
  </conditionalFormatting>
  <conditionalFormatting sqref="R37:AB37">
    <cfRule type="cellIs" dxfId="56" priority="211" operator="greaterThan">
      <formula>""""""</formula>
    </cfRule>
  </conditionalFormatting>
  <conditionalFormatting sqref="R40:AB40">
    <cfRule type="cellIs" dxfId="55" priority="208" operator="greaterThan">
      <formula>""""""</formula>
    </cfRule>
  </conditionalFormatting>
  <conditionalFormatting sqref="R43:AB43">
    <cfRule type="cellIs" dxfId="54" priority="205" operator="greaterThan">
      <formula>""""""</formula>
    </cfRule>
  </conditionalFormatting>
  <conditionalFormatting sqref="R46:AB46">
    <cfRule type="cellIs" dxfId="53" priority="202" operator="greaterThan">
      <formula>""""""</formula>
    </cfRule>
  </conditionalFormatting>
  <conditionalFormatting sqref="R49:AB49">
    <cfRule type="cellIs" dxfId="52" priority="199" operator="greaterThan">
      <formula>""""""</formula>
    </cfRule>
  </conditionalFormatting>
  <conditionalFormatting sqref="R52:AB52">
    <cfRule type="cellIs" dxfId="51" priority="194" operator="greaterThan">
      <formula>""""""</formula>
    </cfRule>
  </conditionalFormatting>
  <conditionalFormatting sqref="S59">
    <cfRule type="cellIs" dxfId="50" priority="240" operator="greaterThan">
      <formula>34%</formula>
    </cfRule>
  </conditionalFormatting>
  <conditionalFormatting sqref="S61 S67 U67">
    <cfRule type="expression" dxfId="49" priority="58">
      <formula>$S$61="2 Years @ 10.9%"</formula>
    </cfRule>
  </conditionalFormatting>
  <conditionalFormatting sqref="S61 S70 U70">
    <cfRule type="expression" dxfId="48" priority="56">
      <formula>$S$61="5 Years @ 10.9%"</formula>
    </cfRule>
  </conditionalFormatting>
  <conditionalFormatting sqref="S61 S66:W66">
    <cfRule type="expression" dxfId="47" priority="144">
      <formula>$S$61="12 months @ 0%"</formula>
    </cfRule>
  </conditionalFormatting>
  <conditionalFormatting sqref="S61 S69:W69">
    <cfRule type="expression" dxfId="46" priority="57">
      <formula>$S$61="4 Years @ 10.9%"</formula>
    </cfRule>
  </conditionalFormatting>
  <conditionalFormatting sqref="S61">
    <cfRule type="expression" dxfId="45" priority="59">
      <formula>AND($S61="Please Select",$AB$66&gt;1000)</formula>
    </cfRule>
  </conditionalFormatting>
  <conditionalFormatting sqref="S67:S68 U67:U68">
    <cfRule type="expression" dxfId="44" priority="233">
      <formula>$S$61="Finance Yes (12 months @ 0%)"</formula>
    </cfRule>
  </conditionalFormatting>
  <conditionalFormatting sqref="S68 U68 S66:W66">
    <cfRule type="expression" dxfId="43" priority="234">
      <formula>$S$61="Finance Yes (24 months @ 14.9%)"</formula>
    </cfRule>
  </conditionalFormatting>
  <conditionalFormatting sqref="S68">
    <cfRule type="expression" dxfId="42" priority="60">
      <formula>$S68="Please Select"</formula>
    </cfRule>
  </conditionalFormatting>
  <conditionalFormatting sqref="S71">
    <cfRule type="expression" dxfId="41" priority="64">
      <formula>$S$71="Auth Code:"</formula>
    </cfRule>
  </conditionalFormatting>
  <conditionalFormatting sqref="S59:W59">
    <cfRule type="cellIs" dxfId="40" priority="143" operator="between">
      <formula>0.33</formula>
      <formula>0.339</formula>
    </cfRule>
  </conditionalFormatting>
  <conditionalFormatting sqref="S61:W61">
    <cfRule type="expression" dxfId="39" priority="107">
      <formula>$S$61="Finance NOT available"</formula>
    </cfRule>
  </conditionalFormatting>
  <conditionalFormatting sqref="S66:W66 S67 U67">
    <cfRule type="expression" dxfId="38" priority="232">
      <formula>$S$61="Finance Yes (36 months @ 14.9%)"</formula>
    </cfRule>
  </conditionalFormatting>
  <conditionalFormatting sqref="S68:W68 S61">
    <cfRule type="expression" dxfId="37" priority="238">
      <formula>$S$61="3 Years @ 10.9%"</formula>
    </cfRule>
  </conditionalFormatting>
  <conditionalFormatting sqref="U63:W63">
    <cfRule type="expression" dxfId="36" priority="237">
      <formula>AND($S$61&lt;&gt;"Finance Please Select",$S$61&lt;&gt;"Finance No")</formula>
    </cfRule>
    <cfRule type="expression" dxfId="35" priority="235" stopIfTrue="1">
      <formula>$U$63&gt;0</formula>
    </cfRule>
    <cfRule type="expression" dxfId="34" priority="236">
      <formula>$U$63&lt;ROUNDDOWN((20%*U62),0.2)</formula>
    </cfRule>
  </conditionalFormatting>
  <conditionalFormatting sqref="X9">
    <cfRule type="expression" priority="101">
      <formula>AND(OR(X8="(C)",X8="(B)",X8="(CB)",X8="(T)",X8="(G)"),X9="")</formula>
    </cfRule>
  </conditionalFormatting>
  <conditionalFormatting sqref="AB12">
    <cfRule type="expression" dxfId="33" priority="192">
      <formula>$AB$12="LOR"</formula>
    </cfRule>
  </conditionalFormatting>
  <conditionalFormatting sqref="AB15">
    <cfRule type="expression" dxfId="32" priority="191">
      <formula>$AB$15="LOR"</formula>
    </cfRule>
  </conditionalFormatting>
  <conditionalFormatting sqref="AB18">
    <cfRule type="expression" dxfId="31" priority="190">
      <formula>$AB$18="LOR"</formula>
    </cfRule>
  </conditionalFormatting>
  <conditionalFormatting sqref="AB21">
    <cfRule type="expression" dxfId="30" priority="189">
      <formula>$AB$21="LOR"</formula>
    </cfRule>
  </conditionalFormatting>
  <conditionalFormatting sqref="AB24">
    <cfRule type="expression" dxfId="29" priority="188">
      <formula>$AB$24="LOR"</formula>
    </cfRule>
  </conditionalFormatting>
  <conditionalFormatting sqref="AB27">
    <cfRule type="expression" dxfId="28" priority="187">
      <formula>$AB$27="LOR"</formula>
    </cfRule>
  </conditionalFormatting>
  <conditionalFormatting sqref="AB30">
    <cfRule type="expression" dxfId="27" priority="186">
      <formula>$AB$30="LOR"</formula>
    </cfRule>
  </conditionalFormatting>
  <conditionalFormatting sqref="AB33">
    <cfRule type="expression" dxfId="26" priority="185">
      <formula>$AB$33="LOR"</formula>
    </cfRule>
  </conditionalFormatting>
  <conditionalFormatting sqref="AB36">
    <cfRule type="expression" dxfId="25" priority="184">
      <formula>$AB$36="LOR"</formula>
    </cfRule>
  </conditionalFormatting>
  <conditionalFormatting sqref="AB39">
    <cfRule type="expression" dxfId="24" priority="183">
      <formula>$AB$39="LOR"</formula>
    </cfRule>
  </conditionalFormatting>
  <conditionalFormatting sqref="AB42">
    <cfRule type="expression" dxfId="23" priority="182">
      <formula>$AB$42="LOR"</formula>
    </cfRule>
  </conditionalFormatting>
  <conditionalFormatting sqref="AB45">
    <cfRule type="expression" dxfId="22" priority="181">
      <formula>$AB$45="LOR"</formula>
    </cfRule>
  </conditionalFormatting>
  <conditionalFormatting sqref="AB48">
    <cfRule type="expression" dxfId="21" priority="180">
      <formula>$AB$48="LOR"</formula>
    </cfRule>
  </conditionalFormatting>
  <conditionalFormatting sqref="AB51">
    <cfRule type="expression" dxfId="20" priority="179">
      <formula>$AB$51="LOR"</formula>
    </cfRule>
  </conditionalFormatting>
  <conditionalFormatting sqref="AD9:AD51">
    <cfRule type="cellIs" dxfId="19" priority="140" operator="equal">
      <formula>"3 for 2"</formula>
    </cfRule>
  </conditionalFormatting>
  <conditionalFormatting sqref="AE58">
    <cfRule type="cellIs" dxfId="18" priority="242" operator="equal">
      <formula>+(O59-P59)/O59</formula>
    </cfRule>
  </conditionalFormatting>
  <conditionalFormatting sqref="AE74">
    <cfRule type="expression" dxfId="17" priority="142">
      <formula>$AE$74="Building Works"</formula>
    </cfRule>
  </conditionalFormatting>
  <conditionalFormatting sqref="AF54">
    <cfRule type="expression" dxfId="16" priority="139">
      <formula>$AF$54="N/A"</formula>
    </cfRule>
  </conditionalFormatting>
  <dataValidations count="69">
    <dataValidation type="list" allowBlank="1" showInputMessage="1" showErrorMessage="1" sqref="G61:K61" xr:uid="{4312ACF9-F5E7-4F65-BCF2-647E5558FDFD}">
      <formula1>"Please select,Yes,No"</formula1>
    </dataValidation>
    <dataValidation type="list" allowBlank="1" showInputMessage="1" sqref="S61:W61" xr:uid="{8B05D3C1-63A9-4E9B-99A1-7AD41F7F7AE6}">
      <formula1>IF(AB66&lt;1000,NoFinance,FinanceOptions)</formula1>
    </dataValidation>
    <dataValidation type="list" allowBlank="1" showInputMessage="1" sqref="O20:O23 O26:O52 O14:O17 O8:O11" xr:uid="{58E30768-172E-4730-92B4-CFC3680D038C}">
      <formula1>"Please Select,Yes,Partial,No"</formula1>
    </dataValidation>
    <dataValidation type="list" allowBlank="1" showInputMessage="1" sqref="AC10 AC13 AC16 AC19 AC22 AC25 AC28 AC31 AC34 AC37 AC40 AC43 AC46 AC49 AC52" xr:uid="{20F2A146-C966-44D9-B5DA-D7EE3D92B6DE}">
      <formula1>"No,1,2,3,4"</formula1>
    </dataValidation>
    <dataValidation type="list" allowBlank="1" showInputMessage="1" showErrorMessage="1" sqref="H11:H52" xr:uid="{95731E2C-529C-4A7F-93A7-096BC89689F5}">
      <formula1>IF(E8="Aruba Express",ArubaExpressL,INDIRECT(E11 &amp; "L"))</formula1>
    </dataValidation>
    <dataValidation type="list" allowBlank="1" showInputMessage="1" showErrorMessage="1" sqref="G63" xr:uid="{BA609898-18CA-49E0-9ABD-250070EE50D5}">
      <formula1>"Please Select,Yes,No,N/A"</formula1>
    </dataValidation>
    <dataValidation type="list" allowBlank="1" sqref="C52 C49 C40 C43 C46 C28 C22 C25 C31 C34 C37 C16 C19 C13" xr:uid="{5A055B02-B68F-4676-B89A-73F18F247AAA}">
      <formula1>"Left,Centre,Right"</formula1>
    </dataValidation>
    <dataValidation type="list" allowBlank="1" showInputMessage="1" showErrorMessage="1" sqref="AE29 AE11 AE26 AE14 AE17 AE20 AE23 AE8 AE32 AE35 AE38 AE41 AE44 AE47 AE50" xr:uid="{7FAFE49E-9376-47FF-BC2D-3A2657945F2B}">
      <formula1>"Price, Quoted"</formula1>
    </dataValidation>
    <dataValidation type="list" allowBlank="1" showInputMessage="1" sqref="C50 C47 C32 C44 C41 C38 C35 C29 C26 C20 C23 C14 C17 C11 C8" xr:uid="{3E267181-E545-48B0-A3C5-A82F08D1ECC7}">
      <formula1>rooms</formula1>
    </dataValidation>
    <dataValidation type="list" allowBlank="1" showInputMessage="1" sqref="C51 C48 C33 C45 C42 C39 C36 C30 C27 C21 C24 C15 C18 C12 C9" xr:uid="{AFE1FF0D-1044-42D6-819A-F823A58A47F8}">
      <formula1>RoomLoc</formula1>
    </dataValidation>
    <dataValidation type="list" allowBlank="1" showInputMessage="1" showErrorMessage="1" sqref="D11:D52" xr:uid="{F58519FB-5698-4A4C-8247-5613952A6FDA}">
      <formula1>Shuttype</formula1>
    </dataValidation>
    <dataValidation type="list" allowBlank="1" showInputMessage="1" showErrorMessage="1" sqref="F50:G50 F44:G44 F41:G41 F38:G38 F35:G35 F32:G32 F29:G29 F26:G26 F23:G23 F20:G20 F17:G17 F14:G14 F47:G47 F11:G11" xr:uid="{DDCD6B5B-DED2-44DA-A640-C5C6B626C98A}">
      <formula1>IF(E11="Aruba Express",ArubaExpress,IF(AND(D11="S/Shade",E11="Antigua"),AntSS,INDIRECT(E11)))</formula1>
    </dataValidation>
    <dataValidation type="list" allowBlank="1" showInputMessage="1" showErrorMessage="1" sqref="G52 G40 G43 G46 G49 G37 G34 G16 G19 G22 G25 G28 G31 G13" xr:uid="{AEE2EB7C-DCC3-4BA9-A1AB-16879A8BCD02}">
      <formula1>IF(E11="Aruba Express",ArubaEH,INDIRECT(E11 &amp; "H"))</formula1>
    </dataValidation>
    <dataValidation type="list" allowBlank="1" showInputMessage="1" showErrorMessage="1" sqref="R26:AB26 R38:AB38 R29:AB29 R41:AB41 R44:AB44 R47:AB47 R35:AB35 R17:AB17 R23:AB23 R32:AB32 R50:AB50" xr:uid="{1A172C61-D46D-4D15-B546-6DAEA009B66C}">
      <formula1>IF($E17="Aruba",ArubaConfig,Config1)</formula1>
    </dataValidation>
    <dataValidation type="list" allowBlank="1" showInputMessage="1" showErrorMessage="1" sqref="AB9 AB21 AB18 AB45 AB48 AB12 AB15 AB24 AB27 AB30 AB33 AB36 AB39 AB42 AB51" xr:uid="{B6BB9BEF-841A-42D7-8ECE-7AFC40BDD49A}">
      <formula1>"LOR, ROL"</formula1>
    </dataValidation>
    <dataValidation type="list" allowBlank="1" showInputMessage="1" showErrorMessage="1" sqref="I50:I52" xr:uid="{4AED8458-1548-4D90-B4E8-EDBC190FCCFF}">
      <formula1>IF($D$50="Tracked",TFrame,IF($D$50="S/Shade",SSFrame,IF($E50="Hampton",Hamptonf,Frame)))</formula1>
    </dataValidation>
    <dataValidation type="list" allowBlank="1" showInputMessage="1" showErrorMessage="1" sqref="I35:I37" xr:uid="{DA874298-1595-46C2-9ED3-7B01B94ABE29}">
      <formula1>IF($D$35="Tracked",TFrame,IF($D$35="S/Shade",SSFrame,IF($E35="Hampton",Hamptonf,Frame)))</formula1>
    </dataValidation>
    <dataValidation type="list" allowBlank="1" showInputMessage="1" showErrorMessage="1" sqref="I38:I40" xr:uid="{5009CA3A-11C0-459E-BC84-7A16B8FC7BAA}">
      <formula1>IF($D$38="Tracked",TFrame,IF($D$38="S/Shade",SSFrame,IF($E38="Hampton",Hamptonf,Frame)))</formula1>
    </dataValidation>
    <dataValidation type="list" allowBlank="1" showInputMessage="1" showErrorMessage="1" sqref="I41:I43" xr:uid="{1F6EFD21-4A5A-4BDC-B928-0CDE763937BF}">
      <formula1>IF($D$41="Tracked",TFrame,IF($D$41="S/Shade",SSFrame,IF($E41="Hampton",Hamptonf,Frame)))</formula1>
    </dataValidation>
    <dataValidation type="list" allowBlank="1" showInputMessage="1" showErrorMessage="1" sqref="I44:I46" xr:uid="{5269C758-315C-4C7A-94B7-92312D953982}">
      <formula1>IF($D$44="Tracked",TFrame,IF($D$44="S/Shade",SSFrame,IF($E44="Hampton",Hamptonf,Frame)))</formula1>
    </dataValidation>
    <dataValidation type="list" allowBlank="1" showInputMessage="1" showErrorMessage="1" sqref="I47:I49" xr:uid="{B57DA2B9-1DCE-43F5-B3C2-408EAB7B779A}">
      <formula1>IF($D$47="Tracked",TFrame,IF($D$47="S/Shade",SSFrame,IF($E47="Hampton",Hamptonf,Frame)))</formula1>
    </dataValidation>
    <dataValidation type="list" allowBlank="1" showInputMessage="1" showErrorMessage="1" sqref="E35:E37" xr:uid="{2D286241-0BE7-4703-B902-D96E60EC4598}">
      <formula1>IF(OR($D$35="Shape",$D$35="French Door Cutout"),Shapes,Matorder)</formula1>
    </dataValidation>
    <dataValidation type="list" allowBlank="1" showInputMessage="1" showErrorMessage="1" sqref="E38:E40" xr:uid="{9A499F76-4A84-4431-8487-0E7A91E88FA2}">
      <formula1>IF(OR($D$38="Shape",$D$38="French Door Cutout"),Shapes,Matorder)</formula1>
    </dataValidation>
    <dataValidation type="list" allowBlank="1" showInputMessage="1" showErrorMessage="1" sqref="E41:E43" xr:uid="{3A670EC7-F6EA-4906-9922-E2CB871EC52A}">
      <formula1>IF(OR($D$41="Shape",$D$41="French Door Cutout"),Shapes,Matorder)</formula1>
    </dataValidation>
    <dataValidation type="list" allowBlank="1" showInputMessage="1" showErrorMessage="1" sqref="E44:E46" xr:uid="{0D5F4196-91DB-48D3-869A-1407B8B5A23E}">
      <formula1>IF(OR($D$44="Shape",$D$44="French Door Cutout"),Shapes,Matorder)</formula1>
    </dataValidation>
    <dataValidation type="list" allowBlank="1" showInputMessage="1" showErrorMessage="1" sqref="E47:E49" xr:uid="{EAD4117E-4AB1-4063-A93F-BF873980E3C2}">
      <formula1>IF(OR($D$47="Shape",$D$47="French Door Cutout"),Shapes,Matorder)</formula1>
    </dataValidation>
    <dataValidation type="list" allowBlank="1" showInputMessage="1" showErrorMessage="1" sqref="E50:E52" xr:uid="{55FFED9D-087F-4121-AA78-E5FE3CF9FBF3}">
      <formula1>IF(OR($D$50="Shape",$D$50="French Door Cutout"),Shapes,Matorder)</formula1>
    </dataValidation>
    <dataValidation type="list" allowBlank="1" showInputMessage="1" showErrorMessage="1" sqref="E62:F63" xr:uid="{7AE3D54B-1A3E-4A07-A633-5F2588DFB602}">
      <formula1>SalesTeam</formula1>
    </dataValidation>
    <dataValidation type="list" allowBlank="1" showInputMessage="1" showErrorMessage="1" sqref="X74" xr:uid="{D585E138-DDE3-4C60-9BE3-38795D8DAE9A}">
      <formula1>"Please Select:,Yes, No"</formula1>
    </dataValidation>
    <dataValidation type="list" allowBlank="1" showInputMessage="1" showErrorMessage="1" sqref="AD12 AD15 AD18 AD21 AD24 AD27 AD30 AD33 AD36 AD39 AD42 AD45 AD48 AD51 AD9" xr:uid="{4D29CA03-902A-44AE-8442-287140BDE7F0}">
      <formula1>"SQM, 3 for 2"</formula1>
    </dataValidation>
    <dataValidation type="list" allowBlank="1" showInputMessage="1" showErrorMessage="1" sqref="AE71:AE72" xr:uid="{155DC0CE-32B2-4A0C-BE78-1F1881D5F240}">
      <formula1>"Select Method,Card,BACS,Cash"</formula1>
    </dataValidation>
    <dataValidation type="list" allowBlank="1" showInputMessage="1" sqref="AE74" xr:uid="{5A00AEEF-82FF-4423-A0C6-CACCE0FA7248}">
      <formula1>"Survey Date:,TBC,ASAP,Building Works"</formula1>
    </dataValidation>
    <dataValidation type="list" showInputMessage="1" showErrorMessage="1" sqref="AD53" xr:uid="{336B63D0-E52C-492C-9198-F2677240C74A}">
      <formula1>"3-4-2 SQM, ="""""</formula1>
    </dataValidation>
    <dataValidation type="list" allowBlank="1" showInputMessage="1" showErrorMessage="1" sqref="X63:AD63" xr:uid="{2D6C0BD8-AE93-4CEE-A946-E509BC635587}">
      <formula1>"Survey &amp; Installation, Survey &amp; Installation 25%"</formula1>
    </dataValidation>
    <dataValidation type="list" allowBlank="1" showInputMessage="1" sqref="N75:O75" xr:uid="{F057833A-8CB8-4453-966F-B6607907BAE4}">
      <formula1>"Other:,Price Match,Friends &amp; Family,Managers Discretion"</formula1>
    </dataValidation>
    <dataValidation type="list" allowBlank="1" showInputMessage="1" showErrorMessage="1" sqref="E26:E28" xr:uid="{A0AC0A4B-E5C1-42A3-AA4E-F40E08083D82}">
      <formula1>IF(OR($D$26="Shape",$D$26="French Door Cutout"),Shapes,Matorder)</formula1>
    </dataValidation>
    <dataValidation type="list" allowBlank="1" showInputMessage="1" showErrorMessage="1" sqref="E29:E31" xr:uid="{660FF562-0713-42E5-83CA-0D9FE2226C1F}">
      <formula1>IF(OR($D$29="Shape",$D$29="French Door Cutout"),Shapes,Matorder)</formula1>
    </dataValidation>
    <dataValidation type="list" allowBlank="1" showInputMessage="1" showErrorMessage="1" sqref="E32:E34" xr:uid="{612D1118-A1AE-4188-BA73-9D0BAE308533}">
      <formula1>IF(OR($D$32="Shape",$D$32="French Door Cutout"),Shapes,Matorder)</formula1>
    </dataValidation>
    <dataValidation type="list" allowBlank="1" showInputMessage="1" showErrorMessage="1" sqref="I17:I19" xr:uid="{D512821E-05C3-4162-AA7C-AE28918C46BD}">
      <formula1>IF($D$17="Tracked",TFrame,IF($D$17="S/Shade",SSFrame,IF($E17="Hampton",Hamptonf,Frame)))</formula1>
    </dataValidation>
    <dataValidation type="list" allowBlank="1" showInputMessage="1" showErrorMessage="1" sqref="I20:I22" xr:uid="{CD5463D0-6696-47D0-8AEB-A466211692B2}">
      <formula1>IF($D$20="Tracked",TFrame,IF($D$20="S/Shade",SSFrame,IF($E20="Hampton",Hamptonf,Frame)))</formula1>
    </dataValidation>
    <dataValidation type="list" allowBlank="1" showInputMessage="1" showErrorMessage="1" sqref="I23:I25" xr:uid="{5A4A095F-5B6A-4792-B526-9972FB5E7F1E}">
      <formula1>IF($D$23="Tracked",TFrame,IF($D$23="S/Shade",SSFrame,IF($E23="Hampton",Hamptonf,Frame)))</formula1>
    </dataValidation>
    <dataValidation type="list" allowBlank="1" showInputMessage="1" showErrorMessage="1" sqref="I26:I28" xr:uid="{F0476514-01F2-454A-8D45-C4AF3B28BD79}">
      <formula1>IF($D$26="Tracked",TFrame,IF($D$26="S/Shade",SSFrame,IF($E26="Hampton",Hamptonf,Frame)))</formula1>
    </dataValidation>
    <dataValidation type="list" allowBlank="1" showInputMessage="1" showErrorMessage="1" sqref="I29:I31" xr:uid="{7278737F-A47A-4FAE-AB3D-82AD303A763C}">
      <formula1>IF($D$29="Tracked",TFrame,IF($D$29="S/Shade",SSFrame,IF($E29="Hampton",Hamptonf,Frame)))</formula1>
    </dataValidation>
    <dataValidation type="list" allowBlank="1" showInputMessage="1" showErrorMessage="1" sqref="I32:I34" xr:uid="{FACFCEC6-A122-4103-ADF8-8682E5294304}">
      <formula1>IF($D$32="Tracked",TFrame,IF($D$32="S/Shade",SSFrame,IF($E32="Hampton",Hamptonf,Frame)))</formula1>
    </dataValidation>
    <dataValidation type="list" allowBlank="1" showInputMessage="1" showErrorMessage="1" sqref="X61:AD61" xr:uid="{9F27793F-499C-4043-BC36-B3F6290FC1E0}">
      <formula1>"Upgrade &amp; Extras, Upgrade &amp; Extras (10%)"</formula1>
    </dataValidation>
    <dataValidation type="list" allowBlank="1" showInputMessage="1" showErrorMessage="1" sqref="N74:O74" xr:uid="{35281486-E761-4F5A-BFC3-EDE4A449FE2C}">
      <formula1>IF(++$S$61="Please Select",Discounts,DiscountsFin)</formula1>
    </dataValidation>
    <dataValidation allowBlank="1" showInputMessage="1" showErrorMessage="1" prompt="Maximum height without a mid rail is 1879mm_x000a__x000a_Maximum height for Silent Tilt is 1372" sqref="N17:N52" xr:uid="{D8201396-C7F7-4F82-9922-FE9A40FE9695}"/>
    <dataValidation allowBlank="1" showInputMessage="1" showErrorMessage="1" prompt="Maximum height without a mid rail is 1879mm_x000a__x000a_Maximum height for Silent Tilt is 1372mm" sqref="N8:N16" xr:uid="{62ADEA92-E949-4410-B0B5-C0C7844B9434}"/>
    <dataValidation type="list" allowBlank="1" showInputMessage="1" showErrorMessage="1" sqref="AE68:AF68" xr:uid="{7CC07D7F-C698-4111-9198-5122F5836EB9}">
      <formula1>MMaterial</formula1>
    </dataValidation>
    <dataValidation type="list" allowBlank="1" showInputMessage="1" showErrorMessage="1" sqref="I11:I13" xr:uid="{0F038A6A-FD39-4FF9-825C-5C5876B3CFF4}">
      <formula1>IF($D$11="Tracked",TFrame,IF($D$11="S/Shade",SSFrame,IF($E11="Hampton",Hamptonf,Frame)))</formula1>
    </dataValidation>
    <dataValidation type="list" allowBlank="1" showInputMessage="1" showErrorMessage="1" sqref="I14:I16" xr:uid="{44A398ED-E040-40E3-933D-39D0DE113A55}">
      <formula1>IF($D$14="Tracked",TFrame,IF($D$14="S/Shade",SSFrame,IF($E14="Hampton",Hamptonf,Frame)))</formula1>
    </dataValidation>
    <dataValidation type="list" allowBlank="1" showInputMessage="1" showErrorMessage="1" sqref="E11:E13" xr:uid="{B5351038-21CA-4F1C-8FE4-9D9E0761DCB1}">
      <formula1>IF(OR($D$11="Shape",$D$11="French Door Cutout"),Shapes,Matorder)</formula1>
    </dataValidation>
    <dataValidation type="list" allowBlank="1" showInputMessage="1" showErrorMessage="1" sqref="E20:E22" xr:uid="{C21839AF-3878-485D-924E-CC745D1E1E63}">
      <formula1>IF(OR($D$20="Shape",$D$20="French Door Cutout"),Shapes,Matorder)</formula1>
    </dataValidation>
    <dataValidation type="list" allowBlank="1" showInputMessage="1" showErrorMessage="1" sqref="E23:E25" xr:uid="{2F1221DB-FD3B-4CA1-A54B-92FEE5BB305E}">
      <formula1>IF(OR($D$23="Shape",$D$23="French Door Cutout"),Shapes,Matorder)</formula1>
    </dataValidation>
    <dataValidation type="list" allowBlank="1" showInputMessage="1" showErrorMessage="1" sqref="R14:AB14 R20:AB20" xr:uid="{095CA92D-501C-426A-81DC-C7A6D1C36A40}">
      <formula1>IF($E$8="Aruba",ArubaConfig,Config1)</formula1>
    </dataValidation>
    <dataValidation type="list" allowBlank="1" showInputMessage="1" showErrorMessage="1" sqref="R11:AC11" xr:uid="{8F249C0E-D872-4B65-B6B6-858F4A3E777F}">
      <formula1>IF($E$11="Aruba",ArubaConfig,Config1)</formula1>
    </dataValidation>
    <dataValidation type="list" allowBlank="1" showInputMessage="1" showErrorMessage="1" sqref="E14:E16" xr:uid="{1CB69DD8-049C-4FC7-AE04-DE189DCDB69D}">
      <formula1>IF(OR($D$14="Shape",$D$14="French Door Cutout"),Shapes,Matorder)</formula1>
    </dataValidation>
    <dataValidation type="list" allowBlank="1" showInputMessage="1" showErrorMessage="1" sqref="E17:E19" xr:uid="{8911FE31-EC92-4745-83E7-559C8B9F1F94}">
      <formula1>IF(OR($D$17="Shape",$D$17="French Door Cutout"),Shapes,Matorder)</formula1>
    </dataValidation>
    <dataValidation type="list" allowBlank="1" showInputMessage="1" showErrorMessage="1" sqref="D53:D55" xr:uid="{2316ECEA-1269-4635-93A7-DFB70E491B46}">
      <formula1>"Please select, Yes, No"</formula1>
    </dataValidation>
    <dataValidation type="list" allowBlank="1" showInputMessage="1" showErrorMessage="1" sqref="J65:K65 J67:K67 J69:K69 J73:K73" xr:uid="{784C3E3E-B7EC-42C9-9841-8BACEEB27981}">
      <formula1>"Select, Yes, No"</formula1>
    </dataValidation>
    <dataValidation type="list" allowBlank="1" showInputMessage="1" sqref="F51:G51 F48:G48 F15:G15 F18:G18 F21:G21 F24:G24 F27:G27 F30 F33:G33 F36:G36 F39:G39 F42:G42 F45:G45 F12:G12 F9:G9" xr:uid="{CBEDCEC7-1836-4A24-A693-0F97E79F131C}">
      <formula1>IF(AND($D8="S/Shade",$E8="Maui"),MauiShade,Shapestyle)</formula1>
    </dataValidation>
    <dataValidation type="list" allowBlank="1" showInputMessage="1" sqref="F8:G8" xr:uid="{AF179DA7-DC8C-4C3D-8EAC-8852F62413E7}">
      <formula1>IF(E8="Aruba Express",ArubaExpress,IF(AND(D8="S/Shade",E8="Antigua"),AntSS,INDIRECT(E8)))</formula1>
    </dataValidation>
    <dataValidation type="list" allowBlank="1" showInputMessage="1" sqref="D8:D10" xr:uid="{4B44E45E-E0BE-4104-A3B6-80A9D300AB4C}">
      <formula1>Shuttype</formula1>
    </dataValidation>
    <dataValidation type="list" allowBlank="1" showInputMessage="1" sqref="H8:H10" xr:uid="{47CD8A65-E104-4ABF-9F0A-62129409C195}">
      <formula1>IF(E8="Aruba Express",ArubaExpressL,INDIRECT(E8 &amp; "L"))</formula1>
    </dataValidation>
    <dataValidation type="list" allowBlank="1" showInputMessage="1" sqref="C10" xr:uid="{36688980-1980-411A-A59A-FD0CE36C24D5}">
      <formula1>"Left, Centre, Right"</formula1>
    </dataValidation>
    <dataValidation type="list" allowBlank="1" showInputMessage="1" sqref="G10" xr:uid="{D31F3202-0780-42A7-8689-0260903552BF}">
      <formula1>IF(E8="Aruba Express",ArubaEH,INDIRECT(E8 &amp; "H"))</formula1>
    </dataValidation>
    <dataValidation type="list" allowBlank="1" showInputMessage="1" sqref="I8:I10" xr:uid="{2089689C-E191-47A1-99FB-2B4CEF46C5E2}">
      <formula1>IF($D$8="Tracked",TFrame,IF($D$8="S/Shade",SSFrame,Frame))</formula1>
    </dataValidation>
    <dataValidation type="list" allowBlank="1" showInputMessage="1" sqref="E8:E10" xr:uid="{A8968B54-2719-4873-B86C-3901250C9D2C}">
      <formula1>IF(OR($D$8="Shape",$D$8="French Door Cutout"),Shapes,Matorder)</formula1>
    </dataValidation>
    <dataValidation type="list" allowBlank="1" showInputMessage="1" showErrorMessage="1" sqref="R8:AB8" xr:uid="{CF650A8C-FC6D-4852-8349-D5A40C227096}">
      <formula1>Config1</formula1>
    </dataValidation>
  </dataValidations>
  <printOptions gridLines="1"/>
  <pageMargins left="0.7" right="0.7" top="0.75" bottom="0.75" header="0.3" footer="0.3"/>
  <pageSetup paperSize="9" scale="36" fitToWidth="0" fitToHeight="0" orientation="landscape" horizontalDpi="300" verticalDpi="300" r:id="rId1"/>
  <headerFooter scaleWithDoc="0"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D08D27-2654-494B-9D21-825F20FCC7D0}">
  <sheetPr codeName="Sheet10"/>
  <dimension ref="A1:W57"/>
  <sheetViews>
    <sheetView topLeftCell="A9" zoomScaleNormal="100" workbookViewId="0">
      <selection activeCell="L25" sqref="L25"/>
    </sheetView>
  </sheetViews>
  <sheetFormatPr defaultColWidth="7.7109375" defaultRowHeight="14.45"/>
  <cols>
    <col min="1" max="1" width="2.7109375" customWidth="1"/>
    <col min="3" max="3" width="7.7109375" customWidth="1"/>
    <col min="5" max="5" width="3.140625" customWidth="1"/>
    <col min="6" max="6" width="8.42578125" customWidth="1"/>
    <col min="7" max="7" width="5.5703125" customWidth="1"/>
    <col min="8" max="8" width="6.28515625" customWidth="1"/>
    <col min="9" max="9" width="9.7109375" customWidth="1"/>
    <col min="10" max="10" width="11.28515625" customWidth="1"/>
    <col min="11" max="11" width="4.42578125" customWidth="1"/>
    <col min="12" max="12" width="33.140625" customWidth="1"/>
    <col min="13" max="13" width="2.28515625" customWidth="1"/>
    <col min="19" max="19" width="33.140625" customWidth="1"/>
    <col min="20" max="20" width="7.7109375" customWidth="1"/>
    <col min="21" max="21" width="9.28515625" customWidth="1"/>
    <col min="22" max="22" width="6.28515625" customWidth="1"/>
    <col min="23" max="23" width="14.5703125" customWidth="1"/>
  </cols>
  <sheetData>
    <row r="1" spans="1:23">
      <c r="N1" s="14"/>
      <c r="O1" s="14"/>
      <c r="P1" s="14"/>
      <c r="Q1" s="14"/>
      <c r="R1" s="14"/>
      <c r="S1" s="14"/>
      <c r="T1" s="14"/>
      <c r="U1" s="14"/>
      <c r="V1" s="14"/>
      <c r="W1" s="14"/>
    </row>
    <row r="2" spans="1:23" ht="21">
      <c r="I2" s="1514" t="s">
        <v>967</v>
      </c>
      <c r="J2" s="1514"/>
      <c r="K2" s="1514"/>
      <c r="L2" s="1514"/>
      <c r="M2" s="78"/>
      <c r="N2" s="14"/>
      <c r="O2" s="14"/>
      <c r="P2" s="14"/>
      <c r="Q2" s="14"/>
      <c r="R2" s="14"/>
      <c r="S2" s="14"/>
      <c r="T2" s="14"/>
      <c r="U2" s="14"/>
      <c r="V2" s="14"/>
      <c r="W2" s="14"/>
    </row>
    <row r="3" spans="1:23">
      <c r="N3" s="14"/>
      <c r="O3" s="14"/>
      <c r="P3" s="14"/>
      <c r="Q3" s="14"/>
      <c r="R3" s="14"/>
      <c r="S3" s="14"/>
      <c r="T3" s="14"/>
      <c r="U3" s="14"/>
      <c r="V3" s="14"/>
      <c r="W3" s="14"/>
    </row>
    <row r="4" spans="1:23">
      <c r="N4" s="14"/>
      <c r="O4" s="14"/>
      <c r="P4" s="14"/>
      <c r="Q4" s="14"/>
      <c r="R4" s="14"/>
      <c r="S4" s="14"/>
      <c r="T4" s="14"/>
      <c r="U4" s="14"/>
      <c r="V4" s="14"/>
      <c r="W4" s="14"/>
    </row>
    <row r="5" spans="1:23" ht="26.1">
      <c r="B5" s="1588" t="s">
        <v>968</v>
      </c>
      <c r="C5" s="1588"/>
      <c r="D5" s="1406"/>
      <c r="E5" s="1406"/>
      <c r="F5" s="1406"/>
      <c r="G5" s="1406"/>
      <c r="I5" s="46" t="s">
        <v>75</v>
      </c>
      <c r="J5" s="966">
        <f ca="1">TODAY()</f>
        <v>45457</v>
      </c>
      <c r="K5" s="966"/>
      <c r="L5" s="675"/>
      <c r="M5" s="4"/>
      <c r="N5" s="1589" t="s">
        <v>969</v>
      </c>
      <c r="O5" s="1589"/>
      <c r="P5" s="1589"/>
      <c r="Q5" s="1589"/>
      <c r="R5" s="1589"/>
      <c r="S5" s="1589"/>
      <c r="T5" s="1589"/>
      <c r="U5" s="1589"/>
      <c r="V5" s="1589"/>
      <c r="W5" s="1589"/>
    </row>
    <row r="6" spans="1:23">
      <c r="B6" s="1406" t="s">
        <v>214</v>
      </c>
      <c r="C6" s="1406"/>
      <c r="D6" s="1406"/>
      <c r="E6" s="1406"/>
      <c r="F6" s="1406"/>
      <c r="G6" s="1406"/>
      <c r="I6" s="1406" t="s">
        <v>391</v>
      </c>
      <c r="J6" s="1664"/>
      <c r="K6" s="1664"/>
      <c r="L6" s="1664"/>
      <c r="N6" s="14"/>
      <c r="O6" s="14"/>
      <c r="P6" s="14"/>
      <c r="Q6" s="14"/>
      <c r="R6" s="14"/>
      <c r="S6" s="14"/>
      <c r="T6" s="14"/>
      <c r="U6" s="14"/>
      <c r="V6" s="14"/>
      <c r="W6" s="14"/>
    </row>
    <row r="7" spans="1:23">
      <c r="B7" s="1406"/>
      <c r="C7" s="1406"/>
      <c r="D7" s="1406"/>
      <c r="E7" s="1406"/>
      <c r="F7" s="1406"/>
      <c r="G7" s="1406"/>
      <c r="I7" s="1406"/>
      <c r="J7" s="1664"/>
      <c r="K7" s="1664"/>
      <c r="L7" s="1664"/>
      <c r="M7" s="126"/>
      <c r="N7" s="1529" t="s">
        <v>248</v>
      </c>
      <c r="O7" s="1529"/>
      <c r="P7" s="1531" t="str">
        <f>IF(D5="","",D5)</f>
        <v/>
      </c>
      <c r="Q7" s="1531"/>
      <c r="R7" s="14"/>
      <c r="S7" s="1529" t="s">
        <v>214</v>
      </c>
      <c r="T7" s="1529"/>
      <c r="U7" s="1531" t="str">
        <f>IF(D6="","",D6)</f>
        <v/>
      </c>
      <c r="V7" s="1531"/>
      <c r="W7" s="1531"/>
    </row>
    <row r="8" spans="1:23">
      <c r="N8" s="14"/>
      <c r="O8" s="14"/>
      <c r="P8" s="14"/>
      <c r="Q8" s="14"/>
      <c r="R8" s="14"/>
      <c r="S8" s="14"/>
      <c r="T8" s="14"/>
      <c r="U8" s="14"/>
      <c r="V8" s="14"/>
      <c r="W8" s="14"/>
    </row>
    <row r="9" spans="1:23" ht="21">
      <c r="B9" s="127" t="s">
        <v>970</v>
      </c>
      <c r="N9" s="975" t="s">
        <v>971</v>
      </c>
      <c r="O9" s="975"/>
      <c r="P9" s="975"/>
      <c r="Q9" s="975"/>
      <c r="R9" s="975"/>
      <c r="S9" s="975"/>
      <c r="T9" s="975"/>
      <c r="U9" s="975"/>
      <c r="V9" s="975"/>
      <c r="W9" s="975"/>
    </row>
    <row r="10" spans="1:23" ht="15.6">
      <c r="B10" s="128" t="s">
        <v>972</v>
      </c>
      <c r="N10" s="975"/>
      <c r="O10" s="975"/>
      <c r="P10" s="975"/>
      <c r="Q10" s="975"/>
      <c r="R10" s="975"/>
      <c r="S10" s="975"/>
      <c r="T10" s="975"/>
      <c r="U10" s="975"/>
      <c r="V10" s="975"/>
      <c r="W10" s="975"/>
    </row>
    <row r="11" spans="1:23">
      <c r="N11" s="975"/>
      <c r="O11" s="975"/>
      <c r="P11" s="975"/>
      <c r="Q11" s="975"/>
      <c r="R11" s="975"/>
      <c r="S11" s="975"/>
      <c r="T11" s="975"/>
      <c r="U11" s="975"/>
      <c r="V11" s="975"/>
      <c r="W11" s="975"/>
    </row>
    <row r="12" spans="1:23" ht="15" customHeight="1">
      <c r="B12" s="1453" t="s">
        <v>973</v>
      </c>
      <c r="C12" s="1454"/>
      <c r="D12" s="1454"/>
      <c r="E12" s="1454"/>
      <c r="F12" s="1585"/>
      <c r="G12" s="129"/>
      <c r="H12" s="1587" t="s">
        <v>974</v>
      </c>
      <c r="I12" s="1587"/>
      <c r="J12" s="1587"/>
      <c r="K12" s="1587"/>
      <c r="L12" s="1587"/>
      <c r="M12" s="130"/>
      <c r="N12" s="975"/>
      <c r="O12" s="975"/>
      <c r="P12" s="975"/>
      <c r="Q12" s="975"/>
      <c r="R12" s="975"/>
      <c r="S12" s="975"/>
      <c r="T12" s="975"/>
      <c r="U12" s="975"/>
      <c r="V12" s="975"/>
      <c r="W12" s="975"/>
    </row>
    <row r="13" spans="1:23">
      <c r="B13" s="1456"/>
      <c r="C13" s="1457"/>
      <c r="D13" s="1457"/>
      <c r="E13" s="1457"/>
      <c r="F13" s="1586"/>
      <c r="G13" s="129"/>
      <c r="H13" s="1587"/>
      <c r="I13" s="1587"/>
      <c r="J13" s="1587"/>
      <c r="K13" s="1587"/>
      <c r="L13" s="1587"/>
      <c r="M13" s="130"/>
      <c r="N13" s="975"/>
      <c r="O13" s="975"/>
      <c r="P13" s="975"/>
      <c r="Q13" s="975"/>
      <c r="R13" s="975"/>
      <c r="S13" s="975"/>
      <c r="T13" s="975"/>
      <c r="U13" s="975"/>
      <c r="V13" s="975"/>
      <c r="W13" s="975"/>
    </row>
    <row r="14" spans="1:23">
      <c r="N14" s="975"/>
      <c r="O14" s="975"/>
      <c r="P14" s="975"/>
      <c r="Q14" s="975"/>
      <c r="R14" s="975"/>
      <c r="S14" s="975"/>
      <c r="T14" s="975"/>
      <c r="U14" s="975"/>
      <c r="V14" s="975"/>
      <c r="W14" s="975"/>
    </row>
    <row r="15" spans="1:23" ht="15.6">
      <c r="A15" s="128" t="s">
        <v>975</v>
      </c>
      <c r="N15" s="975"/>
      <c r="O15" s="975"/>
      <c r="P15" s="975"/>
      <c r="Q15" s="975"/>
      <c r="R15" s="975"/>
      <c r="S15" s="975"/>
      <c r="T15" s="975"/>
      <c r="U15" s="975"/>
      <c r="V15" s="975"/>
      <c r="W15" s="975"/>
    </row>
    <row r="16" spans="1:23">
      <c r="N16" s="975"/>
      <c r="O16" s="975"/>
      <c r="P16" s="975"/>
      <c r="Q16" s="975"/>
      <c r="R16" s="975"/>
      <c r="S16" s="975"/>
      <c r="T16" s="975"/>
      <c r="U16" s="975"/>
      <c r="V16" s="975"/>
      <c r="W16" s="975"/>
    </row>
    <row r="17" spans="1:23">
      <c r="N17" s="975"/>
      <c r="O17" s="975"/>
      <c r="P17" s="975"/>
      <c r="Q17" s="975"/>
      <c r="R17" s="975"/>
      <c r="S17" s="975"/>
      <c r="T17" s="975"/>
      <c r="U17" s="975"/>
      <c r="V17" s="975"/>
      <c r="W17" s="975"/>
    </row>
    <row r="18" spans="1:23">
      <c r="N18" s="975"/>
      <c r="O18" s="975"/>
      <c r="P18" s="975"/>
      <c r="Q18" s="975"/>
      <c r="R18" s="975"/>
      <c r="S18" s="975"/>
      <c r="T18" s="975"/>
      <c r="U18" s="975"/>
      <c r="V18" s="975"/>
      <c r="W18" s="975"/>
    </row>
    <row r="19" spans="1:23">
      <c r="N19" s="975"/>
      <c r="O19" s="975"/>
      <c r="P19" s="975"/>
      <c r="Q19" s="975"/>
      <c r="R19" s="975"/>
      <c r="S19" s="975"/>
      <c r="T19" s="975"/>
      <c r="U19" s="975"/>
      <c r="V19" s="975"/>
      <c r="W19" s="975"/>
    </row>
    <row r="20" spans="1:23">
      <c r="N20" s="975"/>
      <c r="O20" s="975"/>
      <c r="P20" s="975"/>
      <c r="Q20" s="975"/>
      <c r="R20" s="975"/>
      <c r="S20" s="975"/>
      <c r="T20" s="975"/>
      <c r="U20" s="975"/>
      <c r="V20" s="975"/>
      <c r="W20" s="975"/>
    </row>
    <row r="21" spans="1:23">
      <c r="A21" s="131"/>
      <c r="N21" s="975"/>
      <c r="O21" s="975"/>
      <c r="P21" s="975"/>
      <c r="Q21" s="975"/>
      <c r="R21" s="975"/>
      <c r="S21" s="975"/>
      <c r="T21" s="975"/>
      <c r="U21" s="975"/>
      <c r="V21" s="975"/>
      <c r="W21" s="975"/>
    </row>
    <row r="22" spans="1:23">
      <c r="N22" s="975"/>
      <c r="O22" s="975"/>
      <c r="P22" s="975"/>
      <c r="Q22" s="975"/>
      <c r="R22" s="975"/>
      <c r="S22" s="975"/>
      <c r="T22" s="975"/>
      <c r="U22" s="975"/>
      <c r="V22" s="975"/>
      <c r="W22" s="975"/>
    </row>
    <row r="23" spans="1:23" ht="15" customHeight="1">
      <c r="N23" s="975"/>
      <c r="O23" s="975"/>
      <c r="P23" s="975"/>
      <c r="Q23" s="975"/>
      <c r="R23" s="975"/>
      <c r="S23" s="975"/>
      <c r="T23" s="975"/>
      <c r="U23" s="975"/>
      <c r="V23" s="975"/>
      <c r="W23" s="975"/>
    </row>
    <row r="24" spans="1:23">
      <c r="N24" s="975"/>
      <c r="O24" s="975"/>
      <c r="P24" s="975"/>
      <c r="Q24" s="975"/>
      <c r="R24" s="975"/>
      <c r="S24" s="975"/>
      <c r="T24" s="975"/>
      <c r="U24" s="975"/>
      <c r="V24" s="975"/>
      <c r="W24" s="975"/>
    </row>
    <row r="25" spans="1:23">
      <c r="N25" s="975"/>
      <c r="O25" s="975"/>
      <c r="P25" s="975"/>
      <c r="Q25" s="975"/>
      <c r="R25" s="975"/>
      <c r="S25" s="975"/>
      <c r="T25" s="975"/>
      <c r="U25" s="975"/>
      <c r="V25" s="975"/>
      <c r="W25" s="975"/>
    </row>
    <row r="26" spans="1:23" ht="15.6">
      <c r="A26" s="128" t="s">
        <v>976</v>
      </c>
      <c r="N26" s="967" t="s">
        <v>977</v>
      </c>
      <c r="O26" s="967"/>
      <c r="P26" s="967"/>
      <c r="Q26" s="967"/>
      <c r="R26" s="967"/>
      <c r="S26" s="967"/>
      <c r="T26" s="967"/>
      <c r="U26" s="967"/>
      <c r="V26" s="967"/>
      <c r="W26" s="967"/>
    </row>
    <row r="27" spans="1:23">
      <c r="N27" s="967"/>
      <c r="O27" s="967"/>
      <c r="P27" s="967"/>
      <c r="Q27" s="967"/>
      <c r="R27" s="967"/>
      <c r="S27" s="967"/>
      <c r="T27" s="967"/>
      <c r="U27" s="967"/>
      <c r="V27" s="967"/>
      <c r="W27" s="967"/>
    </row>
    <row r="28" spans="1:23">
      <c r="M28" s="4"/>
      <c r="N28" s="967"/>
      <c r="O28" s="967"/>
      <c r="P28" s="967"/>
      <c r="Q28" s="967"/>
      <c r="R28" s="967"/>
      <c r="S28" s="967"/>
      <c r="T28" s="967"/>
      <c r="U28" s="967"/>
      <c r="V28" s="967"/>
      <c r="W28" s="967"/>
    </row>
    <row r="29" spans="1:23">
      <c r="N29" s="967"/>
      <c r="O29" s="967"/>
      <c r="P29" s="967"/>
      <c r="Q29" s="967"/>
      <c r="R29" s="967"/>
      <c r="S29" s="967"/>
      <c r="T29" s="967"/>
      <c r="U29" s="967"/>
      <c r="V29" s="967"/>
      <c r="W29" s="967"/>
    </row>
    <row r="30" spans="1:23">
      <c r="N30" s="967"/>
      <c r="O30" s="967"/>
      <c r="P30" s="967"/>
      <c r="Q30" s="967"/>
      <c r="R30" s="967"/>
      <c r="S30" s="967"/>
      <c r="T30" s="967"/>
      <c r="U30" s="967"/>
      <c r="V30" s="967"/>
      <c r="W30" s="967"/>
    </row>
    <row r="31" spans="1:23">
      <c r="N31" s="967"/>
      <c r="O31" s="967"/>
      <c r="P31" s="967"/>
      <c r="Q31" s="967"/>
      <c r="R31" s="967"/>
      <c r="S31" s="967"/>
      <c r="T31" s="967"/>
      <c r="U31" s="967"/>
      <c r="V31" s="967"/>
      <c r="W31" s="967"/>
    </row>
    <row r="32" spans="1:23">
      <c r="N32" s="967"/>
      <c r="O32" s="967"/>
      <c r="P32" s="967"/>
      <c r="Q32" s="967"/>
      <c r="R32" s="967"/>
      <c r="S32" s="967"/>
      <c r="T32" s="967"/>
      <c r="U32" s="967"/>
      <c r="V32" s="967"/>
      <c r="W32" s="967"/>
    </row>
    <row r="33" spans="1:23">
      <c r="N33" s="967"/>
      <c r="O33" s="967"/>
      <c r="P33" s="967"/>
      <c r="Q33" s="967"/>
      <c r="R33" s="967"/>
      <c r="S33" s="967"/>
      <c r="T33" s="967"/>
      <c r="U33" s="967"/>
      <c r="V33" s="967"/>
      <c r="W33" s="967"/>
    </row>
    <row r="34" spans="1:23">
      <c r="N34" s="967"/>
      <c r="O34" s="967"/>
      <c r="P34" s="967"/>
      <c r="Q34" s="967"/>
      <c r="R34" s="967"/>
      <c r="S34" s="967"/>
      <c r="T34" s="967"/>
      <c r="U34" s="967"/>
      <c r="V34" s="967"/>
      <c r="W34" s="967"/>
    </row>
    <row r="35" spans="1:23">
      <c r="A35" s="7"/>
      <c r="B35" s="7"/>
      <c r="C35" s="7"/>
      <c r="D35" s="7"/>
      <c r="E35" s="7"/>
      <c r="F35" s="7"/>
      <c r="G35" s="132"/>
      <c r="H35" s="132"/>
      <c r="I35" s="132"/>
      <c r="J35" s="28"/>
      <c r="K35" s="28"/>
      <c r="L35" s="4"/>
      <c r="M35" s="4"/>
      <c r="N35" s="967"/>
      <c r="O35" s="967"/>
      <c r="P35" s="967"/>
      <c r="Q35" s="967"/>
      <c r="R35" s="967"/>
      <c r="S35" s="967"/>
      <c r="T35" s="967"/>
      <c r="U35" s="967"/>
      <c r="V35" s="967"/>
      <c r="W35" s="967"/>
    </row>
    <row r="36" spans="1:23">
      <c r="N36" s="967"/>
      <c r="O36" s="967"/>
      <c r="P36" s="967"/>
      <c r="Q36" s="967"/>
      <c r="R36" s="967"/>
      <c r="S36" s="967"/>
      <c r="T36" s="967"/>
      <c r="U36" s="967"/>
      <c r="V36" s="967"/>
      <c r="W36" s="967"/>
    </row>
    <row r="37" spans="1:23">
      <c r="A37" s="1009" t="s">
        <v>978</v>
      </c>
      <c r="B37" s="1009"/>
      <c r="C37" s="1009"/>
      <c r="D37" s="1009"/>
      <c r="E37" s="1009"/>
      <c r="F37" s="1009"/>
      <c r="G37" s="1009"/>
      <c r="H37" s="1009"/>
      <c r="I37" s="1009"/>
      <c r="J37" s="1009"/>
      <c r="K37" s="1009"/>
      <c r="L37" s="1009"/>
      <c r="N37" s="967"/>
      <c r="O37" s="967"/>
      <c r="P37" s="967"/>
      <c r="Q37" s="967"/>
      <c r="R37" s="967"/>
      <c r="S37" s="967"/>
      <c r="T37" s="967"/>
      <c r="U37" s="967"/>
      <c r="V37" s="967"/>
      <c r="W37" s="967"/>
    </row>
    <row r="38" spans="1:23">
      <c r="N38" s="975" t="s">
        <v>979</v>
      </c>
      <c r="O38" s="975"/>
      <c r="P38" s="975"/>
      <c r="Q38" s="975"/>
      <c r="R38" s="975"/>
      <c r="S38" s="975"/>
      <c r="T38" s="975"/>
      <c r="U38" s="975"/>
      <c r="V38" s="975"/>
      <c r="W38" s="975"/>
    </row>
    <row r="39" spans="1:23">
      <c r="A39" s="1082" t="s">
        <v>980</v>
      </c>
      <c r="B39" s="1082"/>
      <c r="N39" s="975"/>
      <c r="O39" s="975"/>
      <c r="P39" s="975"/>
      <c r="Q39" s="975"/>
      <c r="R39" s="975"/>
      <c r="S39" s="975"/>
      <c r="T39" s="975"/>
      <c r="U39" s="975"/>
      <c r="V39" s="975"/>
      <c r="W39" s="975"/>
    </row>
    <row r="40" spans="1:23" ht="15" customHeight="1">
      <c r="A40" s="133"/>
      <c r="B40" s="133"/>
      <c r="C40" s="133"/>
      <c r="D40" s="134"/>
      <c r="E40" s="134"/>
      <c r="F40" s="134"/>
      <c r="G40" s="134"/>
      <c r="H40" s="134"/>
      <c r="I40" s="134"/>
      <c r="J40" s="135"/>
      <c r="K40" s="135"/>
      <c r="M40" s="4"/>
      <c r="N40" s="975"/>
      <c r="O40" s="975"/>
      <c r="P40" s="975"/>
      <c r="Q40" s="975"/>
      <c r="R40" s="975"/>
      <c r="S40" s="975"/>
      <c r="T40" s="975"/>
      <c r="U40" s="975"/>
      <c r="V40" s="975"/>
      <c r="W40" s="975"/>
    </row>
    <row r="41" spans="1:23">
      <c r="A41" s="133"/>
      <c r="B41" s="133"/>
      <c r="C41" s="133"/>
      <c r="D41" s="134"/>
      <c r="E41" s="134"/>
      <c r="F41" s="134"/>
      <c r="G41" s="134"/>
      <c r="H41" s="134"/>
      <c r="I41" s="134"/>
      <c r="J41" s="135"/>
      <c r="K41" s="135"/>
      <c r="M41" s="4"/>
      <c r="N41" s="975"/>
      <c r="O41" s="975"/>
      <c r="P41" s="975"/>
      <c r="Q41" s="975"/>
      <c r="R41" s="975"/>
      <c r="S41" s="975"/>
      <c r="T41" s="975"/>
      <c r="U41" s="975"/>
      <c r="V41" s="975"/>
      <c r="W41" s="975"/>
    </row>
    <row r="42" spans="1:23" ht="15" customHeight="1">
      <c r="A42" s="134"/>
      <c r="B42" s="134"/>
      <c r="C42" s="134"/>
      <c r="D42" s="134"/>
      <c r="E42" s="134"/>
      <c r="F42" s="134"/>
      <c r="G42" s="134"/>
      <c r="H42" s="134"/>
      <c r="I42" s="134"/>
      <c r="J42" s="133"/>
      <c r="K42" s="133"/>
      <c r="M42" s="4"/>
      <c r="N42" s="975"/>
      <c r="O42" s="975"/>
      <c r="P42" s="975"/>
      <c r="Q42" s="975"/>
      <c r="R42" s="975"/>
      <c r="S42" s="975"/>
      <c r="T42" s="975"/>
      <c r="U42" s="975"/>
      <c r="V42" s="975"/>
      <c r="W42" s="975"/>
    </row>
    <row r="43" spans="1:23">
      <c r="A43" s="134"/>
      <c r="B43" s="134"/>
      <c r="C43" s="134"/>
      <c r="D43" s="134"/>
      <c r="E43" s="134"/>
      <c r="F43" s="134"/>
      <c r="G43" s="134"/>
      <c r="H43" s="134"/>
      <c r="I43" s="134"/>
      <c r="J43" s="133"/>
      <c r="K43" s="133"/>
      <c r="M43" s="4"/>
      <c r="N43" s="975"/>
      <c r="O43" s="975"/>
      <c r="P43" s="975"/>
      <c r="Q43" s="975"/>
      <c r="R43" s="975"/>
      <c r="S43" s="975"/>
      <c r="T43" s="975"/>
      <c r="U43" s="975"/>
      <c r="V43" s="975"/>
      <c r="W43" s="975"/>
    </row>
    <row r="44" spans="1:23">
      <c r="N44" s="975"/>
      <c r="O44" s="975"/>
      <c r="P44" s="975"/>
      <c r="Q44" s="975"/>
      <c r="R44" s="975"/>
      <c r="S44" s="975"/>
      <c r="T44" s="975"/>
      <c r="U44" s="975"/>
      <c r="V44" s="975"/>
      <c r="W44" s="975"/>
    </row>
    <row r="45" spans="1:23">
      <c r="A45" s="131" t="s">
        <v>981</v>
      </c>
      <c r="N45" s="975"/>
      <c r="O45" s="975"/>
      <c r="P45" s="975"/>
      <c r="Q45" s="975"/>
      <c r="R45" s="975"/>
      <c r="S45" s="975"/>
      <c r="T45" s="975"/>
      <c r="U45" s="975"/>
      <c r="V45" s="975"/>
      <c r="W45" s="975"/>
    </row>
    <row r="46" spans="1:23">
      <c r="A46" s="27"/>
      <c r="B46" s="1575" t="s">
        <v>253</v>
      </c>
      <c r="C46" s="1580"/>
      <c r="D46" s="1576"/>
      <c r="E46" s="986" t="s">
        <v>9</v>
      </c>
      <c r="F46" s="986"/>
      <c r="G46" s="986" t="s">
        <v>10</v>
      </c>
      <c r="H46" s="986"/>
      <c r="I46" s="986" t="s">
        <v>982</v>
      </c>
      <c r="J46" s="986"/>
      <c r="K46" s="986"/>
      <c r="L46" s="986"/>
      <c r="M46" s="4"/>
      <c r="N46" s="1296" t="s">
        <v>983</v>
      </c>
      <c r="O46" s="1329"/>
      <c r="P46" s="1329"/>
      <c r="Q46" s="1329"/>
      <c r="R46" s="1329"/>
      <c r="S46" s="1297"/>
      <c r="T46" s="1583" t="s">
        <v>984</v>
      </c>
      <c r="U46" s="1583"/>
      <c r="V46" s="1583"/>
      <c r="W46" s="1584"/>
    </row>
    <row r="47" spans="1:23">
      <c r="A47" s="1570">
        <v>1</v>
      </c>
      <c r="B47" s="1572"/>
      <c r="C47" s="1573"/>
      <c r="D47" s="1574"/>
      <c r="E47" s="1572"/>
      <c r="F47" s="1574"/>
      <c r="G47" s="1572"/>
      <c r="H47" s="1574"/>
      <c r="I47" s="675"/>
      <c r="J47" s="675"/>
      <c r="K47" s="675"/>
      <c r="L47" s="675"/>
      <c r="M47" s="4"/>
      <c r="N47" s="1581"/>
      <c r="O47" s="1468"/>
      <c r="P47" s="1468"/>
      <c r="Q47" s="1468"/>
      <c r="R47" s="1468"/>
      <c r="S47" s="1582"/>
      <c r="T47" s="1569" t="s">
        <v>985</v>
      </c>
      <c r="U47" s="1577"/>
      <c r="V47" s="1575"/>
      <c r="W47" s="1576"/>
    </row>
    <row r="48" spans="1:23">
      <c r="A48" s="1571"/>
      <c r="B48" s="1474"/>
      <c r="C48" s="1472"/>
      <c r="D48" s="1475"/>
      <c r="E48" s="1474"/>
      <c r="F48" s="1475"/>
      <c r="G48" s="1474"/>
      <c r="H48" s="1475"/>
      <c r="I48" s="675"/>
      <c r="J48" s="675"/>
      <c r="K48" s="675"/>
      <c r="L48" s="675"/>
      <c r="M48" s="4"/>
      <c r="N48" s="1581"/>
      <c r="O48" s="1468"/>
      <c r="P48" s="1468"/>
      <c r="Q48" s="1468"/>
      <c r="R48" s="1468"/>
      <c r="S48" s="1582"/>
      <c r="T48" s="1569" t="s">
        <v>986</v>
      </c>
      <c r="U48" s="1577"/>
      <c r="V48" s="1575"/>
      <c r="W48" s="1576"/>
    </row>
    <row r="49" spans="1:23">
      <c r="A49" s="1570">
        <v>2</v>
      </c>
      <c r="B49" s="1572"/>
      <c r="C49" s="1573"/>
      <c r="D49" s="1574"/>
      <c r="E49" s="1572"/>
      <c r="F49" s="1574"/>
      <c r="G49" s="1572"/>
      <c r="H49" s="1574"/>
      <c r="I49" s="675"/>
      <c r="J49" s="675"/>
      <c r="K49" s="675"/>
      <c r="L49" s="675"/>
      <c r="M49" s="4"/>
      <c r="N49" s="1581"/>
      <c r="O49" s="1468"/>
      <c r="P49" s="1468"/>
      <c r="Q49" s="1468"/>
      <c r="R49" s="1468"/>
      <c r="S49" s="1582"/>
      <c r="T49" s="1569" t="s">
        <v>987</v>
      </c>
      <c r="U49" s="1577"/>
      <c r="V49" s="1578"/>
      <c r="W49" s="1579"/>
    </row>
    <row r="50" spans="1:23">
      <c r="A50" s="1571"/>
      <c r="B50" s="1474"/>
      <c r="C50" s="1472"/>
      <c r="D50" s="1475"/>
      <c r="E50" s="1474"/>
      <c r="F50" s="1475"/>
      <c r="G50" s="1474"/>
      <c r="H50" s="1475"/>
      <c r="I50" s="675"/>
      <c r="J50" s="675"/>
      <c r="K50" s="675"/>
      <c r="L50" s="675"/>
      <c r="M50" s="4"/>
      <c r="N50" s="1581"/>
      <c r="O50" s="1468"/>
      <c r="P50" s="1468"/>
      <c r="Q50" s="1468"/>
      <c r="R50" s="1468"/>
      <c r="S50" s="1582"/>
      <c r="T50" s="1569" t="s">
        <v>314</v>
      </c>
      <c r="U50" s="1569"/>
      <c r="V50" s="986"/>
      <c r="W50" s="986"/>
    </row>
    <row r="51" spans="1:23">
      <c r="A51" s="1570">
        <v>3</v>
      </c>
      <c r="B51" s="1572"/>
      <c r="C51" s="1573"/>
      <c r="D51" s="1574"/>
      <c r="E51" s="1572"/>
      <c r="F51" s="1574"/>
      <c r="G51" s="1572"/>
      <c r="H51" s="1574"/>
      <c r="I51" s="675"/>
      <c r="J51" s="675"/>
      <c r="K51" s="675"/>
      <c r="L51" s="675"/>
      <c r="M51" s="4"/>
      <c r="N51" s="1581"/>
      <c r="O51" s="1468"/>
      <c r="P51" s="1468"/>
      <c r="Q51" s="1468"/>
      <c r="R51" s="1468"/>
      <c r="S51" s="1582"/>
      <c r="T51" s="74" t="s">
        <v>988</v>
      </c>
      <c r="U51" s="74"/>
      <c r="V51" s="1575"/>
      <c r="W51" s="1576"/>
    </row>
    <row r="52" spans="1:23">
      <c r="A52" s="1571"/>
      <c r="B52" s="1474"/>
      <c r="C52" s="1472"/>
      <c r="D52" s="1475"/>
      <c r="E52" s="1474"/>
      <c r="F52" s="1475"/>
      <c r="G52" s="1474"/>
      <c r="H52" s="1475"/>
      <c r="I52" s="675"/>
      <c r="J52" s="675"/>
      <c r="K52" s="675"/>
      <c r="L52" s="675"/>
      <c r="M52" s="4"/>
      <c r="N52" s="1581"/>
      <c r="O52" s="1468"/>
      <c r="P52" s="1468"/>
      <c r="Q52" s="1468"/>
      <c r="R52" s="1468"/>
      <c r="S52" s="1582"/>
      <c r="T52" s="74"/>
      <c r="U52" s="74"/>
      <c r="V52" s="74"/>
      <c r="W52" s="123"/>
    </row>
    <row r="53" spans="1:23">
      <c r="N53" s="1581"/>
      <c r="O53" s="1468"/>
      <c r="P53" s="1468"/>
      <c r="Q53" s="1468"/>
      <c r="R53" s="1468"/>
      <c r="S53" s="1582"/>
      <c r="T53" s="74"/>
      <c r="U53" s="74"/>
      <c r="V53" s="74"/>
      <c r="W53" s="123"/>
    </row>
    <row r="54" spans="1:23">
      <c r="A54" t="s">
        <v>989</v>
      </c>
      <c r="N54" s="1581"/>
      <c r="O54" s="1468"/>
      <c r="P54" s="1468"/>
      <c r="Q54" s="1468"/>
      <c r="R54" s="1468"/>
      <c r="S54" s="1582"/>
      <c r="T54" s="74"/>
      <c r="U54" s="74"/>
      <c r="V54" s="74"/>
      <c r="W54" s="123"/>
    </row>
    <row r="55" spans="1:23">
      <c r="A55" t="s">
        <v>990</v>
      </c>
      <c r="N55" s="1581"/>
      <c r="O55" s="1468"/>
      <c r="P55" s="1468"/>
      <c r="Q55" s="1468"/>
      <c r="R55" s="1468"/>
      <c r="S55" s="1582"/>
      <c r="T55" s="74"/>
      <c r="U55" s="74"/>
      <c r="V55" s="74"/>
      <c r="W55" s="123"/>
    </row>
    <row r="56" spans="1:23">
      <c r="N56" s="1322"/>
      <c r="O56" s="1325"/>
      <c r="P56" s="1325"/>
      <c r="Q56" s="1325"/>
      <c r="R56" s="1325"/>
      <c r="S56" s="1323"/>
      <c r="T56" s="136"/>
      <c r="U56" s="136"/>
      <c r="V56" s="136"/>
      <c r="W56" s="137"/>
    </row>
    <row r="57" spans="1:23">
      <c r="A57" s="1009" t="s">
        <v>111</v>
      </c>
      <c r="B57" s="1009"/>
      <c r="C57" s="1472"/>
      <c r="D57" s="1472"/>
      <c r="E57" s="1472"/>
      <c r="F57" s="1472"/>
      <c r="G57" s="1472"/>
      <c r="J57" s="4" t="s">
        <v>75</v>
      </c>
      <c r="K57" s="138"/>
      <c r="L57" s="138"/>
    </row>
  </sheetData>
  <mergeCells count="52">
    <mergeCell ref="I2:L2"/>
    <mergeCell ref="B5:C5"/>
    <mergeCell ref="D5:G5"/>
    <mergeCell ref="J5:L5"/>
    <mergeCell ref="N5:W5"/>
    <mergeCell ref="P7:Q7"/>
    <mergeCell ref="S7:T7"/>
    <mergeCell ref="U7:W7"/>
    <mergeCell ref="N9:W25"/>
    <mergeCell ref="B12:F13"/>
    <mergeCell ref="H12:L13"/>
    <mergeCell ref="B6:C7"/>
    <mergeCell ref="D6:G7"/>
    <mergeCell ref="I6:I7"/>
    <mergeCell ref="J6:L7"/>
    <mergeCell ref="N7:O7"/>
    <mergeCell ref="T47:U47"/>
    <mergeCell ref="N26:W37"/>
    <mergeCell ref="A37:L37"/>
    <mergeCell ref="N38:W45"/>
    <mergeCell ref="A39:B39"/>
    <mergeCell ref="B46:D46"/>
    <mergeCell ref="E46:F46"/>
    <mergeCell ref="G46:H46"/>
    <mergeCell ref="I46:L46"/>
    <mergeCell ref="N46:S56"/>
    <mergeCell ref="T46:W46"/>
    <mergeCell ref="V47:W47"/>
    <mergeCell ref="T48:U48"/>
    <mergeCell ref="V48:W48"/>
    <mergeCell ref="A49:A50"/>
    <mergeCell ref="B49:D50"/>
    <mergeCell ref="A47:A48"/>
    <mergeCell ref="B47:D48"/>
    <mergeCell ref="E47:F48"/>
    <mergeCell ref="G47:H48"/>
    <mergeCell ref="I47:L48"/>
    <mergeCell ref="A57:B57"/>
    <mergeCell ref="C57:G57"/>
    <mergeCell ref="T50:U50"/>
    <mergeCell ref="V50:W50"/>
    <mergeCell ref="A51:A52"/>
    <mergeCell ref="B51:D52"/>
    <mergeCell ref="E51:F52"/>
    <mergeCell ref="G51:H52"/>
    <mergeCell ref="I51:L52"/>
    <mergeCell ref="V51:W51"/>
    <mergeCell ref="G49:H50"/>
    <mergeCell ref="I49:L50"/>
    <mergeCell ref="T49:U49"/>
    <mergeCell ref="V49:W49"/>
    <mergeCell ref="E49:F50"/>
  </mergeCells>
  <pageMargins left="0.47916666666666669" right="0.39583333333333331" top="0.75" bottom="0.75" header="0.3" footer="0.3"/>
  <pageSetup paperSize="9" scale="85" orientation="portrait" horizontalDpi="300" verticalDpi="300" r:id="rId1"/>
  <colBreaks count="1" manualBreakCount="1">
    <brk id="13" max="47" man="1"/>
  </colBreak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DBA89C-2C92-46D1-A5ED-6C9D27192F86}">
  <sheetPr codeName="Sheet9"/>
  <dimension ref="A2:BD100"/>
  <sheetViews>
    <sheetView topLeftCell="A13" zoomScaleNormal="100" workbookViewId="0">
      <selection activeCell="M18" sqref="M18"/>
    </sheetView>
  </sheetViews>
  <sheetFormatPr defaultRowHeight="14.45"/>
  <cols>
    <col min="2" max="2" width="24.28515625" bestFit="1" customWidth="1"/>
    <col min="3" max="3" width="9.140625" style="55"/>
    <col min="5" max="5" width="30.7109375" bestFit="1" customWidth="1"/>
    <col min="7" max="7" width="13.5703125" bestFit="1" customWidth="1"/>
    <col min="8" max="8" width="14.42578125" bestFit="1" customWidth="1"/>
    <col min="11" max="11" width="12.85546875" bestFit="1" customWidth="1"/>
    <col min="12" max="12" width="9.140625" bestFit="1" customWidth="1"/>
    <col min="16" max="16" width="9.140625" bestFit="1" customWidth="1"/>
    <col min="17" max="17" width="10.140625" bestFit="1" customWidth="1"/>
    <col min="18" max="18" width="9.140625" bestFit="1" customWidth="1"/>
    <col min="19" max="19" width="10.28515625" bestFit="1" customWidth="1"/>
    <col min="27" max="27" width="12.7109375" bestFit="1" customWidth="1"/>
    <col min="28" max="28" width="10.28515625" bestFit="1" customWidth="1"/>
    <col min="30" max="30" width="13.7109375" customWidth="1"/>
    <col min="31" max="31" width="12.7109375" customWidth="1"/>
    <col min="32" max="32" width="11" customWidth="1"/>
    <col min="41" max="41" width="15.42578125" customWidth="1"/>
    <col min="45" max="45" width="10.85546875" bestFit="1" customWidth="1"/>
  </cols>
  <sheetData>
    <row r="2" spans="1:56">
      <c r="B2" t="s">
        <v>118</v>
      </c>
      <c r="C2" s="55">
        <v>340</v>
      </c>
      <c r="D2" s="55"/>
      <c r="E2" s="7" t="s">
        <v>358</v>
      </c>
      <c r="F2" s="55">
        <v>125</v>
      </c>
      <c r="I2" s="1534" t="s">
        <v>991</v>
      </c>
      <c r="J2" s="1535"/>
      <c r="K2" s="1535"/>
      <c r="L2" s="1535"/>
      <c r="M2" s="1535"/>
      <c r="N2" s="1535"/>
      <c r="O2" s="1535"/>
      <c r="P2" s="1535"/>
      <c r="Q2" s="1535"/>
      <c r="R2" s="1535"/>
      <c r="S2" s="1535"/>
      <c r="T2" s="1535"/>
      <c r="U2" s="1535"/>
      <c r="V2" s="1535"/>
      <c r="W2" s="1535"/>
      <c r="X2" s="1535"/>
      <c r="AB2" s="54" t="s">
        <v>412</v>
      </c>
      <c r="AC2" s="54" t="s">
        <v>331</v>
      </c>
      <c r="AD2" s="54" t="s">
        <v>334</v>
      </c>
      <c r="AE2" s="54" t="s">
        <v>336</v>
      </c>
      <c r="AF2" s="54" t="s">
        <v>338</v>
      </c>
      <c r="AG2" s="54" t="s">
        <v>339</v>
      </c>
      <c r="AH2" s="54" t="s">
        <v>341</v>
      </c>
      <c r="AI2" s="54" t="s">
        <v>342</v>
      </c>
      <c r="AJ2" s="54" t="s">
        <v>343</v>
      </c>
      <c r="AK2" s="54"/>
      <c r="AL2" s="54"/>
    </row>
    <row r="3" spans="1:56">
      <c r="B3" t="s">
        <v>122</v>
      </c>
      <c r="C3" s="55">
        <v>35</v>
      </c>
      <c r="D3" s="55"/>
      <c r="E3" s="4" t="s">
        <v>425</v>
      </c>
      <c r="F3" s="55">
        <v>195</v>
      </c>
      <c r="G3" t="s">
        <v>426</v>
      </c>
      <c r="I3" s="27"/>
      <c r="J3" s="56" t="s">
        <v>331</v>
      </c>
      <c r="K3" s="56" t="s">
        <v>334</v>
      </c>
      <c r="L3" s="56" t="s">
        <v>336</v>
      </c>
      <c r="M3" s="56" t="s">
        <v>338</v>
      </c>
      <c r="N3" s="56" t="s">
        <v>339</v>
      </c>
      <c r="O3" s="56" t="s">
        <v>341</v>
      </c>
      <c r="P3" s="56" t="s">
        <v>342</v>
      </c>
      <c r="Q3" s="56" t="s">
        <v>343</v>
      </c>
      <c r="R3" s="56" t="s">
        <v>344</v>
      </c>
      <c r="S3" s="56" t="s">
        <v>346</v>
      </c>
      <c r="T3" s="56" t="s">
        <v>348</v>
      </c>
      <c r="U3" s="56" t="s">
        <v>350</v>
      </c>
      <c r="V3" s="56" t="s">
        <v>351</v>
      </c>
      <c r="W3" s="56" t="s">
        <v>353</v>
      </c>
      <c r="X3" s="56" t="s">
        <v>354</v>
      </c>
      <c r="Y3" s="87" t="s">
        <v>79</v>
      </c>
      <c r="AB3" s="57" t="s">
        <v>37</v>
      </c>
      <c r="AC3" s="4">
        <f>COUNTIFS(Pricing!$R$8:$AB$8,AB3)</f>
        <v>0</v>
      </c>
      <c r="AD3" s="4">
        <f>COUNTIFS(Pricing!$R$11:$AB$11,AB3)</f>
        <v>1</v>
      </c>
      <c r="AE3" s="4">
        <f>COUNTIFS(Pricing!$R$14:$AB$14,AB3)</f>
        <v>2</v>
      </c>
      <c r="AF3" s="4">
        <f>COUNTIFS(Pricing!$R$17:$AB$17,AB3)</f>
        <v>1</v>
      </c>
      <c r="AG3" s="4">
        <f>COUNTIFS(Pricing!$R$20:$AB$20,AB3)</f>
        <v>0</v>
      </c>
      <c r="AH3" s="4">
        <f>COUNTIFS(Pricing!$R$23:$AB$23,AB3)</f>
        <v>0</v>
      </c>
      <c r="AI3" s="4">
        <f>COUNTIFS(Pricing!$R$26:$AB$26,AB3)</f>
        <v>0</v>
      </c>
      <c r="AJ3" s="4">
        <f>COUNTIFS(Pricing!$R$29:$AB$29,AB3)</f>
        <v>0</v>
      </c>
      <c r="AK3" s="4"/>
      <c r="AL3" s="4"/>
    </row>
    <row r="4" spans="1:56">
      <c r="B4" t="s">
        <v>123</v>
      </c>
      <c r="C4" s="55">
        <v>65</v>
      </c>
      <c r="D4" s="55"/>
      <c r="E4" t="s">
        <v>427</v>
      </c>
      <c r="F4" s="55">
        <v>285</v>
      </c>
      <c r="H4" t="s">
        <v>992</v>
      </c>
      <c r="I4" s="58" t="s">
        <v>118</v>
      </c>
      <c r="J4" s="59">
        <f>$C$2</f>
        <v>340</v>
      </c>
      <c r="K4" s="59">
        <f>$C2</f>
        <v>340</v>
      </c>
      <c r="L4" s="59">
        <f>$C$2</f>
        <v>340</v>
      </c>
      <c r="M4" s="59">
        <f>$C$2</f>
        <v>340</v>
      </c>
      <c r="N4" s="59">
        <f>$C$2</f>
        <v>340</v>
      </c>
      <c r="O4" s="59">
        <f>$C$2</f>
        <v>340</v>
      </c>
      <c r="P4" s="59">
        <f>$C$2</f>
        <v>340</v>
      </c>
      <c r="Q4" s="59">
        <f t="shared" ref="Q4:X4" si="0">$C$2</f>
        <v>340</v>
      </c>
      <c r="R4" s="59">
        <f t="shared" si="0"/>
        <v>340</v>
      </c>
      <c r="S4" s="59">
        <f t="shared" si="0"/>
        <v>340</v>
      </c>
      <c r="T4" s="59">
        <f t="shared" si="0"/>
        <v>340</v>
      </c>
      <c r="U4" s="59">
        <f t="shared" si="0"/>
        <v>340</v>
      </c>
      <c r="V4" s="59">
        <f t="shared" si="0"/>
        <v>340</v>
      </c>
      <c r="W4" s="59">
        <f t="shared" si="0"/>
        <v>340</v>
      </c>
      <c r="X4" s="59">
        <f t="shared" si="0"/>
        <v>340</v>
      </c>
      <c r="Y4" s="55">
        <f t="shared" ref="Y4:Y9" si="1">SUM(J4:X4)</f>
        <v>5100</v>
      </c>
      <c r="AB4" s="4" t="s">
        <v>40</v>
      </c>
      <c r="AC4" s="4">
        <f>COUNTIFS(Pricing!$R$8:$AB$8,AB4)</f>
        <v>0</v>
      </c>
      <c r="AD4" s="4">
        <f>COUNTIFS(Pricing!$R$11:$AB$11,AB4)</f>
        <v>0</v>
      </c>
      <c r="AE4" s="4">
        <f>COUNTIFS(Pricing!$R$14:$AB$14,AB4)</f>
        <v>2</v>
      </c>
      <c r="AF4" s="4">
        <f>COUNTIFS(Pricing!$R$17:$AB$17,AB4)</f>
        <v>2</v>
      </c>
      <c r="AG4" s="4">
        <f>COUNTIFS(Pricing!$R$20:$AB$20,AB4)</f>
        <v>0</v>
      </c>
      <c r="AH4" s="4">
        <f>COUNTIFS(Pricing!$R$23:$AB$23,AB4)</f>
        <v>0</v>
      </c>
      <c r="AI4" s="4">
        <f>COUNTIFS(Pricing!$R$26:$AB$26,AB4)</f>
        <v>0</v>
      </c>
      <c r="AJ4" s="4">
        <f>COUNTIFS(Pricing!$R$29:$AB$29,AB4)</f>
        <v>0</v>
      </c>
      <c r="AK4" s="4"/>
      <c r="AL4" s="4"/>
    </row>
    <row r="5" spans="1:56">
      <c r="B5" t="s">
        <v>124</v>
      </c>
      <c r="C5" s="55">
        <v>105</v>
      </c>
      <c r="D5" s="55"/>
      <c r="E5" t="s">
        <v>431</v>
      </c>
      <c r="F5" s="55">
        <v>29</v>
      </c>
      <c r="I5" s="58" t="s">
        <v>122</v>
      </c>
      <c r="J5" s="59">
        <f>$C3</f>
        <v>35</v>
      </c>
      <c r="K5" s="59">
        <f t="shared" ref="K5:X9" si="2">$C3</f>
        <v>35</v>
      </c>
      <c r="L5" s="59">
        <f t="shared" si="2"/>
        <v>35</v>
      </c>
      <c r="M5" s="59">
        <f t="shared" si="2"/>
        <v>35</v>
      </c>
      <c r="N5" s="59">
        <f t="shared" si="2"/>
        <v>35</v>
      </c>
      <c r="O5" s="59">
        <f t="shared" si="2"/>
        <v>35</v>
      </c>
      <c r="P5" s="59">
        <f t="shared" si="2"/>
        <v>35</v>
      </c>
      <c r="Q5" s="59">
        <f t="shared" si="2"/>
        <v>35</v>
      </c>
      <c r="R5" s="59">
        <f t="shared" si="2"/>
        <v>35</v>
      </c>
      <c r="S5" s="59">
        <f t="shared" si="2"/>
        <v>35</v>
      </c>
      <c r="T5" s="59">
        <f t="shared" si="2"/>
        <v>35</v>
      </c>
      <c r="U5" s="59">
        <f t="shared" si="2"/>
        <v>35</v>
      </c>
      <c r="V5" s="59">
        <f t="shared" si="2"/>
        <v>35</v>
      </c>
      <c r="W5" s="59">
        <f t="shared" si="2"/>
        <v>35</v>
      </c>
      <c r="X5" s="59">
        <f t="shared" si="2"/>
        <v>35</v>
      </c>
      <c r="Y5" s="55">
        <f t="shared" si="1"/>
        <v>525</v>
      </c>
      <c r="AB5" s="4" t="s">
        <v>429</v>
      </c>
      <c r="AC5" s="4">
        <f>COUNTIFS(Pricing!$R$8:$AB$8,AB5)*2</f>
        <v>0</v>
      </c>
      <c r="AD5" s="4">
        <f>COUNTIFS(Pricing!$R$11:$AB$11,AB5)*2</f>
        <v>0</v>
      </c>
      <c r="AE5" s="4">
        <f>COUNTIFS(Pricing!$R$14:$AB$14,AB5)*2</f>
        <v>0</v>
      </c>
      <c r="AF5" s="4">
        <f>COUNTIFS(Pricing!$R$17:$AB$17,AB5)*2</f>
        <v>0</v>
      </c>
      <c r="AG5" s="4">
        <f>COUNTIFS(Pricing!$R$20:$AB$20,AB5)*2</f>
        <v>0</v>
      </c>
      <c r="AH5" s="4">
        <f>COUNTIFS(Pricing!$R$23:$AB$23,AB5)*2</f>
        <v>0</v>
      </c>
      <c r="AI5" s="4">
        <f>COUNTIFS(Pricing!$R$26:$AB$26,AB5)*2</f>
        <v>0</v>
      </c>
      <c r="AJ5" s="4">
        <f>COUNTIFS(Pricing!$R$29:$AB$29,AB5)*2</f>
        <v>0</v>
      </c>
      <c r="AK5" s="4"/>
      <c r="AL5" s="4"/>
    </row>
    <row r="6" spans="1:56">
      <c r="B6" t="s">
        <v>125</v>
      </c>
      <c r="C6" s="55">
        <v>145</v>
      </c>
      <c r="D6" s="55"/>
      <c r="E6" t="s">
        <v>434</v>
      </c>
      <c r="F6" s="55">
        <v>29</v>
      </c>
      <c r="I6" s="58" t="s">
        <v>123</v>
      </c>
      <c r="J6" s="59">
        <f>$C4</f>
        <v>65</v>
      </c>
      <c r="K6" s="59">
        <f t="shared" si="2"/>
        <v>65</v>
      </c>
      <c r="L6" s="59">
        <f t="shared" si="2"/>
        <v>65</v>
      </c>
      <c r="M6" s="59">
        <f t="shared" si="2"/>
        <v>65</v>
      </c>
      <c r="N6" s="59">
        <f t="shared" si="2"/>
        <v>65</v>
      </c>
      <c r="O6" s="59">
        <f t="shared" si="2"/>
        <v>65</v>
      </c>
      <c r="P6" s="59">
        <f t="shared" si="2"/>
        <v>65</v>
      </c>
      <c r="Q6" s="59">
        <f t="shared" si="2"/>
        <v>65</v>
      </c>
      <c r="R6" s="59">
        <f t="shared" si="2"/>
        <v>65</v>
      </c>
      <c r="S6" s="59">
        <f t="shared" si="2"/>
        <v>65</v>
      </c>
      <c r="T6" s="59">
        <f t="shared" si="2"/>
        <v>65</v>
      </c>
      <c r="U6" s="59">
        <f t="shared" si="2"/>
        <v>65</v>
      </c>
      <c r="V6" s="59">
        <f t="shared" si="2"/>
        <v>65</v>
      </c>
      <c r="W6" s="59">
        <f t="shared" si="2"/>
        <v>65</v>
      </c>
      <c r="X6" s="59">
        <f t="shared" si="2"/>
        <v>65</v>
      </c>
      <c r="Y6" s="55">
        <f t="shared" si="1"/>
        <v>975</v>
      </c>
      <c r="AB6" s="4" t="s">
        <v>432</v>
      </c>
      <c r="AC6" s="4">
        <f>COUNTIFS(Pricing!$R$8:$AB$8,AB6)*2</f>
        <v>0</v>
      </c>
      <c r="AD6" s="4">
        <f>COUNTIFS(Pricing!$R$11:$AB$11,AB6)*2</f>
        <v>0</v>
      </c>
      <c r="AE6" s="4">
        <f>COUNTIFS(Pricing!$R$14:$AB$14,AB6)*2</f>
        <v>0</v>
      </c>
      <c r="AF6" s="4">
        <f>COUNTIFS(Pricing!$R$17:$AB$17,AB6)*2</f>
        <v>0</v>
      </c>
      <c r="AG6" s="4">
        <f>COUNTIFS(Pricing!$R$20:$AB$20,AB6)*2</f>
        <v>0</v>
      </c>
      <c r="AH6" s="4">
        <f>COUNTIFS(Pricing!$R$23:$AB$23,AB6)*2</f>
        <v>0</v>
      </c>
      <c r="AI6" s="4">
        <f>COUNTIFS(Pricing!$R$26:$AB$26,AB6)*2</f>
        <v>0</v>
      </c>
      <c r="AJ6" s="4">
        <f>COUNTIFS(Pricing!$R$29:$AB$29,AB6)*2</f>
        <v>0</v>
      </c>
      <c r="AK6" s="4"/>
      <c r="AL6" s="4"/>
    </row>
    <row r="7" spans="1:56">
      <c r="B7" t="s">
        <v>568</v>
      </c>
      <c r="C7" s="55">
        <v>195</v>
      </c>
      <c r="D7" s="55"/>
      <c r="E7" t="s">
        <v>435</v>
      </c>
      <c r="F7" s="55">
        <v>50</v>
      </c>
      <c r="I7" s="58" t="s">
        <v>124</v>
      </c>
      <c r="J7" s="59">
        <f>$C5</f>
        <v>105</v>
      </c>
      <c r="K7" s="59">
        <f t="shared" si="2"/>
        <v>105</v>
      </c>
      <c r="L7" s="59">
        <f t="shared" si="2"/>
        <v>105</v>
      </c>
      <c r="M7" s="59">
        <f t="shared" si="2"/>
        <v>105</v>
      </c>
      <c r="N7" s="59">
        <f t="shared" si="2"/>
        <v>105</v>
      </c>
      <c r="O7" s="59">
        <f t="shared" si="2"/>
        <v>105</v>
      </c>
      <c r="P7" s="59">
        <f t="shared" si="2"/>
        <v>105</v>
      </c>
      <c r="Q7" s="59">
        <f t="shared" si="2"/>
        <v>105</v>
      </c>
      <c r="R7" s="59">
        <f t="shared" si="2"/>
        <v>105</v>
      </c>
      <c r="S7" s="59">
        <f t="shared" si="2"/>
        <v>105</v>
      </c>
      <c r="T7" s="59">
        <f t="shared" si="2"/>
        <v>105</v>
      </c>
      <c r="U7" s="59">
        <f t="shared" si="2"/>
        <v>105</v>
      </c>
      <c r="V7" s="59">
        <f t="shared" si="2"/>
        <v>105</v>
      </c>
      <c r="W7" s="59">
        <f t="shared" si="2"/>
        <v>105</v>
      </c>
      <c r="X7" s="59">
        <f t="shared" si="2"/>
        <v>105</v>
      </c>
      <c r="Y7" s="55">
        <f t="shared" si="1"/>
        <v>1575</v>
      </c>
      <c r="AB7" s="4" t="s">
        <v>993</v>
      </c>
      <c r="AC7" s="4">
        <f>COUNTIFS(Pricing!$R$8:$AB$8,AB7)</f>
        <v>0</v>
      </c>
      <c r="AD7" s="4">
        <f>COUNTIFS(Pricing!$R$11:$AB$11,AB7)</f>
        <v>0</v>
      </c>
      <c r="AE7" s="4">
        <f>COUNTIFS(Pricing!$R$14:$AB$14,AB7)</f>
        <v>0</v>
      </c>
      <c r="AF7" s="4">
        <f>COUNTIFS(Pricing!$R$17:$AB$17,AB7)</f>
        <v>0</v>
      </c>
      <c r="AG7" s="4">
        <f>COUNTIFS(Pricing!$R$20:$AB$20,AB7)</f>
        <v>0</v>
      </c>
      <c r="AH7" s="4">
        <f>COUNTIFS(Pricing!$R$23:$AB$23,AB7)</f>
        <v>0</v>
      </c>
      <c r="AI7" s="4">
        <f>COUNTIFS(Pricing!$R$26:$AB$26,AB7)</f>
        <v>0</v>
      </c>
      <c r="AJ7" s="4">
        <f>COUNTIFS(Pricing!$R$29:$AB$29,AB7)</f>
        <v>0</v>
      </c>
      <c r="AK7" s="4"/>
      <c r="AL7" s="4"/>
    </row>
    <row r="8" spans="1:56">
      <c r="B8" t="s">
        <v>994</v>
      </c>
      <c r="C8" s="55">
        <v>20</v>
      </c>
      <c r="E8" t="s">
        <v>438</v>
      </c>
      <c r="F8" s="55">
        <v>200</v>
      </c>
      <c r="I8" s="58" t="s">
        <v>125</v>
      </c>
      <c r="J8" s="59">
        <f>$C6</f>
        <v>145</v>
      </c>
      <c r="K8" s="59">
        <f t="shared" si="2"/>
        <v>145</v>
      </c>
      <c r="L8" s="59">
        <f t="shared" si="2"/>
        <v>145</v>
      </c>
      <c r="M8" s="59">
        <f t="shared" si="2"/>
        <v>145</v>
      </c>
      <c r="N8" s="59">
        <f t="shared" si="2"/>
        <v>145</v>
      </c>
      <c r="O8" s="59">
        <f t="shared" si="2"/>
        <v>145</v>
      </c>
      <c r="P8" s="59">
        <f t="shared" si="2"/>
        <v>145</v>
      </c>
      <c r="Q8" s="59">
        <f t="shared" si="2"/>
        <v>145</v>
      </c>
      <c r="R8" s="59">
        <f t="shared" si="2"/>
        <v>145</v>
      </c>
      <c r="S8" s="59">
        <f t="shared" si="2"/>
        <v>145</v>
      </c>
      <c r="T8" s="59">
        <f t="shared" si="2"/>
        <v>145</v>
      </c>
      <c r="U8" s="59">
        <f t="shared" si="2"/>
        <v>145</v>
      </c>
      <c r="V8" s="59">
        <f t="shared" si="2"/>
        <v>145</v>
      </c>
      <c r="W8" s="59">
        <f t="shared" si="2"/>
        <v>145</v>
      </c>
      <c r="X8" s="59">
        <f t="shared" si="2"/>
        <v>145</v>
      </c>
      <c r="Y8" s="55">
        <f t="shared" si="1"/>
        <v>2175</v>
      </c>
      <c r="AB8" s="4" t="s">
        <v>25</v>
      </c>
      <c r="AC8" s="4">
        <f>COUNTIFS(Pricing!$R$8:$AB$8,AB8)*2</f>
        <v>8</v>
      </c>
      <c r="AD8" s="4">
        <f>COUNTIFS(Pricing!$R$11:$AB$11,AB8)*2</f>
        <v>0</v>
      </c>
      <c r="AE8" s="4">
        <f>COUNTIFS(Pricing!$R$14:$AB$14,AB8)*2</f>
        <v>0</v>
      </c>
      <c r="AF8" s="4">
        <f>COUNTIFS(Pricing!$R$17:$AB$17,AB8)*2</f>
        <v>0</v>
      </c>
      <c r="AG8" s="4">
        <f>COUNTIFS(Pricing!$R$20:$AB$20,AB8)*2</f>
        <v>0</v>
      </c>
      <c r="AH8" s="4">
        <f>COUNTIFS(Pricing!$R$23:$AB$23,AB8)*2</f>
        <v>0</v>
      </c>
      <c r="AI8" s="4">
        <f>COUNTIFS(Pricing!$R$26:$AB$26,AB8)*2</f>
        <v>0</v>
      </c>
      <c r="AJ8" s="4">
        <f>COUNTIFS(Pricing!$R$29:$AB$29,AB8)*2</f>
        <v>0</v>
      </c>
      <c r="AK8" s="4"/>
      <c r="AL8" s="4"/>
    </row>
    <row r="9" spans="1:56">
      <c r="B9" t="s">
        <v>78</v>
      </c>
      <c r="C9" s="55">
        <v>35</v>
      </c>
      <c r="D9" s="55"/>
      <c r="E9" t="s">
        <v>441</v>
      </c>
      <c r="F9" s="55">
        <v>75</v>
      </c>
      <c r="I9" s="58" t="s">
        <v>568</v>
      </c>
      <c r="J9" s="59">
        <f>$C7</f>
        <v>195</v>
      </c>
      <c r="K9" s="59">
        <f t="shared" si="2"/>
        <v>195</v>
      </c>
      <c r="L9" s="59">
        <f t="shared" si="2"/>
        <v>195</v>
      </c>
      <c r="M9" s="59">
        <f t="shared" si="2"/>
        <v>195</v>
      </c>
      <c r="N9" s="59">
        <f t="shared" si="2"/>
        <v>195</v>
      </c>
      <c r="O9" s="59">
        <f t="shared" si="2"/>
        <v>195</v>
      </c>
      <c r="P9" s="59">
        <f t="shared" si="2"/>
        <v>195</v>
      </c>
      <c r="Q9" s="59">
        <f t="shared" si="2"/>
        <v>195</v>
      </c>
      <c r="R9" s="59">
        <f t="shared" si="2"/>
        <v>195</v>
      </c>
      <c r="S9" s="59">
        <f t="shared" si="2"/>
        <v>195</v>
      </c>
      <c r="T9" s="59">
        <f t="shared" si="2"/>
        <v>195</v>
      </c>
      <c r="U9" s="59">
        <f t="shared" si="2"/>
        <v>195</v>
      </c>
      <c r="V9" s="59">
        <f t="shared" si="2"/>
        <v>195</v>
      </c>
      <c r="W9" s="59">
        <f t="shared" si="2"/>
        <v>195</v>
      </c>
      <c r="X9" s="59">
        <f t="shared" si="2"/>
        <v>195</v>
      </c>
      <c r="Y9" s="55">
        <f t="shared" si="1"/>
        <v>2925</v>
      </c>
      <c r="AB9" s="60" t="s">
        <v>79</v>
      </c>
      <c r="AC9" s="60">
        <f>SUM(AC3:AC8)</f>
        <v>8</v>
      </c>
      <c r="AD9" s="60">
        <f>SUM(AD3:AD8)</f>
        <v>1</v>
      </c>
      <c r="AE9" s="60">
        <f t="shared" ref="AE9:AJ9" si="3">SUM(AE3:AE8)</f>
        <v>4</v>
      </c>
      <c r="AF9" s="60">
        <f t="shared" si="3"/>
        <v>3</v>
      </c>
      <c r="AG9" s="60">
        <f t="shared" si="3"/>
        <v>0</v>
      </c>
      <c r="AH9" s="60">
        <f t="shared" si="3"/>
        <v>0</v>
      </c>
      <c r="AI9" s="60">
        <f t="shared" si="3"/>
        <v>0</v>
      </c>
      <c r="AJ9" s="60">
        <f t="shared" si="3"/>
        <v>0</v>
      </c>
      <c r="AK9" s="60"/>
      <c r="AL9" s="60"/>
    </row>
    <row r="10" spans="1:56">
      <c r="B10" s="88" t="s">
        <v>995</v>
      </c>
      <c r="C10" s="89">
        <v>0.25</v>
      </c>
      <c r="E10" t="s">
        <v>454</v>
      </c>
      <c r="F10" s="55">
        <v>100</v>
      </c>
      <c r="AB10" s="4"/>
      <c r="AI10" s="4" t="s">
        <v>303</v>
      </c>
      <c r="AJ10" t="s">
        <v>996</v>
      </c>
      <c r="AK10" t="s">
        <v>997</v>
      </c>
      <c r="AS10" t="s">
        <v>998</v>
      </c>
    </row>
    <row r="11" spans="1:56">
      <c r="B11" t="s">
        <v>456</v>
      </c>
      <c r="C11" s="55">
        <v>100</v>
      </c>
      <c r="D11" t="s">
        <v>414</v>
      </c>
      <c r="E11" t="s">
        <v>457</v>
      </c>
      <c r="F11" s="55">
        <v>266</v>
      </c>
      <c r="I11" s="1534" t="str">
        <f>C10 &amp; " % Discounted with Bay Posts"</f>
        <v>0.25 % Discounted with Bay Posts</v>
      </c>
      <c r="J11" s="1535"/>
      <c r="K11" s="1535"/>
      <c r="L11" s="1535"/>
      <c r="M11" s="1535"/>
      <c r="N11" s="1535"/>
      <c r="O11" s="1535"/>
      <c r="P11" s="1535"/>
      <c r="Q11" s="1535"/>
      <c r="R11" s="1535"/>
      <c r="S11" s="1535"/>
      <c r="T11" s="1535"/>
      <c r="U11" s="1535"/>
      <c r="V11" s="1535"/>
      <c r="W11" s="1535"/>
      <c r="X11" s="1535"/>
      <c r="AA11" s="1575" t="s">
        <v>999</v>
      </c>
      <c r="AB11" s="1576"/>
      <c r="AD11" s="986" t="s">
        <v>1000</v>
      </c>
      <c r="AE11" s="986"/>
      <c r="AF11" s="970" t="str">
        <f>TRIM('Survey Front'!S12 &amp; " " &amp; 'Survey Front'!T12 &amp; " " &amp; 'Survey Front'!U12 &amp; " " &amp; 'Survey Front'!V12 &amp; " " &amp; 'Survey Front'!W12 &amp; " " &amp; 'Survey Front'!AB12 &amp; " " &amp; 'Survey Front'!AC12)</f>
        <v>FF FF FF FF</v>
      </c>
      <c r="AG11" s="970"/>
      <c r="AH11" s="970"/>
      <c r="AI11" s="4">
        <f>SUMPRODUCT(LEN(AF11)-LEN(SUBSTITUTE(AF11,"L",""))+LEN(AF11)-LEN(SUBSTITUTE(AF11,"R",""))+LEN(AF11)-LEN(SUBSTITUTE(AF11,"FF","")))</f>
        <v>8</v>
      </c>
      <c r="AJ11" s="4">
        <f>SUMPRODUCT(LEN(AF11)-LEN(SUBSTITUTE(AF11,"(","")))</f>
        <v>0</v>
      </c>
      <c r="AK11" s="4" t="e">
        <f>OR(IF(AND('Survey Front'!E12="Antigua",('Survey Front'!M12/Matrix!AI11)&gt;750),IF(AJ11-(LEN(AF11)-LEN(SUBSTITUTE(AF11,"G","")))&gt;1,"False","True")),IF(AND('Survey Front'!E12="Bermuda",'Survey Front'!M12/Matrix!AI11&gt;610,AI11&gt;1),IF(AJ11-(LEN(AF11)-LEN(SUBSTITUTE(AF11,"G","")))&gt;=1,"False","True")))</f>
        <v>#VALUE!</v>
      </c>
      <c r="AN11" s="1590" t="s">
        <v>1001</v>
      </c>
      <c r="AO11" s="1592"/>
      <c r="AP11" s="1590" t="b">
        <v>0</v>
      </c>
      <c r="AQ11" s="1591"/>
      <c r="AR11" s="1592"/>
      <c r="AS11" t="str">
        <f>TRIM(LEN(SUBSTITUTE(AP11," ","")))</f>
        <v>5</v>
      </c>
      <c r="AT11" s="4" t="b">
        <f>IF(AND(Drawing!B2=1,Drawing!F2=1),IF(LEN(Drawing!J17)&gt;1,MID(Matrix!AP11,1,LEN(Drawing!J17)),MID(AP11,1,1)))</f>
        <v>0</v>
      </c>
      <c r="AU11" s="4" t="str">
        <f>MID(AP11,LEN(AT11)+1,LEN(Drawing!K17))</f>
        <v/>
      </c>
      <c r="AV11" s="4" t="str">
        <f>MID(AP11,LEN(AT11)+(LEN(AU11)+1),LEN(Drawing!L17))</f>
        <v/>
      </c>
      <c r="AW11" s="4" t="str">
        <f>MID(AP11,LEN(AT11)+(LEN(AU11)+LEN(AV11)+1),LEN(Drawing!M17))</f>
        <v/>
      </c>
      <c r="AX11" s="4" t="str">
        <f>MID(AP11,LEN(AT11)+(LEN(AU11)+LEN(AV11)+LEN(AW11)+1),LEN(Drawing!N17))</f>
        <v/>
      </c>
      <c r="AY11" s="4" t="str">
        <f>MID(AP11,LEN(AT11)+(LEN(AU11)+LEN(AV11)+LEN(AW11)+LEN(AX11)+1),LEN(Drawing!O17))</f>
        <v/>
      </c>
      <c r="AZ11" s="4" t="str">
        <f>MID(AP11,LEN(AT11)+(LEN(AU11)+LEN(AV11)+LEN(AW11)+LEN(AX11)+LEN(AY11)+1),LEN(Drawing!P17))</f>
        <v/>
      </c>
      <c r="BA11" s="4" t="str">
        <f>MID(AP11,LEN(AT11)+(LEN(AU11)+LEN(AV11)+LEN(AW11)+LEN(AX11)+LEN(AY11)+LEN(AZ11)+1),LEN(Drawing!Q17))</f>
        <v/>
      </c>
      <c r="BB11" s="4" t="str">
        <f>MID(AP11,LEN(AT11)+(LEN(AU11)+LEN(AV11)+LEN(AW11)+LEN(AX11)+LEN(AY11)+LEN(AZ11)+LEN(BA11)+1),LEN(Drawing!R17))</f>
        <v/>
      </c>
      <c r="BC11" s="4" t="str">
        <f>MID(AP11,LEN(AT11)+(LEN(AU11)+LEN(AV11)+LEN(AW11)+LEN(AX11)+LEN(AY11)+LEN(AZ11)+LEN(BA11)+LEN(BB11)+1),LEN(Drawing!S17))</f>
        <v/>
      </c>
      <c r="BD11" s="4" t="str">
        <f>MID(AP11,LEN(AT11)+(LEN(AU11)+LEN(AV11)+LEN(AW11)+LEN(AX11)+LEN(AY11)+LEN(AZ11)+LEN(BA11)+LEN(BB11)+LEN(BC11)+1),LEN(Drawing!T17))</f>
        <v/>
      </c>
    </row>
    <row r="12" spans="1:56">
      <c r="E12" t="s">
        <v>461</v>
      </c>
      <c r="F12" s="55">
        <v>20</v>
      </c>
      <c r="G12" t="s">
        <v>426</v>
      </c>
      <c r="I12" s="27"/>
      <c r="J12" s="56" t="s">
        <v>331</v>
      </c>
      <c r="K12" s="56" t="s">
        <v>334</v>
      </c>
      <c r="L12" s="56" t="s">
        <v>336</v>
      </c>
      <c r="M12" s="56" t="s">
        <v>338</v>
      </c>
      <c r="N12" s="56" t="s">
        <v>339</v>
      </c>
      <c r="O12" s="56" t="s">
        <v>341</v>
      </c>
      <c r="P12" s="56" t="s">
        <v>342</v>
      </c>
      <c r="Q12" s="56" t="s">
        <v>343</v>
      </c>
      <c r="R12" s="56" t="s">
        <v>344</v>
      </c>
      <c r="S12" s="56" t="s">
        <v>346</v>
      </c>
      <c r="T12" s="56" t="s">
        <v>348</v>
      </c>
      <c r="U12" s="56" t="s">
        <v>350</v>
      </c>
      <c r="V12" s="56" t="s">
        <v>351</v>
      </c>
      <c r="W12" s="56" t="s">
        <v>353</v>
      </c>
      <c r="X12" s="56" t="s">
        <v>354</v>
      </c>
      <c r="AA12" s="1593" t="s">
        <v>1002</v>
      </c>
      <c r="AB12" s="1594"/>
      <c r="AD12" s="986" t="s">
        <v>1003</v>
      </c>
      <c r="AE12" s="986"/>
      <c r="AF12" s="970" t="str">
        <f>TRIM('Survey Front'!S15 &amp; " " &amp; 'Survey Front'!T15 &amp; " " &amp; 'Survey Front'!U15 &amp; " " &amp; 'Survey Front'!V15 &amp; " " &amp; 'Survey Front'!W15 &amp; " " &amp; 'Survey Front'!AB15 &amp; " " &amp; 'Survey Front'!AC15)</f>
        <v>L</v>
      </c>
      <c r="AG12" s="970"/>
      <c r="AH12" s="970"/>
      <c r="AN12" s="1591" t="s">
        <v>1004</v>
      </c>
      <c r="AO12" s="1591"/>
      <c r="AP12" s="1595" t="str">
        <f>IF(Drawing!F2=1,Drawing!J18 &amp; " " &amp; Drawing!K18 &amp; " " &amp; Drawing!L18 &amp; " " &amp; Drawing!M18 &amp; " " &amp; Drawing!N18 &amp; " " &amp; Drawing!O18 &amp; " " &amp; Drawing!P18 &amp; " " &amp; Drawing!Q18 &amp; " " &amp; Drawing!R18 &amp; " " &amp; Drawing!S18 &amp; " " &amp; Drawing!T18,IF(Drawing!Y2=1,Drawing!AC18 &amp; " " &amp; Drawing!AD18 &amp; " " &amp; Drawing!AE18 &amp; " " &amp; Drawing!AF18 &amp; " " &amp; Drawing!AG18 &amp; " " &amp; Drawing!AH18 &amp; " " &amp; Drawing!AI18 &amp; " " &amp; Drawing!AJ18 &amp; " " &amp; Drawing!AK18 &amp; " " &amp; Drawing!AL18 &amp; " " &amp; Drawing!AM18,IF(Drawing!F25=1,TRIM(Drawing!J41 &amp; " " &amp; Drawing!K41 &amp; " " &amp; Drawing!L41 &amp; " " &amp; Drawing!M41 &amp; " " &amp; Drawing!N41 &amp; " " &amp; Drawing!O41 &amp; " " &amp; Drawing!P41 &amp; " " &amp; Drawing!Q41 &amp; " " &amp; Drawing!R41 &amp; " " &amp; Drawing!S41 &amp; " " &amp; Drawing!T41),IF(Drawing!Y25=1,Drawing!AC41 &amp; " " &amp; Drawing!AD41 &amp; " " &amp; Drawing!AE41 &amp; " " &amp; Drawing!AF41 &amp; " " &amp; Drawing!AG41 &amp; " " &amp; Drawing!AH41 &amp; " " &amp; Drawing!AI41 &amp; " " &amp; Drawing!AJ41 &amp; " " &amp; Drawing!AK41 &amp; " " &amp; Drawing!AL41 &amp; " " &amp; Drawing!AM41,""))))</f>
        <v/>
      </c>
      <c r="AQ12" s="1595"/>
      <c r="AR12" s="1595"/>
      <c r="AT12" s="4"/>
      <c r="AU12" s="4"/>
      <c r="AV12" s="4"/>
      <c r="AW12" s="4"/>
      <c r="AX12" s="4"/>
      <c r="AY12" s="4"/>
      <c r="AZ12" s="4"/>
      <c r="BA12" s="4"/>
      <c r="BB12" s="4"/>
      <c r="BC12" s="4"/>
      <c r="BD12" s="4"/>
    </row>
    <row r="13" spans="1:56">
      <c r="A13" t="s">
        <v>428</v>
      </c>
      <c r="B13" t="s">
        <v>465</v>
      </c>
      <c r="C13" s="55">
        <v>35</v>
      </c>
      <c r="E13" t="s">
        <v>466</v>
      </c>
      <c r="F13" s="55">
        <v>20</v>
      </c>
      <c r="G13" t="s">
        <v>426</v>
      </c>
      <c r="I13" s="27" t="s">
        <v>118</v>
      </c>
      <c r="J13" s="59">
        <f>($J$4*$E$21)-(($J$4*$E$21)*$C$10)+($D$21*$E$21)</f>
        <v>1905.6269850000003</v>
      </c>
      <c r="K13" s="59">
        <f>($K$4*$E$22)-(($K$4*$E$22)*$C$10)+($D$22*$E$22)</f>
        <v>191.827575</v>
      </c>
      <c r="L13" s="59">
        <f>($L$4*$E$23)-(($L$4*$E$23)*$C$10)+($D$23*$E$23)</f>
        <v>983.32794000000001</v>
      </c>
      <c r="M13" s="59">
        <f>($M$4*$E$24)-(($M$4*$E$24)*$C$10)+($D$24*$E$24)</f>
        <v>592.49785499999996</v>
      </c>
      <c r="N13" s="59">
        <f>($N$4*$E$25)-(($N$4*$E$25)*$C$10)+($D$25*$E$25)</f>
        <v>0</v>
      </c>
      <c r="O13" s="59">
        <f>($O$4*$E$26)-(($O$4*$E$26)*$C$10)+($D$26*$E$26)</f>
        <v>0</v>
      </c>
      <c r="P13" s="59">
        <f>($P$4*$E$27)-(($P$4*$E$27)*$C$10)+($D$27*$E$27)</f>
        <v>0</v>
      </c>
      <c r="Q13" s="59">
        <f>($Q$4*$E$28)-(($Q$4*$E$28)*$C$10)+($D$28*$E$28)</f>
        <v>0</v>
      </c>
      <c r="R13" s="59">
        <f>($R$4*$E$29)-(($R$4*$E$29)*$C$10)+($D$29*$E$29)</f>
        <v>0</v>
      </c>
      <c r="S13" s="59">
        <f>($S$4*$E$30)-(($S$4*$E$30)*$C$10)+($D$30*$E$30)</f>
        <v>0</v>
      </c>
      <c r="T13" s="59">
        <f>($T$4*$E$31)-(($T$4*$E$31)*$C$10)+($D$31*$E$31)</f>
        <v>0</v>
      </c>
      <c r="U13" s="59">
        <f>($U$4*$E$32)-(($U$4*$E$32)*$C$10)+($D$32*$E$32)</f>
        <v>0</v>
      </c>
      <c r="V13" s="59">
        <f>($V$4*$E$33)-(($V$4*$E$33)*$C$10)+($D$33*$E$33)</f>
        <v>0</v>
      </c>
      <c r="W13" s="59">
        <f>($W$4*$E$34)-(($W$4*$E$34)*$C$10)+($D$34*$E$34)</f>
        <v>0</v>
      </c>
      <c r="X13" s="59">
        <f>($X$4*$E$34)-(($X$4*$E$34)*$C$10)+($D$34*$E$34)</f>
        <v>0</v>
      </c>
      <c r="AA13" s="1596">
        <f>Pricing!Z58</f>
        <v>0</v>
      </c>
      <c r="AB13" s="1597"/>
      <c r="AD13" s="986" t="s">
        <v>1005</v>
      </c>
      <c r="AE13" s="986"/>
      <c r="AF13" s="970" t="str">
        <f>TRIM('Survey Front'!S18 &amp; " " &amp; 'Survey Front'!T18 &amp; " " &amp; 'Survey Front'!U18 &amp; " " &amp; 'Survey Front'!V18 &amp; " " &amp; 'Survey Front'!W18 &amp; " " &amp; 'Survey Front'!AB18 &amp; " " &amp; 'Survey Front'!AC18)</f>
        <v>L (T) L (T) R</v>
      </c>
      <c r="AG13" s="970"/>
      <c r="AH13" s="970"/>
      <c r="AN13" s="1598" t="s">
        <v>1006</v>
      </c>
      <c r="AO13" s="1599"/>
      <c r="AP13" s="1598" t="s">
        <v>1007</v>
      </c>
      <c r="AQ13" s="1600"/>
      <c r="AR13" s="1599"/>
      <c r="AT13" s="90" t="str">
        <f>IF(LEN(Drawing!AC17)&gt;1,MID(Matrix!AP13,1,LEN(Drawing!AC17)),MID(AP13,1,1))</f>
        <v>(</v>
      </c>
      <c r="AU13" s="90" t="str">
        <f>MID(AP13,LEN(AT13)+1,LEN(Drawing!AD17))</f>
        <v/>
      </c>
      <c r="AV13" s="4" t="str">
        <f>MID(AP13,LEN(AT13)+(LEN(AU13)+1),LEN(Drawing!AE17))</f>
        <v/>
      </c>
      <c r="AW13" s="4" t="str">
        <f>MID(AP13,LEN(AT13)+(LEN(AU13)+LEN(AV13)+1),LEN(Drawing!AF17))</f>
        <v/>
      </c>
      <c r="AX13" s="4" t="str">
        <f>MID(AP13,LEN(AT13)+(LEN(AU13)+LEN(AV13)+LEN(AW13)+1),LEN(Drawing!AG17))</f>
        <v/>
      </c>
      <c r="AY13" s="4" t="str">
        <f>MID(AP13,LEN(AT13)+(LEN(AU13)+LEN(AV13)+LEN(AW13)+LEN(AX13)+1),LEN(Drawing!AH17))</f>
        <v/>
      </c>
      <c r="AZ13" s="4" t="str">
        <f>MID(AP13,LEN(AT13)+(LEN(AU13)+LEN(AV13)+LEN(AW13)+LEN(AX13)+LEN(AY13)+1),LEN(Drawing!AI17))</f>
        <v/>
      </c>
      <c r="BA13" s="4" t="str">
        <f>MID(AP13,LEN(AT13)+(LEN(AU13)+LEN(AV13)+LEN(AW13)+LEN(AX13)+LEN(AY13)+LEN(AZ13)+1),LEN(Drawing!AJ17))</f>
        <v/>
      </c>
      <c r="BB13" s="4" t="str">
        <f>MID(AP13,LEN(AT13)+(LEN(AU13)+LEN(AV13)+LEN(AW13)+LEN(AX13)+LEN(AY13)+LEN(AZ13)+LEN(BA13)+1),LEN(Drawing!AK17))</f>
        <v/>
      </c>
      <c r="BC13" s="4" t="str">
        <f>MID(AP13,LEN(AT13)+(LEN(AU13)+LEN(AV13)+LEN(AW13)+LEN(AX13)+LEN(AY13)+LEN(AZ13)+LEN(BA13)+LEN(BB13)+1),LEN(Drawing!AL17))</f>
        <v/>
      </c>
      <c r="BD13" s="4" t="str">
        <f>MID(AP13,LEN(AT13)+(LEN(AU13)+LEN(AV13)+LEN(AW13)+LEN(AX13)+LEN(AY13)+LEN(AZ13)+LEN(BA13)+LEN(BB13)+LEN(BC13)+1),LEN(Drawing!AM17))</f>
        <v/>
      </c>
    </row>
    <row r="14" spans="1:56">
      <c r="B14" t="s">
        <v>736</v>
      </c>
      <c r="C14" s="61">
        <v>0.1</v>
      </c>
      <c r="E14" t="s">
        <v>469</v>
      </c>
      <c r="F14" s="55">
        <v>12.5</v>
      </c>
      <c r="G14" t="s">
        <v>426</v>
      </c>
      <c r="I14" s="27" t="s">
        <v>122</v>
      </c>
      <c r="J14" s="59">
        <f>($J$4*$E$21)-(($J$4*$E$21)*$C$10)+($D$21*$E$21)+(J5*E21)</f>
        <v>2167.1836300000004</v>
      </c>
      <c r="K14" s="59">
        <f>($K$4*$E$22)-(($K$4*$E$22)*$C$10)+($D$22*$E$22)+(E22*K5)</f>
        <v>218.15684999999999</v>
      </c>
      <c r="L14" s="59">
        <f>($L$4*$E$23)-(($L$4*$E$23)*$C$10)+($D$23*$E$23)+(L5*E23)</f>
        <v>1118.2945199999999</v>
      </c>
      <c r="M14" s="59">
        <f>($M$4*$E$24)-(($M$4*$E$24)*$C$10)+($D$24*$E$24)+($M5*$E$24)</f>
        <v>673.82108999999991</v>
      </c>
      <c r="N14" s="59">
        <f>($N$4*$E$25)-(($N$4*$E$25)*$C$10)+($D$25*$E$25)+(N5*E26)</f>
        <v>0</v>
      </c>
      <c r="O14" s="59">
        <f>($O$4*$E$26)-(($O$4*$E$26)*$C$10)+($D$26*$E$26)+(O5*E26)</f>
        <v>0</v>
      </c>
      <c r="P14" s="59">
        <f>($P$4*$E$27)-(($P$4*$E$27)*$C$10)+($D$27*$E$27)+(P5*E27)</f>
        <v>0</v>
      </c>
      <c r="Q14" s="59">
        <f>($Q$4*$E$28)-(($Q$4*$E$28)*$C$10)+($D$28*$E$28)+(Q5*E28)</f>
        <v>0</v>
      </c>
      <c r="R14" s="59">
        <f>($R$4*$E$29)-(($R$4*$E$29)*$C$10)+($D$29*$E$29)+(R5*E29)</f>
        <v>0</v>
      </c>
      <c r="S14" s="59">
        <f>($S$4*$E$30)-(($S$4*$E$30)*$C$10)+($D$30*$E$30)+(S5*E30)</f>
        <v>0</v>
      </c>
      <c r="T14" s="59">
        <f>($T$4*$E$31)-(($T$4*$E$31)*$C$10)+($D$31*$E$31)+(T5*E31)</f>
        <v>0</v>
      </c>
      <c r="U14" s="59">
        <f>($U$4*$E$32)-(($U$4*$E$32)*$C$10)+($D$32*$E$32)+(U5*E32)</f>
        <v>0</v>
      </c>
      <c r="V14" s="59">
        <f>($V$4*$E$33)-(($V$4*$E$33)*$C$10)+($D$33*$E$33)+(V5*E33)</f>
        <v>0</v>
      </c>
      <c r="W14" s="59">
        <f>($W$4*$E$34)-(($W$4*$E$34)*$C$10)+($D$34*$E$34)+(W5*E34)</f>
        <v>0</v>
      </c>
      <c r="X14" s="59">
        <f>($X$4*$E$35)-(($X$4*$E$35)*$C$10)+($D$35*$E$35)+(X5*E35)</f>
        <v>0</v>
      </c>
      <c r="AA14" s="1601" t="s">
        <v>1008</v>
      </c>
      <c r="AB14" s="1602"/>
      <c r="AD14" s="986" t="s">
        <v>1009</v>
      </c>
      <c r="AE14" s="986"/>
      <c r="AF14" s="970" t="str">
        <f>TRIM('Survey Front'!S21 &amp; " " &amp; 'Survey Front'!T21 &amp; " " &amp; 'Survey Front'!U21 &amp; " " &amp; 'Survey Front'!V21 &amp; " " &amp; 'Survey Front'!W21 &amp; " " &amp; 'Survey Front'!AB21 &amp; " " &amp; 'Survey Front'!AC21)</f>
        <v>L (T) R (T) R</v>
      </c>
      <c r="AG14" s="970"/>
      <c r="AH14" s="970"/>
      <c r="AN14" s="1600" t="s">
        <v>1010</v>
      </c>
      <c r="AO14" s="1600"/>
      <c r="AP14" s="1603" t="str">
        <f>IF(Drawing!F2=2,Drawing!J18 &amp; " " &amp; Drawing!K18 &amp; " " &amp; Drawing!L18 &amp; " " &amp; Drawing!M18 &amp; " " &amp; Drawing!N18 &amp; " " &amp; Drawing!O18 &amp; " " &amp; Drawing!P18 &amp; " " &amp; Drawing!Q18 &amp; " " &amp; Drawing!R18 &amp; " " &amp; Drawing!S18 &amp; " " &amp; Drawing!T18,IF(Drawing!Y2=2,Drawing!AC18 &amp; " " &amp; Drawing!AD18 &amp; " " &amp; Drawing!AE18 &amp; " " &amp; Drawing!AF18 &amp; " " &amp; Drawing!AG18 &amp; " " &amp; Drawing!AH18 &amp; " " &amp; Drawing!AI18 &amp; " " &amp; Drawing!AJ18 &amp; " " &amp; Drawing!AK18 &amp; " " &amp; Drawing!AL18 &amp; " " &amp; Drawing!AM18,IF(Drawing!F25=2,TRIM(Drawing!J41 &amp; " " &amp; Drawing!K41 &amp; " " &amp; Drawing!L41 &amp; " " &amp; Drawing!M41 &amp; " " &amp; Drawing!N41 &amp; " " &amp; Drawing!O41 &amp; " " &amp; Drawing!P41 &amp; " " &amp; Drawing!Q41 &amp; " " &amp; Drawing!R41 &amp; " " &amp; Drawing!S41 &amp; " " &amp; Drawing!T41),IF(Drawing!Y25=2,Drawing!AC41 &amp; " " &amp; Drawing!AD41 &amp; " " &amp; Drawing!AE41 &amp; " " &amp; Drawing!AF41 &amp; " " &amp; Drawing!AG41 &amp; " " &amp; Drawing!AH41 &amp; " " &amp; Drawing!AI41 &amp; " " &amp; Drawing!AJ41 &amp; " " &amp; Drawing!AK41 &amp; " " &amp; Drawing!AL41 &amp; " " &amp; Drawing!AM41,""))))</f>
        <v/>
      </c>
      <c r="AQ14" s="1603"/>
      <c r="AR14" s="1603"/>
      <c r="AT14" s="4"/>
      <c r="AU14" s="4"/>
      <c r="AV14" s="4"/>
      <c r="AW14" s="4"/>
      <c r="AX14" s="4"/>
      <c r="AY14" s="4"/>
      <c r="AZ14" s="4"/>
      <c r="BA14" s="4"/>
      <c r="BB14" s="4"/>
      <c r="BC14" s="4"/>
      <c r="BD14" s="4"/>
    </row>
    <row r="15" spans="1:56">
      <c r="B15" t="s">
        <v>472</v>
      </c>
      <c r="C15" s="55">
        <v>100</v>
      </c>
      <c r="E15" t="s">
        <v>473</v>
      </c>
      <c r="F15" s="55">
        <v>5</v>
      </c>
      <c r="I15" s="27" t="s">
        <v>123</v>
      </c>
      <c r="J15" s="59">
        <f>($J$4*$E$21)-(($J$4*$E$21)*$C$10)+($D$21*$E$21)+(J6*E21)</f>
        <v>2391.3750400000004</v>
      </c>
      <c r="K15" s="59">
        <f>($K$4*$E$22)-(($K$4*$E$22)*$C$10)+($D$22*$E$22)+(E22*K6)</f>
        <v>240.72479999999999</v>
      </c>
      <c r="L15" s="59">
        <f>($L$4*$E$23)-(($L$4*$E$23)*$C$10)+($D$23*$E$23)+(L6*E23)</f>
        <v>1233.9801600000001</v>
      </c>
      <c r="M15" s="59">
        <f>($M$4*$E$24)-(($M$4*$E$24)*$C$10)+($D$24*$E$24)+($M6*$E$24)</f>
        <v>743.52671999999995</v>
      </c>
      <c r="N15" s="59">
        <f>($N$4*$E$25)-(($N$4*$E$25)*$C$10)+($D$25*$E$25)+(N6*E25)</f>
        <v>0</v>
      </c>
      <c r="O15" s="59">
        <f>($O$4*$E$26)-(($O$4*$E$26)*$C$10)+($D$26*$E$26)+(O6*E26)</f>
        <v>0</v>
      </c>
      <c r="P15" s="59">
        <f>($P$4*$E$27)-(($P$4*$E$27)*$C$10)+($D$27*$E$27)+(P6*E27)</f>
        <v>0</v>
      </c>
      <c r="Q15" s="59">
        <f>($Q$4*$E$28)-(($Q$4*$E$28)*$C$10)+($D$28*$E$28)+(Q6*E28)</f>
        <v>0</v>
      </c>
      <c r="R15" s="59">
        <f>($R$4*$E$29)-(($R$4*$E$29)*$C$10)+($D$29*$E$29)+(R6*E29)</f>
        <v>0</v>
      </c>
      <c r="S15" s="59">
        <f>($S$4*$E$30)-(($S$4*$E$30)*$C$10)+($D$30*$E$30)+(S6*E30)</f>
        <v>0</v>
      </c>
      <c r="T15" s="59">
        <f>($T$4*$E$31)-(($T$4*$E$31)*$C$10)+($D$31*$E$31)+(T6*E31)</f>
        <v>0</v>
      </c>
      <c r="U15" s="59">
        <f>($U$4*$E$32)-(($U$4*$E$32)*$C$10)+($D$32*$E$32)+(U6*E32)</f>
        <v>0</v>
      </c>
      <c r="V15" s="59">
        <f>($V$4*$E$33)-(($V$4*$E$33)*$C$10)+($D$33*$E$33)+(V6*E33)</f>
        <v>0</v>
      </c>
      <c r="W15" s="59">
        <f>($W$4*$E$34)-(($W$4*$E$34)*$C$10)+($D$34*$E$34)+(W6*E34)</f>
        <v>0</v>
      </c>
      <c r="X15" s="59">
        <f>($X$4*$E$35)-(($X$4*$E$35)*$C$10)+($D$35*$E$35)+(X6*E35)</f>
        <v>0</v>
      </c>
      <c r="AA15" s="1596">
        <f>AA13-Pricing!AE58</f>
        <v>-0.2500630757249751</v>
      </c>
      <c r="AB15" s="969"/>
      <c r="AD15" s="986" t="s">
        <v>1011</v>
      </c>
      <c r="AE15" s="986"/>
      <c r="AF15" s="970" t="str">
        <f>TRIM('Survey Front'!S24 &amp; " " &amp; 'Survey Front'!T24 &amp; " " &amp; 'Survey Front'!U24 &amp; " " &amp; 'Survey Front'!V24 &amp; " " &amp; 'Survey Front'!W24 &amp; " " &amp; 'Survey Front'!AB24 &amp; " " &amp; 'Survey Front'!AC24)</f>
        <v/>
      </c>
      <c r="AG15" s="970"/>
      <c r="AH15" s="970"/>
      <c r="AN15" s="1604" t="s">
        <v>1012</v>
      </c>
      <c r="AO15" s="1605"/>
      <c r="AP15" s="1604" t="s">
        <v>1013</v>
      </c>
      <c r="AQ15" s="1606"/>
      <c r="AR15" s="1606"/>
      <c r="AT15" s="4" t="str">
        <f>IF(LEN(Drawing!J40)&gt;1,MID(Matrix!AP15,1,LEN(Drawing!J40)),MID(AP15,1,1))</f>
        <v>(</v>
      </c>
      <c r="AU15" s="4" t="str">
        <f>MID(AP15,LEN(AT15)+1,LEN(Drawing!K40))</f>
        <v/>
      </c>
      <c r="AV15" s="4" t="str">
        <f>MID(AP15,LEN(AT15)+(LEN(AU15)+1),LEN(Drawing!L40))</f>
        <v/>
      </c>
      <c r="AW15" s="4" t="str">
        <f>MID(AP15,LEN(AT15)+(LEN(AU15)+LEN(AV15)+1),LEN(Drawing!M40))</f>
        <v/>
      </c>
      <c r="AX15" s="4" t="str">
        <f>MID(AP15,LEN(AT15)+(LEN(AU15)+LEN(AV15)+LEN(AW15)+1),LEN(Drawing!N40))</f>
        <v/>
      </c>
      <c r="AY15" s="4" t="str">
        <f>MID(AP15,LEN(AT15)+(LEN(AU15)+LEN(AV15)+LEN(AW15)+LEN(AX15)+1),LEN(Drawing!O40))</f>
        <v/>
      </c>
      <c r="AZ15" s="4" t="str">
        <f>MID(AP15,LEN(AT15)+(LEN(AU15)+LEN(AV15)+LEN(AW15)+LEN(AX15)+LEN(AY15)+1),LEN(Drawing!P40))</f>
        <v/>
      </c>
      <c r="BA15" s="4" t="str">
        <f>MID(AP15,LEN(AT15)+(LEN(AU15)+LEN(AV15)+LEN(AW15)+LEN(AX15)+LEN(AY15)+LEN(AZ15)+1),LEN(Drawing!Q40))</f>
        <v/>
      </c>
      <c r="BB15" s="4" t="str">
        <f>MID(AP15,LEN(AT15)+(LEN(AU15)+LEN(AV15)+LEN(AW15)+LEN(AX15)+LEN(AY15)+LEN(AZ15)+LEN(BA15)+1),LEN(Drawing!R40))</f>
        <v/>
      </c>
      <c r="BC15" s="4" t="str">
        <f>MID(AP15,LEN(AT15)+(LEN(AU15)+LEN(AV15)+LEN(AW15)+LEN(AX15)+LEN(AY15)+LEN(AZ15)+LEN(BA15)+LEN(BB15)+1),LEN(Drawing!S40))</f>
        <v/>
      </c>
      <c r="BD15" s="4" t="str">
        <f>MID(AP15,LEN(AT15)+(LEN(AU15)+LEN(AV15)+LEN(AW15)+LEN(AX15)+LEN(AY15)+LEN(AZ15)+LEN(BA15)+LEN(BB15)+LEN(BC15)+1),LEN(Drawing!T40))</f>
        <v/>
      </c>
    </row>
    <row r="16" spans="1:56">
      <c r="A16" t="s">
        <v>475</v>
      </c>
      <c r="B16" t="s">
        <v>476</v>
      </c>
      <c r="C16" s="55">
        <v>330</v>
      </c>
      <c r="E16" t="s">
        <v>477</v>
      </c>
      <c r="F16" s="55">
        <v>5</v>
      </c>
      <c r="I16" s="27" t="s">
        <v>124</v>
      </c>
      <c r="J16" s="59">
        <f>($J$4*$E$21)-(($J$4*$E$21)*$C$10)+($D$21*$E$21)+(J7*E21)</f>
        <v>2690.2969200000002</v>
      </c>
      <c r="K16" s="59">
        <f>($K$4*$E$22)-(($K$4*$E$22)*$C$10)+($D$22*$E$22)+(K7*E22)</f>
        <v>270.81540000000001</v>
      </c>
      <c r="L16" s="59">
        <f>($L$4*$E$23)-(($L$4*$E$23)*$C$10)+($D$23*$E$23)+(L7*E23)</f>
        <v>1388.22768</v>
      </c>
      <c r="M16" s="59">
        <f>($M$4*$E$24)-(($M$4*$E$24)*$C$10)+($D$24*$E$24)+($M7*$E$24)</f>
        <v>836.46755999999993</v>
      </c>
      <c r="N16" s="59">
        <f>($N$4*$E$25)-(($N$4*$E$25)*$C$10)+($D$25*$E$25)+(N7*E25)</f>
        <v>0</v>
      </c>
      <c r="O16" s="59">
        <f>($O$4*$E$26)-(($O$4*$E$26)*$C$10)+($D$26*$E$26)+(O7*E26)</f>
        <v>0</v>
      </c>
      <c r="P16" s="59">
        <f>($P$4*$E$27)-(($P$4*$E$27)*$C$10)+($D$27*$E$27)+(P7*E27)</f>
        <v>0</v>
      </c>
      <c r="Q16" s="59">
        <f>($Q$4*$E$28)-(($Q$4*$E$28)*$C$10)+($D$28*$E$28)+(Q7*E28)</f>
        <v>0</v>
      </c>
      <c r="R16" s="59">
        <f>($R$4*$E$29)-(($R$4*$E$29)*$C$10)+($D$29*$E$29)+(R7*E29)</f>
        <v>0</v>
      </c>
      <c r="S16" s="59">
        <f>($S$4*$E$30)-(($S$4*$E$30)*$C$10)+($D$30*$E$30)+(S7*E30)</f>
        <v>0</v>
      </c>
      <c r="T16" s="59">
        <f>($T$4*$E$31)-(($T$4*$E$31)*$C$10)+($D$31*$E$31)+(T7*E31)</f>
        <v>0</v>
      </c>
      <c r="U16" s="59">
        <f>($U$4*$E$32)-(($U$4*$E$32)*$C$10)+($D$32*$E$32)+(U7*E32)</f>
        <v>0</v>
      </c>
      <c r="V16" s="59">
        <f>($V$4*$E$33)-(($V$4*$E$33)*$C$10)+($D$33*$E$33)+(V7*E33)</f>
        <v>0</v>
      </c>
      <c r="W16" s="59">
        <f>($W$4*$E$34)-(($W$4*$E$34)*$C$10)+($D$34*$E$34)+(W7*E34)</f>
        <v>0</v>
      </c>
      <c r="X16" s="59">
        <f>($X$4*$E$35)-(($X$4*$E$35)*$C$10)+($D$35*$E$35)+(X7*E35)</f>
        <v>0</v>
      </c>
      <c r="AA16" s="1601" t="s">
        <v>1014</v>
      </c>
      <c r="AB16" s="1602"/>
      <c r="AD16" s="986" t="s">
        <v>1015</v>
      </c>
      <c r="AE16" s="986"/>
      <c r="AF16" s="970" t="str">
        <f>TRIM('Survey Front'!S27 &amp; " " &amp; 'Survey Front'!T27 &amp; " " &amp; 'Survey Front'!U27 &amp; " " &amp; 'Survey Front'!V27 &amp; " " &amp; 'Survey Front'!W27 &amp; " " &amp; 'Survey Front'!AB27 &amp; " " &amp; 'Survey Front'!AC27)</f>
        <v/>
      </c>
      <c r="AG16" s="970"/>
      <c r="AH16" s="970"/>
      <c r="AN16" s="1606" t="s">
        <v>1016</v>
      </c>
      <c r="AO16" s="1606"/>
      <c r="AP16" s="1607" t="str">
        <f>IF(Drawing!F2=3,Drawing!J18 &amp; " " &amp; Drawing!K18 &amp; " " &amp; Drawing!L18 &amp; " " &amp; Drawing!M18 &amp; " " &amp; Drawing!N18 &amp; " " &amp; Drawing!O18 &amp; " " &amp; Drawing!P18 &amp; " " &amp; Drawing!Q18 &amp; " " &amp; Drawing!R18 &amp; " " &amp; Drawing!S18 &amp; " " &amp; Drawing!T18,IF(Drawing!Y2=3,Drawing!AC18 &amp; " " &amp; Drawing!AD18 &amp; " " &amp; Drawing!AE18 &amp; " " &amp; Drawing!AF18 &amp; " " &amp; Drawing!AG18 &amp; " " &amp; Drawing!AH18 &amp; " " &amp; Drawing!AI18 &amp; " " &amp; Drawing!AJ18 &amp; " " &amp; Drawing!AK18 &amp; " " &amp; Drawing!AL18 &amp; " " &amp; Drawing!AM18,IF(Drawing!F25=3,TRIM(Drawing!J41 &amp; " " &amp; Drawing!K41 &amp; " " &amp; Drawing!L41 &amp; " " &amp; Drawing!M41 &amp; " " &amp; Drawing!N41 &amp; " " &amp; Drawing!O41 &amp; " " &amp; Drawing!P41 &amp; " " &amp; Drawing!Q41 &amp; " " &amp; Drawing!R41 &amp; " " &amp; Drawing!S41 &amp; " " &amp; Drawing!T41),IF(Drawing!Y25=3,Drawing!AC41 &amp; " " &amp; Drawing!AD41 &amp; " " &amp; Drawing!AE41 &amp; " " &amp; Drawing!AF41 &amp; " " &amp; Drawing!AG41 &amp; " " &amp; Drawing!AH41 &amp; " " &amp; Drawing!AI41 &amp; " " &amp; Drawing!AJ41 &amp; " " &amp; Drawing!AK41 &amp; " " &amp; Drawing!AL41 &amp; " " &amp; Drawing!AM41,""))))</f>
        <v/>
      </c>
      <c r="AQ16" s="1607"/>
      <c r="AR16" s="1607"/>
      <c r="AT16" s="4"/>
      <c r="AU16" s="4"/>
      <c r="AV16" s="4"/>
      <c r="AW16" s="4"/>
      <c r="AX16" s="4"/>
      <c r="AY16" s="4"/>
      <c r="AZ16" s="4"/>
      <c r="BA16" s="4"/>
      <c r="BB16" s="4"/>
      <c r="BC16" s="4"/>
      <c r="BD16" s="4"/>
    </row>
    <row r="17" spans="1:56">
      <c r="A17" t="s">
        <v>428</v>
      </c>
      <c r="B17" t="s">
        <v>479</v>
      </c>
      <c r="C17" s="55">
        <v>115</v>
      </c>
      <c r="E17" t="s">
        <v>480</v>
      </c>
      <c r="F17" s="55">
        <v>20</v>
      </c>
      <c r="I17" s="27" t="s">
        <v>125</v>
      </c>
      <c r="J17" s="59">
        <f>($J$4*$E$21)-(($J$4*$E$21)*$C$10)+($D$21*$E$21)+(J8*E21)</f>
        <v>2989.2188000000006</v>
      </c>
      <c r="K17" s="59">
        <f>($K$4*$E$22)-(($K$4*$E$22)*$C$10)+($D$22*$E$22)+(K8*E22)</f>
        <v>300.90600000000001</v>
      </c>
      <c r="L17" s="59">
        <f>($L$4*$E$23)-(($L$4*$E$23)*$C$10)+($D$23*$E$23)+(L8*E23)</f>
        <v>1542.4751999999999</v>
      </c>
      <c r="M17" s="59">
        <f>($M$4*$E$24)-(($M$4*$E$24)*$C$10)+($D$24*$E$24)+($M8*$E$24)</f>
        <v>929.40840000000003</v>
      </c>
      <c r="N17" s="59">
        <f>($N$4*$E$25)-(($N$4*$E$25)*$C$10)+($D$25*$E$25)+(N8*E25)</f>
        <v>0</v>
      </c>
      <c r="O17" s="59">
        <f>($O$4*$E$26)-(($O$4*$E$26)*$C$10)+($D$26*$E$26)+(O8*E26)</f>
        <v>0</v>
      </c>
      <c r="P17" s="59">
        <f>($P$4*$E$27)-(($P$4*$E$27)*$C$10)+($D$27*$E$27)+(P8*E27)</f>
        <v>0</v>
      </c>
      <c r="Q17" s="59">
        <f>($Q$4*$E$28)-(($Q$4*$E$28)*$C$10)+($D$28*$E$28)+(Q8*E28)</f>
        <v>0</v>
      </c>
      <c r="R17" s="59">
        <f>($R$4*$E$29)-(($R$4*$E$29)*$C$10)+($D$29*$E$29)+(R8*E29)</f>
        <v>0</v>
      </c>
      <c r="S17" s="59">
        <f>($S$4*$E$30)-(($S$4*$E$30)*$C$10)+($D$30*$E$30)+(S8*E30)</f>
        <v>0</v>
      </c>
      <c r="T17" s="59">
        <f>($T$4*$E$31)-(($T$4*$E$31)*$C$10)+($D$31*$E$31)+(T8*E31)</f>
        <v>0</v>
      </c>
      <c r="U17" s="59">
        <f>($U$4*$E$32)-(($U$4*$E$31)*$C$10)+($D$32*$E$31)+(U8*E31)</f>
        <v>0</v>
      </c>
      <c r="V17" s="59">
        <f>($V$4*$E$33)-(($V$4*$E$33)*$C$10)+($D$33*$E$33)+(V8*E33)</f>
        <v>0</v>
      </c>
      <c r="W17" s="59">
        <f>($W$4*$E$34)-(($W$4*$E$34)*$C$10)+($D$34*$E$34)+(W8*E34)</f>
        <v>0</v>
      </c>
      <c r="X17" s="59">
        <f>($X$4*$E$35)-(($W$4*$E$35)*$C$10)+($D$35*$E$35)+(X8*E35)</f>
        <v>0</v>
      </c>
      <c r="AA17" s="1608" t="e">
        <f>(Pricing!Z58-Pricing!AE58)/Pricing!Z58</f>
        <v>#DIV/0!</v>
      </c>
      <c r="AB17" s="1609"/>
      <c r="AD17" s="986" t="s">
        <v>1017</v>
      </c>
      <c r="AE17" s="986"/>
      <c r="AF17" s="970" t="str">
        <f>TRIM('Survey Front'!S30 &amp; " " &amp; 'Survey Front'!T30 &amp; " " &amp; 'Survey Front'!U30 &amp; " " &amp; 'Survey Front'!V30 &amp; " " &amp; 'Survey Front'!W30 &amp; " " &amp; 'Survey Front'!AB30 &amp; " " &amp; 'Survey Front'!AC30)</f>
        <v/>
      </c>
      <c r="AG17" s="970"/>
      <c r="AH17" s="970"/>
      <c r="AN17" s="1610" t="s">
        <v>1018</v>
      </c>
      <c r="AO17" s="1611"/>
      <c r="AP17" s="1610" t="s">
        <v>1019</v>
      </c>
      <c r="AQ17" s="1612"/>
      <c r="AR17" s="1612"/>
      <c r="AT17" s="4" t="str">
        <f>IF(LEN(Drawing!AC40)&gt;1,MID(Matrix!AP17,1,LEN(Drawing!AC40)),MID(AP17,1,1))</f>
        <v>(</v>
      </c>
      <c r="AU17" s="4" t="str">
        <f>MID(AP17,LEN(AT17)+1,LEN(Drawing!AD40))</f>
        <v/>
      </c>
      <c r="AV17" s="4" t="str">
        <f>MID(AP17,LEN(AT17)+(LEN(AU17)+1),LEN(Drawing!AE40))</f>
        <v/>
      </c>
      <c r="AW17" s="4" t="str">
        <f>MID(AP17,LEN(AT17)+(LEN(AU17)+LEN(AV17)+1),LEN(Drawing!AF40))</f>
        <v/>
      </c>
      <c r="AX17" s="4" t="str">
        <f>MID(AP17,LEN(AT17)+(LEN(AU17)+LEN(AV17)+LEN(AW17)+1),LEN(Drawing!AG40))</f>
        <v/>
      </c>
      <c r="AY17" s="4" t="str">
        <f>MID(AP17,LEN(AT17)+(LEN(AU17)+LEN(AV17)+LEN(AW17)+LEN(AX17)+1),LEN(Drawing!AH40))</f>
        <v/>
      </c>
      <c r="AZ17" s="4" t="str">
        <f>MID(AP17,LEN(AT17)+(LEN(AU17)+LEN(AV17)+LEN(AW17)+LEN(AX17)+LEN(AY17)+1),LEN(Drawing!AI40))</f>
        <v/>
      </c>
      <c r="BA17" s="4" t="str">
        <f>MID(AP17,LEN(AT17)+(LEN(AU17)+LEN(AV17)+LEN(AW17)+LEN(AX17)+LEN(AY17)+LEN(AZ17)+1),LEN(Drawing!AJ40))</f>
        <v/>
      </c>
      <c r="BB17" s="4" t="str">
        <f>MID(AP17,LEN(AT17)+(LEN(AU17)+LEN(AV17)+LEN(AW17)+LEN(AX17)+LEN(AY17)+LEN(AZ17)+LEN(BA17)+1),LEN(Drawing!AK40))</f>
        <v/>
      </c>
      <c r="BC17" s="4" t="str">
        <f>MID(AP17,LEN(AT17)+(LEN(AU17)+LEN(AV17)+LEN(AW17)+LEN(AX17)+LEN(AY17)+LEN(AZ17)+LEN(BA17)+LEN(BB17)+1),LEN(Drawing!AL40))</f>
        <v/>
      </c>
      <c r="BD17" s="4" t="str">
        <f>MID(AP17,LEN(AT17)+(LEN(AU17)+LEN(AV17)+LEN(AW17)+LEN(AX17)+LEN(AY17)+LEN(AZ17)+LEN(BA17)+LEN(BB17)+LEN(BC17)+1),LEN(Drawing!AM40))</f>
        <v/>
      </c>
    </row>
    <row r="18" spans="1:56">
      <c r="B18" t="s">
        <v>482</v>
      </c>
      <c r="C18" s="55">
        <v>400</v>
      </c>
      <c r="I18" s="27" t="s">
        <v>568</v>
      </c>
      <c r="J18" s="59">
        <f>($J$4*$E$21)-(($J$4*$E$21)*$C$10)+($D$21*$E$21)+(J9*E21)</f>
        <v>3362.8711500000004</v>
      </c>
      <c r="K18" s="59">
        <f>($K$4*$E$22)-(($K$4*$E$22)*$C$10)+($D$22*$E$22)+(K9*E22)</f>
        <v>338.51925</v>
      </c>
      <c r="L18" s="59">
        <f>($L$4*$E$23)-(($L$4*$E$23)*$C$10)+($D$23*$E$23)+(L9*E23)</f>
        <v>1735.2846</v>
      </c>
      <c r="M18" s="59">
        <f>($M$4*$E$24)-(($M$4*$E$24)*$C$10)+($D$24*$E$24)+($M9*$E$24)</f>
        <v>1045.5844499999998</v>
      </c>
      <c r="N18" s="59">
        <f>($N$4*$E$25)-(($N$4*$E$25)*$C$10)+($D$25*$E$25)+(N9*E25)</f>
        <v>0</v>
      </c>
      <c r="O18" s="59">
        <f>($O$4*$E$26)-(($O$4*$E$26)*$C$10)+($D$26*$E$26)+(O9*E26)</f>
        <v>0</v>
      </c>
      <c r="P18" s="59">
        <f>($P$4*$E$27)-(($P$4*$E$27)*$C$10)+($D$27*$E$27)+(P9*E27)</f>
        <v>0</v>
      </c>
      <c r="Q18" s="59">
        <f>($Q$4*$E$28)-(($Q$4*$E$28)*$C$10)+($D$28*$E$28)+(Q9*E28)</f>
        <v>0</v>
      </c>
      <c r="R18" s="59">
        <f>($R$4*$E$29)-(($R$4*$E$29)*$C$10)+($D$29*$E$29)+(R9*E29)</f>
        <v>0</v>
      </c>
      <c r="S18" s="59">
        <f>($S$4*$E$30)-(($S$4*$E$30)*$C$10)+($D$30*$E$30)+(S9*E30)</f>
        <v>0</v>
      </c>
      <c r="T18" s="59">
        <f>($T$4*$E$31)-(($T$4*$E$31)*$C$10)+($D$31*$E$31)+(T9*E31)</f>
        <v>0</v>
      </c>
      <c r="U18" s="59">
        <f>($U$4*$E$32)-(($U$4*$E$32)*$C$10)+($D$32*$E$32)+(U9*E32)</f>
        <v>0</v>
      </c>
      <c r="V18" s="59">
        <f>($V$4*$E$33)-(($V$4*$E$33)*$C$10)+($D$33*$E$33)+(V9*E33)</f>
        <v>0</v>
      </c>
      <c r="W18" s="59">
        <f>($W$4*$E$34)-(($W$4*$E$34)*$C$10)+($D$34*$E$34)+(W9*E34)</f>
        <v>0</v>
      </c>
      <c r="X18" s="59">
        <f>($X$4*$E$35)-(($X$4*$E$35)*$C$10)+($D$35*$E$35)+(X9*E35)</f>
        <v>0</v>
      </c>
      <c r="AA18" s="27"/>
      <c r="AB18" s="91"/>
      <c r="AD18" s="986" t="s">
        <v>1020</v>
      </c>
      <c r="AE18" s="986"/>
      <c r="AF18" s="970" t="str">
        <f>TRIM('Survey Front'!S33 &amp; " " &amp; 'Survey Front'!T33 &amp; " " &amp; 'Survey Front'!U33 &amp; " " &amp; 'Survey Front'!V33 &amp; " " &amp; 'Survey Front'!W33 &amp; " " &amp; 'Survey Front'!AB33 &amp; " " &amp; 'Survey Front'!AC33)</f>
        <v/>
      </c>
      <c r="AG18" s="970"/>
      <c r="AH18" s="970"/>
      <c r="AN18" s="1612" t="s">
        <v>1021</v>
      </c>
      <c r="AO18" s="1612"/>
      <c r="AP18" s="1613" t="str">
        <f>IF(Drawing!F2=4,Drawing!J18 &amp; " " &amp; Drawing!K18 &amp; " " &amp; Drawing!L18 &amp; " " &amp; Drawing!M18 &amp; " " &amp; Drawing!N18 &amp; " " &amp; Drawing!O18 &amp; " " &amp; Drawing!P18 &amp; " " &amp; Drawing!Q18 &amp; " " &amp; Drawing!R18 &amp; " " &amp; Drawing!S18 &amp; " " &amp; Drawing!T18,IF(Drawing!Y2=4,Drawing!AC18 &amp; " " &amp; Drawing!AD18 &amp; " " &amp; Drawing!AE18 &amp; " " &amp; Drawing!AF18 &amp; " " &amp; Drawing!AG18 &amp; " " &amp; Drawing!AH18 &amp; " " &amp; Drawing!AI18 &amp; " " &amp; Drawing!AJ18 &amp; " " &amp; Drawing!AK18 &amp; " " &amp; Drawing!AL18 &amp; " " &amp; Drawing!AM18,IF(Drawing!F25=4,TRIM(Drawing!J41 &amp; " " &amp; Drawing!K41 &amp; " " &amp; Drawing!L41 &amp; " " &amp; Drawing!M41 &amp; " " &amp; Drawing!N41 &amp; " " &amp; Drawing!O41 &amp; " " &amp; Drawing!P41 &amp; " " &amp; Drawing!Q41 &amp; " " &amp; Drawing!R41 &amp; " " &amp; Drawing!S41 &amp; " " &amp; Drawing!T41),IF(Drawing!Y25=4,Drawing!AC41 &amp; " " &amp; Drawing!AD41 &amp; " " &amp; Drawing!AE41 &amp; " " &amp; Drawing!AF41 &amp; " " &amp; Drawing!AG41 &amp; " " &amp; Drawing!AH41 &amp; " " &amp; Drawing!AI41 &amp; " " &amp; Drawing!AJ41 &amp; " " &amp; Drawing!AK41 &amp; " " &amp; Drawing!AL41 &amp; " " &amp; Drawing!AM41,""))))</f>
        <v/>
      </c>
      <c r="AQ18" s="1613"/>
      <c r="AR18" s="1613"/>
      <c r="AT18" s="92"/>
    </row>
    <row r="19" spans="1:56">
      <c r="J19" s="63"/>
      <c r="K19" s="63"/>
      <c r="L19" s="63"/>
      <c r="M19" s="63"/>
      <c r="N19" s="63"/>
      <c r="O19" s="63"/>
      <c r="P19" s="7"/>
      <c r="Q19" s="7"/>
      <c r="AD19" s="986" t="s">
        <v>1022</v>
      </c>
      <c r="AE19" s="986"/>
      <c r="AF19" s="970" t="str">
        <f>TRIM('Survey Front'!S57 &amp; " " &amp; 'Survey Front'!T57 &amp; " " &amp; 'Survey Front'!U57 &amp; " " &amp; 'Survey Front'!V57 &amp; " " &amp; 'Survey Front'!W57 &amp; " " &amp; 'Survey Front'!AB57 &amp; " " &amp; 'Survey Front'!AC57)</f>
        <v/>
      </c>
      <c r="AG19" s="970"/>
      <c r="AH19" s="970"/>
      <c r="AN19" s="1618" t="s">
        <v>1023</v>
      </c>
      <c r="AO19" s="1619"/>
      <c r="AP19" s="1618" t="s">
        <v>1024</v>
      </c>
      <c r="AQ19" s="1620"/>
      <c r="AR19" s="1620"/>
      <c r="AT19" s="4" t="str">
        <f>IF(LEN(Drawing!J44)&gt;1,MID(Matrix!AP19,1,LEN(Drawing!J44)),MID(AP19,1,1))</f>
        <v>L</v>
      </c>
      <c r="AU19" s="4" t="str">
        <f>MID(AP19,LEN(AT19)+1,LEN(Drawing!K63))</f>
        <v/>
      </c>
      <c r="AV19" s="4" t="str">
        <f>MID(AP19,LEN(AT19)+(LEN(AU19)+1),LEN(Drawing!L63))</f>
        <v/>
      </c>
      <c r="AW19" s="4" t="str">
        <f>MID(AP19,LEN(AT19)+(LEN(AU19)+LEN(AV19)+1),LEN(Drawing!M63))</f>
        <v/>
      </c>
      <c r="AX19" s="4" t="str">
        <f>MID(AP19,LEN(AT19)+(LEN(AU19)+LEN(AV19)+LEN(AW19)+1),LEN(Drawing!N63))</f>
        <v/>
      </c>
      <c r="AY19" s="4" t="str">
        <f>MID(AP19,LEN(AT19)+(LEN(AU19)+LEN(AV19)+LEN(AW19)+LEN(AX19)+1),LEN(Drawing!O63))</f>
        <v/>
      </c>
      <c r="AZ19" s="4" t="str">
        <f>MID(AP19,LEN(AT19)+(LEN(AU19)+LEN(AV19)+LEN(AW19)+LEN(AX19)+LEN(AY19)+1),LEN(Drawing!P63))</f>
        <v/>
      </c>
      <c r="BA19" s="4" t="str">
        <f>MID(AP19,LEN(AT19)+(LEN(AU19)+LEN(AV19)+LEN(AW19)+LEN(AX19)+LEN(AY19)+LEN(AZ19)+1),LEN(Drawing!Q63))</f>
        <v/>
      </c>
      <c r="BB19" s="4" t="str">
        <f>MID(AP19,LEN(AT19)+(LEN(AU19)+LEN(AV19)+LEN(AW19)+LEN(AX19)+LEN(AY19)+LEN(AZ19)+LEN(BA19)+1),LEN(Drawing!R63))</f>
        <v/>
      </c>
      <c r="BC19" s="4" t="str">
        <f>MID(AP19,LEN(AT19)+(LEN(AU19)+LEN(AV19)+LEN(AW19)+LEN(AX19)+LEN(AY19)+LEN(AZ19)+LEN(BA19)+LEN(BB19)+1),LEN(Drawing!S63))</f>
        <v/>
      </c>
      <c r="BD19" s="4" t="str">
        <f>MID(AP19,LEN(AT19)+(LEN(AU19)+LEN(AV19)+LEN(AW19)+LEN(AX19)+LEN(AY19)+LEN(AZ19)+LEN(BA19)+LEN(BB19)+LEN(BC19)+1),LEN(Drawing!T63))</f>
        <v/>
      </c>
    </row>
    <row r="20" spans="1:56">
      <c r="C20" s="62" t="s">
        <v>519</v>
      </c>
      <c r="D20" s="4" t="s">
        <v>520</v>
      </c>
      <c r="E20" s="4" t="s">
        <v>14</v>
      </c>
      <c r="F20" s="4" t="s">
        <v>78</v>
      </c>
      <c r="G20" s="4" t="s">
        <v>521</v>
      </c>
      <c r="H20" s="4" t="s">
        <v>522</v>
      </c>
      <c r="I20" s="4" t="s">
        <v>425</v>
      </c>
      <c r="J20" s="63" t="s">
        <v>465</v>
      </c>
      <c r="K20" s="63" t="s">
        <v>523</v>
      </c>
      <c r="L20" s="63"/>
      <c r="M20" s="63"/>
      <c r="N20" s="63"/>
      <c r="O20" s="63"/>
      <c r="P20" s="7"/>
      <c r="Q20" s="7"/>
      <c r="AD20" s="986" t="s">
        <v>1025</v>
      </c>
      <c r="AE20" s="986"/>
      <c r="AF20" s="970" t="str">
        <f>TRIM('Survey Front'!S60 &amp; " " &amp; 'Survey Front'!T60 &amp; " " &amp; 'Survey Front'!U60 &amp; " " &amp; 'Survey Front'!V60 &amp; " " &amp; 'Survey Front'!W60 &amp; " " &amp; 'Survey Front'!AB60 &amp; " " &amp; 'Survey Front'!AC60)</f>
        <v/>
      </c>
      <c r="AG20" s="970"/>
      <c r="AH20" s="970"/>
      <c r="AN20" s="1620" t="s">
        <v>1026</v>
      </c>
      <c r="AO20" s="1620"/>
      <c r="AP20" s="1621" t="str">
        <f>IF(Drawing!F2=5,Drawing!J18 &amp; " " &amp; Drawing!K18 &amp; " " &amp; Drawing!L18 &amp; " " &amp; Drawing!M18 &amp; " " &amp; Drawing!N18 &amp; " " &amp; Drawing!O18 &amp; " " &amp; Drawing!P18 &amp; " " &amp; Drawing!Q18 &amp; " " &amp; Drawing!R18 &amp; " " &amp; Drawing!S18 &amp; " " &amp; Drawing!T18,IF(Drawing!Y2=5,Drawing!AC18 &amp; " " &amp; Drawing!AD18 &amp; " " &amp; Drawing!AE18 &amp; " " &amp; Drawing!AF18 &amp; " " &amp; Drawing!AG18 &amp; " " &amp; Drawing!AH18 &amp; " " &amp; Drawing!AI18 &amp; " " &amp; Drawing!AJ18 &amp; " " &amp; Drawing!AK18 &amp; " " &amp; Drawing!AL18 &amp; " " &amp; Drawing!AM18,IF(Drawing!F25=5,TRIM(Drawing!J41 &amp; " " &amp; Drawing!K41 &amp; " " &amp; Drawing!L41 &amp; " " &amp; Drawing!M41 &amp; " " &amp; Drawing!N41 &amp; " " &amp; Drawing!O41 &amp; " " &amp; Drawing!P41 &amp; " " &amp; Drawing!Q41 &amp; " " &amp; Drawing!R41 &amp; " " &amp; Drawing!S41 &amp; " " &amp; Drawing!T41),IF(Drawing!Y48=6,Drawing!AC41 &amp; " " &amp; Drawing!AD41 &amp; " " &amp; Drawing!AE41 &amp; " " &amp; Drawing!AF41 &amp; " " &amp; Drawing!AG41 &amp; " " &amp; Drawing!AH41 &amp; " " &amp; Drawing!AI41 &amp; " " &amp; Drawing!AJ41 &amp; " " &amp; Drawing!AK41 &amp; " " &amp; Drawing!AL41 &amp; " " &amp; Drawing!AM41,""))))</f>
        <v/>
      </c>
      <c r="AQ20" s="1621"/>
      <c r="AR20" s="1621"/>
    </row>
    <row r="21" spans="1:56">
      <c r="B21" t="s">
        <v>331</v>
      </c>
      <c r="C21" s="64">
        <f>COUNTIFS(Pricing!R8:AB8,"(CB)")</f>
        <v>0</v>
      </c>
      <c r="D21" s="4">
        <f>IF(C21&gt;0,20,)</f>
        <v>0</v>
      </c>
      <c r="E21" s="65">
        <f>IF(Pricing!AE8="Quoted",,IF(Pricing!E8="",,Pricing!M8*Pricing!N8/1000000))</f>
        <v>7.4730470000000002</v>
      </c>
      <c r="F21" s="62">
        <f>IF(Pricing!AE8="Quoted",IF(Pricing!J8 = "Silent",$E$21*$C$9,0),)</f>
        <v>0</v>
      </c>
      <c r="G21" s="62">
        <f>IF(Pricing!AE8="Quoted",IF(Pricing!D8="Tracked",$F$2*H21+$C$11,0),)</f>
        <v>0</v>
      </c>
      <c r="H21" s="66">
        <f>CONVERT(Pricing!M8,"mm","m")</f>
        <v>3.383</v>
      </c>
      <c r="I21" s="62">
        <f>IF(Pricing!D8="S/Shade",$F$3*E21,0)</f>
        <v>0</v>
      </c>
      <c r="J21" s="55">
        <f>AC9*C13</f>
        <v>280</v>
      </c>
      <c r="K21" s="4">
        <f>IF(I21&gt;0,E21,)</f>
        <v>0</v>
      </c>
      <c r="AD21" s="986" t="s">
        <v>1027</v>
      </c>
      <c r="AE21" s="986"/>
      <c r="AF21" s="970" t="str">
        <f>TRIM('Survey Front'!S63 &amp; " " &amp; 'Survey Front'!T63 &amp; " " &amp; 'Survey Front'!U63 &amp; " " &amp; 'Survey Front'!V63 &amp; " " &amp; 'Survey Front'!W63 &amp; " " &amp; 'Survey Front'!AB63 &amp; " " &amp; 'Survey Front'!AC63)</f>
        <v/>
      </c>
      <c r="AG21" s="970"/>
      <c r="AH21" s="970"/>
      <c r="AN21" s="1614" t="s">
        <v>1015</v>
      </c>
      <c r="AO21" s="1615"/>
      <c r="AP21" s="1614" t="s">
        <v>1028</v>
      </c>
      <c r="AQ21" s="1616"/>
      <c r="AR21" s="1616"/>
      <c r="AT21" s="4" t="str">
        <f>IF(LEN(Drawing!AC63)&gt;1,MID(Matrix!AP21,1,LEN(Drawing!AC63)),MID(AP21,1,1))</f>
        <v>(</v>
      </c>
      <c r="AU21" s="4" t="str">
        <f>MID(AP21,LEN(AT21)+1,LEN(Drawing!AD63))</f>
        <v/>
      </c>
      <c r="AV21" s="4" t="str">
        <f>MID(AP21,LEN(AT21)+(LEN(AU21)+1),LEN(Drawing!AE63))</f>
        <v/>
      </c>
      <c r="AW21" s="4" t="str">
        <f>MID(AP21,LEN(AT21)+(LEN(AU21)+LEN(AV21)+1),LEN(Drawing!AF63))</f>
        <v/>
      </c>
      <c r="AX21" s="4" t="str">
        <f>MID(AP21,LEN(AT21)+(LEN(AU21)+LEN(AV21)+LEN(AW21)+1),LEN(Drawing!AG63))</f>
        <v/>
      </c>
      <c r="AY21" s="4" t="str">
        <f>MID(AP21,LEN(AT21)+(LEN(AU21)+LEN(AV21)+LEN(AW21)+LEN(AX21)+1),LEN(Drawing!AH63))</f>
        <v/>
      </c>
      <c r="AZ21" s="4" t="str">
        <f>MID(AP21,LEN(AT21)+(LEN(AU21)+LEN(AV21)+LEN(AW21)+LEN(AX21)+LEN(AY21)+1),LEN(Drawing!AI63))</f>
        <v/>
      </c>
      <c r="BA21" s="4" t="str">
        <f>MID(AP21,LEN(AT21)+(LEN(AU21)+LEN(AV21)+LEN(AW21)+LEN(AX21)+LEN(AY21)+LEN(AZ21)+1),LEN(Drawing!AJ63))</f>
        <v/>
      </c>
      <c r="BB21" s="4" t="str">
        <f>MID(AP21,LEN(AT21)+(LEN(AU21)+LEN(AV21)+LEN(AW21)+LEN(AX21)+LEN(AY21)+LEN(AZ21)+LEN(BA21)+1),LEN(Drawing!AK63))</f>
        <v/>
      </c>
      <c r="BC21" s="4" t="str">
        <f>MID(AP21,LEN(AT21)+(LEN(AU21)+LEN(AV21)+LEN(AW21)+LEN(AX21)+LEN(AY21)+LEN(AZ21)+LEN(BA21)+LEN(BB21)+1),LEN(Drawing!AL63))</f>
        <v/>
      </c>
      <c r="BD21" s="4" t="str">
        <f>MID(AP21,LEN(AT21)+(LEN(AU21)+LEN(AV21)+LEN(AW21)+LEN(AX21)+LEN(AY21)+LEN(AZ21)+LEN(BA21)+LEN(BB21)+LEN(BC21)+1),LEN(Drawing!AM63))</f>
        <v/>
      </c>
    </row>
    <row r="22" spans="1:56">
      <c r="B22" t="s">
        <v>334</v>
      </c>
      <c r="C22" s="64">
        <f>COUNTIFS(Pricing!R11:AB11,"(CB)")</f>
        <v>0</v>
      </c>
      <c r="D22" s="4">
        <f t="shared" ref="D22:D35" si="4">IF(C22&gt;0,20,)</f>
        <v>0</v>
      </c>
      <c r="E22" s="65">
        <f>IF(Pricing!AE11="Quoted",,IF(Pricing!E11="",,Pricing!M11*Pricing!N11/1000000))</f>
        <v>0.75226499999999996</v>
      </c>
      <c r="F22" s="62">
        <f>IF(Pricing!AE11="Quoted",IF(Pricing!J11 = "Silent",$E$22*$C$9,0),)</f>
        <v>0</v>
      </c>
      <c r="G22" s="62">
        <f>IF(Pricing!AE11="Quoted",IF(Pricing!D11="Tracked",$F$2*H22+$C$11,0),)</f>
        <v>0</v>
      </c>
      <c r="H22" s="66">
        <f>IF(Pricing!D11="Tracked",CONVERT(Pricing!M11,"mm","m"),)</f>
        <v>0</v>
      </c>
      <c r="I22" s="62">
        <f>IF(Pricing!D11="S/Shade",$F$3*E22,0)</f>
        <v>0</v>
      </c>
      <c r="K22" s="4">
        <f t="shared" ref="K22:K35" si="5">IF(I22&gt;0,E22,)</f>
        <v>0</v>
      </c>
      <c r="AD22" s="986" t="s">
        <v>1029</v>
      </c>
      <c r="AE22" s="986"/>
      <c r="AF22" s="970" t="str">
        <f>TRIM('Survey Front'!S66 &amp; " " &amp; 'Survey Front'!T66 &amp; " " &amp; 'Survey Front'!U66 &amp; " " &amp; 'Survey Front'!V66 &amp; " " &amp; 'Survey Front'!W66 &amp; " " &amp; 'Survey Front'!AB66 &amp; " " &amp; 'Survey Front'!AC66)</f>
        <v/>
      </c>
      <c r="AG22" s="970"/>
      <c r="AH22" s="970"/>
      <c r="AN22" s="1616" t="s">
        <v>1030</v>
      </c>
      <c r="AO22" s="1616"/>
      <c r="AP22" s="1617" t="str">
        <f>IF(Drawing!F2=6,Drawing!J18 &amp; " " &amp; Drawing!K18 &amp; " " &amp; Drawing!L18 &amp; " " &amp; Drawing!M18 &amp; " " &amp; Drawing!N18 &amp; " " &amp; Drawing!O18 &amp; " " &amp; Drawing!P18 &amp; " " &amp; Drawing!Q18 &amp; " " &amp; Drawing!R18 &amp; " " &amp; Drawing!S18 &amp; " " &amp; Drawing!T18,IF(Drawing!Y2=6,Drawing!AC18 &amp; " " &amp; Drawing!AD18 &amp; " " &amp; Drawing!AE18 &amp; " " &amp; Drawing!AF18 &amp; " " &amp; Drawing!AG18 &amp; " " &amp; Drawing!AH18 &amp; " " &amp; Drawing!AI18 &amp; " " &amp; Drawing!AJ18 &amp; " " &amp; Drawing!AK18 &amp; " " &amp; Drawing!AL18 &amp; " " &amp; Drawing!AM18,IF(Drawing!F25=6,TRIM(Drawing!J41 &amp; " " &amp; Drawing!K41 &amp; " " &amp; Drawing!L41 &amp; " " &amp; Drawing!M41 &amp; " " &amp; Drawing!N41 &amp; " " &amp; Drawing!O41 &amp; " " &amp; Drawing!P41 &amp; " " &amp; Drawing!Q41 &amp; " " &amp; Drawing!R41 &amp; " " &amp; Drawing!S41 &amp; " " &amp; Drawing!T41),IF(Drawing!Y25=6,Drawing!AC41 &amp; " " &amp; Drawing!AD41 &amp; " " &amp; Drawing!AE41 &amp; " " &amp; Drawing!AF41 &amp; " " &amp; Drawing!AG41 &amp; " " &amp; Drawing!AH41 &amp; " " &amp; Drawing!AI41 &amp; " " &amp; Drawing!AJ41 &amp; " " &amp; Drawing!AK41 &amp; " " &amp; Drawing!AL41 &amp; " " &amp; Drawing!AM41,""))))</f>
        <v/>
      </c>
      <c r="AQ22" s="1617"/>
      <c r="AR22" s="1617"/>
    </row>
    <row r="23" spans="1:56">
      <c r="B23" t="s">
        <v>336</v>
      </c>
      <c r="C23" s="64">
        <f>COUNTIFS(Pricing!R14:AB14,"(CB)")</f>
        <v>0</v>
      </c>
      <c r="D23" s="4">
        <f t="shared" si="4"/>
        <v>0</v>
      </c>
      <c r="E23" s="65">
        <f>IF(Pricing!AE14="Quoted",,IF(Pricing!E14="",,Pricing!M14*Pricing!N14/1000000))</f>
        <v>3.8561879999999999</v>
      </c>
      <c r="F23" s="62">
        <f>IF(Pricing!AE14="Quoted",IF(Pricing!J14 = "Silent",$E$23*$C$9,0),)</f>
        <v>0</v>
      </c>
      <c r="G23" s="62">
        <f>IF(Pricing!AE14="Quoted",IF(Pricing!D14="Tracked",$F$2*H23+$C$11,0),)</f>
        <v>0</v>
      </c>
      <c r="H23" s="66">
        <f>IF(Pricing!D14="Tracked",CONVERT(Pricing!M14,"mm","m"),)</f>
        <v>0</v>
      </c>
      <c r="I23" s="62">
        <f>IF(Pricing!D14="S/Shade",$F$3*E23,0)</f>
        <v>0</v>
      </c>
      <c r="K23" s="4">
        <f t="shared" si="5"/>
        <v>0</v>
      </c>
      <c r="AD23" s="986" t="s">
        <v>1031</v>
      </c>
      <c r="AE23" s="986"/>
      <c r="AF23" s="970" t="str">
        <f>TRIM('Survey Front'!S69 &amp; " " &amp; 'Survey Front'!T69 &amp; " " &amp; 'Survey Front'!U69 &amp; " " &amp; 'Survey Front'!V69 &amp; " " &amp; 'Survey Front'!W69 &amp; " " &amp; 'Survey Front'!AB69 &amp; " " &amp; 'Survey Front'!AC69)</f>
        <v/>
      </c>
      <c r="AG23" s="970"/>
      <c r="AH23" s="970"/>
      <c r="AN23" s="1626" t="s">
        <v>1017</v>
      </c>
      <c r="AO23" s="1627"/>
      <c r="AP23" s="1626" t="s">
        <v>1032</v>
      </c>
      <c r="AQ23" s="1628"/>
      <c r="AR23" s="1628"/>
      <c r="AT23" s="4" t="b">
        <f>IF(AND(Drawing!B2=1,Drawing!F2=7),IF(LEN(Drawing!J17)&gt;1,MID(Matrix!AP23,1,LEN(Drawing!J17)),MID(AP23,1,1)))</f>
        <v>0</v>
      </c>
      <c r="AU23" s="4" t="str">
        <f>MID(AP23,LEN(AT23)+1,LEN(Drawing!K67))</f>
        <v/>
      </c>
      <c r="AV23" s="4" t="str">
        <f>MID(AP23,LEN(AT23)+(LEN(AU23)+1),LEN(Drawing!L67))</f>
        <v/>
      </c>
      <c r="AW23" s="4" t="str">
        <f>MID(AP23,LEN(AT23)+(LEN(AU23)+LEN(AV23)+1),LEN(Drawing!M67))</f>
        <v/>
      </c>
      <c r="AX23" s="4" t="str">
        <f>MID(AP23,LEN(AT23)+(LEN(AU23)+LEN(AV23)+LEN(AW23)+1),LEN(Drawing!N67))</f>
        <v/>
      </c>
      <c r="AY23" s="4" t="str">
        <f>MID(AP23,LEN(AT23)+(LEN(AU23)+LEN(AV23)+LEN(AW23)+LEN(AX23)+1),LEN(Drawing!O67))</f>
        <v/>
      </c>
      <c r="AZ23" s="4" t="str">
        <f>MID(AP23,LEN(AT23)+(LEN(AU23)+LEN(AV23)+LEN(AW23)+LEN(AX23)+LEN(AY23)+1),LEN(Drawing!P67))</f>
        <v/>
      </c>
      <c r="BA23" s="4" t="str">
        <f>MID(AP23,LEN(AT23)+(LEN(AU23)+LEN(AV23)+LEN(AW23)+LEN(AX23)+LEN(AY23)+LEN(AZ23)+1),LEN(Drawing!Q67))</f>
        <v/>
      </c>
      <c r="BB23" s="4" t="str">
        <f>MID(AP23,LEN(AT23)+(LEN(AU23)+LEN(AV23)+LEN(AW23)+LEN(AX23)+LEN(AY23)+LEN(AZ23)+LEN(BA23)+1),LEN(Drawing!R67))</f>
        <v/>
      </c>
      <c r="BC23" s="4" t="str">
        <f>MID(AP23,LEN(AT23)+(LEN(AU23)+LEN(AV23)+LEN(AW23)+LEN(AX23)+LEN(AY23)+LEN(AZ23)+LEN(BA23)+LEN(BB23)+1),LEN(Drawing!S67))</f>
        <v/>
      </c>
      <c r="BD23" s="4" t="str">
        <f>MID(AP23,LEN(AT23)+(LEN(AU23)+LEN(AV23)+LEN(AW23)+LEN(AX23)+LEN(AY23)+LEN(AZ23)+LEN(BA23)+LEN(BB23)+LEN(BC23)+1),LEN(Drawing!T67))</f>
        <v/>
      </c>
    </row>
    <row r="24" spans="1:56">
      <c r="B24" t="s">
        <v>338</v>
      </c>
      <c r="C24" s="64">
        <f>COUNTIFS(Pricing!R17:AB17,"(CB)")</f>
        <v>0</v>
      </c>
      <c r="D24" s="4">
        <f t="shared" si="4"/>
        <v>0</v>
      </c>
      <c r="E24" s="65">
        <f>IF(Pricing!AE7="Quoted",,IF(Pricing!E17="",,Pricing!M17*Pricing!N17/1000000))</f>
        <v>2.3235209999999999</v>
      </c>
      <c r="F24" s="62">
        <f>IF(Pricing!AE17="Quoted",IF(Pricing!J17 = "Silent",$E$24*$C$9,0),)</f>
        <v>0</v>
      </c>
      <c r="G24" s="62">
        <f>IF(Pricing!AE17="Quoted",IF(Pricing!D17="Tracked",$F$2*H24+$C$11,0),)</f>
        <v>0</v>
      </c>
      <c r="H24" s="66">
        <f>IF(Pricing!D17="Tracked",CONVERT(Pricing!M17,"mm","m"),)</f>
        <v>0</v>
      </c>
      <c r="I24" s="62">
        <f>IF(Pricing!D17="S/Shade",$F$3*E24,0)</f>
        <v>0</v>
      </c>
      <c r="K24" s="4">
        <f t="shared" si="5"/>
        <v>0</v>
      </c>
      <c r="AD24" s="986" t="s">
        <v>1033</v>
      </c>
      <c r="AE24" s="986"/>
      <c r="AF24" s="970" t="str">
        <f>TRIM('Survey Front'!S72 &amp; " " &amp; 'Survey Front'!T72 &amp; " " &amp; 'Survey Front'!U72 &amp; " " &amp; 'Survey Front'!V72 &amp; " " &amp; 'Survey Front'!W72 &amp; " " &amp; 'Survey Front'!AB72 &amp; " " &amp; 'Survey Front'!AC72)</f>
        <v/>
      </c>
      <c r="AG24" s="970"/>
      <c r="AH24" s="970"/>
      <c r="AN24" s="1628" t="s">
        <v>1034</v>
      </c>
      <c r="AO24" s="1628"/>
      <c r="AP24" s="1629" t="str">
        <f>IF(Drawing!F4=6,Drawing!J20 &amp; " " &amp; Drawing!K20 &amp; " " &amp; Drawing!L20 &amp; " " &amp; Drawing!M20 &amp; " " &amp; Drawing!N20 &amp; " " &amp; Drawing!O20 &amp; " " &amp; Drawing!P20 &amp; " " &amp; Drawing!Q20 &amp; " " &amp; Drawing!R20 &amp; " " &amp; Drawing!S20 &amp; " " &amp; Drawing!T20,IF(Drawing!Y4=6,Drawing!AC20 &amp; " " &amp; Drawing!AD20 &amp; " " &amp; Drawing!AE20 &amp; " " &amp; Drawing!AF20 &amp; " " &amp; Drawing!AG20 &amp; " " &amp; Drawing!AH20 &amp; " " &amp; Drawing!AI20 &amp; " " &amp; Drawing!AJ20 &amp; " " &amp; Drawing!AK20 &amp; " " &amp; Drawing!AL20 &amp; " " &amp; Drawing!AM20,IF(Drawing!F27=6,TRIM(Drawing!J43 &amp; " " &amp; Drawing!K43 &amp; " " &amp; Drawing!L43 &amp; " " &amp; Drawing!M43 &amp; " " &amp; Drawing!N43 &amp; " " &amp; Drawing!O43 &amp; " " &amp; Drawing!P43 &amp; " " &amp; Drawing!Q43 &amp; " " &amp; Drawing!R43 &amp; " " &amp; Drawing!S43 &amp; " " &amp; Drawing!T43),IF(Drawing!Y27=6,Drawing!AC43 &amp; " " &amp; Drawing!AD43 &amp; " " &amp; Drawing!AE43 &amp; " " &amp; Drawing!AF43 &amp; " " &amp; Drawing!AG43 &amp; " " &amp; Drawing!AH43 &amp; " " &amp; Drawing!AI43 &amp; " " &amp; Drawing!AJ43 &amp; " " &amp; Drawing!AK43 &amp; " " &amp; Drawing!AL43 &amp; " " &amp; Drawing!AM43,""))))</f>
        <v/>
      </c>
      <c r="AQ24" s="1629"/>
      <c r="AR24" s="1629"/>
    </row>
    <row r="25" spans="1:56">
      <c r="B25" t="s">
        <v>339</v>
      </c>
      <c r="C25" s="64">
        <f>COUNTIFS(Pricing!R20:AB20,"(CB)")</f>
        <v>0</v>
      </c>
      <c r="D25" s="4">
        <f t="shared" si="4"/>
        <v>0</v>
      </c>
      <c r="E25" s="65">
        <f>IF(Pricing!AE20="Quoted",,IF(Pricing!E20="",,Pricing!M20*Pricing!N20/1000000))</f>
        <v>0</v>
      </c>
      <c r="F25" s="62">
        <f>IF(Pricing!AE20="Quoted",IF(Pricing!J20 = "Silent",$E$25*$C$9,0),)</f>
        <v>0</v>
      </c>
      <c r="G25" s="62">
        <f>IF(Pricing!AE20="Quoted",IF(Pricing!D20="Tracked",$F$2*H25+$C$11,0),)</f>
        <v>0</v>
      </c>
      <c r="H25" s="66">
        <f>IF(Pricing!D20="Tracked",CONVERT(Pricing!M20,"mm","m"),)</f>
        <v>0</v>
      </c>
      <c r="I25" s="62">
        <f>IF(Pricing!D20="S/Shade",$F$3*E25,0)</f>
        <v>0</v>
      </c>
      <c r="K25" s="4">
        <f t="shared" si="5"/>
        <v>0</v>
      </c>
      <c r="AD25" s="986" t="s">
        <v>1035</v>
      </c>
      <c r="AE25" s="986"/>
      <c r="AF25" s="970" t="str">
        <f>TRIM('Survey Front'!S75 &amp; " " &amp; 'Survey Front'!T75 &amp; " " &amp; 'Survey Front'!U75 &amp; " " &amp; 'Survey Front'!V75 &amp; " " &amp; 'Survey Front'!W75 &amp; " " &amp; 'Survey Front'!AB75 &amp; " " &amp; 'Survey Front'!AC75)</f>
        <v/>
      </c>
      <c r="AG25" s="970"/>
      <c r="AH25" s="970"/>
      <c r="AN25" s="1622" t="s">
        <v>1020</v>
      </c>
      <c r="AO25" s="1623"/>
      <c r="AP25" s="1622" t="b">
        <v>0</v>
      </c>
      <c r="AQ25" s="1624"/>
      <c r="AR25" s="1624"/>
    </row>
    <row r="26" spans="1:56">
      <c r="B26" t="s">
        <v>341</v>
      </c>
      <c r="C26" s="64">
        <f>COUNTIFS(Pricing!R23:AB23,"(CB)")</f>
        <v>0</v>
      </c>
      <c r="D26" s="4">
        <f t="shared" si="4"/>
        <v>0</v>
      </c>
      <c r="E26" s="65">
        <f>IF(Pricing!AE23="Quoted",,IF(Pricing!E23="",,Pricing!M23*Pricing!N23/1000000))</f>
        <v>0</v>
      </c>
      <c r="F26" s="62">
        <f>IF(Pricing!AE23="Quoted",IF(Pricing!J23 = "Silent",$E$26*$C$9,0),)</f>
        <v>0</v>
      </c>
      <c r="G26" s="62">
        <f>IF(Pricing!AE23="Quoted",IF(Pricing!D23="Tracked",$F$2*H26+$C$11,0),)</f>
        <v>0</v>
      </c>
      <c r="H26" s="66">
        <f>IF(Pricing!D23="Tracked",CONVERT(Pricing!M23,"mm","m"),)</f>
        <v>0</v>
      </c>
      <c r="I26" s="62">
        <f>IF(Pricing!D23="S/Shade",$F$3*E26,0)</f>
        <v>0</v>
      </c>
      <c r="K26" s="4">
        <f t="shared" si="5"/>
        <v>0</v>
      </c>
      <c r="AN26" s="1624" t="s">
        <v>1036</v>
      </c>
      <c r="AO26" s="1624"/>
      <c r="AP26" s="1625"/>
      <c r="AQ26" s="1625"/>
      <c r="AR26" s="1625"/>
    </row>
    <row r="27" spans="1:56">
      <c r="B27" t="s">
        <v>342</v>
      </c>
      <c r="C27" s="64">
        <f>COUNTIFS(Pricing!R26:AB26,"(CB)")</f>
        <v>0</v>
      </c>
      <c r="D27" s="4">
        <f t="shared" si="4"/>
        <v>0</v>
      </c>
      <c r="E27" s="65">
        <f>IF(Pricing!AE26="Quoted",,IF(Pricing!E26="",,Pricing!M26*Pricing!N26/1000000))</f>
        <v>0</v>
      </c>
      <c r="F27" s="62">
        <f>IF(Pricing!AE26="Quoted",IF(Pricing!J26 = "Silent",$E$27*$C$9,0),)</f>
        <v>0</v>
      </c>
      <c r="G27" s="62">
        <f>IF(Pricing!AE26="Quoted",IF(Pricing!D26="Tracked",$F$2*H27+$C$11,0),)</f>
        <v>0</v>
      </c>
      <c r="H27" s="66">
        <f>IF(Pricing!D26="Tracked",CONVERT(Pricing!M26,"mm","m"),)</f>
        <v>0</v>
      </c>
      <c r="I27" s="62">
        <f>IF(Pricing!D26="S/Shade",$F$3*E27,0)</f>
        <v>0</v>
      </c>
      <c r="K27" s="4">
        <f t="shared" si="5"/>
        <v>0</v>
      </c>
      <c r="AN27" s="1633" t="s">
        <v>1022</v>
      </c>
      <c r="AO27" s="1634"/>
      <c r="AP27" s="1633" t="b">
        <v>0</v>
      </c>
      <c r="AQ27" s="1635"/>
      <c r="AR27" s="1635"/>
    </row>
    <row r="28" spans="1:56">
      <c r="B28" t="s">
        <v>343</v>
      </c>
      <c r="C28" s="64">
        <f>COUNTIFS(Pricing!R29:AB29,"(CB)")</f>
        <v>0</v>
      </c>
      <c r="D28" s="4">
        <f t="shared" si="4"/>
        <v>0</v>
      </c>
      <c r="E28" s="65">
        <f>IF(Pricing!AE29="Quoted",,IF(Pricing!E29="",,Pricing!M29*Pricing!N29/1000000))</f>
        <v>0</v>
      </c>
      <c r="F28" s="62">
        <f>IF(Pricing!AE29="Quoted",IF(Pricing!J29 = "Silent",$E28*$C$9,0),)</f>
        <v>0</v>
      </c>
      <c r="G28" s="62">
        <f>IF(Pricing!AE29="Quoted",IF(Pricing!D29="Tracked",$F$2*H28+$C$11,0),)</f>
        <v>0</v>
      </c>
      <c r="H28" s="66">
        <f>IF(Pricing!D29="Tracked",CONVERT(Pricing!M29,"mm","m"),)</f>
        <v>0</v>
      </c>
      <c r="I28" s="62">
        <f>IF(Pricing!D29="S/Shade",$F$3*E28,0)</f>
        <v>0</v>
      </c>
      <c r="K28" s="4">
        <f t="shared" si="5"/>
        <v>0</v>
      </c>
      <c r="AN28" s="1635" t="s">
        <v>1037</v>
      </c>
      <c r="AO28" s="1635"/>
      <c r="AP28" s="93"/>
      <c r="AQ28" s="93"/>
      <c r="AR28" s="93"/>
    </row>
    <row r="29" spans="1:56">
      <c r="B29" t="s">
        <v>344</v>
      </c>
      <c r="C29" s="64">
        <f>COUNTIFS(Pricing!R30:AB30,"(CB)")</f>
        <v>0</v>
      </c>
      <c r="D29" s="4">
        <f t="shared" si="4"/>
        <v>0</v>
      </c>
      <c r="E29" s="65">
        <f>IF(Pricing!AE32="Quoted",,IF(Pricing!E32="",,Pricing!M32*Pricing!N32/1000000))</f>
        <v>0</v>
      </c>
      <c r="F29" s="62">
        <f>IF(Pricing!AE32="Quoted",IF(Pricing!J32 = "Silent",$E29*$C$9,0),)</f>
        <v>0</v>
      </c>
      <c r="G29" s="62">
        <f>IF(Pricing!AE32="Quoted",IF(Pricing!D32="Tracked",$F$2*H29+$C$11,0),)</f>
        <v>0</v>
      </c>
      <c r="H29" s="66">
        <f>IF(Pricing!D32="Tracked",CONVERT(Pricing!M32,"mm","m"),)</f>
        <v>0</v>
      </c>
      <c r="I29" s="62">
        <f>IF(Pricing!D32="S/Shade",$F$3*E29,0)</f>
        <v>0</v>
      </c>
      <c r="K29" s="4">
        <f t="shared" si="5"/>
        <v>0</v>
      </c>
      <c r="AN29" s="1636" t="s">
        <v>1025</v>
      </c>
      <c r="AO29" s="1637"/>
      <c r="AP29" s="1636" t="b">
        <v>0</v>
      </c>
      <c r="AQ29" s="1638"/>
      <c r="AR29" s="1638"/>
    </row>
    <row r="30" spans="1:56">
      <c r="B30" t="s">
        <v>346</v>
      </c>
      <c r="C30" s="64">
        <f>COUNTIFS(Pricing!R35:AB35,"(CB)")</f>
        <v>0</v>
      </c>
      <c r="D30" s="4">
        <f t="shared" si="4"/>
        <v>0</v>
      </c>
      <c r="E30" s="65">
        <f>IF(Pricing!AE35="Quoted",,IF(Pricing!E35="",,Pricing!M35*Pricing!N35/1000000))</f>
        <v>0</v>
      </c>
      <c r="F30" s="62">
        <f>IF(Pricing!AE35="Quoted",IF(Pricing!J35 = "Silent",$E30*$C$9,0),)</f>
        <v>0</v>
      </c>
      <c r="G30" s="62">
        <f>IF(Pricing!AE35="Quoted",IF(Pricing!D35="Tracked",$F$2*H30+$C$11,0),)</f>
        <v>0</v>
      </c>
      <c r="H30" s="66">
        <f>IF(Pricing!D35="Tracked",CONVERT(Pricing!M35,"mm","m"),)</f>
        <v>0</v>
      </c>
      <c r="I30" s="62">
        <f>IF(Pricing!D35="S/Shade",$F$3*E30,0)</f>
        <v>0</v>
      </c>
      <c r="K30" s="4">
        <f t="shared" si="5"/>
        <v>0</v>
      </c>
      <c r="AD30" s="1538" t="s">
        <v>487</v>
      </c>
      <c r="AE30" s="1538"/>
      <c r="AF30" s="970" t="str">
        <f xml:space="preserve"> TRIM(Pricing!R8 &amp; " " &amp; Pricing!S8 &amp; " " &amp; Pricing!T8 &amp; " " &amp; Pricing!U8 &amp; " " &amp; Pricing!V8 &amp; " " &amp; Pricing!W8 &amp; " " &amp; Pricing!X8 &amp; " " &amp; Pricing!Y8 &amp; " " &amp; Pricing!Z8 &amp; " " &amp; Pricing!AA8 &amp; " " &amp; Pricing!AB8)</f>
        <v>FF FF FF FF</v>
      </c>
      <c r="AG30" s="970"/>
      <c r="AH30" s="970"/>
      <c r="AN30" s="1638" t="s">
        <v>1038</v>
      </c>
      <c r="AO30" s="1638"/>
      <c r="AP30" s="94"/>
      <c r="AQ30" s="94"/>
      <c r="AR30" s="94"/>
    </row>
    <row r="31" spans="1:56">
      <c r="B31" t="s">
        <v>348</v>
      </c>
      <c r="C31" s="64">
        <f>COUNTIFS(Pricing!R38:AB38,"(CB)")</f>
        <v>0</v>
      </c>
      <c r="D31" s="4">
        <f t="shared" si="4"/>
        <v>0</v>
      </c>
      <c r="E31" s="65">
        <f>IF(Pricing!AE38="Quoted",,IF(Pricing!E38="",,Pricing!M38*Pricing!N38/1000000))</f>
        <v>0</v>
      </c>
      <c r="F31" s="62">
        <f>IF(Pricing!AE38="Quoted",IF(Pricing!J38 = "Silent",$E31*$C$9,0),)</f>
        <v>0</v>
      </c>
      <c r="G31" s="62">
        <f>IF(Pricing!AE38="Quoted",IF(Pricing!D38="Tracked",$F$2*H31+$C$11,0),)</f>
        <v>0</v>
      </c>
      <c r="H31" s="66">
        <f>IF(Pricing!D38="Tracked",CONVERT(Pricing!M38,"mm","m"),)</f>
        <v>0</v>
      </c>
      <c r="I31" s="62">
        <f>IF(Pricing!D38="S/Shade",$F$3*E31,0)</f>
        <v>0</v>
      </c>
      <c r="K31" s="4">
        <f t="shared" si="5"/>
        <v>0</v>
      </c>
      <c r="AD31" s="1538" t="s">
        <v>489</v>
      </c>
      <c r="AE31" s="1538"/>
      <c r="AF31" s="970" t="str">
        <f xml:space="preserve"> TRIM(Pricing!R11 &amp; " " &amp; Pricing!S11 &amp; " " &amp; Pricing!T11 &amp; " " &amp; Pricing!U11 &amp; " " &amp; Pricing!V11 &amp; " " &amp; Pricing!W11 &amp; " " &amp; Pricing!X11 &amp; " " &amp; Pricing!Y11 &amp; " " &amp; Pricing!Z11 &amp; " " &amp; Pricing!AA11 &amp; " " &amp; Pricing!AB11)</f>
        <v>L</v>
      </c>
      <c r="AG31" s="970"/>
      <c r="AH31" s="970"/>
      <c r="AN31" s="1630" t="s">
        <v>1027</v>
      </c>
      <c r="AO31" s="1631"/>
      <c r="AP31" s="1630" t="b">
        <v>0</v>
      </c>
      <c r="AQ31" s="1632"/>
      <c r="AR31" s="1632"/>
    </row>
    <row r="32" spans="1:56">
      <c r="B32" t="s">
        <v>350</v>
      </c>
      <c r="C32" s="64">
        <f>COUNTIFS(Pricing!R41:AB41,"(CB)")</f>
        <v>0</v>
      </c>
      <c r="D32" s="4">
        <f t="shared" si="4"/>
        <v>0</v>
      </c>
      <c r="E32" s="65">
        <f>IF(Pricing!AE41="Quoted",,IF(Pricing!E41="",,Pricing!M41*Pricing!N41/1000000))</f>
        <v>0</v>
      </c>
      <c r="F32" s="62">
        <f>IF(Pricing!AE41="Quoted",IF(Pricing!J41 = "Silent",$E32*$C$9,0),)</f>
        <v>0</v>
      </c>
      <c r="G32" s="62">
        <f>IF(Pricing!AE41="Quoted",IF(Pricing!D41="Tracked",$F$2*H32+$C$11,0),)</f>
        <v>0</v>
      </c>
      <c r="H32" s="66">
        <f>IF(Pricing!D41="Tracked",CONVERT(Pricing!M41,"mm","m"),)</f>
        <v>0</v>
      </c>
      <c r="I32" s="62">
        <f>IF(Pricing!D41="S/Shade",$F$3*E32,0)</f>
        <v>0</v>
      </c>
      <c r="K32" s="4">
        <f t="shared" si="5"/>
        <v>0</v>
      </c>
      <c r="AD32" s="1538" t="s">
        <v>493</v>
      </c>
      <c r="AE32" s="1538"/>
      <c r="AF32" s="970" t="str">
        <f xml:space="preserve"> TRIM(Pricing!R14 &amp; " " &amp; Pricing!S14 &amp; " " &amp; Pricing!T8 &amp; " " &amp; Pricing!U8 &amp; " " &amp; Pricing!V8 &amp; " " &amp; Pricing!W8 &amp; " " &amp; Pricing!X8 &amp; " " &amp; Pricing!Y8 &amp; " " &amp; Pricing!Z8 &amp; " " &amp; Pricing!AA8 &amp; " " &amp; Pricing!AB8)</f>
        <v>L (T) FF FF</v>
      </c>
      <c r="AG32" s="970"/>
      <c r="AH32" s="970"/>
      <c r="AN32" s="1632" t="s">
        <v>1039</v>
      </c>
      <c r="AO32" s="1632"/>
      <c r="AP32" s="95"/>
      <c r="AQ32" s="95"/>
      <c r="AR32" s="95"/>
    </row>
    <row r="33" spans="2:44">
      <c r="B33" t="s">
        <v>351</v>
      </c>
      <c r="C33" s="64">
        <f>COUNTIFS(Pricing!R44:AB44,"(CB)")</f>
        <v>0</v>
      </c>
      <c r="D33" s="4">
        <f t="shared" si="4"/>
        <v>0</v>
      </c>
      <c r="E33" s="65">
        <f>IF(Pricing!AE44="Quoted",,IF(Pricing!E44="",,Pricing!M44*Pricing!N44/1000000))</f>
        <v>0</v>
      </c>
      <c r="F33" s="62">
        <f>IF(Pricing!AE44="Quoted",IF(Pricing!J44 = "Silent",$E33*$C$9,0),)</f>
        <v>0</v>
      </c>
      <c r="G33" s="62">
        <f>IF(Pricing!AE44="Quoted",IF(Pricing!D44="Tracked",$F$2*H33+$C$11,0),)</f>
        <v>0</v>
      </c>
      <c r="H33" s="66">
        <f>IF(Pricing!D44="Tracked",CONVERT(Pricing!M44,"mm","m"),)</f>
        <v>0</v>
      </c>
      <c r="I33" s="62">
        <f>IF(Pricing!D44="S/Shade",$F$3*E33,0)</f>
        <v>0</v>
      </c>
      <c r="K33" s="4">
        <f t="shared" si="5"/>
        <v>0</v>
      </c>
      <c r="AD33" s="1538" t="s">
        <v>497</v>
      </c>
      <c r="AE33" s="1538"/>
      <c r="AF33" s="970" t="str">
        <f xml:space="preserve"> TRIM(Pricing!R17 &amp; " " &amp; Pricing!S17 &amp; " " &amp; Pricing!T17 &amp; " " &amp; Pricing!U17 &amp; " " &amp; Pricing!V17 &amp; " " &amp; Pricing!W17 &amp; " " &amp; Pricing!X17 &amp; " " &amp; Pricing!Y17 &amp; " " &amp; Pricing!Z17 &amp; " " &amp; Pricing!AA17 &amp; " " &amp; Pricing!AB17)</f>
        <v>L (T) R (T) R</v>
      </c>
      <c r="AG33" s="970"/>
      <c r="AH33" s="970"/>
      <c r="AN33" s="1642" t="s">
        <v>1029</v>
      </c>
      <c r="AO33" s="1643"/>
      <c r="AP33" s="1642" t="b">
        <v>0</v>
      </c>
      <c r="AQ33" s="1644"/>
      <c r="AR33" s="1644"/>
    </row>
    <row r="34" spans="2:44">
      <c r="B34" t="s">
        <v>353</v>
      </c>
      <c r="C34" s="64">
        <f>COUNTIFS(Pricing!R47:AB47,"(CB)")</f>
        <v>0</v>
      </c>
      <c r="D34" s="4">
        <f t="shared" si="4"/>
        <v>0</v>
      </c>
      <c r="E34" s="65">
        <f>IF(Pricing!AE47="Quoted",,IF(Pricing!E47="",,Pricing!M47*Pricing!N47/1000000))</f>
        <v>0</v>
      </c>
      <c r="F34" s="62">
        <f>IF(Pricing!AE47="Quoted",IF(Pricing!J47 = "Silent",$E34*$C$9,0),)</f>
        <v>0</v>
      </c>
      <c r="G34" s="62">
        <f>IF(Pricing!AE47="Quoted",IF(Pricing!D47="Tracked",$F$2*H34+$C$11,0),)</f>
        <v>0</v>
      </c>
      <c r="H34" s="66">
        <f>IF(Pricing!D47="Tracked",CONVERT(Pricing!M47,"mm","m"),)</f>
        <v>0</v>
      </c>
      <c r="I34" s="62">
        <f>IF(Pricing!D47="S/Shade",$F$3*E34,0)</f>
        <v>0</v>
      </c>
      <c r="K34" s="4">
        <f t="shared" si="5"/>
        <v>0</v>
      </c>
      <c r="AD34" s="1538" t="s">
        <v>500</v>
      </c>
      <c r="AE34" s="1538"/>
      <c r="AF34" s="970" t="str">
        <f xml:space="preserve"> TRIM(Pricing!R20 &amp; " " &amp; Pricing!S20 &amp; " " &amp; Pricing!T20 &amp; " " &amp; Pricing!U20 &amp; " " &amp; Pricing!V20 &amp; " " &amp; Pricing!W20 &amp; " " &amp; Pricing!X20 &amp; " " &amp; Pricing!Y20 &amp; " " &amp; Pricing!Z20 &amp; " " &amp; Pricing!AA20 &amp; " " &amp; Pricing!AB20)</f>
        <v/>
      </c>
      <c r="AG34" s="970"/>
      <c r="AH34" s="970"/>
      <c r="AN34" s="1644" t="s">
        <v>1040</v>
      </c>
      <c r="AO34" s="1644"/>
      <c r="AP34" s="96"/>
      <c r="AQ34" s="96"/>
      <c r="AR34" s="96"/>
    </row>
    <row r="35" spans="2:44">
      <c r="B35" t="s">
        <v>354</v>
      </c>
      <c r="C35" s="64">
        <f>COUNTIFS(Pricing!R50:AB50,"(CB)")</f>
        <v>0</v>
      </c>
      <c r="D35" s="4">
        <f t="shared" si="4"/>
        <v>0</v>
      </c>
      <c r="E35" s="65">
        <f>IF(Pricing!AE50="Quoted",,IF(Pricing!E50="",,Pricing!M50*Pricing!N50/1000000))</f>
        <v>0</v>
      </c>
      <c r="F35" s="62">
        <f>IF(Pricing!AE50="Quoted",IF(Pricing!J50 = "Silent",$E35*$C$9,0),)</f>
        <v>0</v>
      </c>
      <c r="G35" s="62">
        <f>IF(Pricing!AE50="Quoted",IF(Pricing!D50="Tracked",$F$2*H35+$C$11,0),)</f>
        <v>0</v>
      </c>
      <c r="H35" s="66">
        <f>IF(Pricing!D50="Tracked",CONVERT(Pricing!M50,"mm","m"),)</f>
        <v>0</v>
      </c>
      <c r="I35" s="62">
        <f>IF(Pricing!D50="S/Shade",$F$3*E35,0)</f>
        <v>0</v>
      </c>
      <c r="K35" s="4">
        <f t="shared" si="5"/>
        <v>0</v>
      </c>
      <c r="AD35" s="1538" t="s">
        <v>503</v>
      </c>
      <c r="AE35" s="1538"/>
      <c r="AF35" s="970" t="str">
        <f xml:space="preserve"> TRIM(Pricing!R23 &amp; " " &amp; Pricing!S23 &amp; " " &amp; Pricing!T23 &amp; " " &amp; Pricing!U23 &amp; " " &amp; Pricing!V23 &amp; " " &amp; Pricing!W23 &amp; " " &amp; Pricing!X23 &amp; " " &amp; Pricing!Y23 &amp; " " &amp; Pricing!Z23 &amp; " " &amp; Pricing!AA23 &amp; " " &amp; Pricing!AB23)</f>
        <v/>
      </c>
      <c r="AG35" s="970"/>
      <c r="AH35" s="970"/>
      <c r="AN35" s="1639" t="s">
        <v>1031</v>
      </c>
      <c r="AO35" s="1640"/>
      <c r="AP35" s="1639" t="b">
        <v>0</v>
      </c>
      <c r="AQ35" s="1641"/>
      <c r="AR35" s="1641"/>
    </row>
    <row r="36" spans="2:44">
      <c r="AD36" s="1538" t="s">
        <v>507</v>
      </c>
      <c r="AE36" s="1538"/>
      <c r="AF36" s="970" t="str">
        <f xml:space="preserve"> TRIM(Pricing!R26 &amp; " " &amp; Pricing!S26 &amp; " " &amp; Pricing!T26 &amp; " " &amp; Pricing!U26 &amp; " " &amp; Pricing!V26 &amp; " " &amp; Pricing!W26 &amp; " " &amp; Pricing!X26 &amp; " " &amp; Pricing!Y26 &amp; " " &amp; Pricing!Z26 &amp; " " &amp; Pricing!AA26 &amp; " " &amp; Pricing!AB26)</f>
        <v/>
      </c>
      <c r="AG36" s="970"/>
      <c r="AH36" s="970"/>
      <c r="AN36" s="1641" t="s">
        <v>1041</v>
      </c>
      <c r="AO36" s="1641"/>
      <c r="AP36" s="97"/>
      <c r="AQ36" s="97"/>
      <c r="AR36" s="97"/>
    </row>
    <row r="37" spans="2:44">
      <c r="C37" s="1648" t="str">
        <f>"Survey Price with " &amp; C10 &amp; " % Discount"</f>
        <v>Survey Price with 0.25 % Discount</v>
      </c>
      <c r="D37" s="981"/>
      <c r="E37" s="981"/>
      <c r="F37" s="981"/>
      <c r="G37" s="981"/>
      <c r="H37" s="981"/>
      <c r="I37" s="981"/>
      <c r="J37" s="981"/>
      <c r="K37" s="981"/>
      <c r="L37" s="981"/>
      <c r="M37" s="981"/>
      <c r="N37" s="981"/>
      <c r="O37" s="981"/>
      <c r="P37" s="981"/>
      <c r="Q37" s="981"/>
      <c r="R37" s="981"/>
      <c r="S37" s="981"/>
      <c r="T37" s="981"/>
      <c r="U37" s="981"/>
      <c r="V37" s="981"/>
      <c r="W37" s="981"/>
      <c r="X37" s="981"/>
      <c r="Y37" s="981"/>
      <c r="Z37" s="981"/>
      <c r="AD37" s="1538" t="s">
        <v>509</v>
      </c>
      <c r="AE37" s="1538"/>
      <c r="AF37" s="970" t="str">
        <f xml:space="preserve"> TRIM(Pricing!R29 &amp; " " &amp; Pricing!S29 &amp; " " &amp; Pricing!T29 &amp; " " &amp; Pricing!U29 &amp; " " &amp; Pricing!V29 &amp; " " &amp; Pricing!W29 &amp; " " &amp; Pricing!X29 &amp; " " &amp; Pricing!Y29 &amp; " " &amp; Pricing!Z29 &amp; " " &amp; Pricing!AA29 &amp; " " &amp; Pricing!AB29)</f>
        <v/>
      </c>
      <c r="AG37" s="970"/>
      <c r="AH37" s="970"/>
      <c r="AN37" s="1649" t="s">
        <v>1033</v>
      </c>
      <c r="AO37" s="1650"/>
      <c r="AP37" s="1649" t="b">
        <v>0</v>
      </c>
      <c r="AQ37" s="1651"/>
      <c r="AR37" s="1651"/>
    </row>
    <row r="38" spans="2:44">
      <c r="C38" s="98" t="s">
        <v>519</v>
      </c>
      <c r="D38" s="99" t="s">
        <v>520</v>
      </c>
      <c r="E38" s="99" t="s">
        <v>14</v>
      </c>
      <c r="F38" s="99" t="s">
        <v>78</v>
      </c>
      <c r="G38" s="99" t="s">
        <v>521</v>
      </c>
      <c r="H38" s="99" t="s">
        <v>522</v>
      </c>
      <c r="I38" s="99" t="s">
        <v>425</v>
      </c>
      <c r="J38" s="100" t="s">
        <v>465</v>
      </c>
      <c r="K38" s="101"/>
      <c r="L38" s="67" t="s">
        <v>331</v>
      </c>
      <c r="M38" s="67" t="s">
        <v>334</v>
      </c>
      <c r="N38" s="67" t="s">
        <v>336</v>
      </c>
      <c r="O38" s="67" t="s">
        <v>338</v>
      </c>
      <c r="P38" s="67" t="s">
        <v>339</v>
      </c>
      <c r="Q38" s="67" t="s">
        <v>341</v>
      </c>
      <c r="R38" s="67" t="s">
        <v>342</v>
      </c>
      <c r="S38" s="67" t="s">
        <v>343</v>
      </c>
      <c r="T38" s="67" t="s">
        <v>344</v>
      </c>
      <c r="U38" s="67" t="s">
        <v>346</v>
      </c>
      <c r="V38" s="67" t="s">
        <v>348</v>
      </c>
      <c r="W38" s="67" t="s">
        <v>350</v>
      </c>
      <c r="X38" s="67" t="s">
        <v>351</v>
      </c>
      <c r="Y38" s="67" t="s">
        <v>353</v>
      </c>
      <c r="Z38" s="67" t="s">
        <v>354</v>
      </c>
      <c r="AD38" s="1538" t="s">
        <v>513</v>
      </c>
      <c r="AE38" s="1538"/>
      <c r="AF38" s="970" t="str">
        <f xml:space="preserve"> TRIM(Pricing!R31 &amp; " " &amp; Pricing!S31 &amp; " " &amp; Pricing!T31 &amp; " " &amp; Pricing!U31 &amp; " " &amp; Pricing!V31 &amp; " " &amp; Pricing!W31 &amp; " " &amp; Pricing!X31 &amp; " " &amp; Pricing!Y31 &amp; " " &amp; Pricing!Z31 &amp; " " &amp; Pricing!AA31 &amp; " " &amp; Pricing!AB31)</f>
        <v/>
      </c>
      <c r="AG38" s="970"/>
      <c r="AH38" s="970"/>
      <c r="AN38" s="1651" t="s">
        <v>1042</v>
      </c>
      <c r="AO38" s="1651"/>
      <c r="AP38" s="102"/>
      <c r="AQ38" s="102"/>
      <c r="AR38" s="102"/>
    </row>
    <row r="39" spans="2:44">
      <c r="B39" t="s">
        <v>331</v>
      </c>
      <c r="C39" s="64">
        <f t="shared" ref="C39:C47" si="6">IF(ISERROR(FIND("(CB)",AF11,1)),0)</f>
        <v>0</v>
      </c>
      <c r="D39" s="4">
        <f>IF(C39=FALSE,20,0)</f>
        <v>0</v>
      </c>
      <c r="E39" s="65">
        <f>IF(ISERROR('Survey Front'!M12*'Survey Front'!N12/1000000),,'Survey Front'!M12*'Survey Front'!N12/1000000)</f>
        <v>0</v>
      </c>
      <c r="F39" s="62">
        <f>IF('Survey Front'!L12 = "Silent",$E$39*$C$9,0)</f>
        <v>0</v>
      </c>
      <c r="G39" s="62">
        <f>IF('Survey Front'!D12="Tracked",$F$2*H39+$C$11,0)</f>
        <v>100</v>
      </c>
      <c r="H39" s="103">
        <f>IF(ISERROR(CONVERT('Survey Front'!M12,"mm","m")),,CONVERT('Survey Front'!M12,"mm","m"))</f>
        <v>0</v>
      </c>
      <c r="I39" s="62">
        <f>IF('Survey Front'!D12="S/Shade",$F$3*E39,0)</f>
        <v>0</v>
      </c>
      <c r="J39" s="55"/>
      <c r="K39" s="27" t="s">
        <v>118</v>
      </c>
      <c r="L39" s="59">
        <f>IF(E39=0,,($C$2*$E$39)-(($C$2*$E$39)*$C$10)+($F$39*E39)+($D$39*$E$39)+$G$39+I39)</f>
        <v>0</v>
      </c>
      <c r="M39" s="59">
        <f>IF(E40=0,,($C$2*$E$40)-(($C$2*$E$40)*$C$10)+($D$40*$E$40)+I40)</f>
        <v>0</v>
      </c>
      <c r="N39" s="59">
        <f>IF(E41=0,,($C$2*$E$41)-(($C$2*$E$41)*$C$10))+($D$41*$E$41)+I41</f>
        <v>0</v>
      </c>
      <c r="O39" s="59">
        <f>IF(E42=0,,($C$2*$E$42)-(($C$2*$E$42)*$C$10)+($D$42*$E$42)+I42)</f>
        <v>0</v>
      </c>
      <c r="P39" s="59">
        <f>IF(E43=0,,($C$2*$E$43)-(($C$2*$E$43)*$C$10)+($D$43*$E$43)+I43)</f>
        <v>0</v>
      </c>
      <c r="Q39" s="59">
        <f>IF(E44=0,,($C$2*$E$44)-(($C$2*$E$44)*$C$10)+($D$44*$E$44))</f>
        <v>0</v>
      </c>
      <c r="R39" s="59">
        <f>IF(E45=0,,($C$2*$E$45)-(($C$2*$E$45)*$C$10)+($D$45*$E$45)+I45)</f>
        <v>0</v>
      </c>
      <c r="S39" s="59">
        <f>IF(E46=0,,($C$2*$E$46)-(($C$2*$E$46)*$C$10)+($D$46*$E$46)+I46)</f>
        <v>0</v>
      </c>
      <c r="T39" s="59">
        <f>IF(E47=0,,($C$2*$E$47)-(($C$2*$E$47)*$C$10)+($D$47*$E$47)+I47)</f>
        <v>0</v>
      </c>
      <c r="U39" s="59">
        <f>IF(E48=0,,($C$2*$E$48)-(($C$2*$E$48)*$C$10)+($D$48*$E$48)+I48)</f>
        <v>0</v>
      </c>
      <c r="V39" s="59">
        <f>IF(E49=0,,($C$2*$E$49)-(($C$2*$E$49)*$C$10)+($D$49*$E$49)+I49)</f>
        <v>0</v>
      </c>
      <c r="W39" s="59">
        <f>IF(E50=0,,($C$2*$E$50)-(($C$2*$E$50)*$C$10)+($D$50*$E$50)+I50)</f>
        <v>0</v>
      </c>
      <c r="X39" s="59">
        <f>IF(E51=0,,($C$2*$E$51)-(($C$2*$E$51)*$C$10)+($D$51*$E$51)+I51)</f>
        <v>0</v>
      </c>
      <c r="Y39" s="59">
        <f>IF(E52=0,,($C$2*$E$52)-(($C$2*$E$52)*$C$10)+($D$52*$E$52)+I52)</f>
        <v>0</v>
      </c>
      <c r="Z39" s="59">
        <f>IF(E53=0,,($C$2*$E$53)-(($C$2*$E$53)*$C$10)+($D$53*$E$53)+I53)</f>
        <v>0</v>
      </c>
      <c r="AD39" s="1538" t="s">
        <v>517</v>
      </c>
      <c r="AE39" s="1538"/>
      <c r="AF39" s="970" t="str">
        <f xml:space="preserve"> TRIM(Pricing!R34 &amp; " " &amp; Pricing!S34 &amp; " " &amp; Pricing!T34 &amp; " " &amp; Pricing!U34 &amp; " " &amp; Pricing!V34 &amp; " " &amp; Pricing!W34 &amp; " " &amp; Pricing!X34 &amp; " " &amp; Pricing!Y34 &amp; " " &amp; Pricing!Z34 &amp; " " &amp; Pricing!AA34 &amp; " " &amp; Pricing!AB34)</f>
        <v/>
      </c>
      <c r="AG39" s="970"/>
      <c r="AH39" s="970"/>
      <c r="AN39" s="1645" t="s">
        <v>1035</v>
      </c>
      <c r="AO39" s="1646"/>
      <c r="AP39" s="1645" t="b">
        <v>0</v>
      </c>
      <c r="AQ39" s="1647"/>
      <c r="AR39" s="1647"/>
    </row>
    <row r="40" spans="2:44">
      <c r="B40" t="s">
        <v>334</v>
      </c>
      <c r="C40" s="64">
        <f>IF(ISERROR(FIND("(CB)",AF12,1)),0)</f>
        <v>0</v>
      </c>
      <c r="D40" s="4">
        <f t="shared" ref="D40:D53" si="7">IF(C40=FALSE,20,0)</f>
        <v>0</v>
      </c>
      <c r="E40" s="65">
        <f>IF(ISERROR('Survey Front'!M15*'Survey Front'!N15/1000000),,'Survey Front'!M15*'Survey Front'!N15/1000000)</f>
        <v>0</v>
      </c>
      <c r="F40" s="62">
        <f>IF('Survey Front'!L15 = "Silent",$E40*$C$9,0)</f>
        <v>0</v>
      </c>
      <c r="G40" s="62">
        <f>IF('Survey Front'!D15="Tracked",$F$2*H40+$C$11,0)</f>
        <v>0</v>
      </c>
      <c r="H40" s="103">
        <f>IF(ISERROR(CONVERT('Survey Front'!M15,"mm","m")),,CONVERT('Survey Front'!M15,"mm","m"))</f>
        <v>0</v>
      </c>
      <c r="I40" s="62">
        <f>IF('Survey Front'!D15="S/Shade",$F$3*E40,0)</f>
        <v>0</v>
      </c>
      <c r="K40" s="27" t="s">
        <v>122</v>
      </c>
      <c r="L40" s="59">
        <f>IF(E39=0,,($C$2*$E$39)-(($C$2*$E$39)*$C$10)+($D$39*$E$39)+$J$5+I39)</f>
        <v>0</v>
      </c>
      <c r="M40" s="59">
        <f>IF(E40=0,,($C$2*$E$40)-(($C$2*$E$40)*$C$10)+($D$40*$E$40)+$K$5+I40)</f>
        <v>0</v>
      </c>
      <c r="N40" s="59">
        <f>IF(E41=0,,($C$2*$E$41)-(($C$2*$E$41)*$C$10)+($D$41*$E$41)+$L$5+I41)</f>
        <v>0</v>
      </c>
      <c r="O40" s="59">
        <f>IF(E42=0,,($C$2*$E$42)-(($C$2*$E$42)*$C$10)+($D$42*$E$42)+M5+I42)</f>
        <v>0</v>
      </c>
      <c r="P40" s="59">
        <f>IF(E43=0,,($C$2*$E$43)-(($C$2*$E$43)*$C$10)+($D$43*$E$43)+$N$5+I43)</f>
        <v>0</v>
      </c>
      <c r="Q40" s="59">
        <f>IF(E44=0,,($C$2*$E$44)-(($C$2*$E$44)*$C$10)+($D$44*$E$44)+$O$5+I44)</f>
        <v>0</v>
      </c>
      <c r="R40" s="59">
        <f>IF(E45=0,,($C$2*$E$45)-(($C$2*$E$45)*$C$10)+($D$45*$E$45)+$P$5+I45)</f>
        <v>0</v>
      </c>
      <c r="S40" s="59">
        <f>IF(E46=0,,($C$2*$E$46)-(($C$2*$E$46)*$C$10)+($D$46*$E$46)+$Q$5+I46)</f>
        <v>0</v>
      </c>
      <c r="T40" s="59">
        <f>IF(E47=0,,($C$2*$E$47)-(($C$2*$E$47)*$C$10)+($D$47*$E$47)+$R$5+I47)</f>
        <v>0</v>
      </c>
      <c r="U40" s="59">
        <f>IF(E48=0,,($C$2*$E$48)-(($C$2*$E$48)*$C$10)+($D$48*$E$48)+$S$5+I48)</f>
        <v>0</v>
      </c>
      <c r="V40" s="59">
        <f>IF(E49=0,,($C$2*$E$49)-(($C$2*$E$49)*$C$10)+($D$49*$E$49)+$T$5+I49)</f>
        <v>0</v>
      </c>
      <c r="W40" s="59">
        <f>IF(E50=0,,($C$2*$E$50)-(($C$2*$E$50)*$C$10)+($D$50*$E$50)+$U$5+I50)</f>
        <v>0</v>
      </c>
      <c r="X40" s="59">
        <f>IF(E51=0,,($C$2*$E$51)-(($C$2*$E$51)*$C$10)+($D$51*$E$51)+$V$5+I51)</f>
        <v>0</v>
      </c>
      <c r="Y40" s="59">
        <f>IF(E52=0,,($C$2*$E$52)-(($C$2*$E$52)*$C$10)+($D$52*$E$52)+$W$5+I52)</f>
        <v>0</v>
      </c>
      <c r="Z40" s="59">
        <f>IF(E53=0,,($C$2*$E$53)-(($C$2*$E$53)*$C$10)+($D$53*$E$53)+$X$5+I53)</f>
        <v>0</v>
      </c>
      <c r="AD40" s="1538" t="s">
        <v>530</v>
      </c>
      <c r="AE40" s="1538"/>
      <c r="AF40" s="970" t="str">
        <f xml:space="preserve"> TRIM(Pricing!R37 &amp; " " &amp; Pricing!S37 &amp; " " &amp; Pricing!T37 &amp; " " &amp; Pricing!U37 &amp; " " &amp; Pricing!V37 &amp; " " &amp; Pricing!W37 &amp; " " &amp; Pricing!X37 &amp; " " &amp; Pricing!Y37 &amp; " " &amp; Pricing!Z37 &amp; " " &amp; Pricing!AA37 &amp; " " &amp; Pricing!AB37)</f>
        <v/>
      </c>
      <c r="AG40" s="970"/>
      <c r="AH40" s="970"/>
      <c r="AN40" s="1647" t="s">
        <v>1043</v>
      </c>
      <c r="AO40" s="1647"/>
      <c r="AP40" s="104"/>
      <c r="AQ40" s="104"/>
      <c r="AR40" s="104"/>
    </row>
    <row r="41" spans="2:44">
      <c r="B41" t="s">
        <v>336</v>
      </c>
      <c r="C41" s="64">
        <f t="shared" si="6"/>
        <v>0</v>
      </c>
      <c r="D41" s="4">
        <f t="shared" si="7"/>
        <v>0</v>
      </c>
      <c r="E41" s="65">
        <f>IF(ISERROR('Survey Front'!M18*'Survey Front'!N18/1000000),,'Survey Front'!M18*'Survey Front'!N18/1000000)</f>
        <v>0</v>
      </c>
      <c r="F41" s="62">
        <f>IF('Survey Front'!L18 = "Silent",E41*$C$9,0)</f>
        <v>0</v>
      </c>
      <c r="G41" s="62">
        <f>IF('Survey Front'!D18="Tracked",$F$2*H41+$C$11,0)</f>
        <v>0</v>
      </c>
      <c r="H41" s="103">
        <f>IF(ISERROR(CONVERT('Survey Front'!M18,"mm","m")),,CONVERT('Survey Front'!M18,"mm","m"))</f>
        <v>0</v>
      </c>
      <c r="I41" s="62">
        <f>IF('Survey Front'!D18="S/Shade",$F$3*E41,0)</f>
        <v>0</v>
      </c>
      <c r="K41" s="27" t="s">
        <v>123</v>
      </c>
      <c r="L41" s="59">
        <f>IF(E39=0,,($C$2*$E$39)-(($C$2*$E$39)*$C$10)+($D$39*$E$39)+$J$6+I39)</f>
        <v>0</v>
      </c>
      <c r="M41" s="59">
        <f>IF(E40=0,,($C$2*$E$40)-(($C$2*$E$40)*$C$10)+($D$40*$E$40)+$K$6+I40)</f>
        <v>0</v>
      </c>
      <c r="N41" s="59">
        <f>IF(E41=0,,($C$2*$E$41)-(($C$2*$E$41)*$C$10)+($D$41*$E$41)+$L$6+I41)</f>
        <v>0</v>
      </c>
      <c r="O41" s="59">
        <f>IF(E42=0,,($C$2*$E$42)-(($C$2*$E$42)*$C$10)+($D$42*$E$42)+M6+I42)</f>
        <v>0</v>
      </c>
      <c r="P41" s="59">
        <f>IF(E43=0,,($C$2*$E$43)-(($C$2*$E$43)*$C$10)+($D$43*$E$43)+$N$6+I43)</f>
        <v>0</v>
      </c>
      <c r="Q41" s="59">
        <f>IF(E44=0,,($C$2*$E$44)-(($C$2*$E$44)*$C$10)+($D$44*$E$44)+$O$6)+I44</f>
        <v>0</v>
      </c>
      <c r="R41" s="59">
        <f>IF(E45=0,,($C$2*$E$45)-(($C$2*$E$45)*$C$10)+($D$45*$E$45)+$Q$6+I45)</f>
        <v>0</v>
      </c>
      <c r="S41" s="59">
        <f>IF(E46=0,,($C$2*$E$46)-(($C$2*$E$46)*$C$10)+($D$46*$E$46)+$Q$6+I46)</f>
        <v>0</v>
      </c>
      <c r="T41" s="59">
        <f>IF(E47=0,,($C$2*$E$47)-(($C$2*$E$47)*$C$10)+($D$47*$E$47)+$R$6+I47)</f>
        <v>0</v>
      </c>
      <c r="U41" s="59">
        <f>IF(E48=0,,($C$2*$E$48)-(($C$2*$E$48)*$C$10)+($D$48*$E$48)+$S$6+I48)</f>
        <v>0</v>
      </c>
      <c r="V41" s="59">
        <f>IF(E49=0,,($C$2*$E$49)-(($C$2*$E$49)*$C$10)+($D$49*$E$49)+$T$6+I49)</f>
        <v>0</v>
      </c>
      <c r="W41" s="59">
        <f>IF(E50=0,,($C$2*$E$50)-(($C$2*$E$50)*$C$10)+($D$50*$E$50)+$U$6+I50)</f>
        <v>0</v>
      </c>
      <c r="X41" s="59">
        <f>IF(E51=0,,($C$2*$E$51)-(($C$2*$E$51)*$C$10)+($D$51*$E$51)+$V$6+I51)</f>
        <v>0</v>
      </c>
      <c r="Y41" s="59">
        <f>IF(E52=0,,($C$2*$E$52)-(($C$2*$E$52)*$C$10)+($D$52*$E$52)+$W$6+I52)</f>
        <v>0</v>
      </c>
      <c r="Z41" s="59">
        <f>IF(E53=0,,($C$2*$E$53)-(($C$2*$E$53)*$C$10)+($D$53*$E$53)+$X$6+I53)</f>
        <v>0</v>
      </c>
      <c r="AD41" s="1538" t="s">
        <v>532</v>
      </c>
      <c r="AE41" s="1538"/>
      <c r="AF41" s="970" t="str">
        <f xml:space="preserve"> TRIM(Pricing!R41 &amp; " " &amp; Pricing!S41 &amp; " " &amp; Pricing!T41 &amp; " " &amp; Pricing!U41 &amp; " " &amp; Pricing!V41 &amp; " " &amp; Pricing!W41 &amp; " " &amp; Pricing!X41 &amp; " " &amp; Pricing!Y41 &amp; " " &amp; Pricing!Z41 &amp; " " &amp; Pricing!AA41 &amp; " " &amp; Pricing!AB41)</f>
        <v/>
      </c>
      <c r="AG41" s="970"/>
      <c r="AH41" s="970"/>
    </row>
    <row r="42" spans="2:44">
      <c r="B42" t="s">
        <v>338</v>
      </c>
      <c r="C42" s="64">
        <f t="shared" si="6"/>
        <v>0</v>
      </c>
      <c r="D42" s="4">
        <f t="shared" si="7"/>
        <v>0</v>
      </c>
      <c r="E42" s="65">
        <f>IF(ISERROR('Survey Front'!M21*'Survey Front'!N21/1000000),,'Survey Front'!M21*'Survey Front'!N21/1000000)</f>
        <v>0</v>
      </c>
      <c r="F42" s="62">
        <f>IF('Survey Front'!L21 = "Silent",$E42*$C$9,0)</f>
        <v>0</v>
      </c>
      <c r="G42" s="62">
        <f>IF('Survey Front'!D21="Tracked",$F$2*H42+$C$11,0)</f>
        <v>0</v>
      </c>
      <c r="H42" s="103">
        <f>IF(ISERROR(CONVERT('Survey Front'!M21,"mm","m")),,CONVERT('Survey Front'!M21,"mm","m"))</f>
        <v>0</v>
      </c>
      <c r="I42" s="62">
        <f>IF('Survey Front'!D21="S/Shade",$F$3*E42,0)</f>
        <v>0</v>
      </c>
      <c r="K42" s="27" t="s">
        <v>124</v>
      </c>
      <c r="L42" s="59">
        <f>IF(E39=0,,($C$2*$E$39)-(($C$2*$E$39)*$C$10)+($D$39*$E$39)+$J$7+I39)</f>
        <v>0</v>
      </c>
      <c r="M42" s="59">
        <f>IF(E40=0,,($C$2*$E$40)-(($C$2*$E$40)*$C$10)+($D$40*$E$40)+$K$7+I40)</f>
        <v>0</v>
      </c>
      <c r="N42" s="59">
        <f>IF(E41=0,,($C$2*$E$41)-(($C$2*$E$41)*$C$10)+($D$41*$E$41)+$L$7+I41)</f>
        <v>0</v>
      </c>
      <c r="O42" s="59">
        <f>IF(E42=0,,($C$2*$E$42)-(($C$2*$E$42)*$C$10)+($D$42*$E$42)+M7+I42)</f>
        <v>0</v>
      </c>
      <c r="P42" s="59">
        <f>IF(E43=0,,($C$2*$E$43)-(($C$2*$E$43)*$C$10)+($D$43*$E$43)+$N$7+I43)</f>
        <v>0</v>
      </c>
      <c r="Q42" s="59">
        <f>IF(E44=0,,($C$2*$E$44)-(($C$2*$E$44)*$C$10)+($D$44*$E$44)+I44+$O$7)</f>
        <v>0</v>
      </c>
      <c r="R42" s="59">
        <f>IF(E45=0,,($C$2*$E$45)-(($C$2*$E$45)*$C$10)+($D$45*$E$45)+$P$7+I45)</f>
        <v>0</v>
      </c>
      <c r="S42" s="59">
        <f>IF(E46=0,,($C$2*$E$46)-(($C$2*$E$46)*$C$10)+($D$46*$E$46)+$Q$7+I46)</f>
        <v>0</v>
      </c>
      <c r="T42" s="59">
        <f>IF(E47=0,,($C$2*$E$47)-(($C$2*$E$47)*$C$10)+($D$47*$E$47)+$J$7)</f>
        <v>0</v>
      </c>
      <c r="U42" s="59">
        <f>IF(E48=0,,($C$2*$E$48)-(($C$2*$E$48)*$C$10)+($D$48*$E$48)+$S$7+I48)</f>
        <v>0</v>
      </c>
      <c r="V42" s="59">
        <f>IF(E49=0,,($C$2*$E$49)-(($C$2*$E$49)*$C$10)+($D$49*$E$49)+$T$7+I49)</f>
        <v>0</v>
      </c>
      <c r="W42" s="59">
        <f>IF(E50=0,,($C$2*$E$50)-(($C$2*$E$50)*$C$10)+($D$50*$E$50)+$U$7+I50)</f>
        <v>0</v>
      </c>
      <c r="X42" s="59">
        <f>IF(E51=0,,($C$2*$E$51)-(($C$2*$E$51)*$C$10)+($D$51*$E$51)+$V$7+I51)</f>
        <v>0</v>
      </c>
      <c r="Y42" s="59">
        <f>IF(E52=0,,($C$2*$E$52)-(($C$2*$E$52)*$C$10)+($D$52*$E$52)+$W$7+I52)</f>
        <v>0</v>
      </c>
      <c r="Z42" s="59">
        <f>IF(E53=0,,($C$2*$E$53)-(($C$2*$E$53)*$C$10)+($D$53*$E$53)+$X$7+I53)</f>
        <v>0</v>
      </c>
      <c r="AD42" s="1538" t="s">
        <v>534</v>
      </c>
      <c r="AE42" s="1538"/>
      <c r="AF42" s="970" t="str">
        <f xml:space="preserve"> TRIM(Pricing!R44 &amp; " " &amp; Pricing!S44 &amp; " " &amp; Pricing!T44 &amp; " " &amp; Pricing!U44 &amp; " " &amp; Pricing!V44 &amp; " " &amp; Pricing!W44 &amp; " " &amp; Pricing!X44 &amp; " " &amp; Pricing!Y44 &amp; " " &amp; Pricing!Z44 &amp; " " &amp; Pricing!AA44 &amp; " " &amp; Pricing!AB44)</f>
        <v/>
      </c>
      <c r="AG42" s="970"/>
      <c r="AH42" s="970"/>
    </row>
    <row r="43" spans="2:44" ht="15" thickBot="1">
      <c r="B43" t="s">
        <v>339</v>
      </c>
      <c r="C43" s="64">
        <f t="shared" si="6"/>
        <v>0</v>
      </c>
      <c r="D43" s="4">
        <f t="shared" si="7"/>
        <v>0</v>
      </c>
      <c r="E43" s="65">
        <f>IF(ISERROR('Survey Front'!M24*'Survey Front'!N24/1000000),,'Survey Front'!M24*'Survey Front'!N24/1000000)</f>
        <v>0</v>
      </c>
      <c r="F43" s="62">
        <f>IF('Survey Front'!L24 = "Silent",E43*$C$9,0)</f>
        <v>0</v>
      </c>
      <c r="G43" s="62">
        <f>IF('Survey Front'!D24="Tracked",$F$2*H43+$C$11,0)</f>
        <v>0</v>
      </c>
      <c r="H43" s="103">
        <f>IF(ISERROR(CONVERT('Survey Front'!M24,"mm","m")),,CONVERT('Survey Front'!M24,"mm","m"))</f>
        <v>0</v>
      </c>
      <c r="I43" s="62">
        <f>IF('Survey Front'!D24="S/Shade",$F$3*E43,0)</f>
        <v>0</v>
      </c>
      <c r="K43" s="27" t="s">
        <v>125</v>
      </c>
      <c r="L43" s="59">
        <f>IF(E39=0,,($C$2*$E$39)-(($C$2*$E$39)*$C$10)+($D$39*$E$39)+$J$8+I39)</f>
        <v>0</v>
      </c>
      <c r="M43" s="59">
        <f>IF(E40=0,,($C$2*$E$40)-(($C$2*$E$40)*$C$10)+($D$40*$E$40)+$K$8+I40)</f>
        <v>0</v>
      </c>
      <c r="N43" s="59">
        <f>IF(E41=0,,($C$2*$E$41)-(($C$2*$E$41)*$C$10)+($D$41*$E$41)+$L$7+I41)</f>
        <v>0</v>
      </c>
      <c r="O43" s="59">
        <f>IF(E42=0,,($C$2*$E$42)-(($C$2*$E$42)*$C$10)+($D$42*$E$42)+M8+I42)</f>
        <v>0</v>
      </c>
      <c r="P43" s="59">
        <f>IF(E43=0,,($C$2*$E$43)-(($C$2*$E$43)*$C$10)+($D$43*$E$43)+$N$8+I43)</f>
        <v>0</v>
      </c>
      <c r="Q43" s="59">
        <f>IF(E44=0,,($C$2*$E$44)-(($C$2*$E$44)*$C$10)+($D$44*$E$44)+I44+$O$8)</f>
        <v>0</v>
      </c>
      <c r="R43" s="59">
        <f>IF(E45=0,,($C$2*$E$45)-(($C$2*$E$45)*$C$10)+($D$45*$E$45)+$P$8+I45)</f>
        <v>0</v>
      </c>
      <c r="S43" s="59">
        <f>IF(E46=0,,($C$2*$E$46)-(($C$2*$E$46)*$C$10)+($D$46*$E$46)+$R$8+I46)</f>
        <v>0</v>
      </c>
      <c r="T43" s="59">
        <f>IF(E47=0,,($C$2*$E$47)-(($C$2*$E$47)*$C$10)+($D$47*$E$47)+$R$8+I47)</f>
        <v>0</v>
      </c>
      <c r="U43" s="59">
        <f>IF(E48=0,,($C$2*$E$48)-(($C$2*$E$48)*$C$10)+($D$48*$E$48)+$S$8+I48)</f>
        <v>0</v>
      </c>
      <c r="V43" s="59">
        <f>IF(E49=0,,($C$2*$E$49)-(($C$2*$E$49)*$C$10)+($D$49*$E$49)+$T$8+I49)</f>
        <v>0</v>
      </c>
      <c r="W43" s="59">
        <f>IF(E50=0,,($C$2*$E$50)-(($C$2*$E$50)*$C$10)+($D$50*$E$50)+$U$8+I50)</f>
        <v>0</v>
      </c>
      <c r="X43" s="59">
        <f>IF(E51=0,,($C$2*$E$51)-(($C$2*$E$51)*$C$10)+($D$51*$E$51)+$V$8+I51)</f>
        <v>0</v>
      </c>
      <c r="Y43" s="59">
        <f>IF(E52=0,,($C$2*$E$52)-(($C$2*$E$52)*$C$10)+($D$52*$E$52)+$W$8+I52)</f>
        <v>0</v>
      </c>
      <c r="Z43" s="59">
        <f>IF(E53=0,,($C$2*$E$53)-(($C$2*$E$53)*$C$10)+($D$53*$E$53)+$X$8+I53)</f>
        <v>0</v>
      </c>
      <c r="AD43" s="1538" t="s">
        <v>537</v>
      </c>
      <c r="AE43" s="1538"/>
      <c r="AF43" s="970" t="str">
        <f xml:space="preserve"> TRIM(Pricing!R47 &amp; " " &amp; Pricing!S47 &amp; " " &amp; Pricing!T47 &amp; " " &amp; Pricing!U47 &amp; " " &amp; Pricing!V47 &amp; " " &amp; Pricing!W47 &amp; " " &amp; Pricing!X47 &amp; " " &amp; Pricing!Y47 &amp; " " &amp; Pricing!Z47 &amp; " " &amp; Pricing!AA47 &amp; " " &amp; Pricing!AB47)</f>
        <v/>
      </c>
      <c r="AG43" s="970"/>
      <c r="AH43" s="970"/>
    </row>
    <row r="44" spans="2:44" ht="15.6" thickTop="1" thickBot="1">
      <c r="B44" t="s">
        <v>341</v>
      </c>
      <c r="C44" s="64">
        <f t="shared" si="6"/>
        <v>0</v>
      </c>
      <c r="D44" s="4">
        <f t="shared" si="7"/>
        <v>0</v>
      </c>
      <c r="E44" s="65">
        <f>IF(ISERROR('Survey Front'!M27*'Survey Front'!N27/1000000),,'Survey Front'!M27*'Survey Front'!N27/1000000)</f>
        <v>0</v>
      </c>
      <c r="F44" s="62">
        <f>IF('Survey Front'!L27 = "Silent",$E44*$C$9,0)</f>
        <v>0</v>
      </c>
      <c r="G44" s="62">
        <f>IF('Survey Front'!D27="Tracked",$F$2*H44+$C$11,0)</f>
        <v>0</v>
      </c>
      <c r="H44" s="103">
        <f>IF(ISERROR(CONVERT('Survey Front'!M27,"mm","m")),,CONVERT('Survey Front'!M27,"mm","m"))</f>
        <v>0</v>
      </c>
      <c r="I44" s="62">
        <f>IF('Survey Front'!D27="S/Shade",$F$3*E44,0)</f>
        <v>0</v>
      </c>
      <c r="K44" s="29" t="s">
        <v>568</v>
      </c>
      <c r="L44" s="59">
        <f>IF(E39=0,,($C$2*$E$39)-(($C$2*$E$39)*$C$10)+($D$39*$E$39)+$J$9+I39)</f>
        <v>0</v>
      </c>
      <c r="M44" s="59">
        <f>IF(E40=0,,($C$2*$E$40)-(($C$2*$E$40)*$C$10)+($D$40*$E$40)+$K$9+I40)</f>
        <v>0</v>
      </c>
      <c r="N44" s="59">
        <f>IF(E41=0,,($C$2*$E$41)-(($C$2*$E$41)*$C$10)+($D$41*$E$41)+L9+I41)</f>
        <v>0</v>
      </c>
      <c r="O44" s="59">
        <f>IF(E42=0,,($C$2*$E$42)-(($C$2*$E$42)*$C$10)+($D$42*$E$42)+M9+I42)</f>
        <v>0</v>
      </c>
      <c r="P44" s="59">
        <f>IF(E43=0,,($C$2*$E$43)-(($C$2*$E$43)*$C$10)+($D$43*$E$43)+N9+I43)</f>
        <v>0</v>
      </c>
      <c r="Q44" s="59">
        <f>IF(E44=0,,($C$2*$E$44)-(($C$2*$E$44)*$C$10)+($D$44*$E$44)+O9+I44)</f>
        <v>0</v>
      </c>
      <c r="R44" s="59">
        <f>IF(E45=0,,($C$2*$E$45)-(($C$2*$E$45)*$C$10)+($D$45*$E$45)+P9+I45)</f>
        <v>0</v>
      </c>
      <c r="S44" s="59">
        <f>IF(E46=0,,($C$2*$E$46)-(($C$2*$E$46)*$C$10)+($D$46*$E$46)+$Q$9+I46)</f>
        <v>0</v>
      </c>
      <c r="T44" s="59">
        <f>IF(E47=0,,($C$2*$E$47)-(($C$2*$E$47)*$C$10)+($D$47*$E$47)+$R$9+I47)</f>
        <v>0</v>
      </c>
      <c r="U44" s="59">
        <f>IF(E48=0,,($C$2*$E$48)-(($C$2*$E$48)*$C$10)+($D$48*$E$48)+$S$9+I48)</f>
        <v>0</v>
      </c>
      <c r="V44" s="59">
        <f>IF(E49=0,,($C$2*$E$49)-(($C$2*$E$49)*$C$10)+($D$49*$E$49)+$T$9+I49)</f>
        <v>0</v>
      </c>
      <c r="W44" s="59">
        <f>IF(E50=0,,($C$2*$E$50)-(($C$2*$E$50)*$C$10)+($D$50*$E$50)+$U$9+I50)</f>
        <v>0</v>
      </c>
      <c r="X44" s="59">
        <f>IF(E51=0,,($C$2*$E$51)-(($C$2*$E$51)*$C$10)+($D$51*$E$51)+$V$9+I51)</f>
        <v>0</v>
      </c>
      <c r="Y44" s="59">
        <f>IF(E52=0,,($C$2*$E$52)-(($C$2*$E$52)*$C$10)+($D$52*$E$52)+$W$9+I52)</f>
        <v>0</v>
      </c>
      <c r="Z44" s="59">
        <f>IF(E53=0,,($C$2*$E$53)-(($C$2*$E$53)*$C$10)+($D$53*$E$53)+$X$9+I53)</f>
        <v>0</v>
      </c>
      <c r="AA44" s="105" t="s">
        <v>104</v>
      </c>
      <c r="AD44" s="1538" t="s">
        <v>539</v>
      </c>
      <c r="AE44" s="1538"/>
      <c r="AF44" s="970" t="str">
        <f xml:space="preserve"> TRIM(Pricing!R50 &amp; " " &amp; Pricing!S50 &amp; " " &amp; Pricing!T50 &amp; " " &amp; Pricing!U50 &amp; " " &amp; Pricing!V50 &amp; " " &amp; Pricing!W50 &amp; " " &amp; Pricing!X50 &amp; " " &amp; Pricing!Y50 &amp; " " &amp; Pricing!Z50 &amp; " " &amp; Pricing!AA50 &amp; " " &amp; Pricing!AB50)</f>
        <v/>
      </c>
      <c r="AG44" s="970"/>
      <c r="AH44" s="970"/>
    </row>
    <row r="45" spans="2:44" ht="15.6" thickTop="1" thickBot="1">
      <c r="B45" t="s">
        <v>342</v>
      </c>
      <c r="C45" s="64">
        <f t="shared" si="6"/>
        <v>0</v>
      </c>
      <c r="D45" s="4">
        <f t="shared" si="7"/>
        <v>0</v>
      </c>
      <c r="E45" s="65">
        <f>IF(ISERROR('Survey Front'!M30*'Survey Front'!N30/1000000),,'Survey Front'!M30*'Survey Front'!N30/1000000)</f>
        <v>0</v>
      </c>
      <c r="F45" s="62">
        <f>IF('Survey Front'!L30 = "Silent",$E45*$C$9,0)</f>
        <v>0</v>
      </c>
      <c r="G45" s="62">
        <f>IF('Survey Front'!D30="Tracked",$F$2*H45+$C$11,0)</f>
        <v>0</v>
      </c>
      <c r="H45" s="103">
        <f>IF(ISERROR(CONVERT('Survey Front'!M30,"mm","m")),,CONVERT('Survey Front'!M30,"mm","m"))</f>
        <v>0</v>
      </c>
      <c r="I45" s="62">
        <f>IF('Survey Front'!D30="S/Shade",$F$3*E45,0)</f>
        <v>0</v>
      </c>
      <c r="K45" s="106" t="s">
        <v>1044</v>
      </c>
      <c r="L45" s="107">
        <f>IF('Survey Front'!AD12="Q",,IF(ISNA(VLOOKUP('Survey Front'!E12,K39:L45,2,0)),,VLOOKUP('Survey Front'!E12,K39:L45,2,0)))</f>
        <v>0</v>
      </c>
      <c r="M45" s="108">
        <f>IF('Survey Front'!AD15="Q",,IF(ISNA(VLOOKUP('Survey Front'!E15,K39:M44,3,0)),,VLOOKUP('Survey Front'!E15,K39:M44,3,0)))</f>
        <v>0</v>
      </c>
      <c r="N45" s="108">
        <f>IF('Survey Front'!AD18="Q",,IF(ISNA(VLOOKUP('Survey Front'!E18,K39:N44,4,0)),,VLOOKUP('Survey Front'!E18,K39:N44,4,0)))</f>
        <v>0</v>
      </c>
      <c r="O45" s="108">
        <f>IF('Survey Front'!AD21="Q",,IF(ISNA(VLOOKUP('Survey Front'!E21,K39:P44,5,0)),,VLOOKUP('Survey Front'!E21,K39:O44,5,0)))</f>
        <v>0</v>
      </c>
      <c r="P45" s="108">
        <f>IF('Survey Front'!AD24="Q",,IF(ISNA(VLOOKUP('Survey Front'!E24,K39:P44,6,0)),,VLOOKUP('Survey Front'!E24,K39:P44,6,0)))</f>
        <v>0</v>
      </c>
      <c r="Q45" s="108">
        <f>IF('Survey Front'!AD27="Q",,IF(ISNA(VLOOKUP('Survey Front'!E27,K39:Q44,7,0)),,VLOOKUP('Survey Front'!E27,K39:Q44,7,0)))</f>
        <v>0</v>
      </c>
      <c r="R45" s="108">
        <f>IF('Survey Front'!AD30="Q",,IF(ISNA(VLOOKUP('Survey Front'!E30,K39:R44,8,0)),,VLOOKUP('Survey Front'!E30,K39:R44,8,0)))</f>
        <v>0</v>
      </c>
      <c r="S45" s="109">
        <f>IF('Survey Front'!AD33="Q",,IF(ISNA(VLOOKUP('Survey Front'!E33,K39:S44,9,0)),,VLOOKUP('Survey Front'!E33,K39:S44,9,0)))</f>
        <v>0</v>
      </c>
      <c r="T45" s="109">
        <f>IF('Survey Front'!AE33="Q",,IF(ISNA(VLOOKUP('Survey Front'!F33,K39:T44,9,0)),,VLOOKUP('Survey Front'!F33,L39:T44,9,0)))</f>
        <v>0</v>
      </c>
      <c r="U45" s="109">
        <f>IF('Survey Front'!AF33="Q",,IF(ISNA(VLOOKUP('Survey Front'!G33,K39:U44,9,0)),,VLOOKUP('Survey Front'!G33,K39:U44,9,0)))</f>
        <v>0</v>
      </c>
      <c r="V45" s="109">
        <f>IF('Survey Front'!AG33="Q",,IF(ISNA(VLOOKUP('Survey Front'!H33,K39:V44,9,0)),,VLOOKUP('Survey Front'!H33,K39:V44,9,0)))</f>
        <v>0</v>
      </c>
      <c r="W45" s="109">
        <f>IF('Survey Front'!AH33="Q",,IF(ISNA(VLOOKUP('Survey Front'!I33,K39:W44,9,0)),,VLOOKUP('Survey Front'!I33,K39:W44,9,0)))</f>
        <v>0</v>
      </c>
      <c r="X45" s="109">
        <f>IF('Survey Front'!AI33="Q",,IF(ISNA(VLOOKUP('Survey Front'!J33,K39:X44,9,0)),,VLOOKUP('Survey Front'!J33,K39:X44,9,0)))</f>
        <v>0</v>
      </c>
      <c r="Y45" s="109">
        <f>IF('Survey Front'!AJ33="Q",,IF(ISNA(VLOOKUP('Survey Front'!K33,K39:Y44,9,0)),,VLOOKUP('Survey Front'!K33,K39:Y44,9,0)))</f>
        <v>0</v>
      </c>
      <c r="Z45" s="109">
        <f>IF('Survey Front'!AK33="Q",,IF(ISNA(VLOOKUP('Survey Front'!L33,K39:Z44,9,0)),,VLOOKUP('Survey Front'!L33,K39:Z44,9,0)))</f>
        <v>0</v>
      </c>
      <c r="AA45" s="110">
        <f>SUM(L45:Z45)</f>
        <v>0</v>
      </c>
    </row>
    <row r="46" spans="2:44" ht="15.6" thickTop="1" thickBot="1">
      <c r="B46" t="s">
        <v>343</v>
      </c>
      <c r="C46" s="64">
        <f t="shared" si="6"/>
        <v>0</v>
      </c>
      <c r="D46" s="4">
        <f t="shared" si="7"/>
        <v>0</v>
      </c>
      <c r="E46" s="65">
        <f>IF(ISERROR('Survey Front'!M33*'Survey Front'!N33/1000000),,'Survey Front'!M33*'Survey Front'!N33/1000000)</f>
        <v>0</v>
      </c>
      <c r="F46" s="62">
        <f>IF('Survey Front'!L33 = "Silent",$E46*$C$9,0)</f>
        <v>0</v>
      </c>
      <c r="G46" s="62">
        <f>IF('Survey Front'!D33="Tracked",$F$2*H46+$C$11,0)</f>
        <v>0</v>
      </c>
      <c r="H46" s="103">
        <f>IF(ISERROR(CONVERT('Survey Front'!M33,"mm","m")),,CONVERT('Survey Front'!M33,"mm","m"))</f>
        <v>0</v>
      </c>
      <c r="I46" s="62">
        <f>IF('Survey Front'!D33="S/Shade",$F$3*E46,0)</f>
        <v>0</v>
      </c>
      <c r="K46" s="111" t="s">
        <v>1045</v>
      </c>
      <c r="L46" s="112">
        <f>IF('Survey Front'!AD12="Q",IF(ISNA(VLOOKUP('Survey Front'!E12,K39:L45,2,0)),,VLOOKUP('Survey Front'!E12,K39:L45,2,0)),)</f>
        <v>0</v>
      </c>
      <c r="M46" s="113">
        <f>IF('Survey Front'!AD15="Q",IF(ISNA(VLOOKUP('Survey Front'!E15,K39:M44,3,0)),,VLOOKUP('Survey Front'!E15,K39:M44,3,0)),)</f>
        <v>0</v>
      </c>
      <c r="N46" s="113">
        <f>IF('Survey Front'!AD18="Q", IF(ISNA(VLOOKUP('Survey Front'!E18,K39:N44,4,0)),,VLOOKUP('Survey Front'!E18,K39:N44,4,0)),)</f>
        <v>0</v>
      </c>
      <c r="O46" s="113">
        <f>IF('Survey Front'!AD21="Q",IF(ISNA(VLOOKUP('Survey Front'!E21,K39:O44,5,0)),,VLOOKUP('Survey Front'!E21,K39:O44,5,0)),)</f>
        <v>0</v>
      </c>
      <c r="P46" s="113">
        <f>IF('Survey Front'!AD24="Q",IF(ISNA(VLOOKUP('Survey Front'!E24,K39:P44,6,0)),,VLOOKUP('Survey Front'!E24,K39:P44,6,0)),)</f>
        <v>0</v>
      </c>
      <c r="Q46" s="113">
        <f>IF('Survey Front'!AD27="Q",IF(ISNA(VLOOKUP('Survey Front'!E27,K39:Q44,7,0)),,VLOOKUP('Survey Front'!E27,K39:Q44,7,0)),)</f>
        <v>0</v>
      </c>
      <c r="R46" s="113">
        <f>IF('Survey Front'!AD30="Q",IF(ISNA(VLOOKUP('Survey Front'!E30,K39:R44,8,0)),,VLOOKUP('Survey Front'!E30,K39:R44,8,0)),)</f>
        <v>0</v>
      </c>
      <c r="S46" s="113">
        <f>IF('Survey Front'!AD33="Q",IF(ISNA(VLOOKUP('Survey Front'!E33,K39:S44,9,0)),,VLOOKUP('Survey Front'!E33,K39:S44,9,0)),)</f>
        <v>0</v>
      </c>
      <c r="T46" s="113">
        <f>IF('Survey Front'!AE33="Q",IF(ISNA(VLOOKUP('Survey Front'!F33,K39:T44,9,0)),,VLOOKUP('Survey Front'!F33,K39:T44,9,0)),)</f>
        <v>0</v>
      </c>
      <c r="U46" s="113">
        <f>IF('Survey Front'!AF33="Q",IF(ISNA(VLOOKUP('Survey Front'!G33,K39:U44,9,0)),,VLOOKUP('Survey Front'!G33,K39:U44,9,0)),)</f>
        <v>0</v>
      </c>
      <c r="V46" s="113">
        <f>IF('Survey Front'!AG33="Q",IF(ISNA(VLOOKUP('Survey Front'!H33,K39:V44,9,0)),,VLOOKUP('Survey Front'!H33,K39:V44,9,0)),)</f>
        <v>0</v>
      </c>
      <c r="W46" s="113">
        <f>IF('Survey Front'!AH33="Q",IF(ISNA(VLOOKUP('Survey Front'!I33,K39:W44,9,0)),,VLOOKUP('Survey Front'!I33,K39:W44,9,0)),)</f>
        <v>0</v>
      </c>
      <c r="X46" s="113">
        <f>IF('Survey Front'!AI33="Q",IF(ISNA(VLOOKUP('Survey Front'!J33,K39:X44,9,0)),,VLOOKUP('Survey Front'!J33,K39:X44,9,0)),)</f>
        <v>0</v>
      </c>
      <c r="Y46" s="113">
        <f>IF('Survey Front'!AJ33="Q",IF(ISNA(VLOOKUP('Survey Front'!K33,K39:Y44,9,0)),,VLOOKUP('Survey Front'!K33,K39:Y44,9,0)),)</f>
        <v>0</v>
      </c>
      <c r="Z46" s="113">
        <f>IF('Survey Front'!AK33="Q",IF(ISNA(VLOOKUP('Survey Front'!L33,K39:Z44,9,0)),,VLOOKUP('Survey Front'!L33,K39:Z44,9,0)),)</f>
        <v>0</v>
      </c>
      <c r="AA46" s="114">
        <f>SUM(L46:Z46)</f>
        <v>0</v>
      </c>
    </row>
    <row r="47" spans="2:44" ht="15" thickTop="1">
      <c r="B47" t="s">
        <v>344</v>
      </c>
      <c r="C47" s="64">
        <f t="shared" si="6"/>
        <v>0</v>
      </c>
      <c r="D47" s="4">
        <f t="shared" si="7"/>
        <v>0</v>
      </c>
      <c r="E47" s="65">
        <f>IF(ISERROR('Survey Front'!M57*'Survey Front'!N57/1000000),,'Survey Front'!M57*'Survey Front'!N57/1000000)</f>
        <v>0</v>
      </c>
      <c r="F47" s="62">
        <f>IF('Survey Front'!L57 = "Silent",$E47*$C$9,0)</f>
        <v>0</v>
      </c>
      <c r="G47" s="62">
        <f>IF('Survey Front'!D57="Tracked",$F$2*H47+$C$11,0)</f>
        <v>0</v>
      </c>
      <c r="H47" s="103">
        <f>IF(ISERROR(CONVERT('Survey Front'!M57,"mm","m")),,CONVERT('Survey Front'!M57,"mm","m"))</f>
        <v>0</v>
      </c>
      <c r="I47" s="62">
        <f>IF('Survey Front'!D57="S/Shade",$F$3*E47,0)</f>
        <v>0</v>
      </c>
    </row>
    <row r="48" spans="2:44" ht="15" thickBot="1">
      <c r="B48" t="s">
        <v>346</v>
      </c>
      <c r="C48" s="64">
        <f t="shared" ref="C48:C53" si="8">IF(ISERROR(FIND("(CB)",AF30,1)),0)</f>
        <v>0</v>
      </c>
      <c r="D48" s="4">
        <f t="shared" si="7"/>
        <v>0</v>
      </c>
      <c r="E48" s="65">
        <f>IF(ISERROR('Survey Front'!M60*'Survey Front'!N60/1000000),,'Survey Front'!M60*'Survey Front'!N60/1000000)</f>
        <v>0</v>
      </c>
      <c r="F48" s="62">
        <f>IF('Survey Front'!L60 = "Silent",$E48*$C$9,0)</f>
        <v>0</v>
      </c>
      <c r="G48" s="62">
        <f>IF('Survey Front'!D60="Tracked",$F$2*H48+$C$11,0)</f>
        <v>0</v>
      </c>
      <c r="H48" s="103">
        <f>IF(ISERROR(CONVERT('Survey Front'!M60,"mm","m")),,CONVERT('Survey Front'!M60,"mm","m"))</f>
        <v>0</v>
      </c>
      <c r="I48" s="62">
        <f>IF('Survey Front'!D60="S/Shade",$F$3*E48,0)</f>
        <v>0</v>
      </c>
      <c r="K48" s="981" t="s">
        <v>554</v>
      </c>
      <c r="L48" s="981"/>
      <c r="M48" s="981"/>
      <c r="N48" s="981"/>
      <c r="O48" s="981"/>
      <c r="P48" s="981"/>
      <c r="Q48" s="981"/>
      <c r="R48" s="981"/>
      <c r="S48" s="981"/>
      <c r="T48" s="981"/>
      <c r="U48" s="981"/>
      <c r="V48" s="981"/>
      <c r="W48" s="981"/>
      <c r="X48" s="981"/>
      <c r="Y48" s="981"/>
      <c r="Z48" s="981"/>
      <c r="AA48" s="981"/>
    </row>
    <row r="49" spans="2:27" ht="15" thickTop="1">
      <c r="B49" t="s">
        <v>348</v>
      </c>
      <c r="C49" s="64">
        <f t="shared" si="8"/>
        <v>0</v>
      </c>
      <c r="D49" s="4">
        <f t="shared" si="7"/>
        <v>0</v>
      </c>
      <c r="E49" s="65">
        <f>IF(ISERROR('Survey Front'!M63*'Survey Front'!N63/1000000),,'Survey Front'!M63*'Survey Front'!N63/1000000)</f>
        <v>0</v>
      </c>
      <c r="F49" s="62">
        <f>IF('Survey Front'!L63 = "Silent",$E49*$C$9,0)</f>
        <v>0</v>
      </c>
      <c r="G49" s="62">
        <f>IF('Survey Front'!D63="Tracked",$F$2*H49+$C$11,0)</f>
        <v>0</v>
      </c>
      <c r="H49" s="103">
        <f>IF(ISERROR(CONVERT('Survey Front'!M63,"mm","m")),,CONVERT('Survey Front'!M63,"mm","m"))</f>
        <v>0</v>
      </c>
      <c r="I49" s="62">
        <f>IF('Survey Front'!D63="S/Shade",$F$3*E49,0)</f>
        <v>0</v>
      </c>
      <c r="L49" s="67" t="s">
        <v>331</v>
      </c>
      <c r="M49" s="67" t="s">
        <v>334</v>
      </c>
      <c r="N49" s="67" t="s">
        <v>336</v>
      </c>
      <c r="O49" s="67" t="s">
        <v>338</v>
      </c>
      <c r="P49" s="67" t="s">
        <v>339</v>
      </c>
      <c r="Q49" s="67" t="s">
        <v>341</v>
      </c>
      <c r="R49" s="67" t="s">
        <v>342</v>
      </c>
      <c r="S49" s="67" t="s">
        <v>343</v>
      </c>
      <c r="T49" s="67" t="s">
        <v>344</v>
      </c>
      <c r="U49" s="67" t="s">
        <v>346</v>
      </c>
      <c r="V49" s="67" t="s">
        <v>348</v>
      </c>
      <c r="W49" s="67" t="s">
        <v>350</v>
      </c>
      <c r="X49" s="67" t="s">
        <v>351</v>
      </c>
      <c r="Y49" s="67" t="s">
        <v>353</v>
      </c>
      <c r="Z49" s="68" t="s">
        <v>354</v>
      </c>
      <c r="AA49" s="69" t="s">
        <v>104</v>
      </c>
    </row>
    <row r="50" spans="2:27">
      <c r="B50" t="s">
        <v>350</v>
      </c>
      <c r="C50" s="64">
        <f t="shared" si="8"/>
        <v>0</v>
      </c>
      <c r="D50" s="4">
        <f t="shared" si="7"/>
        <v>0</v>
      </c>
      <c r="E50" s="65">
        <f>IF(ISERROR('Survey Front'!M66*'Survey Front'!N66/1000000),,'Survey Front'!M66*'Survey Front'!N66/1000000)</f>
        <v>0</v>
      </c>
      <c r="F50" s="62">
        <f>IF('Survey Front'!L66 = "Silent",$E50*$C$9,0)</f>
        <v>0</v>
      </c>
      <c r="G50" s="62">
        <f>IF('Survey Front'!D66="Tracked",$F$2*H50+$C$11,0)</f>
        <v>0</v>
      </c>
      <c r="H50" s="103">
        <f>IF(ISERROR(CONVERT('Survey Front'!M66,"mm","m")),,CONVERT('Survey Front'!M66,"mm","m"))</f>
        <v>0</v>
      </c>
      <c r="I50" s="62">
        <f>IF('Survey Front'!D66="S/Shade",$F$3*E50,0)</f>
        <v>0</v>
      </c>
      <c r="K50" s="27" t="s">
        <v>118</v>
      </c>
      <c r="L50" s="4">
        <f>IF(Pricing!$E$8=Matrix!K50,(Pricing!$M$8*Pricing!$N$8))/1000000</f>
        <v>0</v>
      </c>
      <c r="M50" s="4">
        <f>IF(Pricing!$E$11=Matrix!K50,(Pricing!$M$11*Pricing!$N$11))/1000000</f>
        <v>0</v>
      </c>
      <c r="N50" s="4">
        <f>IF(Pricing!$E$14=Matrix!K50,(Pricing!$M$14*Pricing!$N$14))/1000000</f>
        <v>0</v>
      </c>
      <c r="O50" s="4">
        <f>IF(Pricing!$E$17=Matrix!K50,(Pricing!$M$17*Pricing!$N$17))/1000000</f>
        <v>0</v>
      </c>
      <c r="P50" s="4">
        <f>IF(Pricing!$E$20=Matrix!K50,(Pricing!$M$20*Pricing!$N$20))/1000000</f>
        <v>0</v>
      </c>
      <c r="Q50" s="115">
        <f>IF(Pricing!$E$23=Matrix!K50,(Pricing!$M$23*Pricing!$N$23))/1000000</f>
        <v>0</v>
      </c>
      <c r="R50" s="4">
        <f>IF(Pricing!$E$26=Matrix!K50,(Pricing!$M$26*Pricing!$N$26))/1000000</f>
        <v>0</v>
      </c>
      <c r="S50" s="4">
        <f>IF(Pricing!$E$29=Matrix!K50,(Pricing!$M$29*Pricing!$N$29))/1000000</f>
        <v>0</v>
      </c>
      <c r="T50" s="4">
        <f>IF(Pricing!$E$32=Matrix!$K50,(Pricing!$M$32*Pricing!$N$32))/1000000</f>
        <v>0</v>
      </c>
      <c r="U50" s="4">
        <f>IF(Pricing!$E$35=Matrix!$K50,(Pricing!$M$35*Pricing!$N$35))/1000000</f>
        <v>0</v>
      </c>
      <c r="V50" s="4">
        <f>IF(Pricing!$E$38=Matrix!$K50,(Pricing!$M$38*Pricing!$N$38))/1000000</f>
        <v>0</v>
      </c>
      <c r="W50" s="4">
        <f>IF(Pricing!$E$41=Matrix!$K50,(Pricing!$M$41*Pricing!$N$41))/1000000</f>
        <v>0</v>
      </c>
      <c r="X50" s="4">
        <f>IF(Pricing!$E$44=Matrix!$K50,(Pricing!$M$44*Pricing!$N$44))/1000000</f>
        <v>0</v>
      </c>
      <c r="Y50" s="4">
        <f>IF(Pricing!$E$47=Matrix!$K50,(Pricing!$M$47*Pricing!$N$47))/1000000</f>
        <v>0</v>
      </c>
      <c r="Z50" s="4">
        <f>IF(Pricing!$E$50=Matrix!$K50,(Pricing!$M$50*Pricing!$N$50))/1000000</f>
        <v>0</v>
      </c>
      <c r="AA50" s="116">
        <f t="shared" ref="AA50:AA55" si="9">SUM(L50:Z50)</f>
        <v>0</v>
      </c>
    </row>
    <row r="51" spans="2:27">
      <c r="B51" t="s">
        <v>351</v>
      </c>
      <c r="C51" s="64">
        <f t="shared" si="8"/>
        <v>0</v>
      </c>
      <c r="D51" s="4">
        <f t="shared" si="7"/>
        <v>0</v>
      </c>
      <c r="E51" s="65">
        <f>IF(ISERROR('Survey Front'!M69*'Survey Front'!N69/1000000),,'Survey Front'!M69*'Survey Front'!N69/1000000)</f>
        <v>0</v>
      </c>
      <c r="F51" s="62">
        <f>IF('Survey Front'!L69 = "Silent",$E51*$C$9,0)</f>
        <v>0</v>
      </c>
      <c r="G51" s="62">
        <f>IF('Survey Front'!D69="Tracked",$F$2*H51+$C$11,0)</f>
        <v>0</v>
      </c>
      <c r="H51" s="103">
        <f>IF(ISERROR(CONVERT('Survey Front'!M69,"mm","m")),,CONVERT('Survey Front'!M69,"mm","m"))</f>
        <v>0</v>
      </c>
      <c r="I51" s="62">
        <f>IF('Survey Front'!D69="S/Shade",$F$3*E51,0)</f>
        <v>0</v>
      </c>
      <c r="K51" s="27" t="s">
        <v>122</v>
      </c>
      <c r="L51" s="4">
        <f>IF(Pricing!$E$8=Matrix!K51,(Pricing!$M$8*Pricing!$N$8))/1000000</f>
        <v>0</v>
      </c>
      <c r="M51" s="4">
        <f>IF(Pricing!$E$11=Matrix!K51,(Pricing!$M$11*Pricing!$N$11))/1000000</f>
        <v>0</v>
      </c>
      <c r="N51" s="4">
        <f>IF(Pricing!$E$14=Matrix!K51,(Pricing!$M$14*Pricing!$N$14))/1000000</f>
        <v>0</v>
      </c>
      <c r="O51" s="4">
        <f>IF(Pricing!$E$17=Matrix!K51,(Pricing!$M$17*Pricing!$N$17))/1000000</f>
        <v>0</v>
      </c>
      <c r="P51" s="4">
        <f>IF(Pricing!$E$20=Matrix!K51,(Pricing!$M$20*Pricing!$N$20))/1000000</f>
        <v>0</v>
      </c>
      <c r="Q51" s="115">
        <f>IF(Pricing!$E$23=Matrix!K51,(Pricing!$M$23*Pricing!$N$23))/1000000</f>
        <v>0</v>
      </c>
      <c r="R51" s="4">
        <f>IF(Pricing!$E$26=Matrix!K51,(Pricing!$M$26*Pricing!$N$26))/1000000</f>
        <v>0</v>
      </c>
      <c r="S51" s="4">
        <f>IF(Pricing!$E$29=Matrix!K51,(Pricing!$M$29*Pricing!$N$29))/1000000</f>
        <v>0</v>
      </c>
      <c r="T51" s="4">
        <f>IF(Pricing!$E$32=Matrix!$K51,(Pricing!$M$32*Pricing!$N$32))/1000000</f>
        <v>0</v>
      </c>
      <c r="U51" s="4">
        <f>IF(Pricing!$E$35=Matrix!$K51,(Pricing!$M$35*Pricing!$N$35))/1000000</f>
        <v>0</v>
      </c>
      <c r="V51" s="4">
        <f>IF(Pricing!$E$38=Matrix!$K51,(Pricing!$M$38*Pricing!$N$38))/1000000</f>
        <v>0</v>
      </c>
      <c r="W51" s="4">
        <f>IF(Pricing!$E$41=Matrix!$K51,(Pricing!$M$41*Pricing!$N$41))/1000000</f>
        <v>0</v>
      </c>
      <c r="X51" s="4">
        <f>IF(Pricing!$E$44=Matrix!$K51,(Pricing!$M$44*Pricing!$N$44))/1000000</f>
        <v>0</v>
      </c>
      <c r="Y51" s="4">
        <f>IF(Pricing!$E$47=Matrix!$K51,(Pricing!$M$47*Pricing!$N$47))/1000000</f>
        <v>0</v>
      </c>
      <c r="Z51" s="4">
        <f>IF(Pricing!$E$50=Matrix!$K51,(Pricing!$M$50*Pricing!$N$50))/1000000</f>
        <v>0</v>
      </c>
      <c r="AA51" s="116">
        <f t="shared" si="9"/>
        <v>0</v>
      </c>
    </row>
    <row r="52" spans="2:27">
      <c r="B52" t="s">
        <v>353</v>
      </c>
      <c r="C52" s="64">
        <f t="shared" si="8"/>
        <v>0</v>
      </c>
      <c r="D52" s="4">
        <f t="shared" si="7"/>
        <v>0</v>
      </c>
      <c r="E52" s="65">
        <f>IF(ISERROR('Survey Front'!M72*'Survey Front'!N72/1000000),,'Survey Front'!M72*'Survey Front'!N72/1000000)</f>
        <v>0</v>
      </c>
      <c r="F52" s="62">
        <f>IF('Survey Front'!L72 = "Silent",$E52*$C$9,0)</f>
        <v>0</v>
      </c>
      <c r="G52" s="62">
        <f>IF('Survey Front'!D72="Tracked",$F$2*H52+$C$11,0)</f>
        <v>0</v>
      </c>
      <c r="H52" s="103">
        <f>IF(ISERROR(CONVERT('Survey Front'!M72,"mm","m")),,CONVERT('Survey Front'!M72,"mm","m"))</f>
        <v>0</v>
      </c>
      <c r="I52" s="62">
        <f>IF('Survey Front'!D72="S/Shade",$F$3*E52,0)</f>
        <v>0</v>
      </c>
      <c r="K52" s="27" t="s">
        <v>123</v>
      </c>
      <c r="L52" s="4">
        <f>IF(Pricing!$E$8=Matrix!K52,(Pricing!$M$8*Pricing!$N$8))/1000000</f>
        <v>0</v>
      </c>
      <c r="M52" s="4">
        <f>IF(Pricing!$E$11=Matrix!K52,(Pricing!$M$11*Pricing!$N$11))/1000000</f>
        <v>0</v>
      </c>
      <c r="N52" s="4">
        <f>IF(Pricing!$E$14=Matrix!K52,(Pricing!$M$14*Pricing!$N$14))/1000000</f>
        <v>0</v>
      </c>
      <c r="O52" s="4">
        <f>IF(Pricing!$E$17=Matrix!K52,(Pricing!$M$17*Pricing!$N$17))/1000000</f>
        <v>0</v>
      </c>
      <c r="P52" s="4">
        <f>IF(Pricing!$E$20=Matrix!K52,(Pricing!$M$20*Pricing!$N$20))/1000000</f>
        <v>0</v>
      </c>
      <c r="Q52" s="115">
        <f>IF(Pricing!$E$23=Matrix!K52,(Pricing!$M$23*Pricing!$N$23))/1000000</f>
        <v>0</v>
      </c>
      <c r="R52" s="4">
        <f>IF(Pricing!$E$26=Matrix!K52,(Pricing!$M$26*Pricing!$N$26))/1000000</f>
        <v>0</v>
      </c>
      <c r="S52" s="4">
        <f>IF(Pricing!$E$29=Matrix!K52,(Pricing!$M$29*Pricing!$N$29))/1000000</f>
        <v>0</v>
      </c>
      <c r="T52" s="4">
        <f>IF(Pricing!$E$32=Matrix!$K52,(Pricing!$M$32*Pricing!$N$32))/1000000</f>
        <v>0</v>
      </c>
      <c r="U52" s="4">
        <f>IF(Pricing!$E$35=Matrix!$K52,(Pricing!$M$35*Pricing!$N$35))/1000000</f>
        <v>0</v>
      </c>
      <c r="V52" s="4">
        <f>IF(Pricing!$E$38=Matrix!$K52,(Pricing!$M$38*Pricing!$N$38))/1000000</f>
        <v>0</v>
      </c>
      <c r="W52" s="4">
        <f>IF(Pricing!$E$41=Matrix!$K52,(Pricing!$M$41*Pricing!$N$41))/1000000</f>
        <v>0</v>
      </c>
      <c r="X52" s="4">
        <f>IF(Pricing!$E$44=Matrix!$K52,(Pricing!$M$44*Pricing!$N$44))/1000000</f>
        <v>0</v>
      </c>
      <c r="Y52" s="4">
        <f>IF(Pricing!$E$47=Matrix!$K52,(Pricing!$M$47*Pricing!$N$47))/1000000</f>
        <v>0</v>
      </c>
      <c r="Z52" s="4">
        <f>IF(Pricing!$E$50=Matrix!$K52,(Pricing!$M$50*Pricing!$N$50))/1000000</f>
        <v>0</v>
      </c>
      <c r="AA52" s="116">
        <f t="shared" si="9"/>
        <v>0</v>
      </c>
    </row>
    <row r="53" spans="2:27">
      <c r="B53" t="s">
        <v>354</v>
      </c>
      <c r="C53" s="64">
        <f t="shared" si="8"/>
        <v>0</v>
      </c>
      <c r="D53" s="4">
        <f t="shared" si="7"/>
        <v>0</v>
      </c>
      <c r="E53" s="65">
        <f>IF(ISERROR('Survey Front'!M75*'Survey Front'!N75/1000000),,'Survey Front'!M75*'Survey Front'!N75/1000000)</f>
        <v>0</v>
      </c>
      <c r="F53" s="62">
        <f>IF('Survey Front'!L75 = "Silent",$E53*$C$9,0)</f>
        <v>0</v>
      </c>
      <c r="G53" s="62">
        <f>IF('Survey Front'!D75="Tracked",$F$2*H53+$C$11,0)</f>
        <v>0</v>
      </c>
      <c r="H53" s="103">
        <f>IF(ISERROR(CONVERT('Survey Front'!M75,"mm","m")),,CONVERT('Survey Front'!M75,"mm","m"))</f>
        <v>0</v>
      </c>
      <c r="I53" s="62">
        <f>IF('Survey Front'!D75="S/Shade",$F$3*E53,0)</f>
        <v>0</v>
      </c>
      <c r="K53" s="27" t="s">
        <v>124</v>
      </c>
      <c r="L53" s="4">
        <f>IF(Pricing!$E$8=Matrix!K53,(Pricing!$M$8*Pricing!$N$8))/1000000</f>
        <v>0</v>
      </c>
      <c r="M53" s="4">
        <f>IF(Pricing!$E$11=Matrix!K53,(Pricing!$M$11*Pricing!$N$11))/1000000</f>
        <v>0</v>
      </c>
      <c r="N53" s="4">
        <f>IF(Pricing!$E$14=Matrix!K53,(Pricing!$M$14*Pricing!$N$14))/1000000</f>
        <v>0</v>
      </c>
      <c r="O53" s="4">
        <f>IF(Pricing!$E$17=Matrix!K53,(Pricing!$M$17*Pricing!$N$17))/1000000</f>
        <v>0</v>
      </c>
      <c r="P53" s="4">
        <f>IF(Pricing!$E$20=Matrix!K53,(Pricing!$M$20*Pricing!$N$20))/1000000</f>
        <v>0</v>
      </c>
      <c r="Q53" s="115">
        <f>IF(Pricing!$E$23=Matrix!K53,(Pricing!$M$23*Pricing!$N$23))/1000000</f>
        <v>0</v>
      </c>
      <c r="R53" s="4">
        <f>IF(Pricing!$E$26=Matrix!K53,(Pricing!$M$26*Pricing!$N$26))/1000000</f>
        <v>0</v>
      </c>
      <c r="S53" s="4">
        <f>IF(Pricing!$E$29=Matrix!K53,(Pricing!$M$29*Pricing!$N$29))/1000000</f>
        <v>0</v>
      </c>
      <c r="T53" s="4">
        <f>IF(Pricing!$E$32=Matrix!$K53,(Pricing!$M$32*Pricing!$N$32))/1000000</f>
        <v>0</v>
      </c>
      <c r="U53" s="4">
        <f>IF(Pricing!$E$35=Matrix!$K53,(Pricing!$M$35*Pricing!$N$35))/1000000</f>
        <v>0</v>
      </c>
      <c r="V53" s="4">
        <f>IF(Pricing!$E$38=Matrix!$K53,(Pricing!$M$38*Pricing!$N$38))/1000000</f>
        <v>0</v>
      </c>
      <c r="W53" s="4">
        <f>IF(Pricing!$E$41=Matrix!$K53,(Pricing!$M$41*Pricing!$N$41))/1000000</f>
        <v>0</v>
      </c>
      <c r="X53" s="4">
        <f>IF(Pricing!$E$44=Matrix!$K53,(Pricing!$M$44*Pricing!$N$44))/1000000</f>
        <v>0</v>
      </c>
      <c r="Y53" s="4">
        <f>IF(Pricing!$E$47=Matrix!$K53,(Pricing!$M$47*Pricing!$N$47))/1000000</f>
        <v>0</v>
      </c>
      <c r="Z53" s="4">
        <f>IF(Pricing!$E$50=Matrix!$K53,(Pricing!$M$50*Pricing!$N$50))/1000000</f>
        <v>0</v>
      </c>
      <c r="AA53" s="116">
        <f t="shared" si="9"/>
        <v>0</v>
      </c>
    </row>
    <row r="54" spans="2:27">
      <c r="K54" s="27" t="s">
        <v>125</v>
      </c>
      <c r="L54" s="4">
        <f>IF(Pricing!$E$8=Matrix!K54,(Pricing!$M$8*Pricing!$N$8))/1000000</f>
        <v>0</v>
      </c>
      <c r="M54" s="4">
        <f>IF(Pricing!$E$11=Matrix!K54,(Pricing!$M$11*Pricing!$N$11))/1000000</f>
        <v>0</v>
      </c>
      <c r="N54" s="4">
        <f>IF(Pricing!$E$14=Matrix!K54,(Pricing!$M$14*Pricing!$N$14))/1000000</f>
        <v>0</v>
      </c>
      <c r="O54" s="4">
        <f>IF(Pricing!$E$17=Matrix!K54,(Pricing!$M$17*Pricing!$N$17))/1000000</f>
        <v>0</v>
      </c>
      <c r="P54" s="4">
        <f>IF(Pricing!$E$20=Matrix!K54,(Pricing!$M$20*Pricing!$N$20))/1000000</f>
        <v>0</v>
      </c>
      <c r="Q54" s="115">
        <f>IF(Pricing!$E$23=Matrix!K54,(Pricing!$M$23*Pricing!$N$23))/1000000</f>
        <v>0</v>
      </c>
      <c r="R54" s="4">
        <f>IF(Pricing!$E$26=Matrix!K54,(Pricing!$M$26*Pricing!$N$26))/1000000</f>
        <v>0</v>
      </c>
      <c r="S54" s="4">
        <f>IF(Pricing!$E$29=Matrix!K54,(Pricing!$M$29*Pricing!$N$29))/1000000</f>
        <v>0</v>
      </c>
      <c r="T54" s="4">
        <f>IF(Pricing!$E$32=Matrix!$K54,(Pricing!$M$32*Pricing!$N$32))/1000000</f>
        <v>0</v>
      </c>
      <c r="U54" s="4">
        <f>IF(Pricing!$E$35=Matrix!$K54,(Pricing!$M$35*Pricing!$N$35))/1000000</f>
        <v>0</v>
      </c>
      <c r="V54" s="4">
        <f>IF(Pricing!$E$38=Matrix!$K54,(Pricing!$M$38*Pricing!$N$38))/1000000</f>
        <v>0</v>
      </c>
      <c r="W54" s="4">
        <f>IF(Pricing!$E$41=Matrix!$K54,(Pricing!$M$41*Pricing!$N$41))/1000000</f>
        <v>0</v>
      </c>
      <c r="X54" s="4">
        <f>IF(Pricing!$E$44=Matrix!$K54,(Pricing!$M$44*Pricing!$N$44))/1000000</f>
        <v>0</v>
      </c>
      <c r="Y54" s="4">
        <f>IF(Pricing!$E$47=Matrix!$K54,(Pricing!$M$47*Pricing!$N$47))/1000000</f>
        <v>0</v>
      </c>
      <c r="Z54" s="4">
        <f>IF(Pricing!$E$50=Matrix!$K54,(Pricing!$M$50*Pricing!$N$50))/1000000</f>
        <v>0</v>
      </c>
      <c r="AA54" s="116">
        <f t="shared" si="9"/>
        <v>0</v>
      </c>
    </row>
    <row r="55" spans="2:27" ht="15" thickBot="1">
      <c r="K55" s="29" t="s">
        <v>568</v>
      </c>
      <c r="L55" s="4">
        <f>IF(Pricing!$E$8=Matrix!K55,(Pricing!$M$8*Pricing!$N$8))/1000000</f>
        <v>0</v>
      </c>
      <c r="M55" s="4">
        <f>IF(Pricing!$E$11=Matrix!K55,(Pricing!$M$11*Pricing!$N$11))/1000000</f>
        <v>0</v>
      </c>
      <c r="N55" s="4">
        <f>IF(Pricing!$E$14=Matrix!K55,(Pricing!$M$14*Pricing!$N$14))/1000000</f>
        <v>0</v>
      </c>
      <c r="O55" s="4">
        <f>IF(Pricing!$E$17=Matrix!K55,(Pricing!$M$17*Pricing!$N$17))/1000000</f>
        <v>0</v>
      </c>
      <c r="P55" s="4">
        <f>IF(Pricing!$E$20=Matrix!K55,(Pricing!$M$20*Pricing!$N$20))/1000000</f>
        <v>0</v>
      </c>
      <c r="Q55" s="115">
        <f>IF(Pricing!$E$23=Matrix!K55,(Pricing!$M$23*Pricing!$N$23))/1000000</f>
        <v>0</v>
      </c>
      <c r="R55" s="4">
        <f>IF(Pricing!$E$26=Matrix!K55,(Pricing!$M$26*Pricing!$N$26))/1000000</f>
        <v>0</v>
      </c>
      <c r="S55" s="4">
        <f>IF(Pricing!$E$29=Matrix!K55,(Pricing!$M$29*Pricing!$N$29))/1000000</f>
        <v>0</v>
      </c>
      <c r="T55" s="4">
        <f>IF(Pricing!$E$32=Matrix!$K55,(Pricing!$M$32*Pricing!$N$32))/1000000</f>
        <v>0</v>
      </c>
      <c r="U55" s="4">
        <f>IF(Pricing!$E$35=Matrix!$K55,(Pricing!$M$35*Pricing!$N$35))/1000000</f>
        <v>0</v>
      </c>
      <c r="V55" s="4">
        <f>IF(Pricing!$E$38=Matrix!$K55,(Pricing!$M$38*Pricing!$N$38))/1000000</f>
        <v>0</v>
      </c>
      <c r="W55" s="4">
        <f>IF(Pricing!$E$41=Matrix!$K55,(Pricing!$M$41*Pricing!$N$41))/1000000</f>
        <v>0</v>
      </c>
      <c r="X55" s="4">
        <f>IF(Pricing!$E$44=Matrix!$K55,(Pricing!$M$44*Pricing!$N$44))/1000000</f>
        <v>0</v>
      </c>
      <c r="Y55" s="4">
        <f>IF(Pricing!$E$47=Matrix!$K55,(Pricing!$M$47*Pricing!$N$47))/1000000</f>
        <v>0</v>
      </c>
      <c r="Z55" s="4">
        <f>IF(Pricing!$E$50=Matrix!$K55,(Pricing!$M$50*Pricing!$N$50))/1000000</f>
        <v>0</v>
      </c>
      <c r="AA55" s="117">
        <f t="shared" si="9"/>
        <v>0</v>
      </c>
    </row>
    <row r="56" spans="2:27" ht="15" thickTop="1"/>
    <row r="58" spans="2:27">
      <c r="K58" s="1648" t="s">
        <v>1046</v>
      </c>
      <c r="L58" s="981"/>
      <c r="M58" s="981"/>
      <c r="N58" s="981"/>
      <c r="O58" s="981"/>
      <c r="P58" s="981"/>
      <c r="Q58" s="981"/>
      <c r="R58" s="981"/>
      <c r="S58" s="981"/>
      <c r="T58" s="981"/>
      <c r="U58" s="981"/>
      <c r="V58" s="981"/>
      <c r="W58" s="981"/>
      <c r="X58" s="981"/>
      <c r="Y58" s="981"/>
      <c r="Z58" s="981"/>
      <c r="AA58" s="981"/>
    </row>
    <row r="59" spans="2:27">
      <c r="K59" s="27"/>
      <c r="L59" s="56" t="s">
        <v>331</v>
      </c>
      <c r="M59" s="56" t="s">
        <v>334</v>
      </c>
      <c r="N59" s="56" t="s">
        <v>336</v>
      </c>
      <c r="O59" s="56" t="s">
        <v>338</v>
      </c>
      <c r="P59" s="56" t="s">
        <v>339</v>
      </c>
      <c r="Q59" s="56" t="s">
        <v>341</v>
      </c>
      <c r="R59" s="56" t="s">
        <v>342</v>
      </c>
      <c r="S59" s="56" t="s">
        <v>343</v>
      </c>
      <c r="T59" s="56" t="s">
        <v>344</v>
      </c>
      <c r="U59" s="56" t="s">
        <v>346</v>
      </c>
      <c r="V59" s="56" t="s">
        <v>348</v>
      </c>
      <c r="W59" s="56" t="s">
        <v>350</v>
      </c>
      <c r="X59" s="56" t="s">
        <v>351</v>
      </c>
      <c r="Y59" s="56" t="s">
        <v>353</v>
      </c>
      <c r="Z59" s="56" t="s">
        <v>354</v>
      </c>
      <c r="AA59" s="56"/>
    </row>
    <row r="60" spans="2:27">
      <c r="K60" s="27" t="s">
        <v>118</v>
      </c>
      <c r="L60" s="59">
        <f>ROUNDDOWN((E69*$C$2)+(E69*D69),0.2)</f>
        <v>2540</v>
      </c>
      <c r="M60" s="59">
        <f>K4+(F22*E22)+(D22*E22)+G22+I22</f>
        <v>340</v>
      </c>
      <c r="N60" s="59">
        <f>L4+($F$23*E23)+($D$23*$E$23)+G23+I23</f>
        <v>340</v>
      </c>
      <c r="O60" s="59">
        <f>L4+$F$24+($D$24*$E$24)+G24+I24</f>
        <v>340</v>
      </c>
      <c r="P60" s="59">
        <f>$N$4+($F$25*E25)+($D$25*$E$25)+$G$25+I25</f>
        <v>340</v>
      </c>
      <c r="Q60" s="59">
        <f>$O$4+($F$26*E26)+($D$26*$E$26)+$G$26+I26</f>
        <v>340</v>
      </c>
      <c r="R60" s="59">
        <f>$P$4+($F$27*E27)+($D$27*$E$27)+$G$27+I27</f>
        <v>340</v>
      </c>
      <c r="S60" s="59">
        <f>$Q$4+($F$28*E28)+($D$28*$E$28)+$G$28+I28</f>
        <v>340</v>
      </c>
      <c r="T60" s="59">
        <f>$R$4+($F$29*E29)+($D$29*$E$29)+$G$29+I29</f>
        <v>340</v>
      </c>
      <c r="U60" s="59">
        <f>$S$4+($F$30*E30)+($D$30*$E$30)+$G$30+I30</f>
        <v>340</v>
      </c>
      <c r="V60" s="59">
        <f>$T$4+($F$31*E31)+($D$31*$E$31)+$G$31+I31</f>
        <v>340</v>
      </c>
      <c r="W60" s="59">
        <f>$U$4+($F$32*E32)+($D$32*$E$32)+$G$32+I32</f>
        <v>340</v>
      </c>
      <c r="X60" s="59">
        <f>$U$4+($F$33*E33)+($D$33*$E$33)+$G$33+I33</f>
        <v>340</v>
      </c>
      <c r="Y60" s="59">
        <f>$W$4+($F$34*E34)+($D$34*$E$34)+$G$34+I34</f>
        <v>340</v>
      </c>
      <c r="Z60" s="59">
        <f>$X$4+($F$35*E35)+($D$35*$E$35)+$G$35+I35</f>
        <v>340</v>
      </c>
      <c r="AA60" s="59"/>
    </row>
    <row r="61" spans="2:27">
      <c r="K61" s="27" t="s">
        <v>122</v>
      </c>
      <c r="L61" s="59">
        <f>(E69*$C$2)+(E69*D69)+(C3*E69)</f>
        <v>2802.3926250000004</v>
      </c>
      <c r="M61" s="59">
        <f>K4+(F22*E22)+(D22*E22)+G22+K5+I22</f>
        <v>375</v>
      </c>
      <c r="N61" s="59">
        <f>L4+($F$23*E23)+($D$23*$E$23)+G23+L5+I23</f>
        <v>375</v>
      </c>
      <c r="O61" s="59">
        <f>L4+($F$24*E24)+($D$24*$E$24)+G24+M5+I24</f>
        <v>375</v>
      </c>
      <c r="P61" s="59">
        <f>$N$4+($F$25*E25)+($D$25*$E$25)+$G$25+N5+I25</f>
        <v>375</v>
      </c>
      <c r="Q61" s="59">
        <f>$O$4+($F$26*E26)+($D$26*$E$26)+$G$26+O5+I26</f>
        <v>375</v>
      </c>
      <c r="R61" s="59">
        <f>$P$4+($F$27*E27)+($D$27*$E$27)+$G$27+P5+I27</f>
        <v>375</v>
      </c>
      <c r="S61" s="59">
        <f>$Q$4-($Q$4*$C$10)+($F$28*E28)+($D$28*$E$28)+$G$28+Q5+I28</f>
        <v>290</v>
      </c>
      <c r="T61" s="59">
        <f>$R$4+($F$29*E29)+($D$29*$E$29)+$G$29+R5+I29</f>
        <v>375</v>
      </c>
      <c r="U61" s="59">
        <f>$S$4+($F$30*E30)+($D$30*$E$30)+$G$30+S5+I30</f>
        <v>375</v>
      </c>
      <c r="V61" s="59">
        <f>$T$4+($F$31*E31)+($D$31*$E$31)+$G$31+T5+I31</f>
        <v>375</v>
      </c>
      <c r="W61" s="59">
        <f>$U$4+($F$32*E32)+($D$32*$E$32)+$G$32+U5+I32</f>
        <v>375</v>
      </c>
      <c r="X61" s="59">
        <f>$U$4+($F$33*E33)+($D$33*$E$33)+$G$33+V5+I33</f>
        <v>375</v>
      </c>
      <c r="Y61" s="59">
        <f>$W$4+($F$34*E34)+($D$34*$E$34)+$G$34+W5+I34</f>
        <v>375</v>
      </c>
      <c r="Z61" s="59">
        <f>$X$4+($F$35*E35)+($D$35*$E$35)+$G$35+X5+I35</f>
        <v>375</v>
      </c>
      <c r="AA61" s="59"/>
    </row>
    <row r="62" spans="2:27">
      <c r="K62" s="27" t="s">
        <v>123</v>
      </c>
      <c r="L62" s="59">
        <f>(E71*$C$2)+(E71*D71)</f>
        <v>1311.10392</v>
      </c>
      <c r="M62" s="59">
        <f>K4+(F22*E22)+(D22*E22)+G22+K6+I22</f>
        <v>405</v>
      </c>
      <c r="N62" s="59">
        <f>L4+($F$23*E23)+($D$23*$E$23)+G23+L6+I23</f>
        <v>405</v>
      </c>
      <c r="O62" s="59">
        <f>L4+($F$24*E24)+($D$24*$E$24)+G24+M6+I24</f>
        <v>405</v>
      </c>
      <c r="P62" s="59">
        <f>$N$4+($F$25*E25)+($D$25*$E$25)+$G$25+N6+I25</f>
        <v>405</v>
      </c>
      <c r="Q62" s="59">
        <f>$O$4+($F$26*E26)+($D$26*$E$26)+$G$26+O6+I26</f>
        <v>405</v>
      </c>
      <c r="R62" s="59">
        <f>$P$4+($F$27*E27)+($D$27*$E$27)+$G$27+P6+I27</f>
        <v>405</v>
      </c>
      <c r="S62" s="59">
        <f>$Q$4-($Q$4*$C$10)+($F$28*E28)+($D$28*$E$28)+$G$28+Q6+I28</f>
        <v>320</v>
      </c>
      <c r="T62" s="59">
        <f>$R$4+($F$29*E29)+($D$29*$E$29)+$G$29+R6+I29</f>
        <v>405</v>
      </c>
      <c r="U62" s="59">
        <f>$S$4+($F$30*E30)+($D$30*$E$30)+$G$30+S6+I30</f>
        <v>405</v>
      </c>
      <c r="V62" s="59">
        <f>$T$4+($F$31*E31)+($D$31*$E$31)+$G$31+T6+I31</f>
        <v>405</v>
      </c>
      <c r="W62" s="59">
        <f>$U$4+($F$32*E32)+($D$32*$E$32)+$G$32+U6+I32</f>
        <v>405</v>
      </c>
      <c r="X62" s="59">
        <f>$U$4+($F$33*E33)+($D$33*$E$33)+$G$33+V6+I33</f>
        <v>405</v>
      </c>
      <c r="Y62" s="59">
        <f>$W$4+($F$34*E34)+($D$34*$E$34)+$G$34+W6+I34</f>
        <v>405</v>
      </c>
      <c r="Z62" s="59">
        <f>$X$4+($F$35*E35)+($D$35*$E$35)+$G$35+X6+I35</f>
        <v>405</v>
      </c>
      <c r="AA62" s="59"/>
    </row>
    <row r="63" spans="2:27">
      <c r="K63" s="27" t="s">
        <v>124</v>
      </c>
      <c r="L63" s="59">
        <f>(E72*$C$2)+(E72*D72)</f>
        <v>789.99713999999994</v>
      </c>
      <c r="M63" s="59">
        <f>K4+(F22*E22)+(D22*E22)+G22+K7+I22</f>
        <v>445</v>
      </c>
      <c r="N63" s="59">
        <f>L4+($F$23*E23)+($D$23*$E$23)+G23+L7+I23</f>
        <v>445</v>
      </c>
      <c r="O63" s="59">
        <f>L4+($F$24*E24)+($D$24*$E$24)+G24+M7+I24</f>
        <v>445</v>
      </c>
      <c r="P63" s="59">
        <f>$N$4+($F$25*E25)+($D$25*$E$25)+$G$25+N7+I25</f>
        <v>445</v>
      </c>
      <c r="Q63" s="59">
        <f>$O$4+($F$26*E26)+($D$26*$E$26)+$G$26+O7+I26</f>
        <v>445</v>
      </c>
      <c r="R63" s="59">
        <f>$P$4+($F$27*E27)+($D$27*$E$27)+$G$27+P7+I27</f>
        <v>445</v>
      </c>
      <c r="S63" s="59">
        <f>$Q$4-($Q$4*$C$10)+($F$28*E28)+($D$28*$E$28)+$G$28+Q7+I28</f>
        <v>360</v>
      </c>
      <c r="T63" s="59">
        <f>$R$4+($F$29*E29)+($D$29*$E$29)+$G$29+R7+I29</f>
        <v>445</v>
      </c>
      <c r="U63" s="59">
        <f>$S$4+($F$30*E30)+($D$30*$E$30)+$G$30+S7+I30</f>
        <v>445</v>
      </c>
      <c r="V63" s="59">
        <f>$T$4+($F$31*E31)+($D$31*$E$31)+$G$31+T7+I31</f>
        <v>445</v>
      </c>
      <c r="W63" s="59">
        <f>$U$4+($F$32*E32)+($D$32*$E$32)+$G$32+U7+I32</f>
        <v>445</v>
      </c>
      <c r="X63" s="59">
        <f>$U$4+($F$33*E33)+($D$33*$E$33)+$G$33+V7+I33</f>
        <v>445</v>
      </c>
      <c r="Y63" s="59">
        <f>$W$4+($F$34*E34)+($D$34*$E$34)+$G$34+W7+I34</f>
        <v>445</v>
      </c>
      <c r="Z63" s="59">
        <f>$X$4+($F$35*E35)+($D$35*$E$35)+$G$35+X7+I35</f>
        <v>445</v>
      </c>
      <c r="AA63" s="59"/>
    </row>
    <row r="64" spans="2:27">
      <c r="K64" s="27" t="s">
        <v>125</v>
      </c>
      <c r="L64" s="59">
        <f>(E73*$C$2)+(E73*D73)</f>
        <v>0</v>
      </c>
      <c r="M64" s="59">
        <f>K4+(F22*E22)+(D22*E22)+G22+K8+I22</f>
        <v>485</v>
      </c>
      <c r="N64" s="59">
        <f>L4+($F$23*E23)+($D$23*$E$23)+G23+L8+I23</f>
        <v>485</v>
      </c>
      <c r="O64" s="59">
        <f>L4+($F$24*E24)+($D$24*$E$24)+G24+M8+I24</f>
        <v>485</v>
      </c>
      <c r="P64" s="59">
        <f>$N$4+($F$25*E25)+($D$25*$E$25)+$G$25+N8+I25</f>
        <v>485</v>
      </c>
      <c r="Q64" s="59">
        <f>$O$4+($F$26*E26)+($D$26*$E$26)+$G$26+O8+I26</f>
        <v>485</v>
      </c>
      <c r="R64" s="59">
        <f>$P$4+($F$27*E27)+($D$27*$E$27)+$G$27+P8+I27</f>
        <v>485</v>
      </c>
      <c r="S64" s="59">
        <f>$Q$4-($Q$4*$C$10)+($F$28*E28)+($D$28*$E$28)+$G$28+Q8+I28</f>
        <v>400</v>
      </c>
      <c r="T64" s="59">
        <f>$R$4+($F$29*E29)+($D$29*$E$29)+$G$29+R8+I29</f>
        <v>485</v>
      </c>
      <c r="U64" s="59">
        <f>$S$4+($F$30*E30)+($D$30*$E$30)+$G$30+S8+I30</f>
        <v>485</v>
      </c>
      <c r="V64" s="59">
        <f>$T$4+($F$31*E31)+($D$31*$E$31)+$G$31+T8+I31</f>
        <v>485</v>
      </c>
      <c r="W64" s="59">
        <f>$U$4+($F$32*E32)+($D$32*$E$32)+$G$32+U8+I32</f>
        <v>485</v>
      </c>
      <c r="X64" s="59">
        <f>$U$4+($F$33*E33)+($D$33*$E$33)+$G$33+V8+I33</f>
        <v>485</v>
      </c>
      <c r="Y64" s="59">
        <f>$W$4+($F$34*E34)+($D$34*$E$34)+$G$34+W8+I34</f>
        <v>485</v>
      </c>
      <c r="Z64" s="59">
        <f>$X$4+($F$35*E35)+($D$35*$E$35)+$G$35+X8+I35</f>
        <v>485</v>
      </c>
      <c r="AA64" s="59"/>
    </row>
    <row r="65" spans="2:28">
      <c r="K65" s="27" t="s">
        <v>568</v>
      </c>
      <c r="L65" s="59">
        <f>(E74*$C$2)+(E74*D74)</f>
        <v>0</v>
      </c>
      <c r="M65" s="59">
        <f>K4+(F22*E22)+(D22*E22)+G22+K9+I22</f>
        <v>535</v>
      </c>
      <c r="N65" s="59">
        <f>L4+($F$23*E23)+($D$23*$E$23)+G23+L9+I23</f>
        <v>535</v>
      </c>
      <c r="O65" s="59">
        <f>L4+($F$24*E24)+($D$24*$E$24)+G24+M9+I24</f>
        <v>535</v>
      </c>
      <c r="P65" s="59">
        <f>$N$4+($F$25*E25)+($D$25*$E$25)+$G$25+N9+I25</f>
        <v>535</v>
      </c>
      <c r="Q65" s="59">
        <f>$O$4+($F$26*E26)+($D$26*$E$26)+$G$26+O9+I26</f>
        <v>535</v>
      </c>
      <c r="R65" s="59">
        <f>$P$4+($F$27*E27)+($D$27*$E$27)+$G$27+P9+I27</f>
        <v>535</v>
      </c>
      <c r="S65" s="59">
        <f>$Q$4-($Q$4*$C$10)+($F$28*E28)+($D$28*$E$28)+$G$28+Q9+I28</f>
        <v>450</v>
      </c>
      <c r="T65" s="59">
        <f>$R$4+($F$29*E29)+($D$29*$E$29)+$G$29+R9+I29</f>
        <v>535</v>
      </c>
      <c r="U65" s="59">
        <f>$S$4+($F$30*E30)+($D$30*$E$30)+$G$30+S9+I30</f>
        <v>535</v>
      </c>
      <c r="V65" s="59">
        <f>$T$4+($F$31*E31)+($D$31*$E$31)+$G$31+T9+I31</f>
        <v>535</v>
      </c>
      <c r="W65" s="59">
        <f>$U$4+($F$32*E32)+($D$32*$E$32)+$G$32+U9+I32</f>
        <v>535</v>
      </c>
      <c r="X65" s="59">
        <f>$U$4+($F$33*E33)+($D$33*$E$33)+$G$33+V9+I33</f>
        <v>535</v>
      </c>
      <c r="Y65" s="59">
        <f>$W$4+($F$34*E34)+($D$34*$E$34)+$G$34+W9+I34</f>
        <v>535</v>
      </c>
      <c r="Z65" s="59">
        <f>$X$4+($F$35*E35)+($D$35*$E$35)+$G$35+X9+I35</f>
        <v>535</v>
      </c>
      <c r="AA65" s="59"/>
    </row>
    <row r="67" spans="2:28">
      <c r="C67" s="1535" t="s">
        <v>1047</v>
      </c>
      <c r="D67" s="1535"/>
      <c r="E67" s="1535"/>
      <c r="F67" s="1535"/>
      <c r="G67" s="1535"/>
      <c r="H67" s="1535"/>
      <c r="I67" s="1535"/>
      <c r="J67" s="1535"/>
      <c r="K67" s="981" t="s">
        <v>1048</v>
      </c>
      <c r="L67" s="981"/>
      <c r="M67" s="981"/>
      <c r="N67" s="981"/>
      <c r="O67" s="981"/>
      <c r="P67" s="981"/>
      <c r="Q67" s="981"/>
      <c r="R67" s="981"/>
      <c r="S67" s="981"/>
      <c r="T67" s="981"/>
      <c r="U67" s="981"/>
      <c r="V67" s="981"/>
      <c r="W67" s="981"/>
      <c r="X67" s="981"/>
      <c r="Y67" s="981"/>
      <c r="Z67" s="981"/>
      <c r="AA67" s="981"/>
    </row>
    <row r="68" spans="2:28" ht="15" thickBot="1">
      <c r="C68" s="98" t="s">
        <v>519</v>
      </c>
      <c r="D68" s="99" t="s">
        <v>520</v>
      </c>
      <c r="E68" s="99" t="s">
        <v>14</v>
      </c>
      <c r="F68" s="99" t="s">
        <v>78</v>
      </c>
      <c r="G68" s="99" t="s">
        <v>521</v>
      </c>
      <c r="H68" s="99" t="s">
        <v>522</v>
      </c>
      <c r="I68" s="99" t="s">
        <v>425</v>
      </c>
      <c r="J68" s="100" t="s">
        <v>465</v>
      </c>
      <c r="K68" s="101"/>
      <c r="L68" s="67" t="s">
        <v>331</v>
      </c>
      <c r="M68" s="67" t="s">
        <v>334</v>
      </c>
      <c r="N68" s="67" t="s">
        <v>336</v>
      </c>
      <c r="O68" s="67" t="s">
        <v>338</v>
      </c>
      <c r="P68" s="67" t="s">
        <v>339</v>
      </c>
      <c r="Q68" s="67" t="s">
        <v>341</v>
      </c>
      <c r="R68" s="67" t="s">
        <v>342</v>
      </c>
      <c r="S68" s="67" t="s">
        <v>343</v>
      </c>
      <c r="T68" s="67" t="s">
        <v>344</v>
      </c>
      <c r="U68" s="67" t="s">
        <v>346</v>
      </c>
      <c r="V68" s="67" t="s">
        <v>348</v>
      </c>
      <c r="W68" s="67" t="s">
        <v>350</v>
      </c>
      <c r="X68" s="67" t="s">
        <v>351</v>
      </c>
      <c r="Y68" s="67" t="s">
        <v>353</v>
      </c>
      <c r="Z68" s="67" t="s">
        <v>354</v>
      </c>
      <c r="AA68" s="118" t="s">
        <v>1049</v>
      </c>
      <c r="AB68" s="119"/>
    </row>
    <row r="69" spans="2:28" ht="15" thickTop="1">
      <c r="B69" t="s">
        <v>331</v>
      </c>
      <c r="C69" s="64">
        <f t="shared" ref="C69:C83" si="10">IF(ISERROR(FIND("(CB)",AF30,1)),0)</f>
        <v>0</v>
      </c>
      <c r="D69" s="4">
        <f>IF(C69=FALSE,20,0)</f>
        <v>0</v>
      </c>
      <c r="E69" s="65">
        <f>IF(Pricing!AE8="Quoted",,IF(Pricing!E8="",,IF(ISERROR(Pricing!M8*Pricing!N8/1000000),,Pricing!M8*Pricing!N8/1000000)))</f>
        <v>7.4730470000000002</v>
      </c>
      <c r="F69" s="62">
        <f>IF(Pricing!AE8="Quoted",,IF(Pricing!J8 = "Silent",$E$69*$C$9,0))</f>
        <v>261.556645</v>
      </c>
      <c r="G69" s="62">
        <f>IF(Pricing!AE8="Quoted",,IF(Pricing!D8="Tracked",($F$2*H69)+$C$11,0))</f>
        <v>522.875</v>
      </c>
      <c r="H69" s="103">
        <f>H21</f>
        <v>3.383</v>
      </c>
      <c r="I69" s="62">
        <f>I21</f>
        <v>0</v>
      </c>
      <c r="J69" s="55"/>
      <c r="K69" s="27" t="s">
        <v>118</v>
      </c>
      <c r="L69" s="59">
        <f>IF(Pricing!$AE$8="Price",$J4,)</f>
        <v>340</v>
      </c>
      <c r="M69" s="59">
        <f>IF(Pricing!AE11="Price",K4,)</f>
        <v>340</v>
      </c>
      <c r="N69" s="59">
        <f>IF(Pricing!AE14="Price",L4,)</f>
        <v>340</v>
      </c>
      <c r="O69" s="59">
        <f>IF(Pricing!$AE17="Price",M$4,)</f>
        <v>340</v>
      </c>
      <c r="P69" s="59">
        <f>IF(Pricing!$AE20="Price",N$4,)</f>
        <v>340</v>
      </c>
      <c r="Q69" s="59">
        <f>IF(Pricing!$AE23="Price",O$4,)</f>
        <v>340</v>
      </c>
      <c r="R69" s="59">
        <f>IF(Pricing!$AE26="Price",P$4,)</f>
        <v>340</v>
      </c>
      <c r="S69" s="59">
        <f>IF(Pricing!$AE29="Price",Q$4,)</f>
        <v>340</v>
      </c>
      <c r="T69" s="59">
        <f>IF(Pricing!$AE32="Price",R$4,)</f>
        <v>340</v>
      </c>
      <c r="U69" s="59">
        <f>IF(Pricing!$AE35="Price",S$4,)</f>
        <v>340</v>
      </c>
      <c r="V69" s="59">
        <f>IF(Pricing!$AE38="Price",T$4,)</f>
        <v>340</v>
      </c>
      <c r="W69" s="59">
        <f>IF(Pricing!$AE41="Price",U$4,)</f>
        <v>340</v>
      </c>
      <c r="X69" s="59">
        <f>IF(Pricing!$AE44="Price",V$4,)</f>
        <v>340</v>
      </c>
      <c r="Y69" s="59">
        <f>IF(Pricing!$AE47="Price",W$4,)</f>
        <v>340</v>
      </c>
      <c r="Z69" s="59">
        <f>IF(Pricing!$AE50="Price",X$4,)</f>
        <v>340</v>
      </c>
      <c r="AA69" s="120">
        <f>SUM(L69:Z69)+(D69*E69)</f>
        <v>5100</v>
      </c>
    </row>
    <row r="70" spans="2:28">
      <c r="B70" t="s">
        <v>334</v>
      </c>
      <c r="C70" s="64">
        <f t="shared" si="10"/>
        <v>0</v>
      </c>
      <c r="D70" s="4">
        <f t="shared" ref="D70:D83" si="11">IF(C70=FALSE,20,0)</f>
        <v>0</v>
      </c>
      <c r="E70" s="65">
        <f>IF(Pricing!AE11="Quoted",,IF(Pricing!E11="",,IF(ISERROR(Pricing!M11*Pricing!N11/1000000),,Pricing!M11*Pricing!N11/1000000)))</f>
        <v>0.75226499999999996</v>
      </c>
      <c r="F70" s="62">
        <f>IF(Pricing!AE11="Quoted",,IF(Pricing!J11 = "Silent",$E70*$C$9,0))</f>
        <v>26.329274999999999</v>
      </c>
      <c r="G70" s="62">
        <f>IF(Pricing!AE11="Quoted",IF(Pricing!D11="Tracked",$F$2*H70+$C$11,0),)</f>
        <v>0</v>
      </c>
      <c r="H70" s="103">
        <f t="shared" ref="H70:I83" si="12">H22</f>
        <v>0</v>
      </c>
      <c r="I70" s="62">
        <f t="shared" si="12"/>
        <v>0</v>
      </c>
      <c r="K70" s="27" t="s">
        <v>122</v>
      </c>
      <c r="L70" s="59">
        <f>IF(AND(Pricing!$AE$8="Price",Pricing!$E$8=Matrix!$K70),$J5,)</f>
        <v>0</v>
      </c>
      <c r="M70" s="59">
        <f>IF(AND(Pricing!$AE$11="Price",Pricing!$E$11=Matrix!K70),$K5,)</f>
        <v>0</v>
      </c>
      <c r="N70" s="59">
        <f>IF(AND(Pricing!$AE$14="Price",Pricing!$E$14=Matrix!K70),L5,)</f>
        <v>0</v>
      </c>
      <c r="O70" s="59">
        <f>IF(AND(Pricing!$AE$17="Price",Pricing!$E$17=Matrix!K70),M5,)</f>
        <v>0</v>
      </c>
      <c r="P70" s="59">
        <f>IF(AND(Pricing!$AE$20="Price",Pricing!$E$20=Matrix!K70),N5,)</f>
        <v>0</v>
      </c>
      <c r="Q70" s="59">
        <f>IF(AND(Pricing!$AE$23="Price",Pricing!$E$23=Matrix!K70),O5,)</f>
        <v>0</v>
      </c>
      <c r="R70" s="59">
        <f>IF(AND(Pricing!$AE$26="Price",Pricing!$E$26=Matrix!K70),P5,)</f>
        <v>0</v>
      </c>
      <c r="S70" s="59">
        <f>IF(AND(Pricing!$AE$29="Price",Pricing!$E$29=Matrix!K70),Q5,)</f>
        <v>0</v>
      </c>
      <c r="T70" s="59">
        <f>IF(AND(Pricing!$AE$32="Price",Pricing!$E$32=Matrix!K70),R5,)</f>
        <v>0</v>
      </c>
      <c r="U70" s="59">
        <f>IF(AND(Pricing!$AE$35="Price",Pricing!$E$35=Matrix!K70),S5,)</f>
        <v>0</v>
      </c>
      <c r="V70" s="59">
        <f>IF(AND(Pricing!$AE$38="Price",Pricing!$E$38=Matrix!K70),T5,)</f>
        <v>0</v>
      </c>
      <c r="W70" s="59">
        <f>IF(AND(Pricing!$AE$41="Price",Pricing!$E$41=Matrix!K70),U5,)</f>
        <v>0</v>
      </c>
      <c r="X70" s="59">
        <f>IF(AND(Pricing!$AE$44="Price",Pricing!$E$44=Matrix!K70),V5,)</f>
        <v>0</v>
      </c>
      <c r="Y70" s="59">
        <f>IF(AND(Pricing!$AE$47="Price",Pricing!$E$47=Matrix!K70),W5,)</f>
        <v>0</v>
      </c>
      <c r="Z70" s="59">
        <f>IF(AND(Pricing!$AE$50="Price",Pricing!$E$50=Matrix!K70),X5,)</f>
        <v>0</v>
      </c>
      <c r="AA70" s="121">
        <f t="shared" ref="AA70:AA76" si="13">SUM(L70:Z70)</f>
        <v>0</v>
      </c>
    </row>
    <row r="71" spans="2:28">
      <c r="B71" t="s">
        <v>336</v>
      </c>
      <c r="C71" s="64">
        <f t="shared" si="10"/>
        <v>0</v>
      </c>
      <c r="D71" s="4">
        <f t="shared" si="11"/>
        <v>0</v>
      </c>
      <c r="E71" s="65">
        <f>IF(Pricing!AE14="Quoted",,IF(Pricing!E14="",,IF(ISERROR(Pricing!M14*Pricing!N14/1000000),,Pricing!M14*Pricing!N14/1000000)))</f>
        <v>3.8561879999999999</v>
      </c>
      <c r="F71" s="62">
        <f>IF(Pricing!AE14="Quoted",,IF(Pricing!J14="Silent",E71*$C$9,0))</f>
        <v>134.96657999999999</v>
      </c>
      <c r="G71" s="62">
        <f>IF(Pricing!AE14="Quoted",IF(Pricing!D14="Tracked",$F$2*H71+$C$11,0),)</f>
        <v>0</v>
      </c>
      <c r="H71" s="103">
        <f t="shared" si="12"/>
        <v>0</v>
      </c>
      <c r="I71" s="62">
        <f t="shared" si="12"/>
        <v>0</v>
      </c>
      <c r="K71" s="27" t="s">
        <v>123</v>
      </c>
      <c r="L71" s="59">
        <f>IF(AND(Pricing!$AE$8="Price",Pricing!$E$8=Matrix!$K71),$J6,)</f>
        <v>0</v>
      </c>
      <c r="M71" s="59">
        <f>IF(AND(Pricing!$AE$11="Price",Pricing!$E$11=Matrix!K71),$K6,)</f>
        <v>0</v>
      </c>
      <c r="N71" s="59">
        <f>IF(AND(Pricing!$AE$14="Price",Pricing!$E$14=Matrix!K71),L6,)</f>
        <v>0</v>
      </c>
      <c r="O71" s="59">
        <f>IF(AND(Pricing!$AE$17="Price",Pricing!$E$17=Matrix!K71),M6,)</f>
        <v>0</v>
      </c>
      <c r="P71" s="59">
        <f>IF(AND(Pricing!$AE$20="Price",Pricing!$E$20=Matrix!K71),N6,)</f>
        <v>0</v>
      </c>
      <c r="Q71" s="59">
        <f>IF(AND(Pricing!$AE$23="Price",Pricing!$E$23=Matrix!K71),O6,)</f>
        <v>0</v>
      </c>
      <c r="R71" s="59">
        <f>IF(AND(Pricing!$AE$26="Price",Pricing!$E$26=Matrix!K71),P6,)</f>
        <v>0</v>
      </c>
      <c r="S71" s="59">
        <f>IF(AND(Pricing!$AE$29="Price",Pricing!$E$29=Matrix!K71),Q6,)</f>
        <v>0</v>
      </c>
      <c r="T71" s="59">
        <f>IF(AND(Pricing!$AE$32="Price",Pricing!$E$32=Matrix!K71),R6,)</f>
        <v>0</v>
      </c>
      <c r="U71" s="59">
        <f>IF(AND(Pricing!$AE$35="Price",Pricing!$E$35=Matrix!K71),S6,)</f>
        <v>0</v>
      </c>
      <c r="V71" s="59">
        <f>IF(AND(Pricing!$AE$38="Price",Pricing!$E$38=Matrix!K71),T6,)</f>
        <v>0</v>
      </c>
      <c r="W71" s="59">
        <f>IF(AND(Pricing!$AE$41="Price",Pricing!$E$41=Matrix!K71),U6,)</f>
        <v>0</v>
      </c>
      <c r="X71" s="59">
        <f>IF(AND(Pricing!$AE$44="Price",Pricing!$E$44=Matrix!K71),V6,)</f>
        <v>0</v>
      </c>
      <c r="Y71" s="59">
        <f>IF(AND(Pricing!$AE$47="Price",Pricing!$E$47=Matrix!K71),W6,)</f>
        <v>0</v>
      </c>
      <c r="Z71" s="59">
        <f>IF(AND(Pricing!$AE$50="Price",Pricing!$E$50=Matrix!K71),X6,)</f>
        <v>0</v>
      </c>
      <c r="AA71" s="121">
        <f t="shared" si="13"/>
        <v>0</v>
      </c>
    </row>
    <row r="72" spans="2:28">
      <c r="B72" t="s">
        <v>338</v>
      </c>
      <c r="C72" s="64">
        <f t="shared" si="10"/>
        <v>0</v>
      </c>
      <c r="D72" s="4">
        <f t="shared" si="11"/>
        <v>0</v>
      </c>
      <c r="E72" s="65">
        <f>IF(Pricing!AE17="Quoted",,IF(Pricing!E17="",,IF(ISERROR(Pricing!M17*Pricing!N17/1000000),,Pricing!M17*Pricing!N17/1000000)))</f>
        <v>2.3235209999999999</v>
      </c>
      <c r="F72" s="62">
        <f>IF(Pricing!AE17="Quoted",,IF(Pricing!J17 = "Silent",$E72*$C$9,0))</f>
        <v>81.323234999999997</v>
      </c>
      <c r="G72" s="62">
        <f>IF(Pricing!AE17="Quoted",IF(Pricing!D17="Tracked",$F$2*H72+$C$11,0),)</f>
        <v>0</v>
      </c>
      <c r="H72" s="103">
        <f t="shared" si="12"/>
        <v>0</v>
      </c>
      <c r="I72" s="62">
        <f t="shared" si="12"/>
        <v>0</v>
      </c>
      <c r="K72" s="27" t="s">
        <v>124</v>
      </c>
      <c r="L72" s="59">
        <f>IF(AND(Pricing!$AE$8="Price",Pricing!$E$8=Matrix!$K72),$J7,)</f>
        <v>0</v>
      </c>
      <c r="M72" s="59">
        <f>IF(AND(Pricing!$AE$11="Price",Pricing!$E$11=Matrix!K72),$K7,)</f>
        <v>0</v>
      </c>
      <c r="N72" s="59">
        <f>IF(AND(Pricing!$AE$14="Price",Pricing!$E$14=Matrix!K72),L7,)</f>
        <v>0</v>
      </c>
      <c r="O72" s="59">
        <f>IF(AND(Pricing!$AE$17="Price",Pricing!$E$17=Matrix!K72),M7,)</f>
        <v>0</v>
      </c>
      <c r="P72" s="59">
        <f>IF(AND(Pricing!$AE$20="Price",Pricing!$E$20=Matrix!K72),N7,)</f>
        <v>0</v>
      </c>
      <c r="Q72" s="59">
        <f>IF(AND(Pricing!$AE$23="Price",Pricing!$E$23=Matrix!K72),O7,)</f>
        <v>0</v>
      </c>
      <c r="R72" s="59">
        <f>IF(AND(Pricing!$AE$26="Price",Pricing!$E$26=Matrix!K72),P7,)</f>
        <v>0</v>
      </c>
      <c r="S72" s="59">
        <f>IF(AND(Pricing!$AE$29="Price",Pricing!$E$29=Matrix!K72),Q7,)</f>
        <v>0</v>
      </c>
      <c r="T72" s="59">
        <f>IF(AND(Pricing!$AE$32="Price",Pricing!$E$32=Matrix!K72),R7,)</f>
        <v>0</v>
      </c>
      <c r="U72" s="59">
        <f>IF(AND(Pricing!$AE$35="Price",Pricing!$E$35=Matrix!K72),S7,)</f>
        <v>0</v>
      </c>
      <c r="V72" s="59">
        <f>IF(AND(Pricing!$AE$38="Price",Pricing!$E$38=Matrix!K72),T7,)</f>
        <v>0</v>
      </c>
      <c r="W72" s="59">
        <f>IF(AND(Pricing!$AE$41="Price",Pricing!$E$41=Matrix!K72),U7,)</f>
        <v>0</v>
      </c>
      <c r="X72" s="59">
        <f>IF(AND(Pricing!$AE$44="Price",Pricing!$E$44=Matrix!K72),V7,)</f>
        <v>0</v>
      </c>
      <c r="Y72" s="59">
        <f>IF(AND(Pricing!$AE$47="Price",Pricing!$E$47=Matrix!K72),W7,)</f>
        <v>0</v>
      </c>
      <c r="Z72" s="59">
        <f>IF(AND(Pricing!$AE$50="Price",Pricing!$E$50=Matrix!K72),X7,)</f>
        <v>0</v>
      </c>
      <c r="AA72" s="121">
        <f t="shared" si="13"/>
        <v>0</v>
      </c>
    </row>
    <row r="73" spans="2:28">
      <c r="B73" t="s">
        <v>339</v>
      </c>
      <c r="C73" s="64">
        <f t="shared" si="10"/>
        <v>0</v>
      </c>
      <c r="D73" s="4">
        <f t="shared" si="11"/>
        <v>0</v>
      </c>
      <c r="E73" s="65">
        <f>IF(Pricing!AE20="Quoted",,IF(Pricing!E20="",,IF(ISERROR(Pricing!M20*Pricing!N20/1000000),,Pricing!M20*Pricing!N20/1000000)))</f>
        <v>0</v>
      </c>
      <c r="F73" s="62">
        <f>IF(Pricing!AE20="Quoted",,IF(Pricing!J20 = "Silent",E73*$C$9,0))</f>
        <v>0</v>
      </c>
      <c r="G73" s="62">
        <f>IF(Pricing!AE20="Quoted",IF(Pricing!D20="Tracked",$F$2*H73+$C$11,0),)</f>
        <v>0</v>
      </c>
      <c r="H73" s="103">
        <f t="shared" si="12"/>
        <v>0</v>
      </c>
      <c r="I73" s="62">
        <f t="shared" si="12"/>
        <v>0</v>
      </c>
      <c r="K73" s="27" t="s">
        <v>125</v>
      </c>
      <c r="L73" s="59">
        <f>IF(AND(Pricing!$AE$8="Price",Pricing!$E$8=Matrix!$K73),$J8,)</f>
        <v>0</v>
      </c>
      <c r="M73" s="59">
        <f>IF(AND(Pricing!$AE$11="Price",Pricing!$E$11=Matrix!K73),$K8,)</f>
        <v>0</v>
      </c>
      <c r="N73" s="59">
        <f>IF(AND(Pricing!$AE$14="Price",Pricing!$E$14=Matrix!K73),L8,)</f>
        <v>0</v>
      </c>
      <c r="O73" s="59">
        <f>IF(AND(Pricing!$AE$17="Price",Pricing!$E$17=Matrix!K73),M8,)</f>
        <v>0</v>
      </c>
      <c r="P73" s="59">
        <f>IF(AND(Pricing!$AE$20="Price",Pricing!$E$20=Matrix!K73),N8,)</f>
        <v>0</v>
      </c>
      <c r="Q73" s="59">
        <f>IF(AND(Pricing!$AE$23="Price",Pricing!$E$23=Matrix!K73),O8,)</f>
        <v>0</v>
      </c>
      <c r="R73" s="59">
        <f>IF(AND(Pricing!$AE$26="Price",Pricing!$E$26=Matrix!K73),P8,)</f>
        <v>0</v>
      </c>
      <c r="S73" s="59">
        <f>IF(AND(Pricing!$AE$29="Price",Pricing!$E$29=Matrix!K73),Q8,)</f>
        <v>0</v>
      </c>
      <c r="T73" s="59">
        <f>IF(AND(Pricing!$AE$32="Price",Pricing!$E$32=Matrix!K73),R8,)</f>
        <v>0</v>
      </c>
      <c r="U73" s="59">
        <f>IF(AND(Pricing!$AE$35="Price",Pricing!$E$35=Matrix!K73),S8,)</f>
        <v>0</v>
      </c>
      <c r="V73" s="59">
        <f>IF(AND(Pricing!$AE$38="Price",Pricing!$E$38=Matrix!K73),T8,)</f>
        <v>0</v>
      </c>
      <c r="W73" s="59">
        <f>IF(AND(Pricing!$AE$41="Price",Pricing!$E$41=Matrix!K73),U8,)</f>
        <v>0</v>
      </c>
      <c r="X73" s="59">
        <f>IF(AND(Pricing!$AE$44="Price",Pricing!$E$44=Matrix!K73),V8,)</f>
        <v>0</v>
      </c>
      <c r="Y73" s="59">
        <f>IF(AND(Pricing!$AE$47="Price",Pricing!$E$47=Matrix!K73),W8,)</f>
        <v>0</v>
      </c>
      <c r="Z73" s="59">
        <f>IF(AND(Pricing!$AE$50="Price",Pricing!$E$50=Matrix!K73),X8,)</f>
        <v>0</v>
      </c>
      <c r="AA73" s="121">
        <f t="shared" si="13"/>
        <v>0</v>
      </c>
    </row>
    <row r="74" spans="2:28" ht="15" thickBot="1">
      <c r="B74" t="s">
        <v>341</v>
      </c>
      <c r="C74" s="64">
        <f t="shared" si="10"/>
        <v>0</v>
      </c>
      <c r="D74" s="4">
        <f t="shared" si="11"/>
        <v>0</v>
      </c>
      <c r="E74" s="65">
        <f>IF(Pricing!AE23="Quoted",,IF(Pricing!E23="",,IF(ISERROR(Pricing!M23*Pricing!N23/1000000),,Pricing!M23*Pricing!N23/1000000)))</f>
        <v>0</v>
      </c>
      <c r="F74" s="62">
        <f>IF(Pricing!AE23="Quoted",,IF(Pricing!J23 = "Silent",$E74*$C$9,0))</f>
        <v>0</v>
      </c>
      <c r="G74" s="62">
        <f>IF(Pricing!AE23="Quoted",IF(Pricing!D23="Tracked",$F$2*H74+$C$11,0),)</f>
        <v>0</v>
      </c>
      <c r="H74" s="103">
        <f t="shared" si="12"/>
        <v>0</v>
      </c>
      <c r="I74" s="62">
        <f t="shared" si="12"/>
        <v>0</v>
      </c>
      <c r="K74" s="29" t="s">
        <v>568</v>
      </c>
      <c r="L74" s="59">
        <f>IF(AND(Pricing!$AE$8="Price",Pricing!$E$8=Matrix!$K74),$J9,)</f>
        <v>0</v>
      </c>
      <c r="M74" s="59">
        <f>IF(AND(Pricing!$AE$11="Price",Pricing!$E$11=Matrix!K74),$K9,)</f>
        <v>0</v>
      </c>
      <c r="N74" s="59">
        <f>IF(AND(Pricing!$AE$14="Price",Pricing!$E$14=Matrix!K74),L9,)</f>
        <v>0</v>
      </c>
      <c r="O74" s="59">
        <f>IF(AND(Pricing!$AE$17="Price",Pricing!$E$17=Matrix!K74),M9,)</f>
        <v>0</v>
      </c>
      <c r="P74" s="59">
        <f>IF(AND(Pricing!$AE$20="Price",Pricing!$E$20=Matrix!K74),N9,)</f>
        <v>0</v>
      </c>
      <c r="Q74" s="59">
        <f>IF(AND(Pricing!$AE$23="Price",Pricing!$E$23=Matrix!K74),O9,)</f>
        <v>0</v>
      </c>
      <c r="R74" s="59">
        <f>IF(AND(Pricing!$AE$26="Price",Pricing!$E$26=Matrix!K74),P9,)</f>
        <v>0</v>
      </c>
      <c r="S74" s="59">
        <f>IF(AND(Pricing!$AE$29="Price",Pricing!$E$29=Matrix!K74),Q9,)</f>
        <v>0</v>
      </c>
      <c r="T74" s="59">
        <f>IF(AND(Pricing!$AE$32="Price",Pricing!$E$32=Matrix!K74),R9,)</f>
        <v>0</v>
      </c>
      <c r="U74" s="59">
        <f>IF(AND(Pricing!$AE$35="Price",Pricing!$E$35=Matrix!K74),S9,)</f>
        <v>0</v>
      </c>
      <c r="V74" s="59">
        <f>IF(AND(Pricing!$AE$38="Price",Pricing!$E$38=Matrix!K74),T9,)</f>
        <v>0</v>
      </c>
      <c r="W74" s="59">
        <f>IF(AND(Pricing!$AE$41="Price",Pricing!$E$41=Matrix!K74),U9,)</f>
        <v>0</v>
      </c>
      <c r="X74" s="59">
        <f>IF(AND(Pricing!$AE$44="Price",Pricing!$E$44=Matrix!K74),V9,)</f>
        <v>0</v>
      </c>
      <c r="Y74" s="59">
        <f>IF(AND(Pricing!$AE$47="Price",Pricing!$E$47=Matrix!K74),W9,)</f>
        <v>0</v>
      </c>
      <c r="Z74" s="59">
        <f>IF(AND(Pricing!$AE$50="Price",Pricing!$E$50=Matrix!K74),X9,)</f>
        <v>0</v>
      </c>
      <c r="AA74" s="122">
        <f t="shared" si="13"/>
        <v>0</v>
      </c>
    </row>
    <row r="75" spans="2:28" ht="15.6" thickTop="1" thickBot="1">
      <c r="B75" t="s">
        <v>342</v>
      </c>
      <c r="C75" s="64">
        <f t="shared" si="10"/>
        <v>0</v>
      </c>
      <c r="D75" s="4">
        <f t="shared" si="11"/>
        <v>0</v>
      </c>
      <c r="E75" s="65">
        <f>IF(Pricing!AE26="Quoted",,IF(Pricing!E26="",,IF(ISERROR(Pricing!M26*Pricing!N26/1000000),,Pricing!M26*Pricing!N26/1000000)))</f>
        <v>0</v>
      </c>
      <c r="F75" s="62">
        <f>IF(Pricing!AE26="Quoted",,IF(Pricing!J26 = "Silent",$E75*$C$9,0))</f>
        <v>0</v>
      </c>
      <c r="G75" s="62">
        <f>IF(Pricing!AE26="Quoted",IF(Pricing!D26="Tracked",$F$2*H75+$C$11,0),)</f>
        <v>0</v>
      </c>
      <c r="H75" s="103">
        <f t="shared" si="12"/>
        <v>0</v>
      </c>
      <c r="I75" s="62">
        <f t="shared" si="12"/>
        <v>0</v>
      </c>
      <c r="K75" s="106" t="s">
        <v>1044</v>
      </c>
      <c r="L75" s="107">
        <f>IF(Pricing!AE8="Quote",,IF(ISNA(VLOOKUP(Pricing!E8,K69:L74,2,0)),,VLOOKUP(Pricing!E8,K69:L74,2,0)))</f>
        <v>0</v>
      </c>
      <c r="M75" s="108">
        <f>IF(Pricing!AE11="Quote",,IF(ISNA(VLOOKUP(Pricing!E11,K69:M74,3,0)),,VLOOKUP(Pricing!E11,K69:M74,3,0)))</f>
        <v>0</v>
      </c>
      <c r="N75" s="108">
        <f>IF(Pricing!AE14="Quote",,IF(ISNA(VLOOKUP(Pricing!E14,K69:N74,4,0)),,VLOOKUP(Pricing!E14,K69:N74,4,0)))</f>
        <v>0</v>
      </c>
      <c r="O75" s="108">
        <f>IF(Pricing!AE17="Quote",,IF(ISNA(VLOOKUP(Pricing!E17,K69:O74,5,0)),,VLOOKUP(Pricing!E17,K69:O74,5,0)))</f>
        <v>0</v>
      </c>
      <c r="P75" s="108">
        <f>IF(Pricing!AC20="Quote",,IF(ISNA(VLOOKUP(Pricing!E20,K69:P74,6,0)),,VLOOKUP(Pricing!E20,K69:P74,6,0)))</f>
        <v>0</v>
      </c>
      <c r="Q75" s="108">
        <f>IF(Pricing!AC23="Quote",,IF(ISNA(VLOOKUP(Pricing!E23,K69:Q74,7,0)),,VLOOKUP(Pricing!E23,K69:Q74,7,0)))</f>
        <v>0</v>
      </c>
      <c r="R75" s="108">
        <f>IF(Pricing!AC26="Quote",,IF(ISNA(VLOOKUP(Pricing!E26,K69:R74,8,0)),,VLOOKUP(Pricing!E26,K69:R74,8,0)))</f>
        <v>0</v>
      </c>
      <c r="S75" s="109">
        <f>IF(Pricing!AC29="Quote",,IF(ISNA(VLOOKUP(Pricing!E29,K69:S74,9,0)),,VLOOKUP(Pricing!E29,K69:S74,9,0)))</f>
        <v>0</v>
      </c>
      <c r="T75" s="109">
        <f>IF(Pricing!AD32="Quote",,IF(ISNA(VLOOKUP(Pricing!E32,K69:T74,10,0)),,VLOOKUP(Pricing!E32,K69:T74,10,0)))</f>
        <v>0</v>
      </c>
      <c r="U75" s="109">
        <f>IF(Pricing!AE35="Quote",,IF(ISNA(VLOOKUP(Pricing!E35,K69:U74,11,0)),,VLOOKUP(Pricing!E35,K69:U74,11,0)))</f>
        <v>0</v>
      </c>
      <c r="V75" s="109">
        <f>IF(Pricing!AG38="Quote",,IF(ISNA(VLOOKUP(Pricing!E38,K69:V74,12,0)),,VLOOKUP(Pricing!E38,K69:V74,12,0)))</f>
        <v>0</v>
      </c>
      <c r="W75" s="109" t="e">
        <f>IF(Pricing!#REF!="Quote",,IF(ISNA(VLOOKUP(Pricing!E41,K69:W74,13,0)),,VLOOKUP(Pricing!E41,K69:W74,13,0)))</f>
        <v>#REF!</v>
      </c>
      <c r="X75" s="109">
        <f>IF(Pricing!AI44="Quote",,IF(ISNA(VLOOKUP(Pricing!E44,K69:X74,14,0)),,VLOOKUP(Pricing!E44,K69:X74,14,0)))</f>
        <v>0</v>
      </c>
      <c r="Y75" s="109">
        <f>IF(Pricing!AJ47="Quote",,IF(ISNA(VLOOKUP(Pricing!E47,K69:Y74,15,0)),,VLOOKUP(Pricing!E47,K69:Y74,15,0)))</f>
        <v>0</v>
      </c>
      <c r="Z75" s="109">
        <f>IF(Pricing!AK50="Quote",,IF(ISNA(VLOOKUP(Pricing!E50,K69:Z74,16,0)),,VLOOKUP(Pricing!E50,K69:Z74,16,0)))</f>
        <v>0</v>
      </c>
      <c r="AA75" s="110" t="e">
        <f t="shared" si="13"/>
        <v>#REF!</v>
      </c>
    </row>
    <row r="76" spans="2:28" ht="15.6" thickTop="1" thickBot="1">
      <c r="B76" t="s">
        <v>343</v>
      </c>
      <c r="C76" s="64">
        <f t="shared" si="10"/>
        <v>0</v>
      </c>
      <c r="D76" s="4">
        <f t="shared" si="11"/>
        <v>0</v>
      </c>
      <c r="E76" s="65">
        <f>IF(Pricing!AE29="Quoted",,IF(Pricing!E29="",,IF(ISERROR(Pricing!M29*Pricing!N29/1000000),,Pricing!M29*Pricing!N29/1000000)))</f>
        <v>0</v>
      </c>
      <c r="F76" s="62">
        <f>IF(Pricing!AE29="Quoted",,IF(Pricing!J29 = "Silent",$E76*$C$9,0))</f>
        <v>0</v>
      </c>
      <c r="G76" s="62">
        <f>IF(Pricing!AE29="Quoted",IF(Pricing!D29="Tracked",$F$2*H76+$C$11,0),)</f>
        <v>0</v>
      </c>
      <c r="H76" s="103">
        <f t="shared" si="12"/>
        <v>0</v>
      </c>
      <c r="I76" s="62">
        <f t="shared" si="12"/>
        <v>0</v>
      </c>
      <c r="K76" s="111" t="s">
        <v>1045</v>
      </c>
      <c r="L76" s="112">
        <f>IF('Survey Front'!AD42="Q",IF(ISNA(VLOOKUP('Survey Front'!E42,K69:L75,2,0)),,VLOOKUP('Survey Front'!E42,K69:L75,2,0)),)</f>
        <v>0</v>
      </c>
      <c r="M76" s="113">
        <f>IF('Survey Front'!AD45="Q",IF(ISNA(VLOOKUP('Survey Front'!E45,K69:M74,3,0)),,VLOOKUP('Survey Front'!E45,K69:M74,3,0)),)</f>
        <v>0</v>
      </c>
      <c r="N76" s="113">
        <f>IF('Survey Front'!AD48="Q", IF(ISNA(VLOOKUP('Survey Front'!E48,K69:N74,4,0)),,VLOOKUP('Survey Front'!E48,K69:N74,4,0)),)</f>
        <v>0</v>
      </c>
      <c r="O76" s="113">
        <f>IF('Survey Front'!AD51="Q",IF(ISNA(VLOOKUP('Survey Front'!E51,K69:P74,5,0)),,VLOOKUP('Survey Front'!E51,K69:O74,5,0)),)</f>
        <v>0</v>
      </c>
      <c r="P76" s="113">
        <f>IF('Survey Front'!AD54="Q",IF(ISNA(VLOOKUP('Survey Front'!E54,K69:P74,6,0)),,VLOOKUP('Survey Front'!E54,K69:P74,6,0)),)</f>
        <v>0</v>
      </c>
      <c r="Q76" s="113">
        <f>IF('Survey Front'!AD57="Q",IF(ISNA(VLOOKUP('Survey Front'!E57,K69:Q74,7,0)),,VLOOKUP('Survey Front'!E57,K69:Q74,7,0)),)</f>
        <v>0</v>
      </c>
      <c r="R76" s="113">
        <f>IF('Survey Front'!AD60="Q",IF(ISNA(VLOOKUP('Survey Front'!E60,K69:R74,8,0)),,VLOOKUP('Survey Front'!E60,K69:R74,8,0)),)</f>
        <v>0</v>
      </c>
      <c r="S76" s="113">
        <f>IF('Survey Front'!AD63="Q",IF(ISNA(VLOOKUP('Survey Front'!E63,K69:S74,9,0)),,VLOOKUP('Survey Front'!E63,K69:S74,9,0)),)</f>
        <v>0</v>
      </c>
      <c r="T76" s="113">
        <f>IF('Survey Front'!AE63="Q",IF(ISNA(VLOOKUP('Survey Front'!F63,L69:T74,9,0)),,VLOOKUP('Survey Front'!F63,L69:T74,9,0)),)</f>
        <v>0</v>
      </c>
      <c r="U76" s="113">
        <f>IF('Survey Front'!AF63="Q",IF(ISNA(VLOOKUP('Survey Front'!G63,M69:U74,9,0)),,VLOOKUP('Survey Front'!G63,M69:U74,9,0)),)</f>
        <v>0</v>
      </c>
      <c r="V76" s="113">
        <f>IF('Survey Front'!AG63="Q",IF(ISNA(VLOOKUP('Survey Front'!H63,N69:V74,9,0)),,VLOOKUP('Survey Front'!H63,N69:V74,9,0)),)</f>
        <v>0</v>
      </c>
      <c r="W76" s="113">
        <f>IF('Survey Front'!AH63="Q",IF(ISNA(VLOOKUP('Survey Front'!I63,O69:W74,9,0)),,VLOOKUP('Survey Front'!I63,O69:W74,9,0)),)</f>
        <v>0</v>
      </c>
      <c r="X76" s="113">
        <f>IF('Survey Front'!AI63="Q",IF(ISNA(VLOOKUP('Survey Front'!J63,P69:X74,9,0)),,VLOOKUP('Survey Front'!J63,P69:X74,9,0)),)</f>
        <v>0</v>
      </c>
      <c r="Y76" s="113">
        <f>IF('Survey Front'!AJ63="Q",IF(ISNA(VLOOKUP('Survey Front'!K63,Q69:Y74,9,0)),,VLOOKUP('Survey Front'!K63,Q69:Y74,9,0)),)</f>
        <v>0</v>
      </c>
      <c r="Z76" s="113">
        <f>IF('Survey Front'!AK63="Q",IF(ISNA(VLOOKUP('Survey Front'!L63,R69:Z74,9,0)),,VLOOKUP('Survey Front'!L63,R69:Z74,9,0)),)</f>
        <v>0</v>
      </c>
      <c r="AA76" s="114">
        <f t="shared" si="13"/>
        <v>0</v>
      </c>
    </row>
    <row r="77" spans="2:28" ht="15" thickTop="1">
      <c r="B77" t="s">
        <v>344</v>
      </c>
      <c r="C77" s="64">
        <f t="shared" si="10"/>
        <v>0</v>
      </c>
      <c r="D77" s="4">
        <f t="shared" si="11"/>
        <v>0</v>
      </c>
      <c r="E77" s="65">
        <f>IF(Pricing!AE32="Quoted",,IF(Pricing!E32="",,IF(ISERROR(Pricing!M32*Pricing!N32/1000000),,Pricing!M32*Pricing!N32/1000000)))</f>
        <v>0</v>
      </c>
      <c r="F77" s="62">
        <f>IF(Pricing!AE32="Quoted",,IF(Pricing!J32 = "Silent",$E77*$C$9,0))</f>
        <v>0</v>
      </c>
      <c r="G77" s="62">
        <f>IF(Pricing!AE32="Quoted",IF(Pricing!D32="Tracked",$F$2*H77+$C$11,0),)</f>
        <v>0</v>
      </c>
      <c r="H77" s="103">
        <f t="shared" si="12"/>
        <v>0</v>
      </c>
      <c r="I77" s="62">
        <f t="shared" si="12"/>
        <v>0</v>
      </c>
    </row>
    <row r="78" spans="2:28">
      <c r="B78" t="s">
        <v>346</v>
      </c>
      <c r="C78" s="64">
        <f t="shared" si="10"/>
        <v>0</v>
      </c>
      <c r="D78" s="4">
        <f t="shared" si="11"/>
        <v>0</v>
      </c>
      <c r="E78" s="65">
        <f>IF(Pricing!AE35="Quoted",,IF(Pricing!E35="",,IF(ISERROR(Pricing!M35*Pricing!N35/1000000),,Pricing!M35*Pricing!N35/1000000)))</f>
        <v>0</v>
      </c>
      <c r="F78" s="62">
        <f>IF(Pricing!AE35="Quoted",,IF(Pricing!J35 = "Silent",$E78*$C$9,0))</f>
        <v>0</v>
      </c>
      <c r="G78" s="62">
        <f>IF(Pricing!AE35="Quoted",IF(Pricing!D35="Tracked",$F$2*H78+$C$11,0),)</f>
        <v>0</v>
      </c>
      <c r="H78" s="103">
        <f t="shared" si="12"/>
        <v>0</v>
      </c>
      <c r="I78" s="62">
        <f t="shared" si="12"/>
        <v>0</v>
      </c>
      <c r="K78" s="981" t="s">
        <v>1050</v>
      </c>
      <c r="L78" s="981"/>
      <c r="M78" s="981"/>
      <c r="N78" s="981"/>
      <c r="O78" s="981"/>
      <c r="P78" s="981"/>
      <c r="Q78" s="981"/>
      <c r="R78" s="981"/>
      <c r="S78" s="981"/>
      <c r="T78" s="981"/>
      <c r="U78" s="981"/>
      <c r="V78" s="981"/>
      <c r="W78" s="981"/>
      <c r="X78" s="981"/>
      <c r="Y78" s="981"/>
      <c r="Z78" s="981"/>
      <c r="AA78" s="981"/>
    </row>
    <row r="79" spans="2:28">
      <c r="B79" t="s">
        <v>348</v>
      </c>
      <c r="C79" s="64">
        <f t="shared" si="10"/>
        <v>0</v>
      </c>
      <c r="D79" s="4">
        <f t="shared" si="11"/>
        <v>0</v>
      </c>
      <c r="E79" s="65">
        <f>IF(Pricing!AE38="Quoted",,IF(Pricing!E38="",,IF(ISERROR(Pricing!M38*Pricing!N38/1000000),,Pricing!M38*Pricing!N38/1000000)))</f>
        <v>0</v>
      </c>
      <c r="F79" s="62">
        <f>IF(Pricing!AE38="Quoted",,IF(Pricing!J38 = "Silent",$E79*$C$9,0))</f>
        <v>0</v>
      </c>
      <c r="G79" s="62">
        <f>IF(Pricing!AE38="Quoted",IF(Pricing!D38="Tracked",$F$2*H79+$C$11,0),)</f>
        <v>0</v>
      </c>
      <c r="H79" s="103">
        <f t="shared" si="12"/>
        <v>0</v>
      </c>
      <c r="I79" s="62">
        <f t="shared" si="12"/>
        <v>0</v>
      </c>
      <c r="K79" s="101"/>
      <c r="L79" s="67" t="s">
        <v>331</v>
      </c>
      <c r="M79" s="67" t="s">
        <v>334</v>
      </c>
      <c r="N79" s="67" t="s">
        <v>336</v>
      </c>
      <c r="O79" s="67" t="s">
        <v>338</v>
      </c>
      <c r="P79" s="67" t="s">
        <v>339</v>
      </c>
      <c r="Q79" s="67" t="s">
        <v>341</v>
      </c>
      <c r="R79" s="67" t="s">
        <v>342</v>
      </c>
      <c r="S79" s="67" t="s">
        <v>343</v>
      </c>
      <c r="T79" s="67" t="s">
        <v>344</v>
      </c>
      <c r="U79" s="67" t="s">
        <v>346</v>
      </c>
      <c r="V79" s="67" t="s">
        <v>348</v>
      </c>
      <c r="W79" s="67" t="s">
        <v>350</v>
      </c>
      <c r="X79" s="67" t="s">
        <v>351</v>
      </c>
      <c r="Y79" s="67" t="s">
        <v>353</v>
      </c>
      <c r="Z79" s="67" t="s">
        <v>354</v>
      </c>
      <c r="AA79" s="118" t="s">
        <v>1051</v>
      </c>
    </row>
    <row r="80" spans="2:28">
      <c r="B80" t="s">
        <v>350</v>
      </c>
      <c r="C80" s="64">
        <f t="shared" si="10"/>
        <v>0</v>
      </c>
      <c r="D80" s="4">
        <f t="shared" si="11"/>
        <v>0</v>
      </c>
      <c r="E80" s="65">
        <f>IF(Pricing!AE41="Quoted",,IF(Pricing!E41="",,IF(ISERROR(Pricing!M41*Pricing!N41/1000000),,Pricing!M41*Pricing!N41/1000000)))</f>
        <v>0</v>
      </c>
      <c r="F80" s="62">
        <f>IF(Pricing!AE41="Quoted",,IF(Pricing!J41 = "Silent",$E80*$C$9,0))</f>
        <v>0</v>
      </c>
      <c r="G80" s="62">
        <f>IF(Pricing!AE41="Quoted",IF(Pricing!D41="Tracked",$F$2*H80+$C$11,0),)</f>
        <v>0</v>
      </c>
      <c r="H80" s="103">
        <f t="shared" si="12"/>
        <v>0</v>
      </c>
      <c r="I80" s="62">
        <f t="shared" si="12"/>
        <v>0</v>
      </c>
      <c r="K80" s="27" t="s">
        <v>118</v>
      </c>
      <c r="L80" s="59">
        <f>(E21*C2)-((E21*C2)*C10)/(E21*C2)</f>
        <v>2540.5859800000003</v>
      </c>
      <c r="M80" s="59">
        <f>IF(Pricing!$AE$11="Quoted",K13,)</f>
        <v>0</v>
      </c>
      <c r="N80" s="59">
        <f>IF(Pricing!$AE$14="Quoted",L13,)</f>
        <v>0</v>
      </c>
      <c r="O80" s="59">
        <f>IF(Pricing!$AE$17="Quoted",M13,)</f>
        <v>0</v>
      </c>
      <c r="P80" s="59">
        <f>IF(Pricing!$AE$20="Quoted",N13,)</f>
        <v>0</v>
      </c>
      <c r="Q80" s="59">
        <f>IF(Pricing!$AE$23="Quoted",O13,)</f>
        <v>0</v>
      </c>
      <c r="R80" s="59">
        <f>IF(Pricing!$AE$26="Quoted",P13,)</f>
        <v>0</v>
      </c>
      <c r="S80" s="59">
        <f>IF(Pricing!$AE$29="Quoted",Q13,)</f>
        <v>0</v>
      </c>
      <c r="T80" s="59">
        <f>IF(Pricing!$AE$32="Quoted",R13,)</f>
        <v>0</v>
      </c>
      <c r="U80" s="59">
        <f>IF(Pricing!$AE$35="Quoted",S13,)</f>
        <v>0</v>
      </c>
      <c r="V80" s="59">
        <f>IF(Pricing!$AE$38="Quoted",T13,)</f>
        <v>0</v>
      </c>
      <c r="W80" s="59">
        <f>IF(Pricing!$AE$41="Quoted",U13,)</f>
        <v>0</v>
      </c>
      <c r="X80" s="59">
        <f>IF(Pricing!$AE$44="Quoted",V13,)</f>
        <v>0</v>
      </c>
      <c r="Y80" s="59">
        <f>IF(Pricing!$AE$47="Quoted",W13,)</f>
        <v>0</v>
      </c>
      <c r="Z80" s="59">
        <f>IF(Pricing!$AE$50="Quoted",X13,)</f>
        <v>0</v>
      </c>
      <c r="AA80" s="55">
        <f t="shared" ref="AA80:AA85" si="14">SUM(L80:Z80)</f>
        <v>2540.5859800000003</v>
      </c>
    </row>
    <row r="81" spans="2:27">
      <c r="B81" t="s">
        <v>351</v>
      </c>
      <c r="C81" s="64">
        <f t="shared" si="10"/>
        <v>0</v>
      </c>
      <c r="D81" s="4">
        <f t="shared" si="11"/>
        <v>0</v>
      </c>
      <c r="E81" s="65">
        <f>IF(Pricing!AE44="Quoted",,IF(Pricing!E44="",,IF(ISERROR(Pricing!M44*Pricing!N44/1000000),,Pricing!M44*Pricing!N44/1000000)))</f>
        <v>0</v>
      </c>
      <c r="F81" s="62">
        <f>IF(Pricing!AE44="Quoted",,IF(Pricing!J44 = "Silent",$E81*$C$9,0))</f>
        <v>0</v>
      </c>
      <c r="G81" s="62">
        <f>IF(Pricing!AE44="Quoted",IF(Pricing!D44="Tracked",$F$2*H81+$C$11,0),)</f>
        <v>0</v>
      </c>
      <c r="H81" s="103">
        <f t="shared" si="12"/>
        <v>0</v>
      </c>
      <c r="I81" s="62">
        <f t="shared" si="12"/>
        <v>0</v>
      </c>
      <c r="K81" s="27" t="s">
        <v>122</v>
      </c>
      <c r="L81" s="59">
        <f>IF(AND(Pricing!$AE$8="Quoted",Pricing!$E$8=Matrix!$K81),$J14,)</f>
        <v>0</v>
      </c>
      <c r="M81" s="59">
        <f>IF(AND(Pricing!$AE$11="Quoted",Pricing!$E$11=Matrix!K81),$K14,)</f>
        <v>0</v>
      </c>
      <c r="N81" s="59">
        <f>IF(AND(Pricing!$AE$14="Quoted",Pricing!$E$14=Matrix!K81),L14,)</f>
        <v>0</v>
      </c>
      <c r="O81" s="59">
        <f>IF(AND(Pricing!$AE$17="Quoted",Pricing!$E$17=Matrix!K81),M14,)</f>
        <v>0</v>
      </c>
      <c r="P81" s="59">
        <f>IF(AND(Pricing!$AE$20="Quoted",Pricing!$E$20=Matrix!K81),N14,)</f>
        <v>0</v>
      </c>
      <c r="Q81" s="59">
        <f>IF(AND(Pricing!$AE$23="Quoted",Pricing!$E$23=Matrix!K81),O14,)</f>
        <v>0</v>
      </c>
      <c r="R81" s="59">
        <f>IF(AND(Pricing!$AE$26="Quoted",Pricing!$E$26=Matrix!K81),P14,)</f>
        <v>0</v>
      </c>
      <c r="S81" s="59">
        <f>IF(AND(Pricing!$AE$29="Quoted",Pricing!$E$29=Matrix!K81),Q14,)</f>
        <v>0</v>
      </c>
      <c r="T81" s="59">
        <f>IF(AND(Pricing!$AE$32="Quoted",Pricing!$E$32=Matrix!K81),R14,)</f>
        <v>0</v>
      </c>
      <c r="U81" s="59">
        <f>IF(AND(Pricing!$AE$35="Quoted",Pricing!$E$35=Matrix!K81),S14,)</f>
        <v>0</v>
      </c>
      <c r="V81" s="59">
        <f>IF(AND(Pricing!$AE$38="Quoted",Pricing!$E$38=Matrix!K81),T14,)</f>
        <v>0</v>
      </c>
      <c r="W81" s="59">
        <f>IF(AND(Pricing!$AE$41="Quoted",Pricing!$E$41=Matrix!K81),U14,)</f>
        <v>0</v>
      </c>
      <c r="X81" s="59">
        <f>IF(AND(Pricing!$AE$44="Quoted",Pricing!$E$44=Matrix!K81),V14,)</f>
        <v>0</v>
      </c>
      <c r="Y81" s="59">
        <f>IF(AND(Pricing!$AE$47="Quoted",Pricing!$E$47=Matrix!K81),W14,)</f>
        <v>0</v>
      </c>
      <c r="Z81" s="59">
        <f>IF(AND(Pricing!$AE$50="Quoted",Pricing!$E$50=Matrix!K81),X14,)</f>
        <v>0</v>
      </c>
      <c r="AA81" s="55">
        <f t="shared" si="14"/>
        <v>0</v>
      </c>
    </row>
    <row r="82" spans="2:27">
      <c r="B82" t="s">
        <v>353</v>
      </c>
      <c r="C82" s="64">
        <f t="shared" si="10"/>
        <v>0</v>
      </c>
      <c r="D82" s="4">
        <f t="shared" si="11"/>
        <v>0</v>
      </c>
      <c r="E82" s="65">
        <f>IF(Pricing!AE47="Quoted",,IF(Pricing!E47="",,IF(ISERROR(Pricing!M47*Pricing!N47/1000000),,Pricing!M47*Pricing!N47/1000000)))</f>
        <v>0</v>
      </c>
      <c r="F82" s="62">
        <f>IF(Pricing!AE47="Quoted",,IF(Pricing!J47 = "Silent",$E82*$C$9,0))</f>
        <v>0</v>
      </c>
      <c r="G82" s="62">
        <f>IF(Pricing!AE47="Quoted",IF(Pricing!D47="Tracked",$F$2*H82+$C$11,0),)</f>
        <v>0</v>
      </c>
      <c r="H82" s="103">
        <f t="shared" si="12"/>
        <v>0</v>
      </c>
      <c r="I82" s="62">
        <f t="shared" si="12"/>
        <v>0</v>
      </c>
      <c r="K82" s="27" t="s">
        <v>123</v>
      </c>
      <c r="L82" s="59">
        <f>IF(AND(Pricing!$AE$8="Quoted",Pricing!$E$8=Matrix!$K82),$J15,)</f>
        <v>0</v>
      </c>
      <c r="M82" s="59">
        <f>IF(AND(Pricing!$AE$11="Quoted",Pricing!$E$11=Matrix!K82),$L15,)</f>
        <v>0</v>
      </c>
      <c r="N82" s="59">
        <f>IF(AND(Pricing!$AE$14="Quoted",Pricing!$E$14=Matrix!K82),L15,)</f>
        <v>0</v>
      </c>
      <c r="O82" s="59">
        <f>IF(AND(Pricing!$AE$17="Quoted",Pricing!$E$17=Matrix!K82),M15,)</f>
        <v>0</v>
      </c>
      <c r="P82" s="59">
        <f>IF(AND(Pricing!$AE$20="Quoted",Pricing!$E$20=Matrix!K82),N15,)</f>
        <v>0</v>
      </c>
      <c r="Q82" s="59">
        <f>IF(AND(Pricing!$AE$23="Quoted",Pricing!$E$23=Matrix!K82),O15,)</f>
        <v>0</v>
      </c>
      <c r="R82" s="59">
        <f>IF(AND(Pricing!$AE$26="Quoted",Pricing!$E$26=Matrix!K82),P15,)</f>
        <v>0</v>
      </c>
      <c r="S82" s="59">
        <f>IF(AND(Pricing!$AE$29="Quoted",Pricing!$E$29=Matrix!K82),Q15,)</f>
        <v>0</v>
      </c>
      <c r="T82" s="59">
        <f>IF(AND(Pricing!$AE$32="Quoted",Pricing!$E$32=Matrix!K82),R15,)</f>
        <v>0</v>
      </c>
      <c r="U82" s="59">
        <f>IF(AND(Pricing!$AE$35="Quoted",Pricing!$E$35=Matrix!K82),S15,)</f>
        <v>0</v>
      </c>
      <c r="V82" s="59">
        <f>IF(AND(Pricing!$AE$38="Quoted",Pricing!$E$38=Matrix!K82),T15,)</f>
        <v>0</v>
      </c>
      <c r="W82" s="59">
        <f>IF(AND(Pricing!$AE$41="Quoted",Pricing!$E$41=Matrix!K82),U15,)</f>
        <v>0</v>
      </c>
      <c r="X82" s="59">
        <f>IF(AND(Pricing!$AE$44="Quoted",Pricing!$E$44=Matrix!K82),V15,)</f>
        <v>0</v>
      </c>
      <c r="Y82" s="59">
        <f>IF(AND(Pricing!$AE$47="Quoted",Pricing!$E$47=Matrix!K82),W15,)</f>
        <v>0</v>
      </c>
      <c r="Z82" s="59">
        <f>IF(AND(Pricing!$AE$50="Quoted",Pricing!$E$50=Matrix!K82),X15,)</f>
        <v>0</v>
      </c>
      <c r="AA82" s="55">
        <f t="shared" si="14"/>
        <v>0</v>
      </c>
    </row>
    <row r="83" spans="2:27">
      <c r="B83" t="s">
        <v>354</v>
      </c>
      <c r="C83" s="64">
        <f t="shared" si="10"/>
        <v>0</v>
      </c>
      <c r="D83" s="4">
        <f t="shared" si="11"/>
        <v>0</v>
      </c>
      <c r="E83" s="65">
        <f>IF(Pricing!AE50="Quoted",,IF(Pricing!E50="",,IF(ISERROR(Pricing!M50*Pricing!N50/1000000),,Pricing!M50*Pricing!N50/1000000)))</f>
        <v>0</v>
      </c>
      <c r="F83" s="62">
        <f>IF(Pricing!AE50="Quoted",,IF(Pricing!J50 = "Silent",$E83*$C$9,0))</f>
        <v>0</v>
      </c>
      <c r="G83" s="62">
        <f>IF(Pricing!AE50="Quoted",IF(Pricing!D50="Tracked",$F$2*H83+$C$11,0),)</f>
        <v>0</v>
      </c>
      <c r="H83" s="103">
        <f t="shared" si="12"/>
        <v>0</v>
      </c>
      <c r="I83" s="62">
        <f t="shared" si="12"/>
        <v>0</v>
      </c>
      <c r="K83" s="27" t="s">
        <v>124</v>
      </c>
      <c r="L83" s="59">
        <f>IF(AND(Pricing!$AE$8="Quoted",Pricing!$E$8=Matrix!$K83),$J16,)</f>
        <v>0</v>
      </c>
      <c r="M83" s="59">
        <f>IF(AND(Pricing!$AE$11="Quoted",Pricing!$E$11=Matrix!K83),$K16,)</f>
        <v>0</v>
      </c>
      <c r="N83" s="59">
        <f>IF(AND(Pricing!$AE$14="Quoted",Pricing!$E$14=Matrix!K83),L16,)</f>
        <v>0</v>
      </c>
      <c r="O83" s="59">
        <f>IF(AND(Pricing!$AE$17="Quoted",Pricing!$E$17=Matrix!K83),M16,)</f>
        <v>0</v>
      </c>
      <c r="P83" s="59">
        <f>IF(AND(Pricing!$AE$20="Quoted",Pricing!$E$20=Matrix!K83),N16,)</f>
        <v>0</v>
      </c>
      <c r="Q83" s="59">
        <f>IF(AND(Pricing!$AE$23="Quoted",Pricing!$E$23=Matrix!K83),O16,)</f>
        <v>0</v>
      </c>
      <c r="R83" s="59">
        <f>IF(AND(Pricing!$AE$26="Quoted",Pricing!$E$26=Matrix!K83),P16,)</f>
        <v>0</v>
      </c>
      <c r="S83" s="59">
        <f>IF(AND(Pricing!$AE$29="Quoted",Pricing!$E$29=Matrix!K83),Q16,)</f>
        <v>0</v>
      </c>
      <c r="T83" s="59">
        <f>IF(AND(Pricing!$AE$32="Quoted",Pricing!$E$32=Matrix!K83),R16,)</f>
        <v>0</v>
      </c>
      <c r="U83" s="59">
        <f>IF(AND(Pricing!$AE$35="Quoted",Pricing!$E$35=Matrix!K83),S16,)</f>
        <v>0</v>
      </c>
      <c r="V83" s="59">
        <f>IF(AND(Pricing!$AE$38="Quoted",Pricing!$E$38=Matrix!K83),T16,)</f>
        <v>0</v>
      </c>
      <c r="W83" s="59">
        <f>IF(AND(Pricing!$AE$41="Quoted",Pricing!$E$41=Matrix!K83),U16,)</f>
        <v>0</v>
      </c>
      <c r="X83" s="59">
        <f>IF(AND(Pricing!$AE$44="Quoted",Pricing!$E$44=Matrix!K83),V16,)</f>
        <v>0</v>
      </c>
      <c r="Y83" s="59">
        <f>IF(AND(Pricing!$AE$47="Quoted",Pricing!$E$47=Matrix!K83),W16,)</f>
        <v>0</v>
      </c>
      <c r="Z83" s="59">
        <f>IF(AND(Pricing!$AE$50="Quoted",Pricing!$E$50=Matrix!K83),X16,)</f>
        <v>0</v>
      </c>
      <c r="AA83" s="55">
        <f t="shared" si="14"/>
        <v>0</v>
      </c>
    </row>
    <row r="84" spans="2:27">
      <c r="K84" s="27" t="s">
        <v>125</v>
      </c>
      <c r="L84" s="59">
        <f>IF(AND(Pricing!$AE$8="Quoted",Pricing!$E$8=Matrix!$K84),$J17,)</f>
        <v>0</v>
      </c>
      <c r="M84" s="59">
        <f>IF(AND(Pricing!$AE$11="Quoted",Pricing!$E$11=Matrix!K84),$K17,)</f>
        <v>0</v>
      </c>
      <c r="N84" s="59">
        <f>IF(AND(Pricing!$AE$14="Quoted",Pricing!$E$14=Matrix!K84),L17,)</f>
        <v>0</v>
      </c>
      <c r="O84" s="59">
        <f>IF(AND(Pricing!$AE$17="Quoted",Pricing!$E$17=Matrix!K84),M17,)</f>
        <v>0</v>
      </c>
      <c r="P84" s="59">
        <f>IF(AND(Pricing!$AE$20="Quoted",Pricing!$E$20=Matrix!K84),N17,)</f>
        <v>0</v>
      </c>
      <c r="Q84" s="59">
        <f>IF(AND(Pricing!$AE$23="Quoted",Pricing!$E$23=Matrix!K84),O17,)</f>
        <v>0</v>
      </c>
      <c r="R84" s="59">
        <f>IF(AND(Pricing!$AE$26="Quoted",Pricing!$E$26=Matrix!K84),P17,)</f>
        <v>0</v>
      </c>
      <c r="S84" s="59">
        <f>IF(AND(Pricing!$AE$29="Quoted",Pricing!$E$29=Matrix!K84),Q17,)</f>
        <v>0</v>
      </c>
      <c r="T84" s="59">
        <f>IF(AND(Pricing!$AE$32="Quoted",Pricing!$E$32=Matrix!K84),R17,)</f>
        <v>0</v>
      </c>
      <c r="U84" s="59">
        <f>IF(AND(Pricing!$AE$35="Quoted",Pricing!$E$35=Matrix!K84),S17,)</f>
        <v>0</v>
      </c>
      <c r="V84" s="59">
        <f>IF(AND(Pricing!$AE$38="Quoted",Pricing!$E$38=Matrix!K84),T17,)</f>
        <v>0</v>
      </c>
      <c r="W84" s="59">
        <f>IF(AND(Pricing!$AE$41="Quoted",Pricing!$E$41=Matrix!K84),U17,)</f>
        <v>0</v>
      </c>
      <c r="X84" s="59">
        <f>IF(AND(Pricing!$AE$44="Quoted",Pricing!$E$44=Matrix!K84),V17,)</f>
        <v>0</v>
      </c>
      <c r="Y84" s="59">
        <f>IF(AND(Pricing!$AE$47="Quoted",Pricing!$E$47=Matrix!K84),W17,)</f>
        <v>0</v>
      </c>
      <c r="Z84" s="59">
        <f>IF(AND(Pricing!$AE$50="Quoted",Pricing!$E$50=Matrix!K84),X17,)</f>
        <v>0</v>
      </c>
      <c r="AA84" s="55">
        <f t="shared" si="14"/>
        <v>0</v>
      </c>
    </row>
    <row r="85" spans="2:27">
      <c r="B85" s="981" t="s">
        <v>1052</v>
      </c>
      <c r="C85" s="981"/>
      <c r="D85" s="981"/>
      <c r="E85" s="981"/>
      <c r="F85" s="74" t="s">
        <v>78</v>
      </c>
      <c r="G85" s="74" t="s">
        <v>521</v>
      </c>
      <c r="H85" s="74" t="s">
        <v>522</v>
      </c>
      <c r="I85" s="74" t="s">
        <v>425</v>
      </c>
      <c r="J85" s="123" t="s">
        <v>465</v>
      </c>
      <c r="K85" s="27" t="s">
        <v>568</v>
      </c>
      <c r="L85" s="59">
        <f>IF(AND(Pricing!$AE$8="Quoted",Pricing!$E$8=Matrix!$K85),$J18,)</f>
        <v>0</v>
      </c>
      <c r="M85" s="59">
        <f>IF(AND(Pricing!$AE$11="Quoted",Pricing!$E$11=Matrix!K85),$K18,)</f>
        <v>0</v>
      </c>
      <c r="N85" s="59">
        <f>IF(AND(Pricing!$AE$14="Quoted",Pricing!$E$14=Matrix!K85),L18,)</f>
        <v>0</v>
      </c>
      <c r="O85" s="59">
        <f>IF(AND(Pricing!$AE$17="Quoted",Pricing!$E$17=Matrix!K85),M18,)</f>
        <v>0</v>
      </c>
      <c r="P85" s="59">
        <f>IF(AND(Pricing!$AE$20="Quoted",Pricing!$E$20=Matrix!K85),N18,)</f>
        <v>0</v>
      </c>
      <c r="Q85" s="59">
        <f>IF(AND(Pricing!$AE$23="Quoted",Pricing!$E$23=Matrix!K85),O18,)</f>
        <v>0</v>
      </c>
      <c r="R85" s="59">
        <f>IF(AND(Pricing!$AE$26="Quoted",Pricing!$E$26=Matrix!K85),P18,)</f>
        <v>0</v>
      </c>
      <c r="S85" s="59">
        <f>IF(AND(Pricing!$AE$29="Quoted",Pricing!$E$29=Matrix!K85),Q18,)</f>
        <v>0</v>
      </c>
      <c r="T85" s="59">
        <f>IF(AND(Pricing!$AE$32="Quoted",Pricing!$E$32=Matrix!K85),R18,)</f>
        <v>0</v>
      </c>
      <c r="U85" s="59">
        <f>IF(AND(Pricing!$AE$35="Quoted",Pricing!$E$35=Matrix!K85),S18,)</f>
        <v>0</v>
      </c>
      <c r="V85" s="59">
        <f>IF(AND(Pricing!$AE$38="Quoted",Pricing!$E$38=Matrix!K85),T18,)</f>
        <v>0</v>
      </c>
      <c r="W85" s="59">
        <f>IF(AND(Pricing!$AE$41="Quoted",Pricing!$E$41=Matrix!K85),U18,)</f>
        <v>0</v>
      </c>
      <c r="X85" s="59">
        <f>IF(AND(Pricing!$AE$44="Quoted",Pricing!$E$44=Matrix!K85),V18,)</f>
        <v>0</v>
      </c>
      <c r="Y85" s="59">
        <f>IF(AND(Pricing!$AE$47="Quoted",Pricing!$E$47=Matrix!K85),W18,)</f>
        <v>0</v>
      </c>
      <c r="Z85" s="59">
        <f>IF(AND(Pricing!$AE$50="Quoted",Pricing!$E$50=Matrix!K85),X18,)</f>
        <v>0</v>
      </c>
      <c r="AA85" s="55">
        <f t="shared" si="14"/>
        <v>0</v>
      </c>
    </row>
    <row r="86" spans="2:27">
      <c r="B86" t="s">
        <v>331</v>
      </c>
      <c r="E86" s="65">
        <f>IF(Pricing!AE8="Quoted",IF(Pricing!E8="",,IF(ISERROR(Pricing!M8*Pricing!N8/1000000),,Pricing!M8*Pricing!N8/1000000)),)</f>
        <v>0</v>
      </c>
      <c r="F86">
        <f>IF(Pricing!AE8="Quoted",IF(Pricing!D8 = "Silent",E86*$C$9,0),)</f>
        <v>0</v>
      </c>
      <c r="G86" s="55">
        <f>IF(Pricing!AE8="Quoted",IF(Pricing!D8="Tracked",$F$2*E86+$C$11,0),)</f>
        <v>0</v>
      </c>
      <c r="H86">
        <f>IF(Pricing!AE8="Quoted",IF(Pricing!D8="Tracked",CONVERT(Pricing!M8,"mm","m"),),)</f>
        <v>0</v>
      </c>
      <c r="I86" s="55">
        <f>IF(Pricing!AE8="Quoted",E86*$F$3,)</f>
        <v>0</v>
      </c>
    </row>
    <row r="87" spans="2:27">
      <c r="B87" t="s">
        <v>334</v>
      </c>
      <c r="E87" s="65">
        <f>IF(Pricing!D11="Quoted",IF(Pricing!E11="",,IF(ISERROR(Pricing!M11*Pricing!N11/1000000),,Pricing!M11*Pricing!N11/1000000)),)</f>
        <v>0</v>
      </c>
      <c r="F87">
        <f>IF(Pricing!AE11="Quoted",IF(Pricing!D11 = "Silent",E87*$C$9,0),)</f>
        <v>0</v>
      </c>
      <c r="G87" s="55">
        <f>IF(Pricing!AE11="Quoted",IF(Pricing!D11="Tracked",$F$2*E87+$C$11,0),)</f>
        <v>0</v>
      </c>
      <c r="H87">
        <f>IF(Pricing!AE11="Quoted",IF(Pricing!D11="Tracked",CONVERT(Pricing!M11,"mm","m"),),)</f>
        <v>0</v>
      </c>
      <c r="I87" s="55">
        <f>IF(Pricing!A11="Quoted",E87*$F$3,)</f>
        <v>0</v>
      </c>
    </row>
    <row r="88" spans="2:27">
      <c r="B88" t="s">
        <v>336</v>
      </c>
      <c r="E88" s="65">
        <f>IF(Pricing!AE14="Quoted",IF(Pricing!E14="",,IF(ISERROR(Pricing!M14*Pricing!N14/1000000),,Pricing!M14*Pricing!N14/1000000)),)</f>
        <v>0</v>
      </c>
      <c r="F88">
        <f>IF(Pricing!AE14="Quoted",IF(Pricing!D14 = "Silent",E88*$C$9,0),)</f>
        <v>0</v>
      </c>
      <c r="G88" s="55">
        <f>IF(Pricing!AE14="Quoted",IF(Pricing!D14="Tracked",$F$2*E88+$C$11,0),)</f>
        <v>0</v>
      </c>
      <c r="H88">
        <f>IF(Pricing!AE14="Quoted",IF(Pricing!D14="Tracked",CONVERT(Pricing!M14,"mm","m"),),)</f>
        <v>0</v>
      </c>
      <c r="I88" s="55">
        <f>IF(Pricing!AE14="Quoted",E88*$F$3,)</f>
        <v>0</v>
      </c>
    </row>
    <row r="89" spans="2:27">
      <c r="B89" t="s">
        <v>338</v>
      </c>
      <c r="E89" s="65">
        <f>IF(Pricing!AE17="Quoted",IF(Pricing!E17="",,IF(ISERROR(Pricing!M17*Pricing!N17/1000000),,Pricing!M17*Pricing!N17/1000000)),)</f>
        <v>0</v>
      </c>
      <c r="F89">
        <f>IF(Pricing!AE17="Quoted",IF(Pricing!D17 = "Silent",E89*$C$9,0),)</f>
        <v>0</v>
      </c>
      <c r="G89" s="55">
        <f>IF(Pricing!AE17="Quoted",IF(Pricing!D17="Tracked",$F$2*E89+$C$11,0),)</f>
        <v>0</v>
      </c>
      <c r="H89">
        <f>IF(Pricing!AE17="Quoted",IF(Pricing!D17="Tracked",CONVERT(Pricing!M17,"mm","m"),),)</f>
        <v>0</v>
      </c>
      <c r="I89" s="55">
        <f>IF(Pricing!AE17="Quoted",E89*$F$3,)</f>
        <v>0</v>
      </c>
    </row>
    <row r="90" spans="2:27">
      <c r="B90" t="s">
        <v>339</v>
      </c>
      <c r="E90" s="65">
        <f>IF(Pricing!AE20="Quoted",IF(Pricing!E20="",,IF(ISERROR(Pricing!M20*Pricing!N20/1000000),,Pricing!M20*Pricing!N20/1000000)),)</f>
        <v>0</v>
      </c>
      <c r="F90">
        <f>IF(Pricing!AE20="Quoted",IF(Pricing!D20 = "Silent",E90*$C$9,0),)</f>
        <v>0</v>
      </c>
      <c r="G90" s="55">
        <f>IF(Pricing!AE20="Quoted",IF(Pricing!D20="Tracked",$F$2*E90+$C$11,0),)</f>
        <v>0</v>
      </c>
      <c r="H90">
        <f>IF(Pricing!AE20="Quoted",IF(Pricing!D20="Tracked",CONVERT(Pricing!M20,"mm","m"),),)</f>
        <v>0</v>
      </c>
      <c r="I90" s="55">
        <f>IF(Pricing!AE20="Quoted",E90*$F$3,)</f>
        <v>0</v>
      </c>
    </row>
    <row r="91" spans="2:27">
      <c r="B91" t="s">
        <v>341</v>
      </c>
      <c r="E91" s="65">
        <f>IF(Pricing!AE23="Quoted",IF(Pricing!E23="",,IF(ISERROR(Pricing!M23*Pricing!N23/1000000),,Pricing!M23*Pricing!N23/1000000)),)</f>
        <v>0</v>
      </c>
      <c r="F91">
        <f>IF(Pricing!AE23="Quoted",IF(Pricing!D23 = "Silent",E91*$C$9,0),)</f>
        <v>0</v>
      </c>
      <c r="G91" s="55">
        <f>IF(Pricing!AE23="Quoted",IF(Pricing!D23="Tracked",$F$2*E91+$C$11,0),)</f>
        <v>0</v>
      </c>
      <c r="H91">
        <f>IF(Pricing!AE23="Quoted",IF(Pricing!D23="Tracked",CONVERT(Pricing!M23,"mm","m"),),)</f>
        <v>0</v>
      </c>
      <c r="I91" s="55">
        <f>IF(Pricing!AE23="Quoted",E91*$F$3,)</f>
        <v>0</v>
      </c>
    </row>
    <row r="92" spans="2:27">
      <c r="B92" t="s">
        <v>342</v>
      </c>
      <c r="E92" s="65">
        <f>IF(Pricing!AE26="Quoted",IF(Pricing!E26="",,IF(ISERROR(Pricing!M26*Pricing!N26/1000000),,Pricing!M26*Pricing!N26/1000000)),)</f>
        <v>0</v>
      </c>
      <c r="F92">
        <f>IF(Pricing!AE26="Quoted",IF(Pricing!D26 = "Silent",E92*$C$9,0),)</f>
        <v>0</v>
      </c>
      <c r="G92" s="55">
        <f>IF(Pricing!AE26="Quoted",IF(Pricing!D26="Tracked",$F$2*E92+$C$11,0),)</f>
        <v>0</v>
      </c>
      <c r="H92">
        <f>IF(Pricing!AE26="Quoted",IF(Pricing!D26="Tracked",CONVERT(Pricing!M26,"mm","m"),),)</f>
        <v>0</v>
      </c>
      <c r="I92" s="55">
        <f>IF(Pricing!AE26="Quoted",E92*$F$3,)</f>
        <v>0</v>
      </c>
    </row>
    <row r="93" spans="2:27">
      <c r="B93" t="s">
        <v>343</v>
      </c>
      <c r="E93" s="65">
        <f>IF(Pricing!AE29="Quoted",IF(Pricing!E29="",IF(ISERROR(Pricing!M29*Pricing!N29/1000000),,Pricing!M29*Pricing!N29/1000000)),)</f>
        <v>0</v>
      </c>
      <c r="F93">
        <f>IF(Pricing!AE29="Quoted",IF(Pricing!D29 = "Silent",E93*$C$9,0),)</f>
        <v>0</v>
      </c>
      <c r="G93" s="55">
        <f>IF(Pricing!AE29="Quoted",IF(Pricing!D29="Tracked",$F$2*E93+$C$11,0),)</f>
        <v>0</v>
      </c>
      <c r="H93">
        <f>IF(Pricing!AE29="Quoted",IF(Pricing!D29="Tracked",CONVERT(Pricing!M29,"mm","m"),),)</f>
        <v>0</v>
      </c>
      <c r="I93" s="55">
        <f>IF(Pricing!AE29="Quoted",E93*$F$3,)</f>
        <v>0</v>
      </c>
    </row>
    <row r="94" spans="2:27">
      <c r="B94" t="s">
        <v>344</v>
      </c>
      <c r="E94" s="65">
        <f>IF(Pricing!AE32="Quoted",IF(Pricing!E32="",,IF(ISERROR(Pricing!M32*Pricing!N32/1000000),,Pricing!M32*Pricing!N32/1000000)),)</f>
        <v>0</v>
      </c>
      <c r="F94">
        <f>IF(Pricing!AE32="Quoted",IF(Pricing!D32 = "Silent",E94*$C$9,0),)</f>
        <v>0</v>
      </c>
      <c r="G94" s="55">
        <f>IF(Pricing!AE32="Quoted",IF(Pricing!D32="Tracked",$F$2*E94+$C$11,0),)</f>
        <v>0</v>
      </c>
      <c r="H94">
        <f>IF(Pricing!AE32="Quoted",IF(Pricing!D32="Tracked",CONVERT(Pricing!M32,"mm","m"),),)</f>
        <v>0</v>
      </c>
      <c r="I94" s="55">
        <f>IF(Pricing!AE32="Quoted",E94*$F$3,)</f>
        <v>0</v>
      </c>
    </row>
    <row r="95" spans="2:27">
      <c r="B95" t="s">
        <v>346</v>
      </c>
      <c r="E95" s="65">
        <f>IF(Pricing!AE35="Quoted",IF(Pricing!E35="",,IF(ISERROR(Pricing!M35*Pricing!N35/1000000),,Pricing!M35*Pricing!N35/1000000)),)</f>
        <v>0</v>
      </c>
      <c r="F95">
        <f>IF(Pricing!AE35="Quoted",IF(Pricing!D35 = "Silent",E95*$C$9,0),)</f>
        <v>0</v>
      </c>
      <c r="G95" s="55">
        <f>IF(Pricing!AE35="Quoted",IF(Pricing!D35="Tracked",$F$2*E95+$C$11,0),)</f>
        <v>0</v>
      </c>
      <c r="H95">
        <f>IF(Pricing!AE35="Quoted",IF(Pricing!D35="Tracked",CONVERT(Pricing!M35,"mm","m"),),)</f>
        <v>0</v>
      </c>
      <c r="I95" s="55">
        <f>IF(Pricing!AE35="Quoted",E95*$F$3,)</f>
        <v>0</v>
      </c>
    </row>
    <row r="96" spans="2:27">
      <c r="B96" t="s">
        <v>348</v>
      </c>
      <c r="E96" s="65">
        <f>IF(Pricing!AE38="Quoted",IF(Pricing!E38="",,IF(ISERROR(Pricing!M38*Pricing!N38/1000000),,Pricing!M38*Pricing!N38/1000000)),)</f>
        <v>0</v>
      </c>
      <c r="F96">
        <f>IF(Pricing!AE38="Quoted",IF(Pricing!D38= "Silent",E96*$C$9,0),)</f>
        <v>0</v>
      </c>
      <c r="G96" s="55">
        <f>IF(Pricing!AE38="Quoted",IF(Pricing!D38="Tracked",$F$2*E96+$C$11,0),)</f>
        <v>0</v>
      </c>
      <c r="H96">
        <f>IF(Pricing!AE38="Quoted",IF(Pricing!D38="Tracked",CONVERT(Pricing!M38,"mm","m"),),)</f>
        <v>0</v>
      </c>
      <c r="I96" s="55">
        <f>IF(Pricing!AE38="Quoted",E96*$F$3,)</f>
        <v>0</v>
      </c>
    </row>
    <row r="97" spans="2:9">
      <c r="B97" t="s">
        <v>350</v>
      </c>
      <c r="E97" s="65">
        <f>IF(Pricing!AE41="Quoted",IF(Pricing!E41="",,IF(ISERROR(Pricing!M41*Pricing!N41/1000000),,Pricing!M41*Pricing!N41/1000000)),)</f>
        <v>0</v>
      </c>
      <c r="F97">
        <f>IF(Pricing!AE41="Quoted",IF(Pricing!D41 = "Silent",E97*$C$9,0),)</f>
        <v>0</v>
      </c>
      <c r="G97" s="55">
        <f>IF(Pricing!AE41="Quoted",IF(Pricing!D41="Tracked",$F$2*E97+$C$11,0),)</f>
        <v>0</v>
      </c>
      <c r="H97">
        <f>IF(Pricing!AE41="Quoted",IF(Pricing!D41="Tracked",CONVERT(Pricing!M41,"mm","m"),),)</f>
        <v>0</v>
      </c>
      <c r="I97" s="55">
        <f>IF(Pricing!AE41="Quoted",E97*$F$3,)</f>
        <v>0</v>
      </c>
    </row>
    <row r="98" spans="2:9">
      <c r="B98" t="s">
        <v>351</v>
      </c>
      <c r="E98" s="65">
        <f>IF(Pricing!AE44="Quoted",IF(Pricing!E44="",,IF(ISERROR(Pricing!M44*Pricing!N44/1000000),,Pricing!M44*Pricing!N44/1000000)),)</f>
        <v>0</v>
      </c>
      <c r="F98">
        <f>IF(Pricing!AE44="Quoted",IF(Pricing!D44 = "Silent",E98*$C$9,0),)</f>
        <v>0</v>
      </c>
      <c r="G98" s="55">
        <f>IF(Pricing!AE44="Quoted",IF(Pricing!D44="Tracked",$F$2*E98+$C$11,0),)</f>
        <v>0</v>
      </c>
      <c r="H98">
        <f>IF(Pricing!AE44="Quoted",IF(Pricing!D44="Tracked",CONVERT(Pricing!M44,"mm","m"),),)</f>
        <v>0</v>
      </c>
      <c r="I98" s="55">
        <f>IF(Pricing!AE44="Quoted",E98*$F$3,)</f>
        <v>0</v>
      </c>
    </row>
    <row r="99" spans="2:9">
      <c r="B99" t="s">
        <v>353</v>
      </c>
      <c r="E99" s="65">
        <f>IF(Pricing!AE47="Quoted",IF(Pricing!E47="",,IF(ISERROR(Pricing!M47*Pricing!N47/1000000),,Pricing!M47*Pricing!N47/1000000)),)</f>
        <v>0</v>
      </c>
      <c r="F99">
        <f>IF(Pricing!AE47="Quoted",IF(Pricing!D47 = "Silent",E99*$C$9,0),)</f>
        <v>0</v>
      </c>
      <c r="G99" s="55">
        <f>IF(Pricing!AE47="Quoted",IF(Pricing!D47="Tracked",$F$2*E99+$C$11,0),)</f>
        <v>0</v>
      </c>
      <c r="H99">
        <f>IF(Pricing!AE47="Quoted",IF(Pricing!D47="Tracked",CONVERT(Pricing!M47,"mm","m"),),)</f>
        <v>0</v>
      </c>
      <c r="I99" s="55">
        <f>IF(Pricing!AE47="Quoted",E99*$F$3,)</f>
        <v>0</v>
      </c>
    </row>
    <row r="100" spans="2:9">
      <c r="B100" t="s">
        <v>354</v>
      </c>
      <c r="E100" s="65">
        <f>IF(Pricing!AE50="Quoted",IF(Pricing!E50="",,IF(ISERROR(Pricing!M50*Pricing!N50/1000000),,Pricing!M50*Pricing!N50/1000000)),)</f>
        <v>0</v>
      </c>
      <c r="F100">
        <f>IF(Pricing!AE50="Quoted",IF(Pricing!D50 = "Silent",E100*$C$9,0),)</f>
        <v>0</v>
      </c>
      <c r="G100" s="55">
        <f>IF(Pricing!AE50="Quoted",IF(Pricing!D50="Tracked",$F$2*E100+$C$11,0),)</f>
        <v>0</v>
      </c>
      <c r="H100">
        <f>IF(Pricing!AE50="Quoted",IF(Pricing!D50="Tracked",CONVERT(Pricing!M50,"mm","m"),),)</f>
        <v>0</v>
      </c>
      <c r="I100" s="55">
        <f>IF(Pricing!AE50="Quoted",E100*$F$3,)</f>
        <v>0</v>
      </c>
    </row>
  </sheetData>
  <mergeCells count="129">
    <mergeCell ref="K78:AA78"/>
    <mergeCell ref="B85:E85"/>
    <mergeCell ref="AD44:AE44"/>
    <mergeCell ref="AF44:AH44"/>
    <mergeCell ref="K48:AA48"/>
    <mergeCell ref="K58:AA58"/>
    <mergeCell ref="C67:J67"/>
    <mergeCell ref="K67:AA67"/>
    <mergeCell ref="AD41:AE41"/>
    <mergeCell ref="AF41:AH41"/>
    <mergeCell ref="AD42:AE42"/>
    <mergeCell ref="AF42:AH42"/>
    <mergeCell ref="AD43:AE43"/>
    <mergeCell ref="AF43:AH43"/>
    <mergeCell ref="AD39:AE39"/>
    <mergeCell ref="AF39:AH39"/>
    <mergeCell ref="AN39:AO39"/>
    <mergeCell ref="AP39:AR39"/>
    <mergeCell ref="AD40:AE40"/>
    <mergeCell ref="AF40:AH40"/>
    <mergeCell ref="AN40:AO40"/>
    <mergeCell ref="C37:Z37"/>
    <mergeCell ref="AD37:AE37"/>
    <mergeCell ref="AF37:AH37"/>
    <mergeCell ref="AN37:AO37"/>
    <mergeCell ref="AP37:AR37"/>
    <mergeCell ref="AD38:AE38"/>
    <mergeCell ref="AF38:AH38"/>
    <mergeCell ref="AN38:AO38"/>
    <mergeCell ref="AD35:AE35"/>
    <mergeCell ref="AF35:AH35"/>
    <mergeCell ref="AN35:AO35"/>
    <mergeCell ref="AP35:AR35"/>
    <mergeCell ref="AD36:AE36"/>
    <mergeCell ref="AF36:AH36"/>
    <mergeCell ref="AN36:AO36"/>
    <mergeCell ref="AD33:AE33"/>
    <mergeCell ref="AF33:AH33"/>
    <mergeCell ref="AN33:AO33"/>
    <mergeCell ref="AP33:AR33"/>
    <mergeCell ref="AD34:AE34"/>
    <mergeCell ref="AF34:AH34"/>
    <mergeCell ref="AN34:AO34"/>
    <mergeCell ref="AD31:AE31"/>
    <mergeCell ref="AF31:AH31"/>
    <mergeCell ref="AN31:AO31"/>
    <mergeCell ref="AP31:AR31"/>
    <mergeCell ref="AD32:AE32"/>
    <mergeCell ref="AF32:AH32"/>
    <mergeCell ref="AN32:AO32"/>
    <mergeCell ref="AN27:AO27"/>
    <mergeCell ref="AP27:AR27"/>
    <mergeCell ref="AN28:AO28"/>
    <mergeCell ref="AN29:AO29"/>
    <mergeCell ref="AP29:AR29"/>
    <mergeCell ref="AD30:AE30"/>
    <mergeCell ref="AF30:AH30"/>
    <mergeCell ref="AN30:AO30"/>
    <mergeCell ref="AD25:AE25"/>
    <mergeCell ref="AF25:AH25"/>
    <mergeCell ref="AN25:AO25"/>
    <mergeCell ref="AP25:AR25"/>
    <mergeCell ref="AN26:AO26"/>
    <mergeCell ref="AP26:AR26"/>
    <mergeCell ref="AD23:AE23"/>
    <mergeCell ref="AF23:AH23"/>
    <mergeCell ref="AN23:AO23"/>
    <mergeCell ref="AP23:AR23"/>
    <mergeCell ref="AD24:AE24"/>
    <mergeCell ref="AF24:AH24"/>
    <mergeCell ref="AN24:AO24"/>
    <mergeCell ref="AP24:AR24"/>
    <mergeCell ref="AD21:AE21"/>
    <mergeCell ref="AF21:AH21"/>
    <mergeCell ref="AN21:AO21"/>
    <mergeCell ref="AP21:AR21"/>
    <mergeCell ref="AD22:AE22"/>
    <mergeCell ref="AF22:AH22"/>
    <mergeCell ref="AN22:AO22"/>
    <mergeCell ref="AP22:AR22"/>
    <mergeCell ref="AD19:AE19"/>
    <mergeCell ref="AF19:AH19"/>
    <mergeCell ref="AN19:AO19"/>
    <mergeCell ref="AP19:AR19"/>
    <mergeCell ref="AD20:AE20"/>
    <mergeCell ref="AF20:AH20"/>
    <mergeCell ref="AN20:AO20"/>
    <mergeCell ref="AP20:AR20"/>
    <mergeCell ref="AA17:AB17"/>
    <mergeCell ref="AD17:AE17"/>
    <mergeCell ref="AF17:AH17"/>
    <mergeCell ref="AN17:AO17"/>
    <mergeCell ref="AP17:AR17"/>
    <mergeCell ref="AD18:AE18"/>
    <mergeCell ref="AF18:AH18"/>
    <mergeCell ref="AN18:AO18"/>
    <mergeCell ref="AP18:AR18"/>
    <mergeCell ref="AA15:AB15"/>
    <mergeCell ref="AD15:AE15"/>
    <mergeCell ref="AF15:AH15"/>
    <mergeCell ref="AN15:AO15"/>
    <mergeCell ref="AP15:AR15"/>
    <mergeCell ref="AA16:AB16"/>
    <mergeCell ref="AD16:AE16"/>
    <mergeCell ref="AF16:AH16"/>
    <mergeCell ref="AN16:AO16"/>
    <mergeCell ref="AP16:AR16"/>
    <mergeCell ref="AA13:AB13"/>
    <mergeCell ref="AD13:AE13"/>
    <mergeCell ref="AF13:AH13"/>
    <mergeCell ref="AN13:AO13"/>
    <mergeCell ref="AP13:AR13"/>
    <mergeCell ref="AA14:AB14"/>
    <mergeCell ref="AD14:AE14"/>
    <mergeCell ref="AF14:AH14"/>
    <mergeCell ref="AN14:AO14"/>
    <mergeCell ref="AP14:AR14"/>
    <mergeCell ref="AP11:AR11"/>
    <mergeCell ref="AA12:AB12"/>
    <mergeCell ref="AD12:AE12"/>
    <mergeCell ref="AF12:AH12"/>
    <mergeCell ref="AN12:AO12"/>
    <mergeCell ref="AP12:AR12"/>
    <mergeCell ref="I2:X2"/>
    <mergeCell ref="I11:X11"/>
    <mergeCell ref="AA11:AB11"/>
    <mergeCell ref="AD11:AE11"/>
    <mergeCell ref="AF11:AH11"/>
    <mergeCell ref="AN11:AO11"/>
  </mergeCells>
  <conditionalFormatting sqref="L46:AA46">
    <cfRule type="cellIs" dxfId="15" priority="2" operator="greaterThan">
      <formula>0</formula>
    </cfRule>
  </conditionalFormatting>
  <conditionalFormatting sqref="L76:AA76">
    <cfRule type="cellIs" dxfId="14" priority="1" operator="greaterThan">
      <formula>0</formula>
    </cfRule>
  </conditionalFormatting>
  <pageMargins left="0.7" right="0.7" top="0.75" bottom="0.75" header="0.3" footer="0.3"/>
  <pageSetup paperSize="9" orientation="portrait" horizontalDpi="4294967293" verticalDpi="4294967293"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814F89-9E29-429D-B4E2-2E0029F9D086}">
  <sheetPr codeName="Sheet111"/>
  <dimension ref="A1:W6"/>
  <sheetViews>
    <sheetView topLeftCell="F1" workbookViewId="0">
      <selection activeCell="R3" sqref="R3"/>
    </sheetView>
  </sheetViews>
  <sheetFormatPr defaultRowHeight="14.45"/>
  <cols>
    <col min="1" max="1" width="13.28515625" customWidth="1"/>
    <col min="2" max="2" width="12.7109375" customWidth="1"/>
    <col min="3" max="3" width="18.7109375" customWidth="1"/>
    <col min="4" max="4" width="27.42578125" bestFit="1" customWidth="1"/>
    <col min="5" max="5" width="21.7109375" customWidth="1"/>
    <col min="6" max="6" width="20.28515625" customWidth="1"/>
    <col min="7" max="7" width="16" bestFit="1" customWidth="1"/>
    <col min="8" max="8" width="13.28515625" customWidth="1"/>
    <col min="9" max="9" width="18.140625" customWidth="1"/>
    <col min="10" max="10" width="10.7109375" customWidth="1"/>
    <col min="11" max="11" width="18.7109375" customWidth="1"/>
    <col min="15" max="15" width="14.7109375" bestFit="1" customWidth="1"/>
    <col min="16" max="16" width="13.42578125" bestFit="1" customWidth="1"/>
    <col min="17" max="17" width="18.28515625" style="4" bestFit="1" customWidth="1"/>
    <col min="18" max="18" width="14.7109375" bestFit="1" customWidth="1"/>
    <col min="19" max="19" width="17.28515625" style="4" bestFit="1" customWidth="1"/>
    <col min="20" max="20" width="15.85546875" bestFit="1" customWidth="1"/>
    <col min="23" max="23" width="16.7109375" bestFit="1" customWidth="1"/>
  </cols>
  <sheetData>
    <row r="1" spans="1:23">
      <c r="A1" t="s">
        <v>667</v>
      </c>
      <c r="B1" t="s">
        <v>1053</v>
      </c>
      <c r="C1" t="s">
        <v>1054</v>
      </c>
      <c r="D1" t="s">
        <v>1055</v>
      </c>
      <c r="E1" t="s">
        <v>1056</v>
      </c>
      <c r="F1" t="s">
        <v>1057</v>
      </c>
      <c r="G1" t="s">
        <v>1058</v>
      </c>
      <c r="H1" t="s">
        <v>1059</v>
      </c>
      <c r="I1" t="s">
        <v>1060</v>
      </c>
      <c r="J1" t="s">
        <v>3</v>
      </c>
      <c r="K1" t="s">
        <v>923</v>
      </c>
      <c r="L1" t="s">
        <v>170</v>
      </c>
      <c r="M1" t="s">
        <v>924</v>
      </c>
      <c r="N1" t="s">
        <v>171</v>
      </c>
      <c r="O1" t="s">
        <v>1061</v>
      </c>
      <c r="P1" t="s">
        <v>1062</v>
      </c>
      <c r="Q1" s="4" t="s">
        <v>1063</v>
      </c>
      <c r="R1" t="s">
        <v>926</v>
      </c>
      <c r="S1" s="4" t="s">
        <v>1064</v>
      </c>
      <c r="T1" t="s">
        <v>1065</v>
      </c>
      <c r="U1" t="s">
        <v>1066</v>
      </c>
      <c r="V1" t="s">
        <v>1067</v>
      </c>
      <c r="W1" t="s">
        <v>658</v>
      </c>
    </row>
    <row r="2" spans="1:23">
      <c r="A2" t="s">
        <v>1068</v>
      </c>
      <c r="B2" t="s">
        <v>1069</v>
      </c>
      <c r="C2" t="s">
        <v>1070</v>
      </c>
      <c r="D2" t="s">
        <v>1070</v>
      </c>
      <c r="E2" t="s">
        <v>1071</v>
      </c>
      <c r="F2" t="s">
        <v>1072</v>
      </c>
      <c r="G2" t="s">
        <v>1073</v>
      </c>
      <c r="H2" t="s">
        <v>1074</v>
      </c>
      <c r="I2" t="s">
        <v>1075</v>
      </c>
      <c r="J2" t="s">
        <v>961</v>
      </c>
      <c r="K2" t="s">
        <v>1076</v>
      </c>
      <c r="L2" t="s">
        <v>33</v>
      </c>
      <c r="M2" t="s">
        <v>33</v>
      </c>
      <c r="N2" t="s">
        <v>23</v>
      </c>
      <c r="O2" t="s">
        <v>1077</v>
      </c>
      <c r="P2" t="s">
        <v>23</v>
      </c>
      <c r="Q2" s="124" t="s">
        <v>1078</v>
      </c>
      <c r="R2" s="125" t="s">
        <v>164</v>
      </c>
      <c r="S2" s="4" t="s">
        <v>164</v>
      </c>
      <c r="T2" s="4" t="s">
        <v>164</v>
      </c>
      <c r="U2" t="s">
        <v>1079</v>
      </c>
      <c r="V2">
        <v>76.2</v>
      </c>
    </row>
    <row r="3" spans="1:23">
      <c r="A3" t="s">
        <v>1080</v>
      </c>
      <c r="B3" t="s">
        <v>1069</v>
      </c>
      <c r="C3" t="s">
        <v>1081</v>
      </c>
      <c r="D3" t="s">
        <v>1070</v>
      </c>
      <c r="E3" t="s">
        <v>1071</v>
      </c>
      <c r="F3" t="s">
        <v>1072</v>
      </c>
      <c r="G3" t="s">
        <v>1073</v>
      </c>
      <c r="H3" t="s">
        <v>1074</v>
      </c>
      <c r="I3" t="s">
        <v>1075</v>
      </c>
      <c r="J3" t="s">
        <v>961</v>
      </c>
      <c r="K3" t="s">
        <v>1076</v>
      </c>
      <c r="L3" t="s">
        <v>33</v>
      </c>
      <c r="M3" t="s">
        <v>33</v>
      </c>
      <c r="N3" t="s">
        <v>23</v>
      </c>
      <c r="O3" t="s">
        <v>1077</v>
      </c>
      <c r="P3" t="s">
        <v>23</v>
      </c>
      <c r="Q3" s="124" t="s">
        <v>1082</v>
      </c>
      <c r="R3" s="125" t="s">
        <v>1083</v>
      </c>
      <c r="S3" s="4">
        <v>24</v>
      </c>
      <c r="T3" s="4" t="s">
        <v>164</v>
      </c>
      <c r="U3" t="s">
        <v>1079</v>
      </c>
      <c r="V3">
        <v>76.2</v>
      </c>
    </row>
    <row r="4" spans="1:23">
      <c r="A4" t="s">
        <v>1084</v>
      </c>
      <c r="B4" t="s">
        <v>1069</v>
      </c>
      <c r="C4" t="s">
        <v>1081</v>
      </c>
      <c r="D4" t="s">
        <v>1070</v>
      </c>
      <c r="E4" t="s">
        <v>1071</v>
      </c>
      <c r="F4" t="s">
        <v>1072</v>
      </c>
      <c r="G4" t="s">
        <v>1073</v>
      </c>
      <c r="H4" t="s">
        <v>1074</v>
      </c>
      <c r="I4" t="s">
        <v>1075</v>
      </c>
      <c r="J4" t="s">
        <v>961</v>
      </c>
      <c r="K4" t="s">
        <v>1076</v>
      </c>
      <c r="L4" t="s">
        <v>33</v>
      </c>
      <c r="M4" t="s">
        <v>33</v>
      </c>
      <c r="N4" t="s">
        <v>23</v>
      </c>
      <c r="O4" t="s">
        <v>1077</v>
      </c>
      <c r="P4" t="s">
        <v>23</v>
      </c>
      <c r="Q4" s="124" t="s">
        <v>1085</v>
      </c>
      <c r="R4" s="125" t="s">
        <v>1083</v>
      </c>
      <c r="S4" s="4">
        <v>19</v>
      </c>
      <c r="T4" s="4" t="s">
        <v>164</v>
      </c>
      <c r="U4" t="s">
        <v>1079</v>
      </c>
      <c r="V4">
        <v>76.2</v>
      </c>
    </row>
    <row r="5" spans="1:23">
      <c r="A5" t="s">
        <v>1086</v>
      </c>
      <c r="B5" t="s">
        <v>1069</v>
      </c>
      <c r="C5" t="s">
        <v>1081</v>
      </c>
      <c r="D5" t="s">
        <v>1070</v>
      </c>
      <c r="E5" t="s">
        <v>1071</v>
      </c>
      <c r="F5" t="s">
        <v>1072</v>
      </c>
      <c r="G5" t="s">
        <v>1073</v>
      </c>
      <c r="H5" t="s">
        <v>1074</v>
      </c>
      <c r="I5" t="s">
        <v>1075</v>
      </c>
      <c r="J5" t="s">
        <v>961</v>
      </c>
      <c r="K5" t="s">
        <v>1076</v>
      </c>
      <c r="L5" t="s">
        <v>33</v>
      </c>
      <c r="M5" t="s">
        <v>33</v>
      </c>
      <c r="N5" t="s">
        <v>23</v>
      </c>
      <c r="O5" t="s">
        <v>1077</v>
      </c>
      <c r="P5" t="s">
        <v>23</v>
      </c>
      <c r="Q5" s="124" t="s">
        <v>1087</v>
      </c>
      <c r="R5" s="125" t="s">
        <v>1088</v>
      </c>
      <c r="S5" s="4">
        <v>16</v>
      </c>
      <c r="T5" s="4" t="s">
        <v>164</v>
      </c>
      <c r="U5" t="s">
        <v>1079</v>
      </c>
      <c r="V5">
        <v>76.2</v>
      </c>
    </row>
    <row r="6" spans="1:23">
      <c r="A6" t="s">
        <v>1089</v>
      </c>
      <c r="B6" t="s">
        <v>1069</v>
      </c>
      <c r="C6" t="s">
        <v>1081</v>
      </c>
      <c r="D6" t="s">
        <v>1070</v>
      </c>
      <c r="E6" t="s">
        <v>1071</v>
      </c>
      <c r="F6" t="s">
        <v>1072</v>
      </c>
      <c r="G6" t="s">
        <v>1073</v>
      </c>
      <c r="H6" t="s">
        <v>1074</v>
      </c>
      <c r="I6" t="s">
        <v>1075</v>
      </c>
      <c r="J6" t="s">
        <v>961</v>
      </c>
      <c r="K6" t="s">
        <v>1076</v>
      </c>
      <c r="L6" t="s">
        <v>33</v>
      </c>
      <c r="M6" t="s">
        <v>33</v>
      </c>
      <c r="N6" t="s">
        <v>23</v>
      </c>
      <c r="O6" t="s">
        <v>1077</v>
      </c>
      <c r="P6" t="s">
        <v>23</v>
      </c>
      <c r="Q6" s="124" t="s">
        <v>1090</v>
      </c>
      <c r="R6" s="125" t="s">
        <v>1088</v>
      </c>
      <c r="S6" s="4">
        <v>12</v>
      </c>
      <c r="T6" s="4" t="s">
        <v>164</v>
      </c>
      <c r="U6" t="s">
        <v>1079</v>
      </c>
      <c r="V6">
        <v>76.2</v>
      </c>
    </row>
  </sheetData>
  <pageMargins left="0.7" right="0.7" top="0.75" bottom="0.75" header="0.3" footer="0.3"/>
  <tableParts count="1">
    <tablePart r:id="rId1"/>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E7F21E-A50C-4C71-B63A-A451A2FA4D9A}">
  <sheetPr codeName="Sheet12"/>
  <dimension ref="A1:V6"/>
  <sheetViews>
    <sheetView topLeftCell="H1" workbookViewId="0">
      <selection activeCell="U2" sqref="U2"/>
    </sheetView>
  </sheetViews>
  <sheetFormatPr defaultRowHeight="14.45"/>
  <cols>
    <col min="1" max="1" width="13.28515625" customWidth="1"/>
    <col min="2" max="2" width="12.7109375" customWidth="1"/>
    <col min="3" max="3" width="18.7109375" customWidth="1"/>
    <col min="4" max="4" width="18.140625" customWidth="1"/>
    <col min="5" max="5" width="21.7109375" customWidth="1"/>
    <col min="6" max="6" width="20.28515625" customWidth="1"/>
    <col min="7" max="7" width="16" bestFit="1" customWidth="1"/>
    <col min="8" max="8" width="13.28515625" customWidth="1"/>
    <col min="9" max="9" width="18.140625" customWidth="1"/>
    <col min="10" max="10" width="10.7109375" customWidth="1"/>
    <col min="11" max="11" width="18.7109375" style="4" customWidth="1"/>
    <col min="15" max="15" width="14.7109375" bestFit="1" customWidth="1"/>
    <col min="16" max="16" width="13.42578125" bestFit="1" customWidth="1"/>
    <col min="17" max="17" width="18.28515625" style="4" bestFit="1" customWidth="1"/>
    <col min="18" max="18" width="14.7109375" bestFit="1" customWidth="1"/>
    <col min="19" max="19" width="17.28515625" style="4" bestFit="1" customWidth="1"/>
  </cols>
  <sheetData>
    <row r="1" spans="1:22">
      <c r="A1" t="s">
        <v>667</v>
      </c>
      <c r="B1" t="s">
        <v>1053</v>
      </c>
      <c r="C1" t="s">
        <v>1054</v>
      </c>
      <c r="D1" t="s">
        <v>1055</v>
      </c>
      <c r="E1" t="s">
        <v>1056</v>
      </c>
      <c r="F1" t="s">
        <v>1057</v>
      </c>
      <c r="G1" t="s">
        <v>1058</v>
      </c>
      <c r="H1" t="s">
        <v>1059</v>
      </c>
      <c r="I1" t="s">
        <v>1060</v>
      </c>
      <c r="J1" t="s">
        <v>3</v>
      </c>
      <c r="K1" s="4" t="s">
        <v>923</v>
      </c>
      <c r="L1" t="s">
        <v>170</v>
      </c>
      <c r="M1" t="s">
        <v>924</v>
      </c>
      <c r="N1" t="s">
        <v>171</v>
      </c>
      <c r="O1" t="s">
        <v>1061</v>
      </c>
      <c r="P1" t="s">
        <v>1062</v>
      </c>
      <c r="Q1" s="4" t="s">
        <v>1063</v>
      </c>
      <c r="R1" t="s">
        <v>926</v>
      </c>
      <c r="S1" s="4" t="s">
        <v>1064</v>
      </c>
      <c r="T1" t="s">
        <v>1065</v>
      </c>
      <c r="U1" t="s">
        <v>1066</v>
      </c>
      <c r="V1" t="s">
        <v>1067</v>
      </c>
    </row>
    <row r="2" spans="1:22">
      <c r="A2" t="s">
        <v>1068</v>
      </c>
      <c r="B2" t="s">
        <v>1069</v>
      </c>
      <c r="C2" t="s">
        <v>1091</v>
      </c>
      <c r="D2" t="s">
        <v>1070</v>
      </c>
      <c r="E2" t="s">
        <v>1091</v>
      </c>
      <c r="F2" t="s">
        <v>1091</v>
      </c>
      <c r="G2" t="s">
        <v>1073</v>
      </c>
      <c r="H2" t="s">
        <v>1092</v>
      </c>
      <c r="I2" t="s">
        <v>1093</v>
      </c>
      <c r="J2" t="s">
        <v>1094</v>
      </c>
      <c r="K2" s="4">
        <v>2</v>
      </c>
      <c r="L2" t="s">
        <v>33</v>
      </c>
      <c r="M2" t="s">
        <v>33</v>
      </c>
      <c r="N2" t="s">
        <v>23</v>
      </c>
      <c r="O2" t="s">
        <v>1077</v>
      </c>
      <c r="P2" t="s">
        <v>23</v>
      </c>
      <c r="Q2" s="124" t="s">
        <v>1078</v>
      </c>
      <c r="R2" s="125" t="s">
        <v>1088</v>
      </c>
      <c r="S2" s="4" t="s">
        <v>164</v>
      </c>
      <c r="U2" t="s">
        <v>1079</v>
      </c>
      <c r="V2" t="s">
        <v>1095</v>
      </c>
    </row>
    <row r="3" spans="1:22">
      <c r="A3" t="s">
        <v>1080</v>
      </c>
      <c r="B3" t="s">
        <v>1069</v>
      </c>
      <c r="C3" t="s">
        <v>1096</v>
      </c>
      <c r="D3" t="s">
        <v>1070</v>
      </c>
      <c r="E3" t="s">
        <v>1091</v>
      </c>
      <c r="F3" t="s">
        <v>1091</v>
      </c>
      <c r="G3" t="s">
        <v>1073</v>
      </c>
      <c r="H3" t="s">
        <v>1092</v>
      </c>
      <c r="I3" t="s">
        <v>1093</v>
      </c>
      <c r="J3" t="s">
        <v>1094</v>
      </c>
      <c r="K3" s="4">
        <v>2</v>
      </c>
      <c r="L3" t="s">
        <v>33</v>
      </c>
      <c r="M3" t="s">
        <v>33</v>
      </c>
      <c r="N3" t="s">
        <v>23</v>
      </c>
      <c r="O3" t="s">
        <v>1077</v>
      </c>
      <c r="P3" t="s">
        <v>23</v>
      </c>
      <c r="Q3" s="124" t="s">
        <v>1082</v>
      </c>
      <c r="R3" s="125" t="s">
        <v>1083</v>
      </c>
      <c r="S3" s="4">
        <v>24</v>
      </c>
      <c r="U3" t="s">
        <v>1079</v>
      </c>
      <c r="V3" t="s">
        <v>1095</v>
      </c>
    </row>
    <row r="4" spans="1:22">
      <c r="A4" t="s">
        <v>1084</v>
      </c>
      <c r="B4" t="s">
        <v>1069</v>
      </c>
      <c r="C4" t="s">
        <v>1096</v>
      </c>
      <c r="D4" t="s">
        <v>1070</v>
      </c>
      <c r="E4" t="s">
        <v>1091</v>
      </c>
      <c r="F4" t="s">
        <v>1091</v>
      </c>
      <c r="G4" t="s">
        <v>1073</v>
      </c>
      <c r="H4" t="s">
        <v>1092</v>
      </c>
      <c r="I4" t="s">
        <v>1093</v>
      </c>
      <c r="J4" t="s">
        <v>1094</v>
      </c>
      <c r="K4" s="4">
        <v>2</v>
      </c>
      <c r="L4" t="s">
        <v>33</v>
      </c>
      <c r="M4" t="s">
        <v>33</v>
      </c>
      <c r="N4" t="s">
        <v>23</v>
      </c>
      <c r="O4" t="s">
        <v>1077</v>
      </c>
      <c r="P4" t="s">
        <v>23</v>
      </c>
      <c r="Q4" s="124" t="s">
        <v>1085</v>
      </c>
      <c r="R4" s="125" t="s">
        <v>1088</v>
      </c>
      <c r="S4" s="4">
        <v>19</v>
      </c>
      <c r="U4" t="s">
        <v>1079</v>
      </c>
      <c r="V4" t="s">
        <v>1095</v>
      </c>
    </row>
    <row r="5" spans="1:22">
      <c r="A5" t="s">
        <v>1086</v>
      </c>
      <c r="B5" t="s">
        <v>1069</v>
      </c>
      <c r="C5" t="s">
        <v>1096</v>
      </c>
      <c r="D5" t="s">
        <v>1070</v>
      </c>
      <c r="E5" t="s">
        <v>1091</v>
      </c>
      <c r="F5" t="s">
        <v>1091</v>
      </c>
      <c r="G5" t="s">
        <v>1073</v>
      </c>
      <c r="H5" t="s">
        <v>1092</v>
      </c>
      <c r="I5" t="s">
        <v>1093</v>
      </c>
      <c r="J5" t="s">
        <v>1094</v>
      </c>
      <c r="K5" s="4">
        <v>2</v>
      </c>
      <c r="L5" t="s">
        <v>33</v>
      </c>
      <c r="M5" t="s">
        <v>33</v>
      </c>
      <c r="N5" t="s">
        <v>23</v>
      </c>
      <c r="O5" t="s">
        <v>1077</v>
      </c>
      <c r="P5" t="s">
        <v>23</v>
      </c>
      <c r="Q5" s="124" t="s">
        <v>1087</v>
      </c>
      <c r="R5" s="125" t="s">
        <v>1088</v>
      </c>
      <c r="S5" s="4">
        <v>16</v>
      </c>
      <c r="U5" t="s">
        <v>1079</v>
      </c>
      <c r="V5" t="s">
        <v>1095</v>
      </c>
    </row>
    <row r="6" spans="1:22">
      <c r="A6" t="s">
        <v>1089</v>
      </c>
      <c r="B6" t="s">
        <v>1069</v>
      </c>
      <c r="C6" t="s">
        <v>1096</v>
      </c>
      <c r="D6" t="s">
        <v>1070</v>
      </c>
      <c r="E6" t="s">
        <v>1091</v>
      </c>
      <c r="F6" t="s">
        <v>1091</v>
      </c>
      <c r="G6" t="s">
        <v>1073</v>
      </c>
      <c r="H6" t="s">
        <v>1092</v>
      </c>
      <c r="I6" t="s">
        <v>1093</v>
      </c>
      <c r="J6" t="s">
        <v>1094</v>
      </c>
      <c r="K6" s="4">
        <v>2</v>
      </c>
      <c r="L6" t="s">
        <v>33</v>
      </c>
      <c r="M6" t="s">
        <v>33</v>
      </c>
      <c r="N6" t="s">
        <v>23</v>
      </c>
      <c r="O6" t="s">
        <v>1077</v>
      </c>
      <c r="P6" t="s">
        <v>23</v>
      </c>
      <c r="Q6" s="124" t="s">
        <v>1090</v>
      </c>
      <c r="R6" s="125" t="s">
        <v>1088</v>
      </c>
      <c r="S6" s="4">
        <v>12</v>
      </c>
      <c r="U6" t="s">
        <v>1079</v>
      </c>
      <c r="V6" t="s">
        <v>1095</v>
      </c>
    </row>
  </sheetData>
  <pageMargins left="0.7" right="0.7" top="0.75" bottom="0.75" header="0.3" footer="0.3"/>
  <tableParts count="1">
    <tablePart r:id="rId1"/>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66AB3D-327F-4B36-99CF-511F88D61EB7}">
  <sheetPr codeName="Sheet13"/>
  <dimension ref="A1:V6"/>
  <sheetViews>
    <sheetView workbookViewId="0">
      <selection activeCell="T3" sqref="T3"/>
    </sheetView>
  </sheetViews>
  <sheetFormatPr defaultRowHeight="14.45"/>
  <cols>
    <col min="1" max="1" width="13.28515625" customWidth="1"/>
    <col min="2" max="2" width="12.7109375" customWidth="1"/>
    <col min="3" max="3" width="18.7109375" customWidth="1"/>
    <col min="4" max="4" width="18.140625" customWidth="1"/>
    <col min="5" max="5" width="21.7109375" customWidth="1"/>
    <col min="6" max="6" width="20.28515625" customWidth="1"/>
    <col min="7" max="7" width="16" bestFit="1" customWidth="1"/>
    <col min="8" max="8" width="13.28515625" customWidth="1"/>
    <col min="9" max="9" width="18.140625" customWidth="1"/>
    <col min="10" max="10" width="15.28515625" bestFit="1" customWidth="1"/>
    <col min="11" max="11" width="18.7109375" customWidth="1"/>
    <col min="15" max="15" width="14.7109375" bestFit="1" customWidth="1"/>
    <col min="16" max="16" width="13.42578125" bestFit="1" customWidth="1"/>
    <col min="17" max="17" width="18.28515625" style="4" bestFit="1" customWidth="1"/>
    <col min="18" max="18" width="14.7109375" bestFit="1" customWidth="1"/>
    <col min="19" max="19" width="17.28515625" style="4" bestFit="1" customWidth="1"/>
    <col min="20" max="20" width="27.28515625" bestFit="1" customWidth="1"/>
    <col min="22" max="22" width="14.7109375" bestFit="1" customWidth="1"/>
  </cols>
  <sheetData>
    <row r="1" spans="1:22">
      <c r="A1" t="s">
        <v>667</v>
      </c>
      <c r="B1" t="s">
        <v>1053</v>
      </c>
      <c r="C1" t="s">
        <v>1054</v>
      </c>
      <c r="D1" t="s">
        <v>1055</v>
      </c>
      <c r="E1" t="s">
        <v>1056</v>
      </c>
      <c r="F1" t="s">
        <v>1057</v>
      </c>
      <c r="G1" t="s">
        <v>1058</v>
      </c>
      <c r="H1" t="s">
        <v>1059</v>
      </c>
      <c r="I1" t="s">
        <v>1060</v>
      </c>
      <c r="J1" t="s">
        <v>3</v>
      </c>
      <c r="K1" t="s">
        <v>923</v>
      </c>
      <c r="L1" t="s">
        <v>170</v>
      </c>
      <c r="M1" t="s">
        <v>924</v>
      </c>
      <c r="N1" t="s">
        <v>171</v>
      </c>
      <c r="O1" t="s">
        <v>1061</v>
      </c>
      <c r="P1" t="s">
        <v>1062</v>
      </c>
      <c r="Q1" s="4" t="s">
        <v>1063</v>
      </c>
      <c r="R1" t="s">
        <v>926</v>
      </c>
      <c r="S1" s="4" t="s">
        <v>1064</v>
      </c>
      <c r="T1" t="s">
        <v>1065</v>
      </c>
      <c r="U1" t="s">
        <v>1066</v>
      </c>
      <c r="V1" t="s">
        <v>1067</v>
      </c>
    </row>
    <row r="2" spans="1:22">
      <c r="A2" t="s">
        <v>1068</v>
      </c>
      <c r="B2" t="s">
        <v>1069</v>
      </c>
      <c r="C2" t="s">
        <v>1081</v>
      </c>
      <c r="D2" t="s">
        <v>1097</v>
      </c>
      <c r="E2" t="s">
        <v>1097</v>
      </c>
      <c r="F2" t="s">
        <v>1070</v>
      </c>
      <c r="G2" t="s">
        <v>1073</v>
      </c>
      <c r="H2" t="s">
        <v>1074</v>
      </c>
      <c r="I2" t="s">
        <v>1093</v>
      </c>
      <c r="J2" t="s">
        <v>1098</v>
      </c>
      <c r="K2" t="s">
        <v>1099</v>
      </c>
      <c r="L2" t="s">
        <v>33</v>
      </c>
      <c r="M2" t="s">
        <v>33</v>
      </c>
      <c r="N2" t="s">
        <v>23</v>
      </c>
      <c r="O2" t="s">
        <v>1100</v>
      </c>
      <c r="P2" t="s">
        <v>23</v>
      </c>
      <c r="Q2" s="124" t="s">
        <v>1078</v>
      </c>
      <c r="R2" s="125" t="s">
        <v>1088</v>
      </c>
      <c r="S2" s="4" t="s">
        <v>164</v>
      </c>
      <c r="T2" t="s">
        <v>1101</v>
      </c>
      <c r="U2" t="s">
        <v>1102</v>
      </c>
      <c r="V2" t="s">
        <v>1103</v>
      </c>
    </row>
    <row r="3" spans="1:22">
      <c r="A3" t="s">
        <v>1080</v>
      </c>
      <c r="B3" t="s">
        <v>1069</v>
      </c>
      <c r="C3" t="s">
        <v>1104</v>
      </c>
      <c r="D3" t="s">
        <v>1097</v>
      </c>
      <c r="E3" t="s">
        <v>1097</v>
      </c>
      <c r="F3" t="s">
        <v>1070</v>
      </c>
      <c r="G3" t="s">
        <v>1073</v>
      </c>
      <c r="H3" t="s">
        <v>1074</v>
      </c>
      <c r="I3" t="s">
        <v>1093</v>
      </c>
      <c r="J3" t="s">
        <v>1098</v>
      </c>
      <c r="K3" t="s">
        <v>1099</v>
      </c>
      <c r="L3" t="s">
        <v>33</v>
      </c>
      <c r="M3" t="s">
        <v>33</v>
      </c>
      <c r="N3" t="s">
        <v>23</v>
      </c>
      <c r="O3" t="s">
        <v>1100</v>
      </c>
      <c r="P3" t="s">
        <v>23</v>
      </c>
      <c r="Q3" s="124" t="s">
        <v>1082</v>
      </c>
      <c r="R3" s="125" t="s">
        <v>1083</v>
      </c>
      <c r="S3" s="4">
        <v>24</v>
      </c>
      <c r="T3" t="s">
        <v>1101</v>
      </c>
      <c r="U3" t="s">
        <v>1102</v>
      </c>
      <c r="V3" t="s">
        <v>1103</v>
      </c>
    </row>
    <row r="4" spans="1:22">
      <c r="A4" t="s">
        <v>1084</v>
      </c>
      <c r="B4" t="s">
        <v>1069</v>
      </c>
      <c r="C4" t="s">
        <v>1104</v>
      </c>
      <c r="D4" t="s">
        <v>1097</v>
      </c>
      <c r="E4" t="s">
        <v>1097</v>
      </c>
      <c r="F4" t="s">
        <v>1070</v>
      </c>
      <c r="G4" t="s">
        <v>1073</v>
      </c>
      <c r="H4" t="s">
        <v>1074</v>
      </c>
      <c r="I4" t="s">
        <v>1093</v>
      </c>
      <c r="J4" t="s">
        <v>1098</v>
      </c>
      <c r="K4" t="s">
        <v>1099</v>
      </c>
      <c r="L4" t="s">
        <v>33</v>
      </c>
      <c r="M4" t="s">
        <v>33</v>
      </c>
      <c r="N4" t="s">
        <v>23</v>
      </c>
      <c r="O4" t="s">
        <v>1100</v>
      </c>
      <c r="P4" t="s">
        <v>23</v>
      </c>
      <c r="Q4" s="124" t="s">
        <v>1105</v>
      </c>
      <c r="R4" s="125" t="s">
        <v>1088</v>
      </c>
      <c r="S4" s="4">
        <v>19</v>
      </c>
      <c r="T4" t="s">
        <v>1101</v>
      </c>
      <c r="U4" t="s">
        <v>1102</v>
      </c>
      <c r="V4" t="s">
        <v>1103</v>
      </c>
    </row>
    <row r="5" spans="1:22">
      <c r="A5" t="s">
        <v>1086</v>
      </c>
      <c r="B5" t="s">
        <v>1069</v>
      </c>
      <c r="C5" t="s">
        <v>1104</v>
      </c>
      <c r="D5" t="s">
        <v>1097</v>
      </c>
      <c r="E5" t="s">
        <v>1097</v>
      </c>
      <c r="F5" t="s">
        <v>1070</v>
      </c>
      <c r="G5" t="s">
        <v>1073</v>
      </c>
      <c r="H5" t="s">
        <v>1074</v>
      </c>
      <c r="I5" t="s">
        <v>1093</v>
      </c>
      <c r="J5" t="s">
        <v>1098</v>
      </c>
      <c r="K5" t="s">
        <v>1099</v>
      </c>
      <c r="L5" t="s">
        <v>33</v>
      </c>
      <c r="M5" t="s">
        <v>33</v>
      </c>
      <c r="N5" t="s">
        <v>23</v>
      </c>
      <c r="O5" t="s">
        <v>1100</v>
      </c>
      <c r="P5" t="s">
        <v>23</v>
      </c>
      <c r="Q5" s="124" t="s">
        <v>1087</v>
      </c>
      <c r="R5" s="125" t="s">
        <v>1088</v>
      </c>
      <c r="S5" s="4">
        <v>16</v>
      </c>
      <c r="T5" t="s">
        <v>1101</v>
      </c>
      <c r="U5" t="s">
        <v>1102</v>
      </c>
      <c r="V5" t="s">
        <v>1103</v>
      </c>
    </row>
    <row r="6" spans="1:22">
      <c r="A6" t="s">
        <v>1106</v>
      </c>
      <c r="Q6" s="124"/>
      <c r="R6" s="125"/>
    </row>
  </sheetData>
  <pageMargins left="0.7" right="0.7" top="0.75" bottom="0.75" header="0.3" footer="0.3"/>
  <tableParts count="1">
    <tablePart r:id="rId1"/>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BDF41D-33DD-4077-916C-69A2486703CA}">
  <sheetPr codeName="Sheet14"/>
  <dimension ref="A1:V6"/>
  <sheetViews>
    <sheetView topLeftCell="H1" workbookViewId="0">
      <selection activeCell="I33" sqref="I33"/>
    </sheetView>
  </sheetViews>
  <sheetFormatPr defaultRowHeight="14.45"/>
  <cols>
    <col min="1" max="1" width="13.28515625" customWidth="1"/>
    <col min="2" max="2" width="12.7109375" customWidth="1"/>
    <col min="3" max="3" width="18.7109375" customWidth="1"/>
    <col min="4" max="4" width="18.140625" customWidth="1"/>
    <col min="5" max="5" width="21.7109375" customWidth="1"/>
    <col min="6" max="6" width="20.28515625" customWidth="1"/>
    <col min="7" max="7" width="16" bestFit="1" customWidth="1"/>
    <col min="8" max="8" width="13.28515625" customWidth="1"/>
    <col min="9" max="9" width="18.140625" customWidth="1"/>
    <col min="10" max="10" width="10.7109375" customWidth="1"/>
    <col min="11" max="11" width="18.7109375" customWidth="1"/>
    <col min="15" max="15" width="14.7109375" bestFit="1" customWidth="1"/>
    <col min="16" max="16" width="13.42578125" bestFit="1" customWidth="1"/>
    <col min="17" max="17" width="18.28515625" style="4" bestFit="1" customWidth="1"/>
    <col min="18" max="18" width="14.7109375" bestFit="1" customWidth="1"/>
    <col min="19" max="19" width="17.28515625" style="4" bestFit="1" customWidth="1"/>
  </cols>
  <sheetData>
    <row r="1" spans="1:22">
      <c r="A1" t="s">
        <v>667</v>
      </c>
      <c r="B1" t="s">
        <v>1053</v>
      </c>
      <c r="C1" t="s">
        <v>1054</v>
      </c>
      <c r="D1" t="s">
        <v>1055</v>
      </c>
      <c r="E1" t="s">
        <v>1056</v>
      </c>
      <c r="F1" t="s">
        <v>1057</v>
      </c>
      <c r="G1" t="s">
        <v>1058</v>
      </c>
      <c r="H1" t="s">
        <v>1059</v>
      </c>
      <c r="I1" t="s">
        <v>1060</v>
      </c>
      <c r="J1" t="s">
        <v>3</v>
      </c>
      <c r="K1" t="s">
        <v>923</v>
      </c>
      <c r="L1" t="s">
        <v>170</v>
      </c>
      <c r="M1" t="s">
        <v>924</v>
      </c>
      <c r="N1" t="s">
        <v>171</v>
      </c>
      <c r="O1" t="s">
        <v>1061</v>
      </c>
      <c r="P1" t="s">
        <v>1062</v>
      </c>
      <c r="Q1" s="4" t="s">
        <v>1063</v>
      </c>
      <c r="R1" t="s">
        <v>926</v>
      </c>
      <c r="S1" s="4" t="s">
        <v>1064</v>
      </c>
      <c r="T1" t="s">
        <v>1065</v>
      </c>
      <c r="U1" t="s">
        <v>1066</v>
      </c>
      <c r="V1" t="s">
        <v>1067</v>
      </c>
    </row>
    <row r="2" spans="1:22">
      <c r="A2" t="s">
        <v>1068</v>
      </c>
      <c r="B2" t="s">
        <v>1069</v>
      </c>
      <c r="C2" t="s">
        <v>1107</v>
      </c>
      <c r="D2" t="s">
        <v>1107</v>
      </c>
      <c r="E2" t="s">
        <v>1107</v>
      </c>
      <c r="F2" t="s">
        <v>1107</v>
      </c>
      <c r="G2" t="s">
        <v>1073</v>
      </c>
      <c r="H2" t="s">
        <v>1108</v>
      </c>
      <c r="I2" t="s">
        <v>1109</v>
      </c>
      <c r="J2" t="s">
        <v>1110</v>
      </c>
      <c r="K2">
        <v>2</v>
      </c>
      <c r="L2" t="s">
        <v>33</v>
      </c>
      <c r="M2" t="s">
        <v>23</v>
      </c>
      <c r="N2" t="s">
        <v>23</v>
      </c>
      <c r="O2" t="s">
        <v>1077</v>
      </c>
      <c r="P2" t="s">
        <v>23</v>
      </c>
      <c r="Q2" s="124" t="s">
        <v>1078</v>
      </c>
      <c r="R2" s="125" t="s">
        <v>1088</v>
      </c>
      <c r="S2" s="4" t="s">
        <v>164</v>
      </c>
      <c r="U2" t="s">
        <v>1079</v>
      </c>
      <c r="V2">
        <v>76.2</v>
      </c>
    </row>
    <row r="3" spans="1:22">
      <c r="A3" t="s">
        <v>1080</v>
      </c>
      <c r="B3" t="s">
        <v>1069</v>
      </c>
      <c r="C3" t="s">
        <v>1111</v>
      </c>
      <c r="D3" t="s">
        <v>1091</v>
      </c>
      <c r="E3" t="s">
        <v>1091</v>
      </c>
      <c r="F3" t="s">
        <v>1091</v>
      </c>
      <c r="G3" t="s">
        <v>1073</v>
      </c>
      <c r="H3" t="s">
        <v>1112</v>
      </c>
      <c r="I3" t="s">
        <v>1109</v>
      </c>
      <c r="J3" t="s">
        <v>1110</v>
      </c>
      <c r="K3">
        <v>2</v>
      </c>
      <c r="L3" t="s">
        <v>33</v>
      </c>
      <c r="M3" t="s">
        <v>23</v>
      </c>
      <c r="N3" t="s">
        <v>23</v>
      </c>
      <c r="O3" t="s">
        <v>1077</v>
      </c>
      <c r="P3" t="s">
        <v>23</v>
      </c>
      <c r="Q3" s="124" t="s">
        <v>1082</v>
      </c>
      <c r="R3" s="125" t="s">
        <v>1083</v>
      </c>
      <c r="S3" s="4">
        <v>24</v>
      </c>
      <c r="U3" t="s">
        <v>1079</v>
      </c>
      <c r="V3">
        <v>76.2</v>
      </c>
    </row>
    <row r="4" spans="1:22">
      <c r="A4" t="s">
        <v>1084</v>
      </c>
      <c r="B4" t="s">
        <v>1069</v>
      </c>
      <c r="C4" t="s">
        <v>1111</v>
      </c>
      <c r="D4" t="s">
        <v>1091</v>
      </c>
      <c r="E4" t="s">
        <v>1091</v>
      </c>
      <c r="F4" t="s">
        <v>1091</v>
      </c>
      <c r="G4" t="s">
        <v>1073</v>
      </c>
      <c r="H4" t="s">
        <v>1113</v>
      </c>
      <c r="I4" t="s">
        <v>1109</v>
      </c>
      <c r="J4" t="s">
        <v>1110</v>
      </c>
      <c r="K4">
        <v>2</v>
      </c>
      <c r="L4" t="s">
        <v>33</v>
      </c>
      <c r="M4" t="s">
        <v>23</v>
      </c>
      <c r="N4" t="s">
        <v>23</v>
      </c>
      <c r="O4" t="s">
        <v>1077</v>
      </c>
      <c r="P4" t="s">
        <v>23</v>
      </c>
      <c r="Q4" s="124" t="s">
        <v>1085</v>
      </c>
      <c r="R4" s="125" t="s">
        <v>1088</v>
      </c>
      <c r="S4" s="4">
        <v>19</v>
      </c>
      <c r="U4" t="s">
        <v>1079</v>
      </c>
      <c r="V4">
        <v>76.2</v>
      </c>
    </row>
    <row r="5" spans="1:22">
      <c r="A5" t="s">
        <v>1086</v>
      </c>
      <c r="B5" t="s">
        <v>1069</v>
      </c>
      <c r="C5" t="s">
        <v>1104</v>
      </c>
      <c r="D5" t="s">
        <v>1091</v>
      </c>
      <c r="E5" t="s">
        <v>1091</v>
      </c>
      <c r="F5" t="s">
        <v>1091</v>
      </c>
      <c r="G5" t="s">
        <v>1073</v>
      </c>
      <c r="H5" t="s">
        <v>1114</v>
      </c>
      <c r="I5" t="s">
        <v>1109</v>
      </c>
      <c r="J5" t="s">
        <v>1110</v>
      </c>
      <c r="K5">
        <v>2</v>
      </c>
      <c r="L5" t="s">
        <v>33</v>
      </c>
      <c r="M5" t="s">
        <v>23</v>
      </c>
      <c r="N5" t="s">
        <v>23</v>
      </c>
      <c r="O5" t="s">
        <v>1077</v>
      </c>
      <c r="P5" t="s">
        <v>23</v>
      </c>
      <c r="Q5" s="124" t="s">
        <v>1087</v>
      </c>
      <c r="R5" s="125" t="s">
        <v>1088</v>
      </c>
      <c r="S5" s="4">
        <v>16</v>
      </c>
      <c r="U5" t="s">
        <v>1079</v>
      </c>
      <c r="V5">
        <v>76.2</v>
      </c>
    </row>
    <row r="6" spans="1:22">
      <c r="A6" t="s">
        <v>1089</v>
      </c>
      <c r="B6" t="s">
        <v>1069</v>
      </c>
      <c r="C6" t="s">
        <v>1104</v>
      </c>
      <c r="D6" t="s">
        <v>1091</v>
      </c>
      <c r="E6" t="s">
        <v>1091</v>
      </c>
      <c r="F6" t="s">
        <v>1091</v>
      </c>
      <c r="G6" t="s">
        <v>1073</v>
      </c>
      <c r="H6" t="s">
        <v>1115</v>
      </c>
      <c r="I6" t="s">
        <v>1109</v>
      </c>
      <c r="J6" t="s">
        <v>1110</v>
      </c>
      <c r="K6">
        <v>2</v>
      </c>
      <c r="L6" t="s">
        <v>33</v>
      </c>
      <c r="M6" t="s">
        <v>23</v>
      </c>
      <c r="N6" t="s">
        <v>23</v>
      </c>
      <c r="O6" t="s">
        <v>1077</v>
      </c>
      <c r="P6" t="s">
        <v>23</v>
      </c>
      <c r="Q6" s="124" t="s">
        <v>1090</v>
      </c>
      <c r="R6" s="125" t="s">
        <v>1088</v>
      </c>
      <c r="S6" s="4">
        <v>12</v>
      </c>
      <c r="U6" t="s">
        <v>1079</v>
      </c>
      <c r="V6">
        <v>76.2</v>
      </c>
    </row>
  </sheetData>
  <pageMargins left="0.7" right="0.7" top="0.75" bottom="0.75" header="0.3" footer="0.3"/>
  <tableParts count="1">
    <tablePart r:id="rId1"/>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E80AF7-3A43-4A2C-B00F-40094583AD4F}">
  <sheetPr codeName="Sheet15"/>
  <dimension ref="A1:W6"/>
  <sheetViews>
    <sheetView topLeftCell="I1" workbookViewId="0">
      <selection activeCell="I33" sqref="I33"/>
    </sheetView>
  </sheetViews>
  <sheetFormatPr defaultRowHeight="14.45"/>
  <cols>
    <col min="1" max="1" width="13.28515625" customWidth="1"/>
    <col min="2" max="2" width="12.7109375" customWidth="1"/>
    <col min="3" max="3" width="18.7109375" customWidth="1"/>
    <col min="4" max="4" width="18.140625" customWidth="1"/>
    <col min="5" max="5" width="21.7109375" customWidth="1"/>
    <col min="6" max="6" width="20.28515625" customWidth="1"/>
    <col min="7" max="7" width="16" bestFit="1" customWidth="1"/>
    <col min="8" max="8" width="13.28515625" customWidth="1"/>
    <col min="9" max="9" width="18.140625" customWidth="1"/>
    <col min="10" max="10" width="10.7109375" customWidth="1"/>
    <col min="11" max="11" width="18.7109375" customWidth="1"/>
    <col min="15" max="15" width="14.7109375" bestFit="1" customWidth="1"/>
    <col min="16" max="16" width="13.42578125" bestFit="1" customWidth="1"/>
    <col min="17" max="17" width="18.28515625" style="4" bestFit="1" customWidth="1"/>
    <col min="18" max="18" width="14.7109375" bestFit="1" customWidth="1"/>
    <col min="19" max="19" width="17.28515625" style="4" bestFit="1" customWidth="1"/>
    <col min="20" max="20" width="15.85546875" bestFit="1" customWidth="1"/>
  </cols>
  <sheetData>
    <row r="1" spans="1:23">
      <c r="A1" t="s">
        <v>667</v>
      </c>
      <c r="B1" t="s">
        <v>1053</v>
      </c>
      <c r="C1" t="s">
        <v>1054</v>
      </c>
      <c r="D1" t="s">
        <v>1055</v>
      </c>
      <c r="E1" t="s">
        <v>1056</v>
      </c>
      <c r="F1" t="s">
        <v>1057</v>
      </c>
      <c r="G1" t="s">
        <v>1058</v>
      </c>
      <c r="H1" t="s">
        <v>1059</v>
      </c>
      <c r="I1" t="s">
        <v>1060</v>
      </c>
      <c r="J1" t="s">
        <v>3</v>
      </c>
      <c r="K1" t="s">
        <v>923</v>
      </c>
      <c r="L1" t="s">
        <v>170</v>
      </c>
      <c r="M1" t="s">
        <v>924</v>
      </c>
      <c r="N1" t="s">
        <v>171</v>
      </c>
      <c r="O1" t="s">
        <v>1061</v>
      </c>
      <c r="P1" t="s">
        <v>1062</v>
      </c>
      <c r="Q1" s="4" t="s">
        <v>1063</v>
      </c>
      <c r="R1" t="s">
        <v>926</v>
      </c>
      <c r="S1" s="4" t="s">
        <v>1064</v>
      </c>
      <c r="T1" t="s">
        <v>1065</v>
      </c>
      <c r="U1" t="s">
        <v>1066</v>
      </c>
      <c r="V1" t="s">
        <v>1067</v>
      </c>
      <c r="W1" t="s">
        <v>1116</v>
      </c>
    </row>
    <row r="2" spans="1:23">
      <c r="A2" t="s">
        <v>1068</v>
      </c>
      <c r="B2" t="s">
        <v>1069</v>
      </c>
      <c r="C2" t="s">
        <v>1081</v>
      </c>
      <c r="D2" t="s">
        <v>1097</v>
      </c>
      <c r="E2" t="s">
        <v>1117</v>
      </c>
      <c r="F2" t="s">
        <v>1097</v>
      </c>
      <c r="G2" t="s">
        <v>1073</v>
      </c>
      <c r="H2" t="s">
        <v>1074</v>
      </c>
      <c r="I2" t="s">
        <v>1093</v>
      </c>
      <c r="J2" t="s">
        <v>1118</v>
      </c>
      <c r="K2" t="s">
        <v>1099</v>
      </c>
      <c r="L2" t="s">
        <v>1119</v>
      </c>
      <c r="M2" t="s">
        <v>23</v>
      </c>
      <c r="N2" t="s">
        <v>23</v>
      </c>
      <c r="O2" t="s">
        <v>1077</v>
      </c>
      <c r="P2" t="s">
        <v>23</v>
      </c>
      <c r="Q2" s="124" t="s">
        <v>1078</v>
      </c>
      <c r="R2" s="125" t="s">
        <v>1088</v>
      </c>
      <c r="S2" s="4" t="s">
        <v>164</v>
      </c>
      <c r="T2" t="s">
        <v>1120</v>
      </c>
      <c r="U2" t="s">
        <v>1079</v>
      </c>
      <c r="V2" s="125" t="s">
        <v>1095</v>
      </c>
      <c r="W2" t="s">
        <v>23</v>
      </c>
    </row>
    <row r="3" spans="1:23">
      <c r="A3" t="s">
        <v>1080</v>
      </c>
      <c r="B3" t="s">
        <v>1069</v>
      </c>
      <c r="C3" t="s">
        <v>1104</v>
      </c>
      <c r="D3" t="s">
        <v>1097</v>
      </c>
      <c r="E3" t="s">
        <v>1121</v>
      </c>
      <c r="F3" t="s">
        <v>1097</v>
      </c>
      <c r="G3" t="s">
        <v>1073</v>
      </c>
      <c r="H3" t="s">
        <v>1074</v>
      </c>
      <c r="I3" t="s">
        <v>1093</v>
      </c>
      <c r="J3" t="s">
        <v>1118</v>
      </c>
      <c r="K3" t="s">
        <v>1099</v>
      </c>
      <c r="L3" t="s">
        <v>1119</v>
      </c>
      <c r="M3" t="s">
        <v>23</v>
      </c>
      <c r="N3" t="s">
        <v>23</v>
      </c>
      <c r="O3" t="s">
        <v>1077</v>
      </c>
      <c r="P3" t="s">
        <v>23</v>
      </c>
      <c r="Q3" s="124" t="s">
        <v>1082</v>
      </c>
      <c r="R3" s="125" t="s">
        <v>1083</v>
      </c>
      <c r="S3" s="4">
        <v>24</v>
      </c>
      <c r="T3" t="s">
        <v>1120</v>
      </c>
      <c r="U3" t="s">
        <v>1079</v>
      </c>
      <c r="V3" s="125" t="s">
        <v>1095</v>
      </c>
    </row>
    <row r="4" spans="1:23">
      <c r="A4" t="s">
        <v>1084</v>
      </c>
      <c r="B4" t="s">
        <v>1069</v>
      </c>
      <c r="C4" t="s">
        <v>1104</v>
      </c>
      <c r="D4" t="s">
        <v>1097</v>
      </c>
      <c r="E4" t="s">
        <v>1122</v>
      </c>
      <c r="F4" t="s">
        <v>1097</v>
      </c>
      <c r="G4" t="s">
        <v>1073</v>
      </c>
      <c r="H4" t="s">
        <v>1074</v>
      </c>
      <c r="I4" t="s">
        <v>1093</v>
      </c>
      <c r="J4" t="s">
        <v>1118</v>
      </c>
      <c r="K4" t="s">
        <v>1099</v>
      </c>
      <c r="L4" t="s">
        <v>1119</v>
      </c>
      <c r="M4" t="s">
        <v>23</v>
      </c>
      <c r="N4" t="s">
        <v>23</v>
      </c>
      <c r="O4" t="s">
        <v>1077</v>
      </c>
      <c r="P4" t="s">
        <v>23</v>
      </c>
      <c r="Q4" s="124" t="s">
        <v>1085</v>
      </c>
      <c r="R4" s="125" t="s">
        <v>1088</v>
      </c>
      <c r="S4" s="4">
        <v>19</v>
      </c>
      <c r="T4" t="s">
        <v>1120</v>
      </c>
      <c r="U4" t="s">
        <v>1079</v>
      </c>
      <c r="V4" s="125" t="s">
        <v>1095</v>
      </c>
    </row>
    <row r="5" spans="1:23">
      <c r="A5" t="s">
        <v>1086</v>
      </c>
      <c r="B5" t="s">
        <v>1069</v>
      </c>
      <c r="C5" t="s">
        <v>1123</v>
      </c>
      <c r="D5" t="s">
        <v>1097</v>
      </c>
      <c r="E5" t="s">
        <v>1124</v>
      </c>
      <c r="F5" t="s">
        <v>1097</v>
      </c>
      <c r="G5" t="s">
        <v>1073</v>
      </c>
      <c r="H5" t="s">
        <v>1074</v>
      </c>
      <c r="I5" t="s">
        <v>1093</v>
      </c>
      <c r="J5" t="s">
        <v>1118</v>
      </c>
      <c r="K5" t="s">
        <v>1099</v>
      </c>
      <c r="L5" t="s">
        <v>1119</v>
      </c>
      <c r="M5" t="s">
        <v>23</v>
      </c>
      <c r="N5" t="s">
        <v>23</v>
      </c>
      <c r="O5" t="s">
        <v>1077</v>
      </c>
      <c r="P5" t="s">
        <v>23</v>
      </c>
      <c r="Q5" s="124" t="s">
        <v>1087</v>
      </c>
      <c r="R5" s="125" t="s">
        <v>1088</v>
      </c>
      <c r="S5" s="4">
        <v>16</v>
      </c>
      <c r="T5" t="s">
        <v>1120</v>
      </c>
      <c r="U5" t="s">
        <v>1079</v>
      </c>
      <c r="V5" s="125" t="s">
        <v>1095</v>
      </c>
    </row>
    <row r="6" spans="1:23">
      <c r="A6" t="s">
        <v>1089</v>
      </c>
      <c r="B6" t="s">
        <v>1069</v>
      </c>
      <c r="C6" t="s">
        <v>1123</v>
      </c>
      <c r="D6" t="s">
        <v>1097</v>
      </c>
      <c r="E6" t="s">
        <v>1125</v>
      </c>
      <c r="F6" t="s">
        <v>1070</v>
      </c>
      <c r="G6" t="s">
        <v>1073</v>
      </c>
      <c r="H6" t="s">
        <v>1074</v>
      </c>
      <c r="I6" t="s">
        <v>1093</v>
      </c>
      <c r="J6" t="s">
        <v>1118</v>
      </c>
      <c r="K6" t="s">
        <v>1099</v>
      </c>
      <c r="L6" t="s">
        <v>1119</v>
      </c>
      <c r="M6" t="s">
        <v>23</v>
      </c>
      <c r="N6" t="s">
        <v>23</v>
      </c>
      <c r="O6" t="s">
        <v>1077</v>
      </c>
      <c r="P6" t="s">
        <v>23</v>
      </c>
      <c r="Q6" s="124" t="s">
        <v>1090</v>
      </c>
      <c r="R6" s="125" t="s">
        <v>1088</v>
      </c>
      <c r="S6" s="4">
        <v>12</v>
      </c>
      <c r="T6" t="s">
        <v>1120</v>
      </c>
      <c r="U6" t="s">
        <v>1079</v>
      </c>
      <c r="V6" s="125" t="s">
        <v>1095</v>
      </c>
    </row>
  </sheetData>
  <pageMargins left="0.7" right="0.7" top="0.75" bottom="0.75" header="0.3" footer="0.3"/>
  <tableParts count="1">
    <tablePart r:id="rId1"/>
  </tablePart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547582-B5FE-472D-BB37-6C07E1B402BA}">
  <sheetPr codeName="Sheet16"/>
  <dimension ref="A1:V6"/>
  <sheetViews>
    <sheetView workbookViewId="0">
      <selection activeCell="I33" sqref="I33"/>
    </sheetView>
  </sheetViews>
  <sheetFormatPr defaultRowHeight="14.45"/>
  <cols>
    <col min="1" max="1" width="13.28515625" customWidth="1"/>
    <col min="2" max="2" width="12.7109375" customWidth="1"/>
    <col min="3" max="3" width="18.7109375" customWidth="1"/>
    <col min="4" max="4" width="18.140625" customWidth="1"/>
    <col min="5" max="5" width="21.7109375" customWidth="1"/>
    <col min="6" max="6" width="20.28515625" customWidth="1"/>
    <col min="7" max="7" width="16" bestFit="1" customWidth="1"/>
    <col min="8" max="8" width="13.28515625" customWidth="1"/>
    <col min="9" max="9" width="18.140625" customWidth="1"/>
    <col min="10" max="10" width="10.7109375" customWidth="1"/>
    <col min="11" max="11" width="18.7109375" customWidth="1"/>
    <col min="15" max="15" width="14.7109375" bestFit="1" customWidth="1"/>
    <col min="16" max="16" width="13.42578125" bestFit="1" customWidth="1"/>
    <col min="17" max="17" width="18.28515625" style="4" bestFit="1" customWidth="1"/>
    <col min="18" max="18" width="14.7109375" bestFit="1" customWidth="1"/>
    <col min="19" max="19" width="17.28515625" style="4" bestFit="1" customWidth="1"/>
    <col min="20" max="20" width="15.85546875" bestFit="1" customWidth="1"/>
  </cols>
  <sheetData>
    <row r="1" spans="1:22">
      <c r="A1" t="s">
        <v>667</v>
      </c>
      <c r="B1" t="s">
        <v>1053</v>
      </c>
      <c r="C1" t="s">
        <v>1054</v>
      </c>
      <c r="D1" t="s">
        <v>1055</v>
      </c>
      <c r="E1" t="s">
        <v>1056</v>
      </c>
      <c r="F1" t="s">
        <v>1057</v>
      </c>
      <c r="G1" t="s">
        <v>1058</v>
      </c>
      <c r="H1" t="s">
        <v>1059</v>
      </c>
      <c r="I1" t="s">
        <v>1060</v>
      </c>
      <c r="J1" t="s">
        <v>3</v>
      </c>
      <c r="K1" t="s">
        <v>923</v>
      </c>
      <c r="L1" t="s">
        <v>170</v>
      </c>
      <c r="M1" t="s">
        <v>924</v>
      </c>
      <c r="N1" t="s">
        <v>171</v>
      </c>
      <c r="O1" t="s">
        <v>1061</v>
      </c>
      <c r="P1" t="s">
        <v>1062</v>
      </c>
      <c r="Q1" s="4" t="s">
        <v>1063</v>
      </c>
      <c r="R1" t="s">
        <v>926</v>
      </c>
      <c r="S1" s="4" t="s">
        <v>1064</v>
      </c>
      <c r="T1" t="s">
        <v>1065</v>
      </c>
      <c r="U1" t="s">
        <v>1066</v>
      </c>
      <c r="V1" t="s">
        <v>1067</v>
      </c>
    </row>
    <row r="2" spans="1:22">
      <c r="A2" t="s">
        <v>1068</v>
      </c>
      <c r="B2" t="s">
        <v>1069</v>
      </c>
      <c r="C2" t="s">
        <v>1126</v>
      </c>
      <c r="D2" t="s">
        <v>1127</v>
      </c>
      <c r="E2" t="s">
        <v>1128</v>
      </c>
      <c r="F2" t="s">
        <v>1128</v>
      </c>
      <c r="G2" t="s">
        <v>1129</v>
      </c>
      <c r="H2" t="s">
        <v>1130</v>
      </c>
      <c r="I2" t="s">
        <v>1075</v>
      </c>
      <c r="J2" t="s">
        <v>1131</v>
      </c>
      <c r="K2" t="s">
        <v>1076</v>
      </c>
      <c r="L2" t="s">
        <v>33</v>
      </c>
      <c r="M2" t="s">
        <v>23</v>
      </c>
      <c r="N2" t="s">
        <v>23</v>
      </c>
      <c r="O2" t="s">
        <v>1132</v>
      </c>
      <c r="P2" t="s">
        <v>23</v>
      </c>
      <c r="Q2" s="124" t="s">
        <v>1078</v>
      </c>
      <c r="R2" s="125" t="s">
        <v>1088</v>
      </c>
      <c r="S2" s="4" t="s">
        <v>164</v>
      </c>
      <c r="U2" t="s">
        <v>1079</v>
      </c>
      <c r="V2">
        <v>76.2</v>
      </c>
    </row>
    <row r="3" spans="1:22">
      <c r="A3" t="s">
        <v>1080</v>
      </c>
      <c r="B3" t="s">
        <v>1069</v>
      </c>
      <c r="C3" t="s">
        <v>1133</v>
      </c>
      <c r="D3" t="s">
        <v>1127</v>
      </c>
      <c r="E3" t="s">
        <v>1128</v>
      </c>
      <c r="F3" t="s">
        <v>1128</v>
      </c>
      <c r="G3" t="s">
        <v>1129</v>
      </c>
      <c r="H3" t="s">
        <v>1134</v>
      </c>
      <c r="I3" t="s">
        <v>1075</v>
      </c>
      <c r="J3" t="s">
        <v>1131</v>
      </c>
      <c r="K3" t="s">
        <v>1076</v>
      </c>
      <c r="L3" t="s">
        <v>33</v>
      </c>
      <c r="M3" t="s">
        <v>23</v>
      </c>
      <c r="N3" t="s">
        <v>23</v>
      </c>
      <c r="O3" t="s">
        <v>1132</v>
      </c>
      <c r="P3" t="s">
        <v>23</v>
      </c>
      <c r="Q3" s="124" t="s">
        <v>1082</v>
      </c>
      <c r="R3" s="125" t="s">
        <v>1083</v>
      </c>
      <c r="S3" s="4">
        <v>24</v>
      </c>
      <c r="U3" t="s">
        <v>1079</v>
      </c>
      <c r="V3">
        <v>76.2</v>
      </c>
    </row>
    <row r="4" spans="1:22">
      <c r="A4" t="s">
        <v>1084</v>
      </c>
      <c r="B4" t="s">
        <v>1069</v>
      </c>
      <c r="C4" t="s">
        <v>1133</v>
      </c>
      <c r="D4" t="s">
        <v>1127</v>
      </c>
      <c r="E4" t="s">
        <v>1128</v>
      </c>
      <c r="F4" t="s">
        <v>1128</v>
      </c>
      <c r="G4" t="s">
        <v>1129</v>
      </c>
      <c r="H4" t="s">
        <v>1135</v>
      </c>
      <c r="I4" t="s">
        <v>1075</v>
      </c>
      <c r="J4" t="s">
        <v>1131</v>
      </c>
      <c r="K4" t="s">
        <v>1076</v>
      </c>
      <c r="L4" t="s">
        <v>33</v>
      </c>
      <c r="M4" t="s">
        <v>23</v>
      </c>
      <c r="N4" t="s">
        <v>23</v>
      </c>
      <c r="O4" t="s">
        <v>1132</v>
      </c>
      <c r="P4" t="s">
        <v>23</v>
      </c>
      <c r="Q4" s="124" t="s">
        <v>1085</v>
      </c>
      <c r="R4" s="125" t="s">
        <v>1088</v>
      </c>
      <c r="S4" s="4">
        <v>19</v>
      </c>
      <c r="U4" t="s">
        <v>1079</v>
      </c>
      <c r="V4">
        <v>76.2</v>
      </c>
    </row>
    <row r="5" spans="1:22">
      <c r="A5" t="s">
        <v>1086</v>
      </c>
      <c r="B5" t="s">
        <v>1069</v>
      </c>
      <c r="C5" t="s">
        <v>1136</v>
      </c>
      <c r="D5" t="s">
        <v>1127</v>
      </c>
      <c r="E5" t="s">
        <v>1128</v>
      </c>
      <c r="F5" t="s">
        <v>1128</v>
      </c>
      <c r="G5" t="s">
        <v>1129</v>
      </c>
      <c r="H5" t="s">
        <v>1137</v>
      </c>
      <c r="I5" t="s">
        <v>1075</v>
      </c>
      <c r="J5" t="s">
        <v>1131</v>
      </c>
      <c r="K5" t="s">
        <v>1076</v>
      </c>
      <c r="L5" t="s">
        <v>33</v>
      </c>
      <c r="M5" t="s">
        <v>23</v>
      </c>
      <c r="N5" t="s">
        <v>23</v>
      </c>
      <c r="O5" t="s">
        <v>1132</v>
      </c>
      <c r="P5" t="s">
        <v>23</v>
      </c>
      <c r="Q5" s="124" t="s">
        <v>1087</v>
      </c>
      <c r="R5" s="125" t="s">
        <v>1088</v>
      </c>
      <c r="S5" s="4">
        <v>16</v>
      </c>
      <c r="U5" t="s">
        <v>1079</v>
      </c>
      <c r="V5">
        <v>76.2</v>
      </c>
    </row>
    <row r="6" spans="1:22">
      <c r="A6" t="s">
        <v>1089</v>
      </c>
      <c r="B6" t="s">
        <v>1069</v>
      </c>
      <c r="C6" t="s">
        <v>1136</v>
      </c>
      <c r="D6" t="s">
        <v>1127</v>
      </c>
      <c r="E6" t="s">
        <v>1128</v>
      </c>
      <c r="F6" t="s">
        <v>1128</v>
      </c>
      <c r="G6" t="s">
        <v>1129</v>
      </c>
      <c r="H6" t="s">
        <v>1138</v>
      </c>
      <c r="I6" t="s">
        <v>1075</v>
      </c>
      <c r="J6" t="s">
        <v>1131</v>
      </c>
      <c r="K6" t="s">
        <v>1076</v>
      </c>
      <c r="L6" t="s">
        <v>33</v>
      </c>
      <c r="M6" t="s">
        <v>23</v>
      </c>
      <c r="N6" t="s">
        <v>23</v>
      </c>
      <c r="O6" t="s">
        <v>1132</v>
      </c>
      <c r="P6" t="s">
        <v>23</v>
      </c>
      <c r="Q6" s="124" t="s">
        <v>1090</v>
      </c>
      <c r="R6" s="125" t="s">
        <v>1088</v>
      </c>
      <c r="S6" s="4">
        <v>12</v>
      </c>
      <c r="U6" t="s">
        <v>1079</v>
      </c>
      <c r="V6">
        <v>76.2</v>
      </c>
    </row>
  </sheetData>
  <pageMargins left="0.7" right="0.7" top="0.75" bottom="0.75" header="0.3" footer="0.3"/>
  <tableParts count="1">
    <tablePart r:id="rId1"/>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9C84F9-0C0B-47C1-A2C2-3847FAEE8DAB}">
  <sheetPr codeName="Sheet5"/>
  <dimension ref="A1:P28"/>
  <sheetViews>
    <sheetView showRowColHeaders="0" zoomScaleNormal="100" workbookViewId="0">
      <selection activeCell="B6" sqref="B6:B10"/>
    </sheetView>
  </sheetViews>
  <sheetFormatPr defaultRowHeight="14.45"/>
  <cols>
    <col min="1" max="1" width="3.28515625" customWidth="1"/>
    <col min="2" max="2" width="11.5703125" bestFit="1" customWidth="1"/>
    <col min="3" max="3" width="12.28515625" customWidth="1"/>
    <col min="4" max="4" width="13.85546875" customWidth="1"/>
    <col min="5" max="5" width="18.28515625" customWidth="1"/>
    <col min="6" max="6" width="15.85546875" customWidth="1"/>
    <col min="7" max="7" width="36.7109375" bestFit="1" customWidth="1"/>
    <col min="9" max="9" width="8.5703125" customWidth="1"/>
    <col min="10" max="10" width="15.5703125" customWidth="1"/>
    <col min="11" max="11" width="11.85546875" customWidth="1"/>
    <col min="12" max="12" width="11.85546875" style="7" customWidth="1"/>
    <col min="15" max="15" width="17.42578125" bestFit="1" customWidth="1"/>
  </cols>
  <sheetData>
    <row r="1" spans="1:16" ht="15" thickBot="1">
      <c r="A1" s="14"/>
      <c r="B1" s="14"/>
      <c r="C1" s="14"/>
      <c r="D1" s="14"/>
      <c r="E1" s="14"/>
      <c r="F1" s="14"/>
      <c r="G1" s="14"/>
      <c r="H1" s="14"/>
      <c r="I1" s="14"/>
      <c r="J1" s="14"/>
      <c r="K1" s="14"/>
      <c r="L1" s="39"/>
      <c r="M1" s="14"/>
      <c r="N1" s="14"/>
      <c r="O1" s="14"/>
      <c r="P1" s="14"/>
    </row>
    <row r="2" spans="1:16" ht="15.6" thickTop="1" thickBot="1">
      <c r="A2" s="14"/>
      <c r="B2" s="26" t="s">
        <v>1139</v>
      </c>
      <c r="C2" s="40" t="s">
        <v>118</v>
      </c>
      <c r="D2" s="14"/>
      <c r="E2" s="26" t="s">
        <v>1140</v>
      </c>
      <c r="F2" s="1654" t="str">
        <f>IF(C2 = "Antigua",TDAntigua[Material],IF(C2 = "Cuba",TDCuba[Material],IF(C2 = "Java",TDJava[Material],IF(C2 = "Fiji",TDFiji[Material],IF(C2 = "Bermuda",TDBermuda[Material],IF(C2 = "Samoa",TDSamoa[Material],""))))))</f>
        <v>MDF</v>
      </c>
      <c r="G2" s="1203"/>
      <c r="H2" s="1655"/>
      <c r="I2" s="14"/>
      <c r="J2" s="14"/>
      <c r="K2" s="14"/>
      <c r="L2" s="39"/>
      <c r="M2" s="14"/>
      <c r="N2" s="14"/>
      <c r="O2" s="14"/>
      <c r="P2" s="14"/>
    </row>
    <row r="3" spans="1:16" ht="15" thickTop="1">
      <c r="A3" s="14"/>
      <c r="B3" s="14"/>
      <c r="C3" s="14"/>
      <c r="D3" s="14"/>
      <c r="E3" s="14"/>
      <c r="F3" s="14"/>
      <c r="G3" s="14"/>
      <c r="H3" s="14"/>
      <c r="I3" s="14"/>
      <c r="J3" s="14"/>
      <c r="K3" s="14"/>
      <c r="L3" s="39"/>
      <c r="M3" s="14"/>
      <c r="N3" s="14"/>
      <c r="O3" s="14"/>
      <c r="P3" s="14"/>
    </row>
    <row r="4" spans="1:16" ht="15" thickBot="1">
      <c r="A4" s="14"/>
      <c r="B4" s="14"/>
      <c r="C4" s="14"/>
      <c r="D4" s="14"/>
      <c r="E4" s="14"/>
      <c r="F4" s="14"/>
      <c r="G4" s="14"/>
      <c r="H4" s="14"/>
      <c r="I4" s="14"/>
      <c r="J4" s="14"/>
      <c r="K4" s="14"/>
      <c r="L4" s="39"/>
      <c r="M4" s="14"/>
      <c r="N4" s="14"/>
      <c r="O4" s="14"/>
      <c r="P4" s="14"/>
    </row>
    <row r="5" spans="1:16" ht="58.5" thickTop="1">
      <c r="A5" s="14"/>
      <c r="B5" s="41" t="s">
        <v>667</v>
      </c>
      <c r="C5" s="42" t="s">
        <v>1141</v>
      </c>
      <c r="D5" s="42" t="s">
        <v>147</v>
      </c>
      <c r="E5" s="42" t="s">
        <v>922</v>
      </c>
      <c r="F5" s="42" t="s">
        <v>923</v>
      </c>
      <c r="G5" s="42" t="s">
        <v>155</v>
      </c>
      <c r="H5" s="42" t="s">
        <v>924</v>
      </c>
      <c r="I5" s="42" t="s">
        <v>925</v>
      </c>
      <c r="J5" s="42" t="s">
        <v>1061</v>
      </c>
      <c r="K5" s="42" t="s">
        <v>926</v>
      </c>
      <c r="L5" s="42" t="s">
        <v>1142</v>
      </c>
      <c r="M5" s="42" t="s">
        <v>1143</v>
      </c>
      <c r="N5" s="42" t="s">
        <v>1144</v>
      </c>
      <c r="O5" s="43" t="s">
        <v>170</v>
      </c>
      <c r="P5" s="14"/>
    </row>
    <row r="6" spans="1:16">
      <c r="A6" s="14"/>
      <c r="B6" s="44" t="str">
        <f t="array" ref="B6:B10">IF(C2 = "Antigua",TDAntigua[Louvre Size],IF(C2 = "Cuba",TDCuba[Louvre Size],IF(C2 = "Java",TDJava[Louvre Size],IF(C2 = "Fiji",TDFiji[Louvre Size],IF(C2 = "Bermuda",TDBermuda[Louvre Size],IF(C2 = "Samoa",TDSamoa[Louvre Size],))))))</f>
        <v>47 mm</v>
      </c>
      <c r="C6" s="46" t="s">
        <v>1145</v>
      </c>
      <c r="D6" s="46" t="str">
        <f t="array" ref="D6:D10">IF(C2 = "Antigua",TDAntigua[Max Width Single],IF(C2 = "Cuba",TDCuba[Max Width Single],IF(C2 = "Java",TDJava[Max Width Single],IF(C2 = "Fiji",TDFiji[Max Width Single],IF(C2 = "Bermuda",TDBermuda[Max Width Single],IF(C2 = "Samoa",TDSamoa[Max Width Single],))))))</f>
        <v>600 mm</v>
      </c>
      <c r="E6" s="48" t="str">
        <f t="array" ref="E6:E10">IF(C2 = "Antigua",TDAntigua[Max Width Bfold],IF(C2 = "Cuba",TDCuba[Max Width Bfold],IF(C2 = "Java",TDJava[Max Width Bfold],IF(C2 = "Fiji",TDFiji[Max Width Bfold],IF(C2 = "Bermuda",TDBermuda[Max Width Bfold],IF(C2 = "Samoa",TDSamoa[Max Width Bfold],))))))</f>
        <v>600 mm</v>
      </c>
      <c r="F6" s="50" t="str">
        <f t="array" ref="F6:F10">IF(C2 = "Antigua",TDAntigua[Max Panels Hinged together],IF(C2 = "Cuba",TDCuba[Max Panels Hinged together],IF(C2 = "Java",TDJava[Max Panels Hinged together],IF(C2 = "Fiji",TDFiji[Max Panels Hinged together],IF(C2 = "Bermuda",TDBermuda[Max Panels Hinged together],IF(C2 = "Samoa",TDSamoa[Max Panels Hinged together],""))))))</f>
        <v>2 (1 If Doorway)</v>
      </c>
      <c r="G6" s="50" t="str">
        <f t="array" ref="G6:G10">IF(C2 = "Antigua",TDAntigua[Max Height],IF(C2 = "Cuba",TDCuba[Max Height],IF(C2 = "Java",TDJava[Max Height],IF(C2 = "Fiji",TDFiji[Max Height],IF(C2 = "Bermuda",TDBermuda[Max Height],IF(C2 = "Samoa",TDSamoa[Max Height],""))))))</f>
        <v>3000 mm (See Tech Spech if Over 2500mm)</v>
      </c>
      <c r="H6" s="46" t="str">
        <f t="array" ref="H6:H10">IF(C2 = "Antigua",TDAntigua[Special Shapes],IF(C2 = "Cuba",TDCuba[Special Shapes],IF(C2 = "Java",TDJava[Special Shapes],IF(C2 = "Fiji",TDFiji[Special Shapes],IF(C2 = "Bermuda",TDBermuda[Special Shapes],IF(C2 = "Samoa",TDSamoa[Special Shapes],""))))))</f>
        <v>No</v>
      </c>
      <c r="I6" s="46" t="str">
        <f t="array" ref="I6:I10">IF(C2 = "Antigua",TDAntigua[Custom Bay Posts],IF(C2 = "Cuba",TDCuba[Custom Bay Posts],IF(C2 = "Java",TDJava[Custom Bay Posts],IF(C2 = "Fiji",TDFiji[Custom Bay Posts],IF(C2 = "Bermuda",TDBermuda[Custom Bay Posts],IF(C2 = "Samoa",TDSamoa[Custom Bay Posts],))))))</f>
        <v>Yes</v>
      </c>
      <c r="J6" s="50" t="str">
        <f t="array" ref="J6:J10">IF(C2 = "Antigua",TDAntigua[Stile Type],IF(C2 = "Cuba",TDCuba[Stile Type],IF(C2 = "Java",TDJava[Stile Type],IF(C2 = "Fiji",TDFiji[Stile Type],IF(C2 = "Bermuda",TDBermuda[Stile Type],IF(C2 = "Samoa",TDSamoa[Stile Type],""))))))</f>
        <v>Beaded or Plain</v>
      </c>
      <c r="K6" s="50" t="str">
        <f t="array" ref="K6:K10">IF($C$2 = "Antigua",TDAntigua[Silent Tilt Split],IF($C$2 = "Cuba",TDCuba[Silent Tilt Split],IF($C$2 = "Java",TDJava[Silent Tilt Split],IF($C$2 = "Fiji",TDFiji[Silent Tilt Split],IF($C$2 = "Bermuda",TDBermuda[Silent Tilt Split],IF($C$2 = "Samoa",TDSamoa[Silent Tilt Split],""))))))</f>
        <v>N/A</v>
      </c>
      <c r="L6" s="46" t="str">
        <f t="array" ref="L6:L10">IF($C$2 = "Antigua",TDAntigua[Midrail Tollerance],IF($C$2 = "Cuba",TDCuba[Midrail Tollerance],IF($C$2 = "Java",TDJava[Midrail Tollerance],IF($C$2 = "Fiji",TDFiji[Midrail Tollerance],IF($C$2 = "Bermuda",TDBermuda[Midrail Tollerance],IF($C$2 = "Samoa",TDSamoa[Midrail Tollerance],""))))))</f>
        <v>+/- 19 mm</v>
      </c>
      <c r="M6" s="46" t="str">
        <f t="array" ref="M6:M10">IF($C$2 = "Antigua",TDAntigua[Max Louvre Split],IF($C$2 = "Cuba",TDCuba[Max Louvre Split],IF($C$2 = "Java",TDJava[Max Louvre Split],IF($C$2 = "Fiji",TDFiji[Max Louvre Split],IF($C$2 = "Bermuda",TDBermuda[Max Louvre Split],IF($C$2 = "Samoa",TDSamoa[Max Louvre Split],""))))))</f>
        <v>N/A</v>
      </c>
      <c r="N6" s="46" t="str">
        <f t="array" ref="N6:N10">IF(C2 = "Antigua",TDAntigua[Fixed Luvres],IF(C2 = "Cuba",TDCuba[Fixed Luvres],IF(C2 = "Java",TDJava[Fixed Luvres],IF(C2 = "Fiji",TDFiji[Fixed Luvres],IF(C2 = "Bermuda",TDBermuda[Fixed Luvres],IF(C2 = "Samoa",TDSamoa[Fixed Luvres],""))))))</f>
        <v>Yes</v>
      </c>
      <c r="O6" s="52" t="str">
        <f t="array" ref="O6:O10">IF(C2 = "Antigua",TDAntigua[Solid Panels],IF(C2 = "Cuba",TDCuba[Solid Panels],IF(C2 = "Java",TDJava[Solid Panels],IF(C2 = "Fiji",TDFiji[Solid Panels],IF(C2 = "Bermuda",TDBermuda[Solid Panels],IF(C2 = "Samoa",TDSamoa[Solid Panels],""))))))</f>
        <v>No</v>
      </c>
      <c r="P6" s="14"/>
    </row>
    <row r="7" spans="1:16">
      <c r="A7" s="14"/>
      <c r="B7" s="44" t="str">
        <v>63 mm</v>
      </c>
      <c r="C7" s="46" t="s">
        <v>1145</v>
      </c>
      <c r="D7" s="46" t="str">
        <v>750 mm</v>
      </c>
      <c r="E7" s="48" t="str">
        <v>600 mm</v>
      </c>
      <c r="F7" s="50" t="str">
        <v>2 (1 If Doorway)</v>
      </c>
      <c r="G7" s="50" t="str">
        <v>3000 mm (See Tech Spech if Over 2500mm)</v>
      </c>
      <c r="H7" s="46" t="str">
        <v>No</v>
      </c>
      <c r="I7" s="46" t="str">
        <v>Yes</v>
      </c>
      <c r="J7" s="50" t="str">
        <v>Beaded or Plain</v>
      </c>
      <c r="K7" s="50" t="str">
        <v>&gt;1372 mm</v>
      </c>
      <c r="L7" s="46" t="str">
        <v>+/- 25 mm</v>
      </c>
      <c r="M7" s="46">
        <v>24</v>
      </c>
      <c r="N7" s="46" t="str">
        <v>Yes</v>
      </c>
      <c r="O7" s="52" t="str">
        <v>No</v>
      </c>
      <c r="P7" s="14"/>
    </row>
    <row r="8" spans="1:16">
      <c r="A8" s="14"/>
      <c r="B8" s="44" t="str">
        <v>76 mm</v>
      </c>
      <c r="C8" s="46" t="s">
        <v>1146</v>
      </c>
      <c r="D8" s="46" t="str">
        <v>750 mm</v>
      </c>
      <c r="E8" s="48" t="str">
        <v>600 mm</v>
      </c>
      <c r="F8" s="50" t="str">
        <v>2 (1 If Doorway)</v>
      </c>
      <c r="G8" s="50" t="str">
        <v>3000 mm (See Tech Spech if Over 2500mm)</v>
      </c>
      <c r="H8" s="46" t="str">
        <v>No</v>
      </c>
      <c r="I8" s="46" t="str">
        <v>Yes</v>
      </c>
      <c r="J8" s="50" t="str">
        <v>Beaded or Plain</v>
      </c>
      <c r="K8" s="50" t="str">
        <v>&gt;1372 mm</v>
      </c>
      <c r="L8" s="46" t="str">
        <v>+/- 31 mm</v>
      </c>
      <c r="M8" s="46">
        <v>19</v>
      </c>
      <c r="N8" s="46" t="str">
        <v>Yes</v>
      </c>
      <c r="O8" s="52" t="str">
        <v>No</v>
      </c>
      <c r="P8" s="14"/>
    </row>
    <row r="9" spans="1:16">
      <c r="A9" s="14"/>
      <c r="B9" s="44" t="str">
        <v>89 mm</v>
      </c>
      <c r="C9" s="46" t="s">
        <v>1147</v>
      </c>
      <c r="D9" s="46" t="str">
        <v>750 mm</v>
      </c>
      <c r="E9" s="48" t="str">
        <v>600 mm</v>
      </c>
      <c r="F9" s="50" t="str">
        <v>2 (1 If Doorway)</v>
      </c>
      <c r="G9" s="50" t="str">
        <v>3000 mm (See Tech Spech if Over 2500mm)</v>
      </c>
      <c r="H9" s="46" t="str">
        <v>No</v>
      </c>
      <c r="I9" s="46" t="str">
        <v>Yes</v>
      </c>
      <c r="J9" s="50" t="str">
        <v>Beaded or Plain</v>
      </c>
      <c r="K9" s="50" t="str">
        <v>&gt;1385 mm</v>
      </c>
      <c r="L9" s="46" t="str">
        <v>+/- 38 mm</v>
      </c>
      <c r="M9" s="46">
        <v>16</v>
      </c>
      <c r="N9" s="46" t="str">
        <v>Yes</v>
      </c>
      <c r="O9" s="52" t="str">
        <v>No</v>
      </c>
      <c r="P9" s="14"/>
    </row>
    <row r="10" spans="1:16" ht="15" thickBot="1">
      <c r="A10" s="14"/>
      <c r="B10" s="45" t="str">
        <v>114 mm</v>
      </c>
      <c r="C10" s="47" t="s">
        <v>1148</v>
      </c>
      <c r="D10" s="47" t="str">
        <v>750 mm</v>
      </c>
      <c r="E10" s="49" t="str">
        <v>600 mm</v>
      </c>
      <c r="F10" s="51" t="str">
        <v>2 (1 If Doorway)</v>
      </c>
      <c r="G10" s="51" t="str">
        <v>3000 mm (See Tech Spech if Over 2500mm)</v>
      </c>
      <c r="H10" s="47" t="str">
        <v>No</v>
      </c>
      <c r="I10" s="47" t="str">
        <v>Yes</v>
      </c>
      <c r="J10" s="51" t="str">
        <v>Beaded or Plain</v>
      </c>
      <c r="K10" s="51" t="str">
        <v>&gt;1385 mm</v>
      </c>
      <c r="L10" s="47" t="str">
        <v>+/- 51 mm</v>
      </c>
      <c r="M10" s="47">
        <v>12</v>
      </c>
      <c r="N10" s="47" t="str">
        <v>Yes</v>
      </c>
      <c r="O10" s="53" t="str">
        <v>No</v>
      </c>
      <c r="P10" s="14"/>
    </row>
    <row r="11" spans="1:16" ht="15" thickTop="1">
      <c r="A11" s="14"/>
      <c r="B11" s="14"/>
      <c r="C11" s="14"/>
      <c r="D11" s="14"/>
      <c r="E11" s="14"/>
      <c r="F11" s="14"/>
      <c r="G11" s="14"/>
      <c r="H11" s="14"/>
      <c r="I11" s="14"/>
      <c r="J11" s="14"/>
      <c r="K11" s="14"/>
      <c r="L11" s="39"/>
      <c r="M11" s="14"/>
      <c r="N11" s="14"/>
      <c r="O11" s="14"/>
      <c r="P11" s="14"/>
    </row>
    <row r="12" spans="1:16">
      <c r="A12" s="14"/>
      <c r="B12" s="14"/>
      <c r="C12" s="14"/>
      <c r="D12" s="14"/>
      <c r="E12" s="14"/>
      <c r="F12" s="14"/>
      <c r="G12" s="14"/>
      <c r="H12" s="14"/>
      <c r="I12" s="14"/>
      <c r="J12" s="14"/>
      <c r="K12" s="14"/>
      <c r="L12" s="39"/>
      <c r="M12" s="14"/>
      <c r="N12" s="14"/>
      <c r="O12" s="14"/>
      <c r="P12" s="14"/>
    </row>
    <row r="13" spans="1:16">
      <c r="A13" s="14"/>
      <c r="B13" s="14"/>
      <c r="C13" s="14"/>
      <c r="D13" s="14"/>
      <c r="E13" s="14"/>
      <c r="F13" s="14"/>
      <c r="G13" s="14"/>
      <c r="H13" s="14"/>
      <c r="I13" s="14"/>
      <c r="J13" s="14"/>
      <c r="K13" s="14"/>
      <c r="L13" s="39"/>
      <c r="M13" s="14"/>
      <c r="N13" s="14"/>
      <c r="O13" s="14"/>
      <c r="P13" s="14"/>
    </row>
    <row r="14" spans="1:16">
      <c r="A14" s="14"/>
      <c r="B14" s="14"/>
      <c r="C14" s="14"/>
      <c r="D14" s="14"/>
      <c r="E14" s="14"/>
      <c r="F14" s="14"/>
      <c r="G14" s="14"/>
      <c r="H14" s="14"/>
      <c r="I14" s="14"/>
      <c r="J14" s="14"/>
      <c r="K14" s="14"/>
      <c r="L14" s="39"/>
      <c r="M14" s="14"/>
      <c r="N14" s="14"/>
      <c r="O14" s="14"/>
      <c r="P14" s="14"/>
    </row>
    <row r="15" spans="1:16" ht="15" thickBot="1">
      <c r="A15" s="14"/>
      <c r="B15" s="14"/>
      <c r="C15" s="14"/>
      <c r="D15" s="14"/>
      <c r="E15" s="14"/>
      <c r="F15" s="14"/>
      <c r="G15" s="14"/>
      <c r="H15" s="14"/>
      <c r="I15" s="14"/>
      <c r="J15" s="14"/>
      <c r="K15" s="14"/>
      <c r="M15" s="14"/>
      <c r="N15" s="14"/>
      <c r="O15" s="14"/>
      <c r="P15" s="14"/>
    </row>
    <row r="16" spans="1:16" ht="15" thickBot="1">
      <c r="A16" s="14"/>
      <c r="B16" s="1657" t="s">
        <v>1149</v>
      </c>
      <c r="C16" s="1658"/>
      <c r="D16" s="1659"/>
      <c r="E16" s="144" t="s">
        <v>1150</v>
      </c>
      <c r="F16" s="145"/>
      <c r="G16" s="149" t="s">
        <v>1067</v>
      </c>
      <c r="H16" s="1652" t="s">
        <v>927</v>
      </c>
      <c r="I16" s="1656"/>
      <c r="J16" s="1653"/>
      <c r="K16" s="1652" t="s">
        <v>1151</v>
      </c>
      <c r="L16" s="1653"/>
      <c r="M16" s="14"/>
      <c r="N16" s="14"/>
      <c r="O16" s="14"/>
      <c r="P16" s="14"/>
    </row>
    <row r="17" spans="1:16" ht="15" thickBot="1">
      <c r="A17" s="14"/>
      <c r="B17" s="44" t="str">
        <f t="array" ref="B17:B21">IF(C2 = "Antigua",TDAntigua[Louvre Size],IF(C2 = "Cuba",TDCuba[Louvre Size],IF(C2 = "Java",TDJava[Louvre Size],IF(C2 = "Fiji",TDFiji[Louvre Size],IF(C2 = "Bermuda",TDBermuda[Louvre Size],IF(C2 = "Samoa",TDSamoa[Louvre Size],))))))</f>
        <v>47 mm</v>
      </c>
      <c r="C17" s="139" t="str">
        <f t="array" ref="C17">TDAntigua[Max Width Tracked]</f>
        <v>600 mm (2 Max)</v>
      </c>
      <c r="D17" s="140"/>
      <c r="E17" s="146" t="str">
        <f t="array" ref="E17">IF($C$2 = "Antigua",TDAntigua[Top Track Only],IF($C$2 = "Cuba",TDCuba[Top Track Only],IF($C$2 = "Java",TDJava[Top Track Only],IF($C$2 = "Fiji",TDFiji[Top Track Only],IF($C$2 = "Bermuda",TDBermuda[Top Track Only],IF($C$2 = "Samoa",TDSamoa[Top Track Only],))))))</f>
        <v>N/A</v>
      </c>
      <c r="F17" s="143"/>
      <c r="G17" s="147">
        <f t="array" ref="G17">IF($C$2 = "Antigua",TDAntigua[Midrail Height],IF($C$2 = "Cuba",TDCuba[Midrail Height],IF($C$2 = "Java",TDJava[Midrail Height],IF($C$2 = "Fiji",TDFiji[Midrail Height],IF($C$2 = "Bermuda",TDBermuda[Midrail Height],IF($C$2 = "Samoa",TDSamoa[Midrail Height],))))))</f>
        <v>76.2</v>
      </c>
      <c r="H17" s="150" t="str">
        <f t="array" ref="H17">IF($C$2 = "Antigua",TDAntigua[Midrail Required],IF($C$2 = "Cuba",TDCuba[Midrail Required],IF($C$2 = "Java",TDJava[Midrail Required],IF($C$2 = "Fiji",TDFiji[Midrail Required],IF($C$2 = "Bermuda",TDBermuda[Midrail Required],IF($C$2 = "Samoa",TDSamoa[Midrail Required],))))))</f>
        <v>&gt;1879 mm</v>
      </c>
      <c r="I17" s="148"/>
      <c r="J17" s="141"/>
      <c r="K17" s="153" t="str">
        <f t="array" ref="K17">IF($C$2 = "Antigua",TDAntigua[Bifold/Bipass],IF($C$2 = "Cuba",TDCuba[Bifold/Bipass],IF($C$2 = "Java",TDJava[Bifold/Bipass],IF($C$2 = "Fiji",TDFiji[Bifold/Bipass],IF($C$2 = "Bermuda",TDBermuda[Bifold/Bipass],IF($C$2 = "Samoa",TDSamoa[Bifold/Bipass],))))))</f>
        <v>Yes / Yes</v>
      </c>
      <c r="L17" s="151"/>
      <c r="M17" s="14"/>
      <c r="N17" s="14"/>
      <c r="O17" s="14"/>
      <c r="P17" s="14"/>
    </row>
    <row r="18" spans="1:16" ht="15" thickBot="1">
      <c r="A18" s="14"/>
      <c r="B18" s="44" t="str">
        <v>63 mm</v>
      </c>
      <c r="C18" s="139" t="str">
        <f t="array" ref="C18">TDAntigua[Max Width Tracked]</f>
        <v>600 mm (2 Max)</v>
      </c>
      <c r="D18" s="142"/>
      <c r="E18" s="146" t="str">
        <f t="array" ref="E18">IF($C$2 = "Antigua",TDAntigua[Top Track Only],IF($C$2 = "Cuba",TDCuba[Top Track Only],IF($C$2 = "Java",TDJava[Top Track Only],IF($C$2 = "Fiji",TDFiji[Top Track Only],IF($C$2 = "Bermuda",TDBermuda[Top Track Only],IF($C$2 = "Samoa",TDSamoa[Top Track Only],))))))</f>
        <v>N/A</v>
      </c>
      <c r="F18" s="143"/>
      <c r="G18" s="147">
        <f t="array" ref="G18">IF($C$2 = "Antigua",TDAntigua[Midrail Height],IF($C$2 = "Cuba",TDCuba[Midrail Height],IF($C$2 = "Java",TDJava[Midrail Height],IF($C$2 = "Fiji",TDFiji[Midrail Height],IF($C$2 = "Bermuda",TDBermuda[Midrail Height],IF($C$2 = "Samoa",TDSamoa[Midrail Height],))))))</f>
        <v>76.2</v>
      </c>
      <c r="H18" s="150" t="str">
        <f t="array" ref="H18">IF($C$2 = "Antigua",TDAntigua[Midrail Required],IF($C$2 = "Cuba",TDCuba[Midrail Required],IF($C$2 = "Java",TDJava[Midrail Required],IF($C$2 = "Fiji",TDFiji[Midrail Required],IF($C$2 = "Bermuda",TDBermuda[Midrail Required],IF($C$2 = "Samoa",TDSamoa[Midrail Required],))))))</f>
        <v>&gt;1879 mm</v>
      </c>
      <c r="I18" s="148"/>
      <c r="J18" s="141"/>
      <c r="K18" s="153" t="str">
        <f t="array" ref="K18">IF($C$2 = "Antigua",TDAntigua[Bifold/Bipass],IF($C$2 = "Cuba",TDCuba[Bifold/Bipass],IF($C$2 = "Java",TDJava[Bifold/Bipass],IF($C$2 = "Fiji",TDFiji[Bifold/Bipass],IF($C$2 = "Bermuda",TDBermuda[Bifold/Bipass],IF($C$2 = "Samoa",TDSamoa[Bifold/Bipass],))))))</f>
        <v>Yes / Yes</v>
      </c>
      <c r="L18" s="152"/>
      <c r="M18" s="14"/>
      <c r="N18" s="14"/>
      <c r="O18" s="14"/>
      <c r="P18" s="14"/>
    </row>
    <row r="19" spans="1:16" ht="15" thickBot="1">
      <c r="A19" s="14"/>
      <c r="B19" s="44" t="str">
        <v>76 mm</v>
      </c>
      <c r="C19" s="139" t="str">
        <f t="array" ref="C19">TDAntigua[Max Width Tracked]</f>
        <v>600 mm (2 Max)</v>
      </c>
      <c r="D19" s="143"/>
      <c r="E19" s="146" t="str">
        <f t="array" ref="E19">IF($C$2 = "Antigua",TDAntigua[Top Track Only],IF($C$2 = "Cuba",TDCuba[Top Track Only],IF($C$2 = "Java",TDJava[Top Track Only],IF($C$2 = "Fiji",TDFiji[Top Track Only],IF($C$2 = "Bermuda",TDBermuda[Top Track Only],IF($C$2 = "Samoa",TDSamoa[Top Track Only],))))))</f>
        <v>N/A</v>
      </c>
      <c r="F19" s="143"/>
      <c r="G19" s="147">
        <f t="array" ref="G19">IF($C$2 = "Antigua",TDAntigua[Midrail Height],IF($C$2 = "Cuba",TDCuba[Midrail Height],IF($C$2 = "Java",TDJava[Midrail Height],IF($C$2 = "Fiji",TDFiji[Midrail Height],IF($C$2 = "Bermuda",TDBermuda[Midrail Height],IF($C$2 = "Samoa",TDSamoa[Midrail Height],))))))</f>
        <v>76.2</v>
      </c>
      <c r="H19" s="150" t="str">
        <f t="array" ref="H19">IF($C$2 = "Antigua",TDAntigua[Midrail Required],IF($C$2 = "Cuba",TDCuba[Midrail Required],IF($C$2 = "Java",TDJava[Midrail Required],IF($C$2 = "Fiji",TDFiji[Midrail Required],IF($C$2 = "Bermuda",TDBermuda[Midrail Required],IF($C$2 = "Samoa",TDSamoa[Midrail Required],))))))</f>
        <v>&gt;1879 mm</v>
      </c>
      <c r="I19" s="148"/>
      <c r="J19" s="141"/>
      <c r="K19" s="153" t="str">
        <f t="array" ref="K19">IF($C$2 = "Antigua",TDAntigua[Bifold/Bipass],IF($C$2 = "Cuba",TDCuba[Bifold/Bipass],IF($C$2 = "Java",TDJava[Bifold/Bipass],IF($C$2 = "Fiji",TDFiji[Bifold/Bipass],IF($C$2 = "Bermuda",TDBermuda[Bifold/Bipass],IF($C$2 = "Samoa",TDSamoa[Bifold/Bipass],))))))</f>
        <v>Yes / Yes</v>
      </c>
      <c r="L19" s="152"/>
      <c r="M19" s="14"/>
      <c r="N19" s="14"/>
      <c r="O19" s="14"/>
      <c r="P19" s="14"/>
    </row>
    <row r="20" spans="1:16" ht="15" thickBot="1">
      <c r="A20" s="14"/>
      <c r="B20" s="44" t="str">
        <v>89 mm</v>
      </c>
      <c r="C20" s="139" t="str">
        <f t="array" ref="C20">TDAntigua[Max Width Tracked]</f>
        <v>600 mm (2 Max)</v>
      </c>
      <c r="D20" s="140"/>
      <c r="E20" s="146" t="str">
        <f t="array" ref="E20">IF($C$2 = "Antigua",TDAntigua[Top Track Only],IF($C$2 = "Cuba",TDCuba[Top Track Only],IF($C$2 = "Java",TDJava[Top Track Only],IF($C$2 = "Fiji",TDFiji[Top Track Only],IF($C$2 = "Bermuda",TDBermuda[Top Track Only],IF($C$2 = "Samoa",TDSamoa[Top Track Only],))))))</f>
        <v>N/A</v>
      </c>
      <c r="F20" s="143"/>
      <c r="G20" s="147">
        <f t="array" ref="G20">IF($C$2 = "Antigua",TDAntigua[Midrail Height],IF($C$2 = "Cuba",TDCuba[Midrail Height],IF($C$2 = "Java",TDJava[Midrail Height],IF($C$2 = "Fiji",TDFiji[Midrail Height],IF($C$2 = "Bermuda",TDBermuda[Midrail Height],IF($C$2 = "Samoa",TDSamoa[Midrail Height],))))))</f>
        <v>76.2</v>
      </c>
      <c r="H20" s="150" t="str">
        <f t="array" ref="H20">IF($C$2 = "Antigua",TDAntigua[Midrail Required],IF($C$2 = "Cuba",TDCuba[Midrail Required],IF($C$2 = "Java",TDJava[Midrail Required],IF($C$2 = "Fiji",TDFiji[Midrail Required],IF($C$2 = "Bermuda",TDBermuda[Midrail Required],IF($C$2 = "Samoa",TDSamoa[Midrail Required],))))))</f>
        <v>&gt;1879 mm</v>
      </c>
      <c r="I20" s="148"/>
      <c r="J20" s="141"/>
      <c r="K20" s="153" t="str">
        <f t="array" ref="K20">IF($C$2 = "Antigua",TDAntigua[Bifold/Bipass],IF($C$2 = "Cuba",TDCuba[Bifold/Bipass],IF($C$2 = "Java",TDJava[Bifold/Bipass],IF($C$2 = "Fiji",TDFiji[Bifold/Bipass],IF($C$2 = "Bermuda",TDBermuda[Bifold/Bipass],IF($C$2 = "Samoa",TDSamoa[Bifold/Bipass],))))))</f>
        <v>Yes / Yes</v>
      </c>
      <c r="L20" s="152"/>
      <c r="M20" s="14"/>
      <c r="N20" s="14"/>
      <c r="O20" s="14"/>
      <c r="P20" s="14"/>
    </row>
    <row r="21" spans="1:16" ht="15" thickBot="1">
      <c r="A21" s="14"/>
      <c r="B21" s="45" t="str">
        <v>114 mm</v>
      </c>
      <c r="C21" s="139" t="str">
        <f t="array" ref="C21">TDAntigua[Max Width Tracked]</f>
        <v>600 mm (2 Max)</v>
      </c>
      <c r="D21" s="140"/>
      <c r="E21" s="146" t="str">
        <f t="array" ref="E21">IF($C$2 = "Antigua",TDAntigua[Top Track Only],IF($C$2 = "Cuba",TDCuba[Top Track Only],IF($C$2 = "Java",TDJava[Top Track Only],IF($C$2 = "Fiji",TDFiji[Top Track Only],IF($C$2 = "Bermuda",TDBermuda[Top Track Only],IF($C$2 = "Samoa",TDSamoa[Top Track Only],))))))</f>
        <v>N/A</v>
      </c>
      <c r="F21" s="143"/>
      <c r="G21" s="147">
        <f t="array" ref="G21">IF($C$2 = "Antigua",TDAntigua[Midrail Height],IF($C$2 = "Cuba",TDCuba[Midrail Height],IF($C$2 = "Java",TDJava[Midrail Height],IF($C$2 = "Fiji",TDFiji[Midrail Height],IF($C$2 = "Bermuda",TDBermuda[Midrail Height],IF($C$2 = "Samoa",TDSamoa[Midrail Height],))))))</f>
        <v>76.2</v>
      </c>
      <c r="H21" s="150" t="str">
        <f t="array" ref="H21">IF($C$2 = "Antigua",TDAntigua[Midrail Required],IF($C$2 = "Cuba",TDCuba[Midrail Required],IF($C$2 = "Java",TDJava[Midrail Required],IF($C$2 = "Fiji",TDFiji[Midrail Required],IF($C$2 = "Bermuda",TDBermuda[Midrail Required],IF($C$2 = "Samoa",TDSamoa[Midrail Required],))))))</f>
        <v>&gt;1879 mm</v>
      </c>
      <c r="I21" s="148"/>
      <c r="J21" s="141"/>
      <c r="K21" s="153" t="str">
        <f t="array" ref="K21">IF($C$2 = "Antigua",TDAntigua[Bifold/Bipass],IF($C$2 = "Cuba",TDCuba[Bifold/Bipass],IF($C$2 = "Java",TDJava[Bifold/Bipass],IF($C$2 = "Fiji",TDFiji[Bifold/Bipass],IF($C$2 = "Bermuda",TDBermuda[Bifold/Bipass],IF($C$2 = "Samoa",TDSamoa[Bifold/Bipass],))))))</f>
        <v>Yes / Yes</v>
      </c>
      <c r="L21" s="152"/>
      <c r="M21" s="14"/>
      <c r="N21" s="14"/>
      <c r="O21" s="14"/>
      <c r="P21" s="14"/>
    </row>
    <row r="22" spans="1:16" ht="15" thickTop="1">
      <c r="A22" s="14"/>
      <c r="B22" s="14"/>
      <c r="C22" s="14"/>
      <c r="D22" s="14"/>
      <c r="E22" s="14"/>
      <c r="F22" s="14"/>
      <c r="G22" s="14"/>
      <c r="H22" s="14"/>
      <c r="I22" s="14"/>
      <c r="J22" s="14"/>
      <c r="K22" s="14"/>
      <c r="L22" s="39"/>
      <c r="M22" s="14"/>
      <c r="N22" s="14"/>
      <c r="O22" s="14"/>
      <c r="P22" s="14"/>
    </row>
    <row r="23" spans="1:16">
      <c r="A23" s="14"/>
      <c r="B23" s="14"/>
      <c r="C23" s="14"/>
      <c r="D23" s="14"/>
      <c r="E23" s="14"/>
      <c r="F23" s="14"/>
      <c r="G23" s="14"/>
      <c r="H23" s="14"/>
      <c r="I23" s="14"/>
      <c r="J23" s="14"/>
      <c r="K23" s="14"/>
      <c r="L23" s="39"/>
      <c r="M23" s="14"/>
      <c r="N23" s="14"/>
      <c r="O23" s="14"/>
      <c r="P23" s="14"/>
    </row>
    <row r="24" spans="1:16">
      <c r="A24" s="14"/>
      <c r="B24" s="14"/>
      <c r="C24" s="14"/>
      <c r="D24" s="14"/>
      <c r="E24" s="14"/>
      <c r="F24" s="14"/>
      <c r="G24" s="14"/>
      <c r="H24" s="14"/>
      <c r="I24" s="14"/>
      <c r="J24" s="14"/>
      <c r="K24" s="14"/>
      <c r="L24" s="39"/>
      <c r="M24" s="14"/>
      <c r="N24" s="14"/>
      <c r="O24" s="14"/>
      <c r="P24" s="14"/>
    </row>
    <row r="25" spans="1:16">
      <c r="A25" s="14"/>
      <c r="B25" s="14"/>
      <c r="C25" s="14"/>
      <c r="D25" s="14"/>
      <c r="E25" s="14"/>
      <c r="F25" s="14"/>
      <c r="G25" s="14"/>
      <c r="H25" s="14"/>
      <c r="I25" s="14"/>
      <c r="J25" s="14"/>
      <c r="K25" s="14"/>
      <c r="L25" s="39"/>
      <c r="M25" s="14"/>
      <c r="N25" s="14"/>
      <c r="O25" s="14"/>
      <c r="P25" s="14"/>
    </row>
    <row r="26" spans="1:16">
      <c r="A26" s="14"/>
      <c r="B26" s="14"/>
      <c r="C26" s="14"/>
      <c r="D26" s="14"/>
      <c r="E26" s="14"/>
      <c r="F26" s="14"/>
      <c r="G26" s="14"/>
      <c r="H26" s="14"/>
      <c r="I26" s="14"/>
      <c r="J26" s="14"/>
      <c r="K26" s="14"/>
      <c r="L26" s="39"/>
      <c r="M26" s="14"/>
      <c r="N26" s="14"/>
      <c r="O26" s="14"/>
      <c r="P26" s="14"/>
    </row>
    <row r="27" spans="1:16">
      <c r="A27" s="14"/>
      <c r="B27" s="14"/>
      <c r="C27" s="14"/>
      <c r="D27" s="14"/>
      <c r="E27" s="14"/>
      <c r="F27" s="14"/>
      <c r="G27" s="14"/>
      <c r="H27" s="14"/>
      <c r="I27" s="14"/>
      <c r="J27" s="14"/>
      <c r="K27" s="14"/>
      <c r="L27" s="39"/>
      <c r="M27" s="14"/>
      <c r="N27" s="14"/>
      <c r="O27" s="14"/>
      <c r="P27" s="14"/>
    </row>
    <row r="28" spans="1:16">
      <c r="B28" s="14"/>
      <c r="C28" s="14"/>
      <c r="D28" s="14"/>
      <c r="E28" s="14"/>
      <c r="F28" s="14"/>
      <c r="G28" s="14"/>
      <c r="H28" s="14"/>
      <c r="I28" s="14"/>
      <c r="J28" s="14"/>
      <c r="K28" s="14"/>
      <c r="L28" s="39"/>
      <c r="M28" s="14"/>
      <c r="N28" s="14"/>
    </row>
  </sheetData>
  <mergeCells count="4">
    <mergeCell ref="K16:L16"/>
    <mergeCell ref="F2:H2"/>
    <mergeCell ref="H16:J16"/>
    <mergeCell ref="B16:D16"/>
  </mergeCells>
  <dataValidations count="1">
    <dataValidation type="list" allowBlank="1" showInputMessage="1" showErrorMessage="1" sqref="C2" xr:uid="{EAC351C9-AC7A-48A4-A78D-E0B51E774925}">
      <formula1>MMaterial</formula1>
    </dataValidation>
  </dataValidations>
  <pageMargins left="0.7" right="0.7" top="0.75" bottom="0.75" header="0.3" footer="0.3"/>
  <pageSetup paperSize="9" orientation="portrait" horizontalDpi="4294967293" verticalDpi="4294967293"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A51260-FB26-4FB3-AE84-694B67A59B75}">
  <sheetPr codeName="Sheet28">
    <pageSetUpPr fitToPage="1"/>
  </sheetPr>
  <dimension ref="B2:N28"/>
  <sheetViews>
    <sheetView showGridLines="0" topLeftCell="A3" zoomScale="113" zoomScaleNormal="115" workbookViewId="0">
      <selection activeCell="D4" sqref="D4"/>
    </sheetView>
  </sheetViews>
  <sheetFormatPr defaultRowHeight="14.45"/>
  <cols>
    <col min="2" max="2" width="18.28515625" bestFit="1" customWidth="1"/>
    <col min="3" max="3" width="14" bestFit="1" customWidth="1"/>
    <col min="4" max="4" width="14" customWidth="1"/>
    <col min="5" max="5" width="12.7109375" bestFit="1" customWidth="1"/>
    <col min="6" max="6" width="13.42578125" bestFit="1" customWidth="1"/>
    <col min="7" max="7" width="14.7109375" customWidth="1"/>
    <col min="8" max="8" width="12.7109375" bestFit="1" customWidth="1"/>
    <col min="9" max="9" width="14" bestFit="1" customWidth="1"/>
    <col min="10" max="10" width="12.7109375" bestFit="1" customWidth="1"/>
    <col min="11" max="11" width="14" hidden="1" customWidth="1"/>
    <col min="12" max="12" width="13.42578125" hidden="1" customWidth="1"/>
    <col min="13" max="14" width="14" hidden="1" customWidth="1"/>
  </cols>
  <sheetData>
    <row r="2" spans="2:14" ht="34.15" customHeight="1" thickBot="1"/>
    <row r="3" spans="2:14" ht="15" thickBot="1">
      <c r="C3" s="149" t="s">
        <v>18</v>
      </c>
      <c r="D3" s="149" t="s">
        <v>118</v>
      </c>
      <c r="E3" s="149" t="s">
        <v>91</v>
      </c>
      <c r="F3" s="149" t="s">
        <v>63</v>
      </c>
      <c r="G3" s="149" t="s">
        <v>119</v>
      </c>
      <c r="H3" s="149" t="s">
        <v>120</v>
      </c>
      <c r="I3" s="149" t="s">
        <v>92</v>
      </c>
      <c r="J3" s="149" t="s">
        <v>121</v>
      </c>
      <c r="K3" s="149" t="s">
        <v>122</v>
      </c>
      <c r="L3" s="149" t="s">
        <v>123</v>
      </c>
      <c r="M3" s="149" t="s">
        <v>124</v>
      </c>
      <c r="N3" s="149" t="s">
        <v>125</v>
      </c>
    </row>
    <row r="4" spans="2:14" ht="29.45" thickBot="1">
      <c r="B4" s="419" t="s">
        <v>3</v>
      </c>
      <c r="C4" s="420" t="s">
        <v>126</v>
      </c>
      <c r="D4" s="420" t="s">
        <v>126</v>
      </c>
      <c r="E4" s="421" t="s">
        <v>127</v>
      </c>
      <c r="F4" s="422" t="s">
        <v>128</v>
      </c>
      <c r="G4" s="423" t="s">
        <v>128</v>
      </c>
      <c r="H4" s="424" t="s">
        <v>128</v>
      </c>
      <c r="I4" s="425" t="s">
        <v>129</v>
      </c>
      <c r="J4" s="426" t="s">
        <v>130</v>
      </c>
      <c r="K4" s="427" t="s">
        <v>131</v>
      </c>
      <c r="L4" s="428" t="s">
        <v>132</v>
      </c>
      <c r="M4" s="429" t="s">
        <v>133</v>
      </c>
      <c r="N4" s="523" t="s">
        <v>134</v>
      </c>
    </row>
    <row r="5" spans="2:14" ht="29.45" thickBot="1">
      <c r="B5" s="419" t="s">
        <v>135</v>
      </c>
      <c r="C5" s="430" t="s">
        <v>136</v>
      </c>
      <c r="D5" s="430" t="s">
        <v>136</v>
      </c>
      <c r="E5" s="431" t="s">
        <v>136</v>
      </c>
      <c r="F5" s="432" t="s">
        <v>136</v>
      </c>
      <c r="G5" s="433" t="s">
        <v>137</v>
      </c>
      <c r="H5" s="434" t="s">
        <v>136</v>
      </c>
      <c r="I5" s="435" t="s">
        <v>138</v>
      </c>
      <c r="J5" s="436" t="s">
        <v>139</v>
      </c>
      <c r="K5" s="437" t="s">
        <v>136</v>
      </c>
      <c r="L5" s="438" t="s">
        <v>140</v>
      </c>
      <c r="M5" s="439" t="s">
        <v>136</v>
      </c>
      <c r="N5" s="524" t="s">
        <v>136</v>
      </c>
    </row>
    <row r="6" spans="2:14" ht="29.45" thickBot="1">
      <c r="B6" s="419" t="s">
        <v>141</v>
      </c>
      <c r="C6" s="430" t="s">
        <v>142</v>
      </c>
      <c r="D6" s="430" t="s">
        <v>142</v>
      </c>
      <c r="E6" s="440" t="s">
        <v>143</v>
      </c>
      <c r="F6" s="441" t="s">
        <v>143</v>
      </c>
      <c r="G6" s="442" t="s">
        <v>144</v>
      </c>
      <c r="H6" s="443" t="s">
        <v>143</v>
      </c>
      <c r="I6" s="435" t="s">
        <v>143</v>
      </c>
      <c r="J6" s="436" t="s">
        <v>22</v>
      </c>
      <c r="K6" s="437" t="s">
        <v>142</v>
      </c>
      <c r="L6" s="438" t="s">
        <v>142</v>
      </c>
      <c r="M6" s="439" t="s">
        <v>142</v>
      </c>
      <c r="N6" s="524" t="s">
        <v>142</v>
      </c>
    </row>
    <row r="7" spans="2:14" ht="15" thickBot="1">
      <c r="B7" s="419" t="s">
        <v>145</v>
      </c>
      <c r="C7" s="430" t="s">
        <v>146</v>
      </c>
      <c r="D7" s="430" t="s">
        <v>146</v>
      </c>
      <c r="E7" s="431">
        <v>200</v>
      </c>
      <c r="F7" s="432">
        <v>250</v>
      </c>
      <c r="G7" s="433">
        <v>200</v>
      </c>
      <c r="H7" s="434">
        <v>250</v>
      </c>
      <c r="I7" s="444">
        <v>250</v>
      </c>
      <c r="J7" s="445">
        <v>250</v>
      </c>
      <c r="K7" s="437" t="s">
        <v>146</v>
      </c>
      <c r="L7" s="438" t="s">
        <v>146</v>
      </c>
      <c r="M7" s="439" t="s">
        <v>146</v>
      </c>
      <c r="N7" s="524" t="s">
        <v>146</v>
      </c>
    </row>
    <row r="8" spans="2:14" ht="44.1" thickBot="1">
      <c r="B8" s="446" t="s">
        <v>147</v>
      </c>
      <c r="C8" s="447" t="s">
        <v>148</v>
      </c>
      <c r="D8" s="447" t="s">
        <v>148</v>
      </c>
      <c r="E8" s="431">
        <v>890</v>
      </c>
      <c r="F8" s="441" t="s">
        <v>149</v>
      </c>
      <c r="G8" s="433">
        <v>700</v>
      </c>
      <c r="H8" s="443" t="s">
        <v>150</v>
      </c>
      <c r="I8" s="435" t="s">
        <v>151</v>
      </c>
      <c r="J8" s="445">
        <v>950</v>
      </c>
      <c r="K8" s="448">
        <v>915</v>
      </c>
      <c r="L8" s="449">
        <v>890</v>
      </c>
      <c r="M8" s="450" t="s">
        <v>152</v>
      </c>
      <c r="N8" s="525" t="s">
        <v>153</v>
      </c>
    </row>
    <row r="9" spans="2:14" ht="15" thickBot="1">
      <c r="B9" s="419" t="s">
        <v>154</v>
      </c>
      <c r="C9" s="430">
        <v>250</v>
      </c>
      <c r="D9" s="430">
        <v>250</v>
      </c>
      <c r="E9" s="431">
        <v>250</v>
      </c>
      <c r="F9" s="432">
        <v>250</v>
      </c>
      <c r="G9" s="433">
        <v>250</v>
      </c>
      <c r="H9" s="434">
        <v>300</v>
      </c>
      <c r="I9" s="444">
        <v>250</v>
      </c>
      <c r="J9" s="445">
        <v>250</v>
      </c>
      <c r="K9" s="448">
        <v>250</v>
      </c>
      <c r="L9" s="438">
        <v>250</v>
      </c>
      <c r="M9" s="439">
        <v>250</v>
      </c>
      <c r="N9" s="524">
        <v>250</v>
      </c>
    </row>
    <row r="10" spans="2:14" ht="15" thickBot="1">
      <c r="B10" s="419" t="s">
        <v>155</v>
      </c>
      <c r="C10" s="430">
        <v>3000</v>
      </c>
      <c r="D10" s="430">
        <v>3000</v>
      </c>
      <c r="E10" s="431">
        <v>3000</v>
      </c>
      <c r="F10" s="441">
        <v>3000</v>
      </c>
      <c r="G10" s="433">
        <v>3000</v>
      </c>
      <c r="H10" s="434">
        <v>2700</v>
      </c>
      <c r="I10" s="444">
        <v>3000</v>
      </c>
      <c r="J10" s="445">
        <v>3000</v>
      </c>
      <c r="K10" s="448">
        <v>3000</v>
      </c>
      <c r="L10" s="438">
        <v>3000</v>
      </c>
      <c r="M10" s="439">
        <v>3000</v>
      </c>
      <c r="N10" s="524">
        <v>3000</v>
      </c>
    </row>
    <row r="11" spans="2:14" ht="15" thickBot="1">
      <c r="B11" s="419" t="s">
        <v>156</v>
      </c>
      <c r="C11" s="430">
        <v>1879</v>
      </c>
      <c r="D11" s="430">
        <v>1879</v>
      </c>
      <c r="E11" s="431">
        <v>1800</v>
      </c>
      <c r="F11" s="441">
        <v>1500</v>
      </c>
      <c r="G11" s="442">
        <v>1800</v>
      </c>
      <c r="H11" s="434">
        <v>1500</v>
      </c>
      <c r="I11" s="435">
        <v>1800</v>
      </c>
      <c r="J11" s="436">
        <v>1800</v>
      </c>
      <c r="K11" s="448">
        <v>1981</v>
      </c>
      <c r="L11" s="438">
        <v>1981</v>
      </c>
      <c r="M11" s="439">
        <v>1981</v>
      </c>
      <c r="N11" s="524">
        <v>1828</v>
      </c>
    </row>
    <row r="12" spans="2:14" ht="15" thickBot="1">
      <c r="B12" s="419" t="s">
        <v>157</v>
      </c>
      <c r="C12" s="430">
        <v>1372</v>
      </c>
      <c r="D12" s="430">
        <v>1372</v>
      </c>
      <c r="E12" s="431">
        <v>1372</v>
      </c>
      <c r="F12" s="441">
        <v>1250</v>
      </c>
      <c r="G12" s="433">
        <v>1372</v>
      </c>
      <c r="H12" s="434">
        <v>1250</v>
      </c>
      <c r="I12" s="444">
        <v>1372</v>
      </c>
      <c r="J12" s="445">
        <v>1372</v>
      </c>
      <c r="K12" s="448">
        <v>1372</v>
      </c>
      <c r="L12" s="438">
        <v>1372</v>
      </c>
      <c r="M12" s="439">
        <v>1372</v>
      </c>
      <c r="N12" s="524">
        <v>1372</v>
      </c>
    </row>
    <row r="13" spans="2:14" ht="29.45" thickBot="1">
      <c r="B13" s="446" t="s">
        <v>158</v>
      </c>
      <c r="C13" s="430">
        <v>600</v>
      </c>
      <c r="D13" s="430">
        <v>600</v>
      </c>
      <c r="E13" s="431">
        <v>625</v>
      </c>
      <c r="F13" s="441">
        <v>500</v>
      </c>
      <c r="G13" s="433">
        <v>500</v>
      </c>
      <c r="H13" s="434">
        <v>500</v>
      </c>
      <c r="I13" s="444">
        <v>600</v>
      </c>
      <c r="J13" s="445">
        <v>600</v>
      </c>
      <c r="K13" s="448">
        <v>610</v>
      </c>
      <c r="L13" s="438">
        <v>660</v>
      </c>
      <c r="M13" s="439">
        <v>660</v>
      </c>
      <c r="N13" s="525">
        <v>610</v>
      </c>
    </row>
    <row r="14" spans="2:14" ht="15" thickBot="1">
      <c r="B14" s="419" t="s">
        <v>159</v>
      </c>
      <c r="C14" s="430">
        <v>2</v>
      </c>
      <c r="D14" s="430">
        <v>2</v>
      </c>
      <c r="E14" s="431">
        <v>3</v>
      </c>
      <c r="F14" s="432">
        <v>2</v>
      </c>
      <c r="G14" s="433">
        <v>2</v>
      </c>
      <c r="H14" s="434">
        <v>2</v>
      </c>
      <c r="I14" s="444">
        <v>2</v>
      </c>
      <c r="J14" s="445">
        <v>2</v>
      </c>
      <c r="K14" s="448">
        <v>2</v>
      </c>
      <c r="L14" s="438">
        <v>4</v>
      </c>
      <c r="M14" s="439">
        <v>4</v>
      </c>
      <c r="N14" s="524">
        <v>2</v>
      </c>
    </row>
    <row r="15" spans="2:14" ht="29.45" thickBot="1">
      <c r="B15" s="446" t="s">
        <v>160</v>
      </c>
      <c r="C15" s="430" t="s">
        <v>161</v>
      </c>
      <c r="D15" s="430" t="s">
        <v>161</v>
      </c>
      <c r="E15" s="431" t="s">
        <v>161</v>
      </c>
      <c r="F15" s="432" t="s">
        <v>161</v>
      </c>
      <c r="G15" s="433" t="s">
        <v>161</v>
      </c>
      <c r="H15" s="434" t="s">
        <v>161</v>
      </c>
      <c r="I15" s="444" t="s">
        <v>161</v>
      </c>
      <c r="J15" s="445" t="s">
        <v>161</v>
      </c>
      <c r="K15" s="437" t="s">
        <v>161</v>
      </c>
      <c r="L15" s="438" t="s">
        <v>161</v>
      </c>
      <c r="M15" s="439" t="s">
        <v>161</v>
      </c>
      <c r="N15" s="524" t="s">
        <v>161</v>
      </c>
    </row>
    <row r="16" spans="2:14" ht="29.45" thickBot="1">
      <c r="B16" s="446" t="s">
        <v>162</v>
      </c>
      <c r="C16" s="430">
        <v>600</v>
      </c>
      <c r="D16" s="430">
        <v>600</v>
      </c>
      <c r="E16" s="431">
        <v>600</v>
      </c>
      <c r="F16" s="432">
        <v>600</v>
      </c>
      <c r="G16" s="433">
        <v>500</v>
      </c>
      <c r="H16" s="434">
        <v>600</v>
      </c>
      <c r="I16" s="444">
        <v>700</v>
      </c>
      <c r="J16" s="445">
        <v>700</v>
      </c>
      <c r="K16" s="437">
        <v>610</v>
      </c>
      <c r="L16" s="438">
        <v>660</v>
      </c>
      <c r="M16" s="439">
        <v>660</v>
      </c>
      <c r="N16" s="525">
        <v>610</v>
      </c>
    </row>
    <row r="17" spans="2:14" ht="29.45" thickBot="1">
      <c r="B17" s="446" t="s">
        <v>163</v>
      </c>
      <c r="C17" s="430" t="s">
        <v>164</v>
      </c>
      <c r="D17" s="430" t="s">
        <v>164</v>
      </c>
      <c r="E17" s="431">
        <v>550</v>
      </c>
      <c r="F17" s="432" t="s">
        <v>164</v>
      </c>
      <c r="G17" s="433" t="s">
        <v>164</v>
      </c>
      <c r="H17" s="434" t="s">
        <v>164</v>
      </c>
      <c r="I17" s="444" t="s">
        <v>164</v>
      </c>
      <c r="J17" s="445" t="s">
        <v>164</v>
      </c>
      <c r="K17" s="448" t="s">
        <v>164</v>
      </c>
      <c r="L17" s="438">
        <v>550</v>
      </c>
      <c r="M17" s="439">
        <v>550</v>
      </c>
      <c r="N17" s="524" t="s">
        <v>164</v>
      </c>
    </row>
    <row r="18" spans="2:14" ht="15" thickBot="1">
      <c r="B18" s="419" t="s">
        <v>165</v>
      </c>
      <c r="C18" s="430" t="s">
        <v>166</v>
      </c>
      <c r="D18" s="430" t="s">
        <v>166</v>
      </c>
      <c r="E18" s="431" t="s">
        <v>166</v>
      </c>
      <c r="F18" s="441" t="s">
        <v>166</v>
      </c>
      <c r="G18" s="433" t="s">
        <v>167</v>
      </c>
      <c r="H18" s="434" t="s">
        <v>166</v>
      </c>
      <c r="I18" s="444" t="s">
        <v>166</v>
      </c>
      <c r="J18" s="436" t="s">
        <v>166</v>
      </c>
      <c r="K18" s="448" t="s">
        <v>166</v>
      </c>
      <c r="L18" s="438" t="s">
        <v>166</v>
      </c>
      <c r="M18" s="439" t="s">
        <v>166</v>
      </c>
      <c r="N18" s="524" t="s">
        <v>166</v>
      </c>
    </row>
    <row r="19" spans="2:14" ht="15" thickBot="1">
      <c r="B19" s="446" t="s">
        <v>86</v>
      </c>
      <c r="C19" s="430" t="s">
        <v>23</v>
      </c>
      <c r="D19" s="430" t="s">
        <v>23</v>
      </c>
      <c r="E19" s="431" t="s">
        <v>23</v>
      </c>
      <c r="F19" s="432" t="s">
        <v>23</v>
      </c>
      <c r="G19" s="433" t="s">
        <v>33</v>
      </c>
      <c r="H19" s="434" t="s">
        <v>23</v>
      </c>
      <c r="I19" s="444" t="s">
        <v>23</v>
      </c>
      <c r="J19" s="445" t="s">
        <v>33</v>
      </c>
      <c r="K19" s="448" t="s">
        <v>23</v>
      </c>
      <c r="L19" s="438" t="s">
        <v>23</v>
      </c>
      <c r="M19" s="439" t="s">
        <v>23</v>
      </c>
      <c r="N19" s="524" t="s">
        <v>33</v>
      </c>
    </row>
    <row r="20" spans="2:14" ht="15" thickBot="1">
      <c r="B20" s="446" t="s">
        <v>168</v>
      </c>
      <c r="C20" s="430" t="s">
        <v>33</v>
      </c>
      <c r="D20" s="430" t="s">
        <v>33</v>
      </c>
      <c r="E20" s="431" t="s">
        <v>23</v>
      </c>
      <c r="F20" s="432" t="s">
        <v>33</v>
      </c>
      <c r="G20" s="433" t="s">
        <v>33</v>
      </c>
      <c r="H20" s="434" t="s">
        <v>23</v>
      </c>
      <c r="I20" s="444" t="s">
        <v>23</v>
      </c>
      <c r="J20" s="445" t="s">
        <v>23</v>
      </c>
      <c r="K20" s="448" t="s">
        <v>33</v>
      </c>
      <c r="L20" s="438" t="s">
        <v>33</v>
      </c>
      <c r="M20" s="439" t="s">
        <v>23</v>
      </c>
      <c r="N20" s="524" t="s">
        <v>23</v>
      </c>
    </row>
    <row r="21" spans="2:14" ht="15" thickBot="1">
      <c r="B21" s="446" t="s">
        <v>169</v>
      </c>
      <c r="C21" s="430" t="s">
        <v>33</v>
      </c>
      <c r="D21" s="430" t="s">
        <v>33</v>
      </c>
      <c r="E21" s="431" t="s">
        <v>23</v>
      </c>
      <c r="F21" s="432" t="s">
        <v>33</v>
      </c>
      <c r="G21" s="433" t="s">
        <v>33</v>
      </c>
      <c r="H21" s="434" t="s">
        <v>23</v>
      </c>
      <c r="I21" s="444" t="s">
        <v>23</v>
      </c>
      <c r="J21" s="445" t="s">
        <v>23</v>
      </c>
      <c r="K21" s="448" t="s">
        <v>33</v>
      </c>
      <c r="L21" s="438" t="s">
        <v>33</v>
      </c>
      <c r="M21" s="439" t="s">
        <v>23</v>
      </c>
      <c r="N21" s="524" t="s">
        <v>23</v>
      </c>
    </row>
    <row r="22" spans="2:14" ht="15" thickBot="1">
      <c r="B22" s="446" t="s">
        <v>170</v>
      </c>
      <c r="C22" s="430" t="s">
        <v>33</v>
      </c>
      <c r="D22" s="430" t="s">
        <v>33</v>
      </c>
      <c r="E22" s="431" t="s">
        <v>23</v>
      </c>
      <c r="F22" s="432" t="s">
        <v>33</v>
      </c>
      <c r="G22" s="433" t="s">
        <v>33</v>
      </c>
      <c r="H22" s="434" t="s">
        <v>23</v>
      </c>
      <c r="I22" s="444" t="s">
        <v>23</v>
      </c>
      <c r="J22" s="445" t="s">
        <v>23</v>
      </c>
      <c r="K22" s="448" t="s">
        <v>33</v>
      </c>
      <c r="L22" s="438" t="s">
        <v>33</v>
      </c>
      <c r="M22" s="439" t="s">
        <v>23</v>
      </c>
      <c r="N22" s="524" t="s">
        <v>33</v>
      </c>
    </row>
    <row r="23" spans="2:14" ht="15" thickBot="1">
      <c r="B23" s="446" t="s">
        <v>171</v>
      </c>
      <c r="C23" s="430" t="s">
        <v>23</v>
      </c>
      <c r="D23" s="430" t="s">
        <v>23</v>
      </c>
      <c r="E23" s="431" t="s">
        <v>23</v>
      </c>
      <c r="F23" s="432" t="s">
        <v>33</v>
      </c>
      <c r="G23" s="433" t="s">
        <v>33</v>
      </c>
      <c r="H23" s="434" t="s">
        <v>23</v>
      </c>
      <c r="I23" s="444" t="s">
        <v>23</v>
      </c>
      <c r="J23" s="445" t="s">
        <v>23</v>
      </c>
      <c r="K23" s="448" t="s">
        <v>23</v>
      </c>
      <c r="L23" s="438" t="s">
        <v>23</v>
      </c>
      <c r="M23" s="439" t="s">
        <v>23</v>
      </c>
      <c r="N23" s="524" t="s">
        <v>23</v>
      </c>
    </row>
    <row r="24" spans="2:14" ht="15" thickBot="1">
      <c r="B24" s="446" t="s">
        <v>172</v>
      </c>
      <c r="C24" s="513" t="s">
        <v>33</v>
      </c>
      <c r="D24" s="513" t="s">
        <v>33</v>
      </c>
      <c r="E24" s="514" t="s">
        <v>33</v>
      </c>
      <c r="F24" s="515" t="s">
        <v>173</v>
      </c>
      <c r="G24" s="516" t="s">
        <v>174</v>
      </c>
      <c r="H24" s="515" t="s">
        <v>174</v>
      </c>
      <c r="I24" s="517" t="s">
        <v>33</v>
      </c>
      <c r="J24" s="518" t="s">
        <v>33</v>
      </c>
      <c r="K24" s="519" t="s">
        <v>33</v>
      </c>
      <c r="L24" s="520" t="s">
        <v>33</v>
      </c>
      <c r="M24" s="521" t="s">
        <v>33</v>
      </c>
      <c r="N24" s="522" t="s">
        <v>174</v>
      </c>
    </row>
    <row r="25" spans="2:14">
      <c r="B25" s="511"/>
      <c r="C25" s="39"/>
      <c r="D25" s="39"/>
      <c r="E25" s="39"/>
      <c r="F25" s="39"/>
      <c r="G25" s="39"/>
      <c r="H25" s="39"/>
      <c r="I25" s="39"/>
      <c r="J25" s="39"/>
      <c r="K25" s="512"/>
      <c r="L25" s="39"/>
      <c r="M25" s="39"/>
      <c r="N25" s="39"/>
    </row>
    <row r="26" spans="2:14">
      <c r="B26" t="s">
        <v>175</v>
      </c>
    </row>
    <row r="27" spans="2:14">
      <c r="B27" t="s">
        <v>176</v>
      </c>
    </row>
    <row r="28" spans="2:14">
      <c r="B28" s="510" t="s">
        <v>177</v>
      </c>
    </row>
  </sheetData>
  <pageMargins left="0.25" right="0.25" top="0.75" bottom="0.75" header="0.3" footer="0.3"/>
  <pageSetup paperSize="9" scale="76" orientation="landscape" horizontalDpi="300" verticalDpi="300"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BAB653-8197-46A8-A8E6-BD1336EF172F}">
  <sheetPr codeName="Sheet24"/>
  <dimension ref="A1:E41"/>
  <sheetViews>
    <sheetView zoomScaleNormal="100" workbookViewId="0">
      <selection activeCell="F13" sqref="F13"/>
    </sheetView>
  </sheetViews>
  <sheetFormatPr defaultRowHeight="14.45"/>
  <cols>
    <col min="1" max="1" width="19.5703125" bestFit="1" customWidth="1"/>
    <col min="2" max="2" width="18.28515625" bestFit="1" customWidth="1"/>
    <col min="3" max="3" width="8.85546875" customWidth="1"/>
    <col min="4" max="4" width="32.140625" customWidth="1"/>
    <col min="5" max="5" width="11.5703125" bestFit="1" customWidth="1"/>
  </cols>
  <sheetData>
    <row r="1" spans="1:5">
      <c r="A1" s="986" t="s">
        <v>1152</v>
      </c>
      <c r="B1" s="986"/>
      <c r="D1" s="986" t="s">
        <v>1153</v>
      </c>
      <c r="E1" s="986"/>
    </row>
    <row r="2" spans="1:5">
      <c r="A2" s="347" t="s">
        <v>3</v>
      </c>
      <c r="B2" s="27" t="s">
        <v>1154</v>
      </c>
      <c r="D2" s="27" t="s">
        <v>1053</v>
      </c>
      <c r="E2" s="27" t="s">
        <v>1155</v>
      </c>
    </row>
    <row r="3" spans="1:5">
      <c r="A3" s="27" t="s">
        <v>1156</v>
      </c>
      <c r="B3" s="27" t="s">
        <v>1157</v>
      </c>
      <c r="D3" s="27" t="s">
        <v>147</v>
      </c>
      <c r="E3" s="27" t="s">
        <v>1158</v>
      </c>
    </row>
    <row r="4" spans="1:5">
      <c r="A4" s="27" t="s">
        <v>1159</v>
      </c>
      <c r="B4" s="27" t="s">
        <v>1160</v>
      </c>
      <c r="D4" s="27" t="s">
        <v>1161</v>
      </c>
      <c r="E4" s="27" t="s">
        <v>1162</v>
      </c>
    </row>
    <row r="5" spans="1:5">
      <c r="A5" s="27" t="s">
        <v>563</v>
      </c>
      <c r="B5" s="348" t="s">
        <v>164</v>
      </c>
      <c r="D5" s="27" t="s">
        <v>1163</v>
      </c>
      <c r="E5" s="348" t="s">
        <v>164</v>
      </c>
    </row>
    <row r="6" spans="1:5">
      <c r="A6" s="986" t="s">
        <v>1164</v>
      </c>
      <c r="B6" s="986"/>
      <c r="D6" s="27" t="s">
        <v>154</v>
      </c>
      <c r="E6" s="27" t="s">
        <v>1165</v>
      </c>
    </row>
    <row r="7" spans="1:5">
      <c r="A7" s="27" t="s">
        <v>35</v>
      </c>
      <c r="B7" s="27" t="s">
        <v>23</v>
      </c>
      <c r="D7" s="27" t="s">
        <v>155</v>
      </c>
      <c r="E7" s="27" t="s">
        <v>1166</v>
      </c>
    </row>
    <row r="8" spans="1:5">
      <c r="A8" s="27" t="s">
        <v>1167</v>
      </c>
      <c r="B8" s="27" t="s">
        <v>23</v>
      </c>
      <c r="D8" s="27" t="s">
        <v>1168</v>
      </c>
      <c r="E8" s="27" t="s">
        <v>1169</v>
      </c>
    </row>
    <row r="9" spans="1:5">
      <c r="A9" s="27" t="s">
        <v>1170</v>
      </c>
      <c r="B9" s="27" t="s">
        <v>23</v>
      </c>
      <c r="D9" s="27" t="s">
        <v>832</v>
      </c>
      <c r="E9" s="27" t="s">
        <v>164</v>
      </c>
    </row>
    <row r="10" spans="1:5">
      <c r="A10" s="27" t="s">
        <v>606</v>
      </c>
      <c r="B10" s="27" t="s">
        <v>23</v>
      </c>
      <c r="D10" s="1587" t="s">
        <v>1171</v>
      </c>
      <c r="E10" s="1660" t="s">
        <v>1172</v>
      </c>
    </row>
    <row r="11" spans="1:5">
      <c r="A11" s="27" t="s">
        <v>626</v>
      </c>
      <c r="B11" s="348" t="s">
        <v>164</v>
      </c>
      <c r="D11" s="1587"/>
      <c r="E11" s="1660"/>
    </row>
    <row r="12" spans="1:5">
      <c r="A12" s="27" t="s">
        <v>1173</v>
      </c>
      <c r="B12" s="27" t="s">
        <v>23</v>
      </c>
      <c r="D12" s="27" t="s">
        <v>828</v>
      </c>
      <c r="E12" s="27" t="s">
        <v>1174</v>
      </c>
    </row>
    <row r="13" spans="1:5">
      <c r="A13" s="27" t="s">
        <v>1175</v>
      </c>
      <c r="B13" s="348" t="s">
        <v>164</v>
      </c>
    </row>
    <row r="14" spans="1:5">
      <c r="A14" s="27" t="s">
        <v>1176</v>
      </c>
      <c r="B14" s="348" t="s">
        <v>164</v>
      </c>
    </row>
    <row r="15" spans="1:5">
      <c r="A15" s="27" t="s">
        <v>525</v>
      </c>
      <c r="B15" s="348" t="s">
        <v>164</v>
      </c>
      <c r="D15" s="986" t="s">
        <v>1177</v>
      </c>
      <c r="E15" s="986"/>
    </row>
    <row r="16" spans="1:5">
      <c r="A16" s="27" t="s">
        <v>663</v>
      </c>
      <c r="B16" s="348" t="s">
        <v>164</v>
      </c>
      <c r="D16" s="27" t="s">
        <v>1178</v>
      </c>
      <c r="E16" s="27" t="s">
        <v>1179</v>
      </c>
    </row>
    <row r="17" spans="1:5">
      <c r="A17" s="986" t="s">
        <v>1180</v>
      </c>
      <c r="B17" s="986"/>
      <c r="D17" s="27" t="s">
        <v>1181</v>
      </c>
      <c r="E17" s="27" t="s">
        <v>1182</v>
      </c>
    </row>
    <row r="18" spans="1:5">
      <c r="A18" s="27" t="s">
        <v>1183</v>
      </c>
      <c r="B18" s="349" t="s">
        <v>23</v>
      </c>
      <c r="D18" s="27" t="s">
        <v>1163</v>
      </c>
      <c r="E18" s="348" t="s">
        <v>164</v>
      </c>
    </row>
    <row r="19" spans="1:5">
      <c r="A19" s="27" t="s">
        <v>1184</v>
      </c>
      <c r="B19" s="348" t="s">
        <v>164</v>
      </c>
      <c r="D19" s="27" t="s">
        <v>1185</v>
      </c>
      <c r="E19" s="27" t="s">
        <v>1186</v>
      </c>
    </row>
    <row r="20" spans="1:5">
      <c r="A20" s="27" t="s">
        <v>1187</v>
      </c>
      <c r="B20" s="349" t="s">
        <v>23</v>
      </c>
      <c r="D20" s="27" t="s">
        <v>1188</v>
      </c>
      <c r="E20" s="27" t="s">
        <v>1189</v>
      </c>
    </row>
    <row r="21" spans="1:5">
      <c r="A21" s="986" t="s">
        <v>135</v>
      </c>
      <c r="B21" s="986"/>
      <c r="D21" s="27" t="s">
        <v>1190</v>
      </c>
      <c r="E21" s="27" t="s">
        <v>1191</v>
      </c>
    </row>
    <row r="22" spans="1:5">
      <c r="A22" s="27" t="s">
        <v>600</v>
      </c>
      <c r="B22" s="27" t="s">
        <v>23</v>
      </c>
      <c r="D22" s="27" t="s">
        <v>1192</v>
      </c>
      <c r="E22" s="27" t="s">
        <v>1193</v>
      </c>
    </row>
    <row r="23" spans="1:5">
      <c r="A23" s="27" t="s">
        <v>20</v>
      </c>
      <c r="B23" s="27" t="s">
        <v>23</v>
      </c>
      <c r="D23" s="27" t="s">
        <v>1194</v>
      </c>
      <c r="E23" s="27" t="s">
        <v>1195</v>
      </c>
    </row>
    <row r="24" spans="1:5">
      <c r="A24" s="27" t="s">
        <v>610</v>
      </c>
      <c r="B24" s="27" t="s">
        <v>23</v>
      </c>
      <c r="D24" s="27" t="s">
        <v>1196</v>
      </c>
      <c r="E24" s="348" t="s">
        <v>164</v>
      </c>
    </row>
    <row r="25" spans="1:5">
      <c r="A25" s="27" t="s">
        <v>639</v>
      </c>
      <c r="B25" s="348" t="s">
        <v>164</v>
      </c>
    </row>
    <row r="26" spans="1:5">
      <c r="A26" s="27" t="s">
        <v>1197</v>
      </c>
      <c r="B26" s="348" t="s">
        <v>164</v>
      </c>
    </row>
    <row r="27" spans="1:5">
      <c r="A27" s="27" t="s">
        <v>1198</v>
      </c>
      <c r="B27" s="348" t="s">
        <v>164</v>
      </c>
    </row>
    <row r="28" spans="1:5">
      <c r="A28" s="27" t="s">
        <v>629</v>
      </c>
      <c r="B28" s="350" t="s">
        <v>1199</v>
      </c>
    </row>
    <row r="29" spans="1:5">
      <c r="A29" s="986" t="s">
        <v>1200</v>
      </c>
      <c r="B29" s="986"/>
    </row>
    <row r="30" spans="1:5">
      <c r="A30" s="27" t="s">
        <v>1201</v>
      </c>
      <c r="B30" s="27" t="s">
        <v>23</v>
      </c>
    </row>
    <row r="31" spans="1:5">
      <c r="A31" s="27" t="s">
        <v>324</v>
      </c>
      <c r="B31" s="27" t="s">
        <v>23</v>
      </c>
    </row>
    <row r="33" spans="1:3">
      <c r="B33" s="26" t="s">
        <v>1053</v>
      </c>
      <c r="C33" s="26" t="s">
        <v>1202</v>
      </c>
    </row>
    <row r="34" spans="1:3">
      <c r="A34" s="27" t="s">
        <v>1203</v>
      </c>
      <c r="B34" s="27" t="s">
        <v>1179</v>
      </c>
      <c r="C34" s="27" t="s">
        <v>1204</v>
      </c>
    </row>
    <row r="35" spans="1:3">
      <c r="A35" s="27" t="s">
        <v>1205</v>
      </c>
      <c r="B35" s="27" t="s">
        <v>1206</v>
      </c>
      <c r="C35" s="27" t="s">
        <v>1207</v>
      </c>
    </row>
    <row r="36" spans="1:3">
      <c r="A36" s="27" t="s">
        <v>1208</v>
      </c>
      <c r="B36" s="27" t="s">
        <v>1206</v>
      </c>
      <c r="C36" s="27" t="s">
        <v>1209</v>
      </c>
    </row>
    <row r="37" spans="1:3">
      <c r="A37" s="27" t="s">
        <v>1210</v>
      </c>
      <c r="B37" s="27" t="s">
        <v>1211</v>
      </c>
      <c r="C37" s="27" t="s">
        <v>1212</v>
      </c>
    </row>
    <row r="38" spans="1:3">
      <c r="A38" s="27" t="s">
        <v>1213</v>
      </c>
      <c r="B38" s="348" t="s">
        <v>164</v>
      </c>
      <c r="C38" s="348" t="s">
        <v>164</v>
      </c>
    </row>
    <row r="39" spans="1:3">
      <c r="A39" s="27" t="s">
        <v>1214</v>
      </c>
      <c r="B39" s="27" t="s">
        <v>1215</v>
      </c>
      <c r="C39" s="27" t="s">
        <v>1215</v>
      </c>
    </row>
    <row r="40" spans="1:3">
      <c r="A40" s="27" t="s">
        <v>1216</v>
      </c>
      <c r="B40" s="27" t="s">
        <v>1215</v>
      </c>
      <c r="C40" s="27" t="s">
        <v>1215</v>
      </c>
    </row>
    <row r="41" spans="1:3">
      <c r="A41" s="27"/>
      <c r="B41" s="27"/>
      <c r="C41" s="27"/>
    </row>
  </sheetData>
  <sheetProtection algorithmName="SHA-512" hashValue="dK3/kb4y5TbSfZkeWM3VIGobRxWRPP90QV6ZlQ+o/wWhWqc1jHzbY695xEgkXylQWfK8Ap5cbwDs3TqaD0+GgA==" saltValue="prfbX/f+uTiJ5E6X9WEiUg==" spinCount="100000" sheet="1" objects="1" scenarios="1"/>
  <mergeCells count="9">
    <mergeCell ref="A17:B17"/>
    <mergeCell ref="A21:B21"/>
    <mergeCell ref="A29:B29"/>
    <mergeCell ref="D1:E1"/>
    <mergeCell ref="D10:D11"/>
    <mergeCell ref="E10:E11"/>
    <mergeCell ref="D15:E15"/>
    <mergeCell ref="A1:B1"/>
    <mergeCell ref="A6:B6"/>
  </mergeCells>
  <pageMargins left="0.7" right="0.7" top="0.75" bottom="0.75" header="0.3" footer="0.3"/>
  <pageSetup paperSize="9" scale="98" orientation="portrait" horizontalDpi="300" verticalDpi="300" r:id="rId1"/>
  <headerFooter>
    <oddHeader>&amp;CHAMPTON SHUTTER SPECIFICATION</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979A6A-49C3-4187-932F-B80925E11DF9}">
  <sheetPr codeName="Sheet25"/>
  <dimension ref="A1:F41"/>
  <sheetViews>
    <sheetView zoomScaleNormal="100" workbookViewId="0">
      <selection activeCell="E6" sqref="E6"/>
    </sheetView>
  </sheetViews>
  <sheetFormatPr defaultRowHeight="14.45"/>
  <cols>
    <col min="1" max="1" width="19.5703125" bestFit="1" customWidth="1"/>
    <col min="2" max="2" width="18.28515625" bestFit="1" customWidth="1"/>
    <col min="3" max="3" width="8.85546875" customWidth="1"/>
    <col min="4" max="4" width="32.140625" customWidth="1"/>
    <col min="5" max="5" width="11.5703125" bestFit="1" customWidth="1"/>
  </cols>
  <sheetData>
    <row r="1" spans="1:6">
      <c r="A1" s="986" t="s">
        <v>1152</v>
      </c>
      <c r="B1" s="986"/>
      <c r="D1" s="986" t="s">
        <v>1153</v>
      </c>
      <c r="E1" s="986"/>
    </row>
    <row r="2" spans="1:6">
      <c r="A2" s="347" t="s">
        <v>3</v>
      </c>
      <c r="B2" s="27" t="s">
        <v>1217</v>
      </c>
      <c r="D2" s="27" t="s">
        <v>1053</v>
      </c>
      <c r="E2" s="27" t="s">
        <v>1155</v>
      </c>
    </row>
    <row r="3" spans="1:6">
      <c r="A3" s="27" t="s">
        <v>1156</v>
      </c>
      <c r="B3" s="27" t="s">
        <v>1218</v>
      </c>
      <c r="D3" s="27" t="s">
        <v>147</v>
      </c>
      <c r="E3" s="27" t="s">
        <v>1219</v>
      </c>
    </row>
    <row r="4" spans="1:6">
      <c r="A4" s="27" t="s">
        <v>1159</v>
      </c>
      <c r="B4" s="27" t="s">
        <v>1220</v>
      </c>
      <c r="D4" s="27" t="s">
        <v>1161</v>
      </c>
      <c r="E4" s="27" t="s">
        <v>1162</v>
      </c>
    </row>
    <row r="5" spans="1:6">
      <c r="A5" s="27" t="s">
        <v>563</v>
      </c>
      <c r="B5" t="s">
        <v>23</v>
      </c>
      <c r="D5" s="27" t="s">
        <v>1221</v>
      </c>
      <c r="E5" t="s">
        <v>1222</v>
      </c>
    </row>
    <row r="6" spans="1:6">
      <c r="A6" s="986" t="s">
        <v>1164</v>
      </c>
      <c r="B6" s="986"/>
      <c r="D6" s="27" t="s">
        <v>154</v>
      </c>
      <c r="E6" s="356" t="s">
        <v>1223</v>
      </c>
    </row>
    <row r="7" spans="1:6">
      <c r="A7" s="27" t="s">
        <v>35</v>
      </c>
      <c r="B7" s="27" t="s">
        <v>23</v>
      </c>
      <c r="D7" s="27" t="s">
        <v>155</v>
      </c>
      <c r="E7" s="27" t="s">
        <v>1224</v>
      </c>
    </row>
    <row r="8" spans="1:6">
      <c r="A8" s="27" t="s">
        <v>1167</v>
      </c>
      <c r="B8" s="27" t="s">
        <v>23</v>
      </c>
      <c r="D8" s="27" t="s">
        <v>1168</v>
      </c>
      <c r="E8" s="27" t="s">
        <v>1225</v>
      </c>
    </row>
    <row r="9" spans="1:6">
      <c r="A9" s="27" t="s">
        <v>1170</v>
      </c>
      <c r="B9" s="27" t="s">
        <v>23</v>
      </c>
      <c r="D9" s="27" t="s">
        <v>1226</v>
      </c>
      <c r="E9" s="27" t="s">
        <v>1227</v>
      </c>
    </row>
    <row r="10" spans="1:6">
      <c r="A10" s="27" t="s">
        <v>606</v>
      </c>
      <c r="B10" s="27" t="s">
        <v>23</v>
      </c>
      <c r="D10" s="1587" t="s">
        <v>1171</v>
      </c>
      <c r="E10" s="1660" t="s">
        <v>1228</v>
      </c>
    </row>
    <row r="11" spans="1:6">
      <c r="A11" s="27" t="s">
        <v>626</v>
      </c>
      <c r="B11" s="356" t="s">
        <v>1228</v>
      </c>
      <c r="D11" s="1587"/>
      <c r="E11" s="1660"/>
    </row>
    <row r="12" spans="1:6">
      <c r="A12" s="27" t="s">
        <v>1173</v>
      </c>
      <c r="B12" s="356" t="s">
        <v>1228</v>
      </c>
      <c r="D12" s="27" t="s">
        <v>1229</v>
      </c>
      <c r="E12" s="27" t="s">
        <v>1230</v>
      </c>
    </row>
    <row r="13" spans="1:6">
      <c r="A13" s="27" t="s">
        <v>1175</v>
      </c>
      <c r="B13" s="349" t="s">
        <v>23</v>
      </c>
    </row>
    <row r="14" spans="1:6">
      <c r="A14" s="27" t="s">
        <v>1176</v>
      </c>
      <c r="B14" s="349" t="s">
        <v>23</v>
      </c>
    </row>
    <row r="15" spans="1:6">
      <c r="A15" s="27" t="s">
        <v>525</v>
      </c>
      <c r="B15" s="349" t="s">
        <v>23</v>
      </c>
      <c r="D15" s="986" t="s">
        <v>1177</v>
      </c>
      <c r="E15" s="986"/>
    </row>
    <row r="16" spans="1:6">
      <c r="A16" s="27" t="s">
        <v>663</v>
      </c>
      <c r="B16" s="349" t="s">
        <v>23</v>
      </c>
      <c r="D16" s="27" t="s">
        <v>1178</v>
      </c>
      <c r="E16" s="27" t="s">
        <v>1231</v>
      </c>
      <c r="F16" s="262" t="s">
        <v>1232</v>
      </c>
    </row>
    <row r="17" spans="1:5">
      <c r="A17" s="986" t="s">
        <v>1180</v>
      </c>
      <c r="B17" s="986"/>
      <c r="D17" s="27" t="s">
        <v>1181</v>
      </c>
      <c r="E17" s="27" t="s">
        <v>1182</v>
      </c>
    </row>
    <row r="18" spans="1:5">
      <c r="A18" s="27" t="s">
        <v>1183</v>
      </c>
      <c r="B18" s="348" t="s">
        <v>164</v>
      </c>
      <c r="D18" s="27" t="s">
        <v>1163</v>
      </c>
      <c r="E18" s="348" t="s">
        <v>164</v>
      </c>
    </row>
    <row r="19" spans="1:5">
      <c r="A19" s="27" t="s">
        <v>1184</v>
      </c>
      <c r="B19" s="348" t="s">
        <v>164</v>
      </c>
      <c r="D19" s="27" t="s">
        <v>1185</v>
      </c>
      <c r="E19" s="27" t="s">
        <v>1186</v>
      </c>
    </row>
    <row r="20" spans="1:5">
      <c r="A20" s="27" t="s">
        <v>1233</v>
      </c>
      <c r="B20" s="349" t="s">
        <v>23</v>
      </c>
      <c r="D20" s="27" t="s">
        <v>1188</v>
      </c>
      <c r="E20" s="27" t="s">
        <v>1189</v>
      </c>
    </row>
    <row r="21" spans="1:5">
      <c r="A21" s="986" t="s">
        <v>135</v>
      </c>
      <c r="B21" s="986"/>
      <c r="D21" s="27" t="s">
        <v>1190</v>
      </c>
      <c r="E21" s="27" t="s">
        <v>1191</v>
      </c>
    </row>
    <row r="22" spans="1:5">
      <c r="A22" s="27" t="s">
        <v>600</v>
      </c>
      <c r="B22" s="348" t="s">
        <v>164</v>
      </c>
      <c r="D22" s="27" t="s">
        <v>1192</v>
      </c>
      <c r="E22" s="27" t="s">
        <v>1193</v>
      </c>
    </row>
    <row r="23" spans="1:5">
      <c r="A23" s="27" t="s">
        <v>20</v>
      </c>
      <c r="B23" s="27" t="s">
        <v>23</v>
      </c>
      <c r="D23" s="27" t="s">
        <v>1194</v>
      </c>
      <c r="E23" s="27" t="s">
        <v>1195</v>
      </c>
    </row>
    <row r="24" spans="1:5">
      <c r="A24" s="27" t="s">
        <v>610</v>
      </c>
      <c r="B24" s="27" t="s">
        <v>23</v>
      </c>
      <c r="D24" s="27" t="s">
        <v>1196</v>
      </c>
      <c r="E24" s="348" t="s">
        <v>164</v>
      </c>
    </row>
    <row r="25" spans="1:5">
      <c r="A25" s="27" t="s">
        <v>639</v>
      </c>
      <c r="B25" s="348" t="s">
        <v>164</v>
      </c>
    </row>
    <row r="26" spans="1:5">
      <c r="A26" s="27"/>
      <c r="B26" s="355"/>
    </row>
    <row r="27" spans="1:5">
      <c r="A27" s="27"/>
      <c r="B27" s="355"/>
    </row>
    <row r="28" spans="1:5">
      <c r="A28" s="27"/>
      <c r="B28" s="27"/>
    </row>
    <row r="29" spans="1:5">
      <c r="A29" s="986" t="s">
        <v>1200</v>
      </c>
      <c r="B29" s="986"/>
    </row>
    <row r="30" spans="1:5">
      <c r="A30" s="27" t="s">
        <v>1201</v>
      </c>
      <c r="B30" s="27" t="s">
        <v>23</v>
      </c>
    </row>
    <row r="31" spans="1:5">
      <c r="A31" s="27" t="s">
        <v>324</v>
      </c>
      <c r="B31" s="27" t="s">
        <v>23</v>
      </c>
    </row>
    <row r="33" spans="1:3">
      <c r="B33" s="26" t="s">
        <v>1053</v>
      </c>
      <c r="C33" s="26" t="s">
        <v>1202</v>
      </c>
    </row>
    <row r="34" spans="1:3">
      <c r="A34" s="27" t="s">
        <v>1203</v>
      </c>
      <c r="B34" s="27" t="s">
        <v>1179</v>
      </c>
      <c r="C34" s="27" t="s">
        <v>1204</v>
      </c>
    </row>
    <row r="35" spans="1:3">
      <c r="A35" s="27" t="s">
        <v>1205</v>
      </c>
      <c r="B35" s="27" t="s">
        <v>1206</v>
      </c>
      <c r="C35" s="27" t="s">
        <v>1207</v>
      </c>
    </row>
    <row r="36" spans="1:3">
      <c r="A36" s="27" t="s">
        <v>1208</v>
      </c>
      <c r="B36" s="27" t="s">
        <v>1206</v>
      </c>
      <c r="C36" s="27" t="s">
        <v>1209</v>
      </c>
    </row>
    <row r="37" spans="1:3">
      <c r="A37" s="27" t="s">
        <v>1210</v>
      </c>
      <c r="B37" s="27" t="s">
        <v>1211</v>
      </c>
      <c r="C37" s="27" t="s">
        <v>1212</v>
      </c>
    </row>
    <row r="38" spans="1:3">
      <c r="A38" s="27" t="s">
        <v>1213</v>
      </c>
      <c r="B38" s="348" t="s">
        <v>164</v>
      </c>
      <c r="C38" s="348" t="s">
        <v>164</v>
      </c>
    </row>
    <row r="39" spans="1:3">
      <c r="A39" s="27" t="s">
        <v>1214</v>
      </c>
      <c r="B39" s="27" t="s">
        <v>1215</v>
      </c>
      <c r="C39" s="27" t="s">
        <v>1215</v>
      </c>
    </row>
    <row r="40" spans="1:3">
      <c r="A40" s="27" t="s">
        <v>1216</v>
      </c>
      <c r="B40" s="27" t="s">
        <v>1215</v>
      </c>
      <c r="C40" s="27" t="s">
        <v>1215</v>
      </c>
    </row>
    <row r="41" spans="1:3">
      <c r="A41" s="27"/>
      <c r="B41" s="27"/>
      <c r="C41" s="27"/>
    </row>
  </sheetData>
  <mergeCells count="9">
    <mergeCell ref="A17:B17"/>
    <mergeCell ref="A21:B21"/>
    <mergeCell ref="A29:B29"/>
    <mergeCell ref="A1:B1"/>
    <mergeCell ref="D1:E1"/>
    <mergeCell ref="A6:B6"/>
    <mergeCell ref="D10:D11"/>
    <mergeCell ref="E10:E11"/>
    <mergeCell ref="D15:E15"/>
  </mergeCells>
  <pageMargins left="0.7" right="0.7" top="0.75" bottom="0.75" header="0.3" footer="0.3"/>
  <pageSetup paperSize="9" scale="98" orientation="portrait" horizontalDpi="300" verticalDpi="300" r:id="rId1"/>
  <headerFooter>
    <oddHeader>&amp;CHAMPTON SHUTTER SPECIFICATION</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600936-D2A6-42AA-821C-EF11725EDAF9}">
  <sheetPr codeName="Sheet4">
    <pageSetUpPr fitToPage="1"/>
  </sheetPr>
  <dimension ref="A1:W58"/>
  <sheetViews>
    <sheetView showGridLines="0" zoomScaleNormal="100" workbookViewId="0">
      <selection activeCell="E26" sqref="E26"/>
    </sheetView>
  </sheetViews>
  <sheetFormatPr defaultColWidth="9.140625" defaultRowHeight="14.45"/>
  <cols>
    <col min="1" max="1" width="14" customWidth="1"/>
    <col min="2" max="2" width="11" customWidth="1"/>
    <col min="3" max="3" width="12.140625" customWidth="1"/>
    <col min="4" max="4" width="1.42578125" customWidth="1"/>
    <col min="5" max="5" width="10" customWidth="1"/>
    <col min="6" max="6" width="5.140625" customWidth="1"/>
    <col min="7" max="7" width="12" customWidth="1"/>
    <col min="9" max="9" width="16.140625" customWidth="1"/>
    <col min="10" max="11" width="14.7109375" customWidth="1"/>
    <col min="22" max="22" width="10" bestFit="1" customWidth="1"/>
  </cols>
  <sheetData>
    <row r="1" spans="1:23">
      <c r="A1" s="977"/>
      <c r="B1" s="978"/>
      <c r="C1" s="978"/>
      <c r="D1" s="978"/>
      <c r="E1" s="978"/>
      <c r="F1" s="978"/>
      <c r="G1" s="978"/>
      <c r="H1" s="978"/>
      <c r="I1" s="978"/>
      <c r="J1" s="978"/>
      <c r="K1" s="979"/>
    </row>
    <row r="2" spans="1:23">
      <c r="A2" s="980"/>
      <c r="B2" s="981"/>
      <c r="C2" s="981"/>
      <c r="D2" s="981"/>
      <c r="E2" s="981"/>
      <c r="F2" s="981"/>
      <c r="G2" s="981"/>
      <c r="H2" s="981"/>
      <c r="I2" s="981"/>
      <c r="J2" s="981"/>
      <c r="K2" s="982"/>
    </row>
    <row r="3" spans="1:23">
      <c r="A3" s="980"/>
      <c r="B3" s="981"/>
      <c r="C3" s="981"/>
      <c r="D3" s="981"/>
      <c r="E3" s="981"/>
      <c r="F3" s="981"/>
      <c r="G3" s="981"/>
      <c r="H3" s="981"/>
      <c r="I3" s="981"/>
      <c r="J3" s="981"/>
      <c r="K3" s="982"/>
      <c r="O3" t="s">
        <v>178</v>
      </c>
    </row>
    <row r="4" spans="1:23" ht="15" thickBot="1">
      <c r="A4" s="980"/>
      <c r="B4" s="981"/>
      <c r="C4" s="981"/>
      <c r="D4" s="981"/>
      <c r="E4" s="981"/>
      <c r="F4" s="981"/>
      <c r="G4" s="983"/>
      <c r="H4" s="983"/>
      <c r="I4" s="983"/>
      <c r="J4" s="983"/>
      <c r="K4" s="984"/>
      <c r="O4" s="976" t="str">
        <f>IF(Pricing!B59="","",Pricing!B59)</f>
        <v/>
      </c>
      <c r="P4" s="976"/>
    </row>
    <row r="5" spans="1:23" ht="15" customHeight="1" thickBot="1">
      <c r="A5" s="357"/>
      <c r="B5" s="357"/>
      <c r="C5" s="357"/>
      <c r="D5" s="357"/>
      <c r="E5" s="357"/>
      <c r="F5" s="357"/>
      <c r="G5" s="14"/>
      <c r="H5" s="358"/>
      <c r="I5" s="358"/>
      <c r="J5" s="1078" t="s">
        <v>179</v>
      </c>
      <c r="K5" s="1079"/>
      <c r="O5" t="s">
        <v>180</v>
      </c>
      <c r="R5" s="1007" t="s">
        <v>181</v>
      </c>
      <c r="S5" s="1007"/>
      <c r="T5" s="1008"/>
      <c r="U5" s="71" t="s">
        <v>182</v>
      </c>
      <c r="V5" s="71" t="s">
        <v>62</v>
      </c>
      <c r="W5" s="361" t="s">
        <v>183</v>
      </c>
    </row>
    <row r="6" spans="1:23" ht="15" customHeight="1" thickBot="1">
      <c r="A6" s="985" t="str">
        <f xml:space="preserve"> "QUOTE DATE: "</f>
        <v xml:space="preserve">QUOTE DATE: </v>
      </c>
      <c r="B6" s="1053" t="str">
        <f ca="1" xml:space="preserve"> TEXT(TODAY(),"dd/mm/yyyy")</f>
        <v>14/06/2024</v>
      </c>
      <c r="C6" s="1054"/>
      <c r="D6" s="986" t="s">
        <v>184</v>
      </c>
      <c r="E6" s="986"/>
      <c r="F6" s="986"/>
      <c r="G6" s="14"/>
      <c r="H6" s="327"/>
      <c r="I6" s="327"/>
      <c r="J6" s="1082" t="s">
        <v>185</v>
      </c>
      <c r="K6" s="1083"/>
      <c r="O6" s="976" t="str">
        <f>IF(Pricing!B66="","",Pricing!B66)</f>
        <v/>
      </c>
      <c r="P6" s="976"/>
      <c r="R6" s="1005" t="str">
        <f>IF(OR(Pricing!C8="",Pricing!AE8="Quoted"),"",Pricing!C8 &amp; " " &amp;Pricing!C9 &amp; " " &amp;Pricing!C10)</f>
        <v xml:space="preserve">Dining room  </v>
      </c>
      <c r="S6" s="1005"/>
      <c r="T6" s="1006"/>
      <c r="U6" s="72"/>
      <c r="V6" s="362">
        <f>Pricing!AE9-Matrix2!Z33</f>
        <v>3945.2363850000002</v>
      </c>
      <c r="W6" s="360">
        <f>IF(OR(Pricing!AE10=0,Pricing!AE8="Quoted"),"",Pricing!AE10)-Matrix2!Z33</f>
        <v>2814.9380262500003</v>
      </c>
    </row>
    <row r="7" spans="1:23" ht="15" customHeight="1" thickBot="1">
      <c r="A7" s="985"/>
      <c r="B7" s="1055"/>
      <c r="C7" s="1056"/>
      <c r="D7" s="987" t="str">
        <f>IF(Pricing!E62="","",Pricing!E62)</f>
        <v/>
      </c>
      <c r="E7" s="987"/>
      <c r="F7" s="987"/>
      <c r="G7" s="14"/>
      <c r="H7" s="374"/>
      <c r="I7" s="327"/>
      <c r="J7" s="1078" t="s">
        <v>186</v>
      </c>
      <c r="K7" s="1079"/>
      <c r="O7" t="s">
        <v>187</v>
      </c>
      <c r="R7" s="1005" t="str">
        <f>IF(OR(Pricing!C11="",Pricing!AE11="Quoted"),"",Pricing!C11 &amp; " " &amp; Pricing!C12 &amp; " " &amp; Pricing!C13)</f>
        <v xml:space="preserve">Office  </v>
      </c>
      <c r="S7" s="1005"/>
      <c r="T7" s="1006"/>
      <c r="U7" s="72"/>
      <c r="V7" s="362">
        <f>Pricing!AE12-Matrix2!Z34</f>
        <v>417.280575</v>
      </c>
      <c r="W7" s="360">
        <f>IF(OR(Pricing!AE13=0,Pricing!AE11="Quoted"),"",Pricing!AE13)-Matrix2!Z34</f>
        <v>303.50049374999998</v>
      </c>
    </row>
    <row r="8" spans="1:23" ht="18.95" thickBot="1">
      <c r="A8" s="1050" t="s">
        <v>188</v>
      </c>
      <c r="B8" s="1050"/>
      <c r="C8" s="1050"/>
      <c r="D8" s="1050" t="s">
        <v>189</v>
      </c>
      <c r="E8" s="1050"/>
      <c r="F8" s="1050"/>
      <c r="G8" s="190"/>
      <c r="I8" s="14"/>
      <c r="J8" s="14"/>
      <c r="K8" s="142"/>
      <c r="O8" s="976" t="str">
        <f>IF(Pricing!B69="","",Pricing!B69)</f>
        <v/>
      </c>
      <c r="P8" s="976"/>
      <c r="R8" s="1005" t="str">
        <f>IF(OR(Pricing!C14="",Pricing!AE14="Quoted"),"",Pricing!C14 &amp; " " &amp; Pricing!C15 &amp; " " &amp; Pricing!C16)</f>
        <v xml:space="preserve">Living room  </v>
      </c>
      <c r="S8" s="1005"/>
      <c r="T8" s="1006"/>
      <c r="U8" s="72"/>
      <c r="V8" s="362">
        <f>Pricing!AE15-Matrix2!Z35</f>
        <v>1754.5655399999998</v>
      </c>
      <c r="W8" s="360">
        <f>IF(OR(Pricing!AE16=0,Pricing!AE14="Quoted"),"",Pricing!AE16)-Matrix2!Z35</f>
        <v>1171.3171050000001</v>
      </c>
    </row>
    <row r="9" spans="1:23" ht="18.600000000000001" customHeight="1" thickBot="1">
      <c r="A9" s="1080" t="str">
        <f>IF(O4="","",O4)</f>
        <v/>
      </c>
      <c r="B9" s="1080"/>
      <c r="C9" s="1080"/>
      <c r="D9" s="987" t="str">
        <f>IF(O17="","",O17)</f>
        <v/>
      </c>
      <c r="E9" s="987"/>
      <c r="F9" s="987"/>
      <c r="G9" s="14"/>
      <c r="H9" s="14"/>
      <c r="I9" s="14"/>
      <c r="J9" s="14"/>
      <c r="K9" s="142"/>
      <c r="O9" s="976"/>
      <c r="P9" s="976"/>
      <c r="R9" s="1005" t="str">
        <f>IF(OR(Pricing!C17="",,Pricing!AE17="Quoted"),"",Pricing!C17 &amp; " " &amp;Pricing!C18 &amp; " " &amp; Pricing!C19)</f>
        <v xml:space="preserve">Bedroom Front Right </v>
      </c>
      <c r="S9" s="1005"/>
      <c r="T9" s="1006"/>
      <c r="U9" s="72"/>
      <c r="V9" s="362">
        <f>Pricing!AE18-Matrix2!Z36</f>
        <v>1057.202055</v>
      </c>
      <c r="W9" s="360">
        <f>IF(OR(Pricing!AE19=0,Pricing!AE17="Quoted"),"",Pricing!AE19)-Matrix2!Z36</f>
        <v>705.7695037499999</v>
      </c>
    </row>
    <row r="10" spans="1:23" ht="15" customHeight="1" thickBot="1">
      <c r="A10" s="1080"/>
      <c r="B10" s="1080"/>
      <c r="C10" s="1080"/>
      <c r="D10" s="987"/>
      <c r="E10" s="987"/>
      <c r="F10" s="987"/>
      <c r="G10" s="14"/>
      <c r="H10" s="14"/>
      <c r="I10" s="14"/>
      <c r="J10" s="14"/>
      <c r="K10" s="142"/>
      <c r="O10" s="976"/>
      <c r="P10" s="976"/>
      <c r="R10" s="1005" t="str">
        <f>IF(OR(Pricing!C20="",Pricing!AE20="Quoted"),"",Pricing!C20 &amp; " " &amp;Pricing!C21 &amp; " " &amp;Pricing!C22)</f>
        <v/>
      </c>
      <c r="S10" s="1005"/>
      <c r="T10" s="1006"/>
      <c r="U10" s="72"/>
      <c r="V10" s="362">
        <f>Pricing!AE21-Matrix2!Z37</f>
        <v>0</v>
      </c>
      <c r="W10" s="360" t="e">
        <f>IF(OR(Pricing!AE22=0,Pricing!AE20="Quoted"),"",Pricing!AE22)-Matrix2!Z37</f>
        <v>#VALUE!</v>
      </c>
    </row>
    <row r="11" spans="1:23" ht="15" thickBot="1">
      <c r="A11" s="1057" t="s">
        <v>190</v>
      </c>
      <c r="B11" s="1060" t="str">
        <f>IF(Pricing!B66="","",Pricing!B66)</f>
        <v/>
      </c>
      <c r="C11" s="1061"/>
      <c r="D11" s="1061"/>
      <c r="E11" s="1061"/>
      <c r="F11" s="1062"/>
      <c r="G11" s="14"/>
      <c r="H11" s="14"/>
      <c r="I11" s="14"/>
      <c r="J11" s="14"/>
      <c r="K11" s="142"/>
      <c r="O11" s="976"/>
      <c r="P11" s="976"/>
      <c r="R11" s="1005" t="str">
        <f>IF(OR(Pricing!C23="",Pricing!AE23),"",Pricing!C23 &amp; " " &amp; Pricing!C24 &amp; " " &amp; Pricing!C25)</f>
        <v/>
      </c>
      <c r="S11" s="1005"/>
      <c r="T11" s="1006"/>
      <c r="U11" s="72"/>
      <c r="V11" s="362">
        <f>Pricing!AE24-Matrix2!Z38</f>
        <v>0</v>
      </c>
      <c r="W11" s="360" t="e">
        <f>IF(OR(Pricing!AE25=0,Pricing!AE23="Quoted"),"",Pricing!AE25)-Matrix2!Z38</f>
        <v>#VALUE!</v>
      </c>
    </row>
    <row r="12" spans="1:23" ht="15" thickBot="1">
      <c r="A12" s="1058"/>
      <c r="B12" s="1063"/>
      <c r="C12" s="1064"/>
      <c r="D12" s="1064"/>
      <c r="E12" s="1064"/>
      <c r="F12" s="1065"/>
      <c r="G12" s="14"/>
      <c r="H12" s="14"/>
      <c r="I12" s="14"/>
      <c r="J12" s="14"/>
      <c r="K12" s="142"/>
      <c r="O12" s="976"/>
      <c r="P12" s="976"/>
      <c r="R12" s="1005" t="str">
        <f>IF(OR(Pricing!C26="",Pricing!AE26="Quoted"),"",Pricing!C26 &amp; " " &amp; Pricing!C27 &amp; " " &amp; Pricing!C28)</f>
        <v/>
      </c>
      <c r="S12" s="1005"/>
      <c r="T12" s="1006"/>
      <c r="U12" s="72"/>
      <c r="V12" s="362">
        <f>Pricing!AE27-Matrix2!Z39</f>
        <v>0</v>
      </c>
      <c r="W12" s="360" t="e">
        <f>IF(OR(Pricing!AE28=0,Pricing!AE26="Quoted"),"",Pricing!AE28)-Matrix2!Z39</f>
        <v>#VALUE!</v>
      </c>
    </row>
    <row r="13" spans="1:23" ht="15" customHeight="1" thickBot="1">
      <c r="A13" s="1059"/>
      <c r="B13" s="1066"/>
      <c r="C13" s="1067"/>
      <c r="D13" s="1067"/>
      <c r="E13" s="1067"/>
      <c r="F13" s="1068"/>
      <c r="G13" s="14"/>
      <c r="H13" s="14"/>
      <c r="I13" s="14"/>
      <c r="J13" s="14"/>
      <c r="K13" s="142"/>
      <c r="O13" s="976"/>
      <c r="P13" s="976"/>
      <c r="R13" s="1005" t="str">
        <f>IF(OR(Pricing!C29="",Pricing!AE29="Quoted"),"",Pricing!C29 &amp; " " &amp;Pricing!C30 &amp; " " &amp; Pricing!C31)</f>
        <v/>
      </c>
      <c r="S13" s="1005"/>
      <c r="T13" s="1006"/>
      <c r="U13" s="72"/>
      <c r="V13" s="362">
        <f>Pricing!AE30-Matrix2!Z40</f>
        <v>0</v>
      </c>
      <c r="W13" s="360" t="e">
        <f>IF(OR(Pricing!AE31=0,Pricing!AE29="Quoted"),"",Pricing!AE31)-Matrix2!Z40</f>
        <v>#VALUE!</v>
      </c>
    </row>
    <row r="14" spans="1:23" ht="15" thickBot="1">
      <c r="A14" s="1081" t="s">
        <v>191</v>
      </c>
      <c r="B14" s="1069" t="str">
        <f>IF(Pricing!B69="","",Pricing!B69)</f>
        <v/>
      </c>
      <c r="C14" s="1070"/>
      <c r="D14" s="1070"/>
      <c r="E14" s="1070"/>
      <c r="F14" s="1071"/>
      <c r="G14" s="14"/>
      <c r="H14" s="14"/>
      <c r="I14" s="14"/>
      <c r="J14" s="14"/>
      <c r="K14" s="142"/>
      <c r="O14" t="s">
        <v>192</v>
      </c>
      <c r="R14" s="1005" t="str">
        <f>IF(OR(Pricing!C32="",Pricing!AE32="Quoted"),"",Pricing!C32 &amp; " " &amp; Pricing!C33 &amp; " " &amp; Pricing!C34)</f>
        <v/>
      </c>
      <c r="S14" s="1005"/>
      <c r="T14" s="1006"/>
      <c r="U14" s="72"/>
      <c r="V14" s="362">
        <f>Pricing!AE33-Matrix2!Z41</f>
        <v>0</v>
      </c>
      <c r="W14" s="360" t="e">
        <f>IF(OR(Pricing!AE34=0,Pricing!AE32="Quoted"),"",Pricing!AE34)-Matrix2!Z41</f>
        <v>#VALUE!</v>
      </c>
    </row>
    <row r="15" spans="1:23" ht="15" thickBot="1">
      <c r="A15" s="1081"/>
      <c r="B15" s="1072"/>
      <c r="C15" s="1073"/>
      <c r="D15" s="1073"/>
      <c r="E15" s="1073"/>
      <c r="F15" s="1074"/>
      <c r="G15" s="14"/>
      <c r="H15" s="14"/>
      <c r="I15" s="14"/>
      <c r="J15" s="14"/>
      <c r="K15" s="142"/>
      <c r="O15" s="976" t="str">
        <f>IF(Pricing!E62="","",Pricing!E62)</f>
        <v/>
      </c>
      <c r="P15" s="976"/>
      <c r="R15" s="1005" t="str">
        <f>IF(OR(Pricing!C35="",Pricing!AE35="Quoted"),"",Pricing!C35 &amp; " " &amp; Pricing!C36 &amp; " " &amp; Pricing!C37)</f>
        <v/>
      </c>
      <c r="S15" s="1005"/>
      <c r="T15" s="1006"/>
      <c r="U15" s="72"/>
      <c r="V15" s="362">
        <f>Pricing!AE36-Matrix2!Z42</f>
        <v>0</v>
      </c>
      <c r="W15" s="360" t="e">
        <f>IF(OR(Pricing!AE37=0,Pricing!AE35="Quoted"),"",Pricing!AE37)-Matrix2!Z42</f>
        <v>#VALUE!</v>
      </c>
    </row>
    <row r="16" spans="1:23" ht="15" thickBot="1">
      <c r="A16" s="1081"/>
      <c r="B16" s="1072"/>
      <c r="C16" s="1073"/>
      <c r="D16" s="1073"/>
      <c r="E16" s="1073"/>
      <c r="F16" s="1074"/>
      <c r="G16" s="14"/>
      <c r="H16" s="14"/>
      <c r="I16" s="14"/>
      <c r="J16" s="14"/>
      <c r="K16" s="142"/>
      <c r="O16" t="s">
        <v>193</v>
      </c>
      <c r="R16" s="1005" t="str">
        <f>IF(OR(Pricing!C38="",Pricing!AE38="Quoted"),"",Pricing!C38 &amp; " " &amp; Pricing!C39 &amp; " " &amp; Pricing!C40)</f>
        <v/>
      </c>
      <c r="S16" s="1005"/>
      <c r="T16" s="1006"/>
      <c r="U16" s="72"/>
      <c r="V16" s="362">
        <f>Pricing!AE39-Matrix2!Z43</f>
        <v>0</v>
      </c>
      <c r="W16" s="360" t="e">
        <f>IF(OR(Pricing!AE40=0,Pricing!AE38="Quoted"),"",Pricing!AE40)-Matrix2!Z43</f>
        <v>#VALUE!</v>
      </c>
    </row>
    <row r="17" spans="1:23" ht="15" thickBot="1">
      <c r="A17" s="1081"/>
      <c r="B17" s="1075"/>
      <c r="C17" s="1076"/>
      <c r="D17" s="1076"/>
      <c r="E17" s="1076"/>
      <c r="F17" s="1077"/>
      <c r="G17" s="14"/>
      <c r="H17" s="14"/>
      <c r="I17" s="14"/>
      <c r="J17" s="14"/>
      <c r="K17" s="142"/>
      <c r="O17" s="1009" t="str">
        <f>IF(Pricing!E59="","",Pricing!E59)</f>
        <v/>
      </c>
      <c r="P17" s="1009"/>
      <c r="R17" s="1005" t="str">
        <f>IF(OR(Pricing!C41="",Pricing!AE41="Quoted"),"",Pricing!C41 &amp; " " &amp; Pricing!C42 &amp; " " &amp; Pricing!C43)</f>
        <v/>
      </c>
      <c r="S17" s="1005"/>
      <c r="T17" s="1006"/>
      <c r="U17" s="72"/>
      <c r="V17" s="362">
        <f>Pricing!AE42-Matrix2!Z44</f>
        <v>0</v>
      </c>
      <c r="W17" s="360" t="e">
        <f>IF(OR(Pricing!AE43=0,Pricing!AE41="Quoted"),"",Pricing!AE43)-Matrix2!Z44</f>
        <v>#VALUE!</v>
      </c>
    </row>
    <row r="18" spans="1:23" ht="15" thickBot="1">
      <c r="A18" s="993" t="str">
        <f>IF(O13="","",O13)</f>
        <v/>
      </c>
      <c r="B18" s="994"/>
      <c r="C18" s="20"/>
      <c r="D18" s="14"/>
      <c r="E18" s="14"/>
      <c r="F18" s="14"/>
      <c r="G18" s="14"/>
      <c r="H18" s="14"/>
      <c r="I18" s="14"/>
      <c r="J18" s="14"/>
      <c r="K18" s="142"/>
      <c r="R18" s="1005" t="str">
        <f>IF(OR(Pricing!C44="",Pricing!AE44="Quoted"),"",Pricing!C44 &amp; " " &amp; Pricing!C45 &amp; " " &amp; Pricing!C46)</f>
        <v/>
      </c>
      <c r="S18" s="1005"/>
      <c r="T18" s="1006"/>
      <c r="U18" s="72"/>
      <c r="V18" s="362">
        <f>Pricing!AE45-Matrix2!Z45</f>
        <v>0</v>
      </c>
      <c r="W18" s="360" t="e">
        <f>IF(OR(Pricing!AE46=0,Pricing!AE44="Quoted"),"",Pricing!AE46)-Matrix2!Z45</f>
        <v>#VALUE!</v>
      </c>
    </row>
    <row r="19" spans="1:23" ht="19.5" customHeight="1" thickBot="1">
      <c r="A19" s="369" t="s">
        <v>194</v>
      </c>
      <c r="B19" s="370"/>
      <c r="C19" s="371"/>
      <c r="D19" s="14"/>
      <c r="E19" s="14"/>
      <c r="F19" s="1041" t="s">
        <v>195</v>
      </c>
      <c r="G19" s="1042"/>
      <c r="H19" s="1042"/>
      <c r="I19" s="1042"/>
      <c r="J19" s="1042"/>
      <c r="K19" s="1043"/>
      <c r="R19" s="1005" t="str">
        <f>IF(OR(Pricing!C47="",Pricing!AE47="Quoted"),"",Pricing!C47 &amp; " " &amp;Pricing!C48 &amp; " " &amp; Pricing!C49)</f>
        <v/>
      </c>
      <c r="S19" s="1005"/>
      <c r="T19" s="1006"/>
      <c r="U19" s="162"/>
      <c r="V19" s="362">
        <f>Pricing!AE48-Matrix2!Z46</f>
        <v>0</v>
      </c>
      <c r="W19" s="360" t="e">
        <f>IF(OR(Pricing!AE49=0,Pricing!AE47="Quoted"),"",Pricing!AE49)-Matrix2!Z46</f>
        <v>#VALUE!</v>
      </c>
    </row>
    <row r="20" spans="1:23" ht="19.5" customHeight="1" thickBot="1">
      <c r="A20" s="1033" t="str">
        <f>IF(Pricing!D8="","",Pricing!D8)</f>
        <v>Tracked</v>
      </c>
      <c r="B20" s="1034"/>
      <c r="C20" s="1035"/>
      <c r="D20" s="14"/>
      <c r="E20" s="14"/>
      <c r="F20" s="1044"/>
      <c r="G20" s="1045"/>
      <c r="H20" s="1045"/>
      <c r="I20" s="1045"/>
      <c r="J20" s="1045"/>
      <c r="K20" s="1046"/>
      <c r="R20" s="1005" t="str">
        <f>IF(OR(Pricing!C50="",Pricing!AE50="Quoted"),"",Pricing!C50 &amp; " " &amp; Pricing!C51 &amp; " " &amp; Pricing!C52)</f>
        <v/>
      </c>
      <c r="S20" s="1005"/>
      <c r="T20" s="1005"/>
      <c r="U20" s="359"/>
      <c r="V20" s="362">
        <f>Pricing!AE51-Matrix2!Z47</f>
        <v>0</v>
      </c>
      <c r="W20" s="360" t="e">
        <f>IF(OR(Pricing!AE52=0,Pricing!AE50="Quoted"),"",Pricing!AE52)-Matrix2!Z47</f>
        <v>#VALUE!</v>
      </c>
    </row>
    <row r="21" spans="1:23" ht="19.5" customHeight="1" thickBot="1">
      <c r="A21" s="1036"/>
      <c r="B21" s="1037"/>
      <c r="C21" s="1038"/>
      <c r="D21" s="14"/>
      <c r="E21" s="14"/>
      <c r="F21" s="380"/>
      <c r="G21" s="381"/>
      <c r="H21" s="381"/>
      <c r="I21" s="381"/>
      <c r="J21" s="381"/>
      <c r="K21" s="382"/>
      <c r="R21" s="323"/>
      <c r="S21" s="323"/>
      <c r="T21" s="323"/>
      <c r="U21" s="74"/>
      <c r="V21" s="362"/>
      <c r="W21" s="324"/>
    </row>
    <row r="22" spans="1:23" ht="19.5" customHeight="1" thickBot="1">
      <c r="A22" s="372" t="s">
        <v>196</v>
      </c>
      <c r="B22" s="370"/>
      <c r="C22" s="371"/>
      <c r="D22" s="14"/>
      <c r="E22" s="14"/>
      <c r="F22" s="1047" t="s">
        <v>181</v>
      </c>
      <c r="G22" s="1048"/>
      <c r="H22" s="1048"/>
      <c r="I22" s="1049"/>
      <c r="J22" s="375" t="s">
        <v>62</v>
      </c>
      <c r="K22" s="375" t="s">
        <v>183</v>
      </c>
      <c r="U22" t="s">
        <v>197</v>
      </c>
      <c r="V22" s="161">
        <f>SUM(V6:V20)</f>
        <v>7174.2845549999993</v>
      </c>
      <c r="W22" s="161" t="e">
        <f>SUM(W6:W20)</f>
        <v>#VALUE!</v>
      </c>
    </row>
    <row r="23" spans="1:23" ht="19.5" customHeight="1" thickBot="1">
      <c r="A23" s="1033" t="str">
        <f>IF(Pricing!E8="","",Pricing!E8)</f>
        <v>Barbados</v>
      </c>
      <c r="B23" s="1034"/>
      <c r="C23" s="1035"/>
      <c r="D23" s="14"/>
      <c r="E23" s="14"/>
      <c r="F23" s="1039" t="str">
        <f t="shared" ref="F23:F36" si="0">R6</f>
        <v xml:space="preserve">Dining room  </v>
      </c>
      <c r="G23" s="1040"/>
      <c r="H23" s="1040"/>
      <c r="I23" s="1040"/>
      <c r="J23" s="377">
        <f>V6</f>
        <v>3945.2363850000002</v>
      </c>
      <c r="K23" s="376">
        <f t="shared" ref="K23:K37" si="1">IF(ISERROR(W6=""),"",W6)</f>
        <v>2814.9380262500003</v>
      </c>
      <c r="W23" s="161"/>
    </row>
    <row r="24" spans="1:23" ht="19.5" customHeight="1" thickBot="1">
      <c r="A24" s="1036"/>
      <c r="B24" s="1037"/>
      <c r="C24" s="1038"/>
      <c r="D24" s="14"/>
      <c r="E24" s="14"/>
      <c r="F24" s="991" t="str">
        <f t="shared" si="0"/>
        <v xml:space="preserve">Office  </v>
      </c>
      <c r="G24" s="992"/>
      <c r="H24" s="992"/>
      <c r="I24" s="992"/>
      <c r="J24" s="378">
        <f t="shared" ref="J24:J37" si="2">V7</f>
        <v>417.280575</v>
      </c>
      <c r="K24" s="351">
        <f t="shared" si="1"/>
        <v>303.50049374999998</v>
      </c>
    </row>
    <row r="25" spans="1:23" ht="19.5" customHeight="1" thickBot="1">
      <c r="A25" s="1025" t="s">
        <v>198</v>
      </c>
      <c r="B25" s="1026"/>
      <c r="C25" s="1027"/>
      <c r="D25" s="14"/>
      <c r="E25" s="14"/>
      <c r="F25" s="991" t="str">
        <f t="shared" si="0"/>
        <v xml:space="preserve">Living room  </v>
      </c>
      <c r="G25" s="992"/>
      <c r="H25" s="992"/>
      <c r="I25" s="992"/>
      <c r="J25" s="378">
        <f t="shared" si="2"/>
        <v>1754.5655399999998</v>
      </c>
      <c r="K25" s="351">
        <f t="shared" si="1"/>
        <v>1171.3171050000001</v>
      </c>
    </row>
    <row r="26" spans="1:23" ht="19.5" customHeight="1" thickBot="1">
      <c r="A26" s="1097" t="str">
        <f>IF(Pricing!J8="","",Pricing!J8)</f>
        <v>Silent</v>
      </c>
      <c r="B26" s="1098"/>
      <c r="C26" s="1099"/>
      <c r="D26" s="14"/>
      <c r="E26" s="14"/>
      <c r="F26" s="991" t="str">
        <f t="shared" si="0"/>
        <v xml:space="preserve">Bedroom Front Right </v>
      </c>
      <c r="G26" s="992"/>
      <c r="H26" s="992"/>
      <c r="I26" s="992"/>
      <c r="J26" s="378">
        <f t="shared" si="2"/>
        <v>1057.202055</v>
      </c>
      <c r="K26" s="351">
        <f t="shared" si="1"/>
        <v>705.7695037499999</v>
      </c>
    </row>
    <row r="27" spans="1:23" ht="19.5" customHeight="1" thickBot="1">
      <c r="A27" s="1100"/>
      <c r="B27" s="1101"/>
      <c r="C27" s="1102"/>
      <c r="D27" s="14"/>
      <c r="E27" s="14"/>
      <c r="F27" s="991" t="str">
        <f t="shared" si="0"/>
        <v/>
      </c>
      <c r="G27" s="992"/>
      <c r="H27" s="992"/>
      <c r="I27" s="992"/>
      <c r="J27" s="378">
        <f t="shared" si="2"/>
        <v>0</v>
      </c>
      <c r="K27" s="351" t="str">
        <f t="shared" si="1"/>
        <v/>
      </c>
    </row>
    <row r="28" spans="1:23" ht="19.5" customHeight="1" thickBot="1">
      <c r="A28" s="1025" t="s">
        <v>199</v>
      </c>
      <c r="B28" s="1026"/>
      <c r="C28" s="1027"/>
      <c r="D28" s="14"/>
      <c r="E28" s="14"/>
      <c r="F28" s="991" t="str">
        <f t="shared" si="0"/>
        <v/>
      </c>
      <c r="G28" s="992"/>
      <c r="H28" s="992"/>
      <c r="I28" s="992"/>
      <c r="J28" s="378">
        <f t="shared" si="2"/>
        <v>0</v>
      </c>
      <c r="K28" s="351" t="str">
        <f t="shared" si="1"/>
        <v/>
      </c>
    </row>
    <row r="29" spans="1:23" ht="19.5" customHeight="1" thickBot="1">
      <c r="A29" s="1033" t="str">
        <f>IF(Pricing!H8="","",Pricing!H8)</f>
        <v>76mm</v>
      </c>
      <c r="B29" s="1034"/>
      <c r="C29" s="1035"/>
      <c r="D29" s="14"/>
      <c r="E29" s="14"/>
      <c r="F29" s="991" t="str">
        <f t="shared" si="0"/>
        <v/>
      </c>
      <c r="G29" s="992"/>
      <c r="H29" s="992"/>
      <c r="I29" s="992"/>
      <c r="J29" s="378">
        <f t="shared" si="2"/>
        <v>0</v>
      </c>
      <c r="K29" s="351" t="str">
        <f t="shared" si="1"/>
        <v/>
      </c>
    </row>
    <row r="30" spans="1:23" ht="19.5" customHeight="1" thickBot="1">
      <c r="A30" s="1036"/>
      <c r="B30" s="1037"/>
      <c r="C30" s="1038"/>
      <c r="D30" s="14"/>
      <c r="E30" s="14"/>
      <c r="F30" s="991" t="str">
        <f t="shared" si="0"/>
        <v/>
      </c>
      <c r="G30" s="992"/>
      <c r="H30" s="992"/>
      <c r="I30" s="992"/>
      <c r="J30" s="378">
        <f t="shared" si="2"/>
        <v>0</v>
      </c>
      <c r="K30" s="351" t="str">
        <f t="shared" si="1"/>
        <v/>
      </c>
    </row>
    <row r="31" spans="1:23" ht="19.5" customHeight="1" thickBot="1">
      <c r="A31" s="1025" t="s">
        <v>200</v>
      </c>
      <c r="B31" s="1026"/>
      <c r="C31" s="1027"/>
      <c r="D31" s="14"/>
      <c r="E31" s="14"/>
      <c r="F31" s="991" t="str">
        <f t="shared" si="0"/>
        <v/>
      </c>
      <c r="G31" s="992"/>
      <c r="H31" s="992"/>
      <c r="I31" s="992"/>
      <c r="J31" s="378">
        <f t="shared" si="2"/>
        <v>0</v>
      </c>
      <c r="K31" s="351" t="str">
        <f t="shared" si="1"/>
        <v/>
      </c>
    </row>
    <row r="32" spans="1:23" ht="19.5" customHeight="1" thickBot="1">
      <c r="A32" s="1033" t="str">
        <f>IF(Pricing!F8="","",Pricing!F8)</f>
        <v>Pure White</v>
      </c>
      <c r="B32" s="1034"/>
      <c r="C32" s="1035"/>
      <c r="D32" s="14"/>
      <c r="E32" s="14"/>
      <c r="F32" s="991" t="str">
        <f t="shared" si="0"/>
        <v/>
      </c>
      <c r="G32" s="992"/>
      <c r="H32" s="992"/>
      <c r="I32" s="992"/>
      <c r="J32" s="378">
        <f t="shared" si="2"/>
        <v>0</v>
      </c>
      <c r="K32" s="351" t="str">
        <f t="shared" si="1"/>
        <v/>
      </c>
    </row>
    <row r="33" spans="1:13" ht="19.5" customHeight="1" thickBot="1">
      <c r="A33" s="1036"/>
      <c r="B33" s="1037"/>
      <c r="C33" s="1038"/>
      <c r="D33" s="14"/>
      <c r="E33" s="14"/>
      <c r="F33" s="991" t="str">
        <f t="shared" si="0"/>
        <v/>
      </c>
      <c r="G33" s="992"/>
      <c r="H33" s="992"/>
      <c r="I33" s="992"/>
      <c r="J33" s="378">
        <f t="shared" si="2"/>
        <v>0</v>
      </c>
      <c r="K33" s="351" t="str">
        <f t="shared" si="1"/>
        <v/>
      </c>
    </row>
    <row r="34" spans="1:13" ht="19.5" customHeight="1" thickBot="1">
      <c r="A34" s="1025" t="s">
        <v>201</v>
      </c>
      <c r="B34" s="1026"/>
      <c r="C34" s="1027"/>
      <c r="D34" s="14"/>
      <c r="E34" s="14"/>
      <c r="F34" s="991" t="str">
        <f t="shared" si="0"/>
        <v/>
      </c>
      <c r="G34" s="992"/>
      <c r="H34" s="992"/>
      <c r="I34" s="992"/>
      <c r="J34" s="378">
        <f t="shared" si="2"/>
        <v>0</v>
      </c>
      <c r="K34" s="351" t="str">
        <f t="shared" si="1"/>
        <v/>
      </c>
    </row>
    <row r="35" spans="1:13" ht="19.5" customHeight="1" thickBot="1">
      <c r="A35" s="1013"/>
      <c r="B35" s="1014"/>
      <c r="C35" s="1015"/>
      <c r="D35" s="14"/>
      <c r="E35" s="14"/>
      <c r="F35" s="991" t="str">
        <f t="shared" si="0"/>
        <v/>
      </c>
      <c r="G35" s="992"/>
      <c r="H35" s="992"/>
      <c r="I35" s="992"/>
      <c r="J35" s="378">
        <f>V18</f>
        <v>0</v>
      </c>
      <c r="K35" s="351" t="str">
        <f t="shared" si="1"/>
        <v/>
      </c>
    </row>
    <row r="36" spans="1:13" ht="19.5" customHeight="1" thickBot="1">
      <c r="A36" s="1016"/>
      <c r="B36" s="1017"/>
      <c r="C36" s="1018"/>
      <c r="D36" s="14"/>
      <c r="E36" s="14"/>
      <c r="F36" s="991" t="str">
        <f t="shared" si="0"/>
        <v/>
      </c>
      <c r="G36" s="992"/>
      <c r="H36" s="992"/>
      <c r="I36" s="992"/>
      <c r="J36" s="378">
        <f t="shared" si="2"/>
        <v>0</v>
      </c>
      <c r="K36" s="351" t="str">
        <f t="shared" si="1"/>
        <v/>
      </c>
    </row>
    <row r="37" spans="1:13" ht="19.5" customHeight="1" thickBot="1">
      <c r="A37" s="1019"/>
      <c r="B37" s="1020"/>
      <c r="C37" s="1021"/>
      <c r="D37" s="14"/>
      <c r="E37" s="14"/>
      <c r="F37" s="1028" t="str">
        <f>R20</f>
        <v/>
      </c>
      <c r="G37" s="1029"/>
      <c r="H37" s="1029"/>
      <c r="I37" s="1029"/>
      <c r="J37" s="379">
        <f t="shared" si="2"/>
        <v>0</v>
      </c>
      <c r="K37" s="352" t="str">
        <f t="shared" si="1"/>
        <v/>
      </c>
    </row>
    <row r="38" spans="1:13" ht="4.5" customHeight="1" thickBot="1">
      <c r="A38" s="14"/>
      <c r="B38" s="14"/>
      <c r="C38" s="14"/>
      <c r="D38" s="14"/>
      <c r="E38" s="14"/>
      <c r="F38" s="14"/>
      <c r="G38" s="14"/>
      <c r="H38" s="14"/>
      <c r="I38" s="14"/>
      <c r="J38" s="365"/>
      <c r="K38" s="366"/>
    </row>
    <row r="39" spans="1:13" ht="19.899999999999999" customHeight="1">
      <c r="A39" s="1022" t="s">
        <v>202</v>
      </c>
      <c r="B39" s="1023"/>
      <c r="C39" s="1024"/>
      <c r="D39" s="14"/>
      <c r="E39" s="14"/>
      <c r="F39" s="1030" t="s">
        <v>203</v>
      </c>
      <c r="G39" s="1031"/>
      <c r="H39" s="1031"/>
      <c r="I39" s="1032"/>
      <c r="J39" s="367">
        <f>SUM(J23:J37)</f>
        <v>7174.2845549999993</v>
      </c>
      <c r="K39" s="368">
        <f>SUM(K23:K37)</f>
        <v>4995.5251287499996</v>
      </c>
    </row>
    <row r="40" spans="1:13" ht="19.899999999999999" customHeight="1">
      <c r="A40" s="1010" t="str">
        <f>IF(Pricing!S61="Finance Please Select","Finance NOT Selected",Pricing!S61)</f>
        <v>Please Select</v>
      </c>
      <c r="B40" s="1011"/>
      <c r="C40" s="1012"/>
      <c r="D40" s="14"/>
      <c r="E40" s="14"/>
      <c r="F40" s="1030" t="s">
        <v>204</v>
      </c>
      <c r="G40" s="1031"/>
      <c r="H40" s="1031"/>
      <c r="I40" s="1032"/>
      <c r="J40" s="91"/>
      <c r="K40" s="364">
        <f>Pricing!AB62</f>
        <v>1139</v>
      </c>
    </row>
    <row r="41" spans="1:13" ht="19.899999999999999" customHeight="1">
      <c r="A41" s="175" t="s">
        <v>205</v>
      </c>
      <c r="B41" s="1103">
        <f>Pricing!U63</f>
        <v>1230</v>
      </c>
      <c r="C41" s="1104"/>
      <c r="D41" s="14"/>
      <c r="E41" s="14"/>
      <c r="F41" s="1087" t="s">
        <v>206</v>
      </c>
      <c r="G41" s="1088"/>
      <c r="H41" s="1088"/>
      <c r="I41" s="1089"/>
      <c r="J41" s="1093">
        <f>K39+Pricing!AB64</f>
        <v>4995.5251287499996</v>
      </c>
      <c r="K41" s="1094"/>
    </row>
    <row r="42" spans="1:13" ht="19.899999999999999" customHeight="1" thickBot="1">
      <c r="A42" s="175" t="s">
        <v>73</v>
      </c>
      <c r="B42" s="1105">
        <f>Pricing!U64</f>
        <v>0.25</v>
      </c>
      <c r="C42" s="1106"/>
      <c r="D42" s="14"/>
      <c r="E42" s="14"/>
      <c r="F42" s="1090"/>
      <c r="G42" s="1091"/>
      <c r="H42" s="1091"/>
      <c r="I42" s="1092"/>
      <c r="J42" s="1095"/>
      <c r="K42" s="1096"/>
    </row>
    <row r="43" spans="1:13" ht="19.899999999999999" customHeight="1">
      <c r="A43" s="175" t="str">
        <f>Pricing!S66</f>
        <v>12 Months</v>
      </c>
      <c r="B43" s="1107">
        <f>Pricing!U66</f>
        <v>0</v>
      </c>
      <c r="C43" s="1108"/>
      <c r="D43" s="14"/>
      <c r="E43" s="14"/>
      <c r="F43" s="1001" t="s">
        <v>207</v>
      </c>
      <c r="G43" s="1002"/>
      <c r="H43" s="1002"/>
      <c r="I43" s="1002"/>
      <c r="J43" s="1051">
        <f>Pricing!AE58</f>
        <v>0.2500630757249751</v>
      </c>
      <c r="K43" s="1111" t="e">
        <f>TEXT(( K39-Pricing!AB59) +SUM(Pricing!P74+Pricing!P75),"-£#,##0")</f>
        <v>#VALUE!</v>
      </c>
    </row>
    <row r="44" spans="1:13" ht="19.899999999999999" customHeight="1" thickBot="1">
      <c r="A44" s="175" t="str">
        <f>Pricing!S67</f>
        <v>2 Years</v>
      </c>
      <c r="B44" s="1107">
        <f>Pricing!U67</f>
        <v>0</v>
      </c>
      <c r="C44" s="1108"/>
      <c r="D44" s="14"/>
      <c r="E44" s="14"/>
      <c r="F44" s="1003"/>
      <c r="G44" s="1004"/>
      <c r="H44" s="1004"/>
      <c r="I44" s="1004"/>
      <c r="J44" s="1052"/>
      <c r="K44" s="1112"/>
      <c r="M44" s="161"/>
    </row>
    <row r="45" spans="1:13" ht="19.899999999999999" customHeight="1" thickBot="1">
      <c r="A45" s="176" t="str">
        <f>Pricing!S68</f>
        <v>3 Years</v>
      </c>
      <c r="B45" s="1109">
        <f>Pricing!U68</f>
        <v>0</v>
      </c>
      <c r="C45" s="1110"/>
      <c r="D45" s="14"/>
      <c r="E45" s="14"/>
    </row>
    <row r="46" spans="1:13" ht="3" customHeight="1" thickBot="1">
      <c r="A46" s="14"/>
      <c r="B46" s="14"/>
      <c r="C46" s="14"/>
      <c r="D46" s="14"/>
      <c r="E46" s="14"/>
    </row>
    <row r="47" spans="1:13">
      <c r="A47" s="177"/>
      <c r="B47" s="14"/>
      <c r="C47" s="14"/>
      <c r="D47" s="14"/>
      <c r="E47" s="14"/>
      <c r="F47" s="14"/>
      <c r="G47" s="995" t="s">
        <v>208</v>
      </c>
      <c r="H47" s="996"/>
      <c r="I47" s="996"/>
      <c r="J47" s="996"/>
      <c r="K47" s="997"/>
    </row>
    <row r="48" spans="1:13" ht="15" customHeight="1">
      <c r="A48" s="177"/>
      <c r="B48" s="14"/>
      <c r="C48" s="14"/>
      <c r="D48" s="14"/>
      <c r="E48" s="14"/>
      <c r="F48" s="14"/>
      <c r="G48" s="998"/>
      <c r="H48" s="999"/>
      <c r="I48" s="999"/>
      <c r="J48" s="999"/>
      <c r="K48" s="1000"/>
    </row>
    <row r="49" spans="1:15">
      <c r="A49" s="177"/>
      <c r="B49" s="14"/>
      <c r="C49" s="14"/>
      <c r="D49" s="14"/>
      <c r="E49" s="14"/>
      <c r="F49" s="14"/>
      <c r="G49" s="998"/>
      <c r="H49" s="999"/>
      <c r="I49" s="999"/>
      <c r="J49" s="999"/>
      <c r="K49" s="1000"/>
    </row>
    <row r="50" spans="1:15">
      <c r="A50" s="177"/>
      <c r="B50" s="14"/>
      <c r="C50" s="14"/>
      <c r="D50" s="14"/>
      <c r="E50" s="14"/>
      <c r="F50" s="14"/>
      <c r="G50" s="998"/>
      <c r="H50" s="999"/>
      <c r="I50" s="999"/>
      <c r="J50" s="999"/>
      <c r="K50" s="1000"/>
    </row>
    <row r="51" spans="1:15" ht="32.25" customHeight="1" thickBot="1">
      <c r="A51" s="178"/>
      <c r="B51" s="14"/>
      <c r="C51" s="14"/>
      <c r="D51" s="14"/>
      <c r="E51" s="14"/>
      <c r="F51" s="14"/>
      <c r="G51" s="998"/>
      <c r="H51" s="999"/>
      <c r="I51" s="999"/>
      <c r="J51" s="999"/>
      <c r="K51" s="1000"/>
    </row>
    <row r="52" spans="1:15" ht="33.950000000000003" thickBot="1">
      <c r="A52" s="1084" t="s">
        <v>209</v>
      </c>
      <c r="B52" s="1085"/>
      <c r="C52" s="1085"/>
      <c r="D52" s="1085"/>
      <c r="E52" s="1085"/>
      <c r="F52" s="1085"/>
      <c r="G52" s="1085"/>
      <c r="H52" s="1085"/>
      <c r="I52" s="1085"/>
      <c r="J52" s="1085"/>
      <c r="K52" s="1086"/>
      <c r="O52" s="373"/>
    </row>
    <row r="53" spans="1:15" ht="15" thickBot="1">
      <c r="A53" s="988" t="s">
        <v>210</v>
      </c>
      <c r="B53" s="989"/>
      <c r="C53" s="989"/>
      <c r="D53" s="989"/>
      <c r="E53" s="989"/>
      <c r="F53" s="989"/>
      <c r="G53" s="989"/>
      <c r="H53" s="989"/>
      <c r="I53" s="989"/>
      <c r="J53" s="989"/>
      <c r="K53" s="990"/>
    </row>
    <row r="55" spans="1:15">
      <c r="I55" s="4"/>
    </row>
    <row r="57" spans="1:15">
      <c r="N57" s="134"/>
    </row>
    <row r="58" spans="1:15">
      <c r="J58" s="363"/>
    </row>
  </sheetData>
  <mergeCells count="87">
    <mergeCell ref="A52:K52"/>
    <mergeCell ref="F40:I40"/>
    <mergeCell ref="F41:I42"/>
    <mergeCell ref="J41:K42"/>
    <mergeCell ref="A25:C25"/>
    <mergeCell ref="A28:C28"/>
    <mergeCell ref="A31:C31"/>
    <mergeCell ref="A26:C27"/>
    <mergeCell ref="A29:C30"/>
    <mergeCell ref="A32:C33"/>
    <mergeCell ref="B41:C41"/>
    <mergeCell ref="B42:C42"/>
    <mergeCell ref="B43:C43"/>
    <mergeCell ref="B44:C44"/>
    <mergeCell ref="B45:C45"/>
    <mergeCell ref="K43:K44"/>
    <mergeCell ref="B6:C7"/>
    <mergeCell ref="A11:A13"/>
    <mergeCell ref="B11:F13"/>
    <mergeCell ref="B14:F17"/>
    <mergeCell ref="J5:K5"/>
    <mergeCell ref="A8:C8"/>
    <mergeCell ref="A9:C10"/>
    <mergeCell ref="A14:A17"/>
    <mergeCell ref="J6:K6"/>
    <mergeCell ref="J7:K7"/>
    <mergeCell ref="F19:K20"/>
    <mergeCell ref="F22:I22"/>
    <mergeCell ref="D8:F8"/>
    <mergeCell ref="D9:F10"/>
    <mergeCell ref="J43:J44"/>
    <mergeCell ref="F35:I35"/>
    <mergeCell ref="F36:I36"/>
    <mergeCell ref="O13:P13"/>
    <mergeCell ref="R13:T13"/>
    <mergeCell ref="R14:T14"/>
    <mergeCell ref="R17:T17"/>
    <mergeCell ref="A40:C40"/>
    <mergeCell ref="A35:C37"/>
    <mergeCell ref="A39:C39"/>
    <mergeCell ref="A34:C34"/>
    <mergeCell ref="F37:I37"/>
    <mergeCell ref="F39:I39"/>
    <mergeCell ref="A20:C21"/>
    <mergeCell ref="A23:C24"/>
    <mergeCell ref="F32:I32"/>
    <mergeCell ref="F33:I33"/>
    <mergeCell ref="F34:I34"/>
    <mergeCell ref="F23:I23"/>
    <mergeCell ref="R18:T18"/>
    <mergeCell ref="R19:T19"/>
    <mergeCell ref="R20:T20"/>
    <mergeCell ref="O17:P17"/>
    <mergeCell ref="O15:P15"/>
    <mergeCell ref="R15:T15"/>
    <mergeCell ref="R16:T16"/>
    <mergeCell ref="R10:T10"/>
    <mergeCell ref="O11:P11"/>
    <mergeCell ref="O12:P12"/>
    <mergeCell ref="R12:T12"/>
    <mergeCell ref="O4:P4"/>
    <mergeCell ref="R5:T5"/>
    <mergeCell ref="R7:T7"/>
    <mergeCell ref="O8:P8"/>
    <mergeCell ref="R8:T8"/>
    <mergeCell ref="O6:P6"/>
    <mergeCell ref="R6:T6"/>
    <mergeCell ref="O9:P9"/>
    <mergeCell ref="R9:T9"/>
    <mergeCell ref="R11:T11"/>
    <mergeCell ref="O10:P10"/>
    <mergeCell ref="A1:K4"/>
    <mergeCell ref="A6:A7"/>
    <mergeCell ref="D6:F6"/>
    <mergeCell ref="D7:F7"/>
    <mergeCell ref="A53:K53"/>
    <mergeCell ref="F24:I24"/>
    <mergeCell ref="F25:I25"/>
    <mergeCell ref="F26:I26"/>
    <mergeCell ref="F27:I27"/>
    <mergeCell ref="F28:I28"/>
    <mergeCell ref="F29:I29"/>
    <mergeCell ref="F30:I30"/>
    <mergeCell ref="A18:B18"/>
    <mergeCell ref="G47:K51"/>
    <mergeCell ref="F43:I44"/>
    <mergeCell ref="F31:I31"/>
  </mergeCells>
  <conditionalFormatting sqref="A43:B43">
    <cfRule type="expression" dxfId="798" priority="4">
      <formula>SEARCH("12",$A$40)</formula>
    </cfRule>
  </conditionalFormatting>
  <conditionalFormatting sqref="A44:B44">
    <cfRule type="expression" dxfId="797" priority="3">
      <formula>SEARCH("24",$A$40)</formula>
    </cfRule>
  </conditionalFormatting>
  <conditionalFormatting sqref="A45:B45">
    <cfRule type="expression" dxfId="796" priority="2">
      <formula>SEARCH("36",$A$40)</formula>
    </cfRule>
  </conditionalFormatting>
  <conditionalFormatting sqref="A40:C40">
    <cfRule type="containsText" dxfId="795" priority="1" operator="containsText" text="Finance Yes">
      <formula>NOT(ISERROR(SEARCH("Finance Yes",A40)))</formula>
    </cfRule>
  </conditionalFormatting>
  <pageMargins left="0.70866141732283461" right="0.70866141732283461" top="0.74803149606299213" bottom="0.74803149606299213" header="0.31496062992125984" footer="0.31496062992125984"/>
  <pageSetup paperSize="9" scale="68" orientation="portrait" horizontalDpi="300" verticalDpi="3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6D5551-D8A3-4FC6-BAAF-B26B8C42687E}">
  <sheetPr codeName="Sheet17">
    <pageSetUpPr fitToPage="1"/>
  </sheetPr>
  <dimension ref="A1:K45"/>
  <sheetViews>
    <sheetView showGridLines="0" topLeftCell="A8" zoomScaleNormal="100" zoomScaleSheetLayoutView="100" workbookViewId="0">
      <selection activeCell="J10" sqref="J10"/>
    </sheetView>
  </sheetViews>
  <sheetFormatPr defaultColWidth="8.7109375" defaultRowHeight="14.45"/>
  <cols>
    <col min="1" max="10" width="13.7109375" customWidth="1"/>
    <col min="11" max="11" width="9.7109375" customWidth="1"/>
  </cols>
  <sheetData>
    <row r="1" spans="1:11" ht="85.15" customHeight="1">
      <c r="A1" s="1113"/>
      <c r="B1" s="1114"/>
      <c r="C1" s="1114"/>
      <c r="D1" s="1114"/>
      <c r="E1" s="1114"/>
      <c r="F1" s="1114"/>
      <c r="G1" s="1114"/>
      <c r="H1" s="1114"/>
      <c r="I1" s="1114"/>
      <c r="J1" s="1115"/>
    </row>
    <row r="2" spans="1:11" s="14" customFormat="1" ht="7.15" customHeight="1">
      <c r="A2" s="1135"/>
      <c r="B2" s="1136"/>
      <c r="C2" s="1136"/>
      <c r="D2" s="1136"/>
      <c r="E2" s="1136"/>
      <c r="F2" s="1136"/>
      <c r="G2" s="1136"/>
      <c r="H2" s="1136"/>
      <c r="I2" s="1136"/>
      <c r="J2" s="1137"/>
      <c r="K2"/>
    </row>
    <row r="3" spans="1:11" s="7" customFormat="1" ht="40.15" customHeight="1">
      <c r="A3" s="1144" t="s">
        <v>211</v>
      </c>
      <c r="B3" s="1145"/>
      <c r="C3" s="1145"/>
      <c r="D3" s="1145"/>
      <c r="E3" s="1145"/>
      <c r="F3" s="1145"/>
      <c r="G3" s="1145"/>
      <c r="H3" s="1141" t="s">
        <v>212</v>
      </c>
      <c r="I3" s="1142"/>
      <c r="J3" s="1143"/>
    </row>
    <row r="4" spans="1:11" s="565" customFormat="1" ht="40.15" customHeight="1">
      <c r="A4" s="1126" t="s">
        <v>213</v>
      </c>
      <c r="B4" s="1127"/>
      <c r="C4" s="1128" t="str">
        <f>IF(Pricing!E66="","",Pricing!E66)</f>
        <v/>
      </c>
      <c r="D4" s="1129"/>
      <c r="E4" s="1130"/>
      <c r="F4" s="1126" t="s">
        <v>74</v>
      </c>
      <c r="G4" s="1131"/>
      <c r="H4" s="1128" t="str">
        <f>IF(Pricing!B66="","",Pricing!B66)</f>
        <v/>
      </c>
      <c r="I4" s="1129"/>
      <c r="J4" s="1130"/>
    </row>
    <row r="5" spans="1:11" s="565" customFormat="1" ht="40.15" customHeight="1">
      <c r="A5" s="1126" t="s">
        <v>214</v>
      </c>
      <c r="B5" s="1127"/>
      <c r="C5" s="1138" t="str">
        <f>IF(Pricing!B59="","",Pricing!B59)</f>
        <v/>
      </c>
      <c r="D5" s="1129"/>
      <c r="E5" s="1130"/>
      <c r="F5" s="1126" t="s">
        <v>193</v>
      </c>
      <c r="G5" s="1131"/>
      <c r="H5" s="1138" t="str">
        <f>IF(Pricing!E59="","",Pricing!E59)</f>
        <v/>
      </c>
      <c r="I5" s="1139"/>
      <c r="J5" s="1140"/>
    </row>
    <row r="6" spans="1:11" s="565" customFormat="1" ht="40.15" customHeight="1">
      <c r="A6" s="1126" t="s">
        <v>215</v>
      </c>
      <c r="B6" s="1127"/>
      <c r="C6" s="1159" t="str">
        <f>IF(Pricing!B69="","",Pricing!B69)</f>
        <v/>
      </c>
      <c r="D6" s="1160"/>
      <c r="E6" s="1160"/>
      <c r="F6" s="1160"/>
      <c r="G6" s="1160"/>
      <c r="H6" s="1160"/>
      <c r="I6" s="1160"/>
      <c r="J6" s="1161"/>
    </row>
    <row r="7" spans="1:11" s="14" customFormat="1" ht="7.15" customHeight="1">
      <c r="A7" s="600"/>
      <c r="B7" s="567"/>
      <c r="C7" s="566"/>
      <c r="D7" s="566"/>
      <c r="E7" s="566"/>
      <c r="F7" s="566"/>
      <c r="G7" s="566"/>
      <c r="H7" s="566"/>
      <c r="I7" s="566"/>
      <c r="J7" s="601"/>
      <c r="K7"/>
    </row>
    <row r="8" spans="1:11" ht="40.15" customHeight="1">
      <c r="A8" s="1119" t="s">
        <v>216</v>
      </c>
      <c r="B8" s="1120"/>
      <c r="C8" s="1120"/>
      <c r="D8" s="1120"/>
      <c r="E8" s="1120"/>
      <c r="F8" s="1120"/>
      <c r="G8" s="1120"/>
      <c r="H8" s="1120"/>
      <c r="I8" s="1120"/>
      <c r="J8" s="1121"/>
    </row>
    <row r="9" spans="1:11" s="568" customFormat="1" ht="37.9" customHeight="1">
      <c r="A9" s="602" t="s">
        <v>1</v>
      </c>
      <c r="B9" s="595" t="s">
        <v>2</v>
      </c>
      <c r="C9" s="594" t="s">
        <v>3</v>
      </c>
      <c r="D9" s="595" t="s">
        <v>4</v>
      </c>
      <c r="E9" s="594" t="s">
        <v>217</v>
      </c>
      <c r="F9" s="595" t="s">
        <v>6</v>
      </c>
      <c r="G9" s="594" t="s">
        <v>7</v>
      </c>
      <c r="H9" s="595" t="s">
        <v>218</v>
      </c>
      <c r="I9" s="594" t="s">
        <v>219</v>
      </c>
      <c r="J9" s="603" t="s">
        <v>220</v>
      </c>
    </row>
    <row r="10" spans="1:11" s="568" customFormat="1" ht="27" customHeight="1">
      <c r="A10" s="596" t="str">
        <f>IF(Pricing!AE8="Quoted","",Pricing!C8 &amp; " " &amp; Pricing!C9 &amp; " " &amp;Pricing!C10)</f>
        <v xml:space="preserve">Dining room  </v>
      </c>
      <c r="B10" s="597" t="str">
        <f>IF(Pricing!AE8="Quoted","",IF(Pricing!D8="","",Pricing!D8))</f>
        <v>Tracked</v>
      </c>
      <c r="C10" s="596" t="str">
        <f>IF(Pricing!AE8="Quoted","",IF(Pricing!E8="","",Pricing!E8))</f>
        <v>Barbados</v>
      </c>
      <c r="D10" s="597" t="str">
        <f>IF(Pricing!AE8="Quoted","",IF(Pricing!F8="","",Pricing!F8))</f>
        <v>Pure White</v>
      </c>
      <c r="E10" s="596" t="str">
        <f>IF(Pricing!AE8="Quoted","",IF(Pricing!H8="","",Pricing!H8))</f>
        <v>76mm</v>
      </c>
      <c r="F10" s="597" t="str">
        <f>IF(Pricing!AE8="Quoted","",IF(Pricing!I8="","",Pricing!I8))</f>
        <v>M Track</v>
      </c>
      <c r="G10" s="596" t="str">
        <f>IF(Pricing!AE8="Quoted","",IF(Pricing!J8="","",Pricing!J8))</f>
        <v>Silent</v>
      </c>
      <c r="H10" s="643">
        <f>IF(Pricing!AE8="Quoted","",IF(Pricing!AE9=0,"",Pricing!AE9))</f>
        <v>3945.2363850000002</v>
      </c>
      <c r="I10" s="644">
        <f>IF(Pricing!AE8="Quoted","",IF(Pricing!AE10=0,"",Pricing!AE10))</f>
        <v>2814.9380262500003</v>
      </c>
      <c r="J10" s="643">
        <f>IF(Pricing!AE8="Quoted","",IF(H10="","",H10-I10))</f>
        <v>1130.2983587499998</v>
      </c>
    </row>
    <row r="11" spans="1:11" s="568" customFormat="1" ht="27" customHeight="1">
      <c r="A11" s="596" t="str">
        <f>IF(Pricing!AE11="Quoted","",Pricing!C11 &amp; " " &amp; Pricing!C12 &amp; " " &amp;Pricing!C13)</f>
        <v xml:space="preserve">Office  </v>
      </c>
      <c r="B11" s="597" t="str">
        <f>IF(Pricing!AE11="Quoted","",IF(Pricing!D11="","",Pricing!D11))</f>
        <v>Full Height</v>
      </c>
      <c r="C11" s="596" t="str">
        <f>IF(Pricing!AE11="Quoted","",IF(Pricing!E11="","",Pricing!E11))</f>
        <v>Barbados</v>
      </c>
      <c r="D11" s="597" t="str">
        <f>IF(Pricing!AE11="Quoted","",IF(Pricing!F11="","",Pricing!F11))</f>
        <v>Pure White</v>
      </c>
      <c r="E11" s="596" t="str">
        <f>IF(Pricing!AE11="Quoted","",IF(Pricing!H11="","",Pricing!H11))</f>
        <v>76mm</v>
      </c>
      <c r="F11" s="597" t="str">
        <f>IF(Pricing!AE11="Quoted","",IF(Pricing!I11="","",Pricing!I11))</f>
        <v>Plain L</v>
      </c>
      <c r="G11" s="596" t="str">
        <f>IF(Pricing!AE11="Quoted","",IF(Pricing!J11="","",Pricing!J11))</f>
        <v>Silent</v>
      </c>
      <c r="H11" s="643">
        <f>IF(Pricing!AE11="Quoted","",IF(Pricing!AE12=0,"",Pricing!AE12))</f>
        <v>417.280575</v>
      </c>
      <c r="I11" s="644">
        <f>IF(Pricing!AE11="Quoted","",IF(Pricing!AE13=0,"",Pricing!AE13))</f>
        <v>303.50049374999998</v>
      </c>
      <c r="J11" s="643">
        <f>IF(Pricing!AE11="Quoted","",IF(H11="","",H11-I11))</f>
        <v>113.78008125000002</v>
      </c>
    </row>
    <row r="12" spans="1:11" s="568" customFormat="1" ht="27" customHeight="1">
      <c r="A12" s="596" t="str">
        <f>IF(Pricing!AE14="Quoted","",Pricing!C14 &amp; " " &amp; Pricing!C15 &amp; " " &amp;Pricing!C16)</f>
        <v xml:space="preserve">Living room  </v>
      </c>
      <c r="B12" s="597" t="str">
        <f>IF(Pricing!AE14="Quoted","",IF(Pricing!D14="","",Pricing!D14))</f>
        <v>Full Height</v>
      </c>
      <c r="C12" s="596" t="str">
        <f>IF(Pricing!AE14="Quoted","",IF(Pricing!E14="","",Pricing!E14))</f>
        <v>Barbados</v>
      </c>
      <c r="D12" s="597" t="str">
        <f>IF(Pricing!AE14="Quoted","",IF(Pricing!F14="","",Pricing!F14))</f>
        <v>Pure White</v>
      </c>
      <c r="E12" s="596" t="str">
        <f>IF(Pricing!AE14="Quoted","",IF(Pricing!H14="","",Pricing!H14))</f>
        <v>76mm</v>
      </c>
      <c r="F12" s="597" t="str">
        <f>IF(Pricing!AE14="Quoted","",IF(Pricing!I14="","",Pricing!I14))</f>
        <v>Plain L</v>
      </c>
      <c r="G12" s="596" t="str">
        <f>IF(Pricing!AE14="Quoted","",IF(Pricing!J14="","",Pricing!J14))</f>
        <v>Silent</v>
      </c>
      <c r="H12" s="643">
        <f>IF(Pricing!AE14="Quoted","",IF(Pricing!AE15=0,"",Pricing!AE15))</f>
        <v>1754.5655399999998</v>
      </c>
      <c r="I12" s="644">
        <f>IF(Pricing!AE14="Quoted","",IF(Pricing!AE16=0,"",Pricing!AE16))</f>
        <v>1171.3171050000001</v>
      </c>
      <c r="J12" s="643">
        <f>IF(Pricing!AE14="Quoted","",IF(H12="","",H12-I12))</f>
        <v>583.24843499999974</v>
      </c>
    </row>
    <row r="13" spans="1:11" s="568" customFormat="1" ht="27" customHeight="1">
      <c r="A13" s="596" t="str">
        <f>IF(Pricing!AE17="Quoted","",Pricing!C17 &amp; " " &amp; Pricing!C18 &amp; " " &amp;Pricing!C19)</f>
        <v xml:space="preserve">Bedroom Front Right </v>
      </c>
      <c r="B13" s="597" t="str">
        <f>IF(Pricing!AE17="Quoted","",IF(Pricing!D17="","",Pricing!D17))</f>
        <v>Full Height</v>
      </c>
      <c r="C13" s="596" t="str">
        <f>IF(Pricing!AE17="Quoted","",IF(Pricing!E17="","",Pricing!E17))</f>
        <v>Barbados</v>
      </c>
      <c r="D13" s="597" t="str">
        <f>IF(Pricing!AE17="Quoted","",IF(Pricing!F17="","",Pricing!F17))</f>
        <v>Pure White</v>
      </c>
      <c r="E13" s="596" t="str">
        <f>IF(Pricing!AE17="Quoted","",IF(Pricing!H17="","",Pricing!H17))</f>
        <v>76mm</v>
      </c>
      <c r="F13" s="597" t="str">
        <f>IF(Pricing!AE17="Quoted","",IF(Pricing!I17="","",Pricing!I17))</f>
        <v>Plain L</v>
      </c>
      <c r="G13" s="596" t="str">
        <f>IF(Pricing!AE17="Quoted","",IF(Pricing!J17="","",Pricing!J17))</f>
        <v>Silent</v>
      </c>
      <c r="H13" s="643">
        <f>IF(Pricing!AE17="Quoted","",IF(Pricing!AE18=0,"",Pricing!AE18))</f>
        <v>1057.202055</v>
      </c>
      <c r="I13" s="644">
        <f>IF(Pricing!AE17="Quoted","",IF(Pricing!AE19=0,"",Pricing!AE19))</f>
        <v>705.7695037499999</v>
      </c>
      <c r="J13" s="643">
        <f>IF(Pricing!AE17="Quoted","",IF(H13="","",H13-I13))</f>
        <v>351.43255125000007</v>
      </c>
    </row>
    <row r="14" spans="1:11" s="568" customFormat="1" ht="27" customHeight="1">
      <c r="A14" s="596" t="str">
        <f>IF(Pricing!AE20="Quoted","",Pricing!C20 &amp; " " &amp; Pricing!C21 &amp; " " &amp;Pricing!C22)</f>
        <v xml:space="preserve">  </v>
      </c>
      <c r="B14" s="597" t="str">
        <f>IF(Pricing!AE20="Quoted","",IF(Pricing!D20="","",Pricing!D20))</f>
        <v/>
      </c>
      <c r="C14" s="596" t="str">
        <f>IF(Pricing!AE20="Quoted","",IF(Pricing!E20="","",Pricing!E20))</f>
        <v/>
      </c>
      <c r="D14" s="597" t="str">
        <f>IF(Pricing!AE20="Quoted","",IF(Pricing!F20="","",Pricing!F20))</f>
        <v/>
      </c>
      <c r="E14" s="596" t="str">
        <f>IF(Pricing!AE20="Quoted","",IF(Pricing!H20="","",Pricing!H20))</f>
        <v/>
      </c>
      <c r="F14" s="597" t="str">
        <f>IF(Pricing!AE20="Quoted","",IF(Pricing!I20="","",Pricing!I20))</f>
        <v/>
      </c>
      <c r="G14" s="596" t="str">
        <f>IF(Pricing!AE20="Quoted","",IF(Pricing!J20="","",Pricing!J20))</f>
        <v/>
      </c>
      <c r="H14" s="643" t="str">
        <f>IF(Pricing!AE20="Quoted","",IF(Pricing!AE21=0,"",Pricing!AE21))</f>
        <v/>
      </c>
      <c r="I14" s="644" t="str">
        <f>IF(Pricing!AE20="Quoted","",IF(Pricing!AE22=0,"",Pricing!AE22))</f>
        <v/>
      </c>
      <c r="J14" s="643" t="str">
        <f>IF(Pricing!AE20="Quoted","",IF(H14="","",H14-I14))</f>
        <v/>
      </c>
    </row>
    <row r="15" spans="1:11" s="568" customFormat="1" ht="27" customHeight="1">
      <c r="A15" s="596" t="str">
        <f>IF(Pricing!AE23="Quoted","",Pricing!C23 &amp; " " &amp; Pricing!C24 &amp; " " &amp;Pricing!C25)</f>
        <v xml:space="preserve">  </v>
      </c>
      <c r="B15" s="597" t="str">
        <f>IF(Pricing!AE23="Quoted","",IF(Pricing!D23="","",Pricing!D23))</f>
        <v/>
      </c>
      <c r="C15" s="596" t="str">
        <f>IF(Pricing!AE23="Quoted","",IF(Pricing!E23="","",Pricing!E23))</f>
        <v/>
      </c>
      <c r="D15" s="597" t="str">
        <f>IF(Pricing!AE23="Quoted","",IF(Pricing!F23="","",Pricing!F23))</f>
        <v/>
      </c>
      <c r="E15" s="596" t="str">
        <f>IF(Pricing!AE23="Quoted","",IF(Pricing!H23="","",Pricing!H23))</f>
        <v/>
      </c>
      <c r="F15" s="597" t="str">
        <f>IF(Pricing!AE23="Quoted","",IF(Pricing!I23="","",Pricing!I23))</f>
        <v/>
      </c>
      <c r="G15" s="596" t="str">
        <f>IF(Pricing!AE23="Quoted","",IF(Pricing!J23="","",Pricing!J23))</f>
        <v/>
      </c>
      <c r="H15" s="643" t="str">
        <f>IF(Pricing!AE23="Quoted","",IF(Pricing!AE24=0,"",Pricing!AE24))</f>
        <v/>
      </c>
      <c r="I15" s="644" t="str">
        <f>IF(Pricing!AE23="Quoted","",IF(Pricing!AE25=0,"",Pricing!AE25))</f>
        <v/>
      </c>
      <c r="J15" s="643" t="str">
        <f>IF(Pricing!AE23="Quoted","",IF(H15="","",H15-I15))</f>
        <v/>
      </c>
    </row>
    <row r="16" spans="1:11" s="568" customFormat="1" ht="27" customHeight="1">
      <c r="A16" s="596" t="str">
        <f>IF(Pricing!AE26="Quoted","",Pricing!C26 &amp; " " &amp; Pricing!C27 &amp; " " &amp;Pricing!C28)</f>
        <v xml:space="preserve">  </v>
      </c>
      <c r="B16" s="597" t="str">
        <f>IF(Pricing!AE26="Quoted","",IF(Pricing!D26="","",Pricing!D26))</f>
        <v/>
      </c>
      <c r="C16" s="596" t="str">
        <f>IF(Pricing!AE26="Quoted","",IF(Pricing!E26="","",Pricing!E26))</f>
        <v/>
      </c>
      <c r="D16" s="597" t="str">
        <f>IF(Pricing!AE26="Quoted","",IF(Pricing!F26="","",Pricing!F26))</f>
        <v/>
      </c>
      <c r="E16" s="596" t="str">
        <f>IF(Pricing!AE26="Quoted","",IF(Pricing!H26="","",Pricing!H26))</f>
        <v/>
      </c>
      <c r="F16" s="597" t="str">
        <f>IF(Pricing!AE26="Quoted","",IF(Pricing!I26="","",Pricing!I26))</f>
        <v/>
      </c>
      <c r="G16" s="596" t="str">
        <f>IF(Pricing!AE26="Quoted","",IF(Pricing!J26="","",Pricing!J26))</f>
        <v/>
      </c>
      <c r="H16" s="643" t="str">
        <f>IF(Pricing!AE26="Quoted","",IF(Pricing!AE27=0,"",Pricing!AE27))</f>
        <v/>
      </c>
      <c r="I16" s="644" t="str">
        <f>IF(Pricing!AE26="Quoted","",IF(Pricing!AE28=0,"",Pricing!AE28))</f>
        <v/>
      </c>
      <c r="J16" s="643" t="str">
        <f>IF(Pricing!AE26="Quoted","",IF(H16="","",H16-I16))</f>
        <v/>
      </c>
    </row>
    <row r="17" spans="1:11" s="568" customFormat="1" ht="27" customHeight="1">
      <c r="A17" s="596" t="str">
        <f>IF(Pricing!AE29="Quoted","",Pricing!C29 &amp; " " &amp; Pricing!C30 &amp; " " &amp;Pricing!C31)</f>
        <v xml:space="preserve">  </v>
      </c>
      <c r="B17" s="597" t="str">
        <f>IF(Pricing!AE29="Quoted","",IF(Pricing!D29="","",Pricing!D29))</f>
        <v/>
      </c>
      <c r="C17" s="596" t="str">
        <f>IF(Pricing!AE29="Quoted","",IF(Pricing!E29="","",Pricing!E29))</f>
        <v/>
      </c>
      <c r="D17" s="597" t="str">
        <f>IF(Pricing!AE29="Quoted","",IF(Pricing!F29="","",Pricing!F29))</f>
        <v/>
      </c>
      <c r="E17" s="596" t="str">
        <f>IF(Pricing!AE29="Quoted","",IF(Pricing!H29="","",Pricing!H29))</f>
        <v/>
      </c>
      <c r="F17" s="597" t="str">
        <f>IF(Pricing!AE29="Quoted","",IF(Pricing!I29="","",Pricing!I29))</f>
        <v/>
      </c>
      <c r="G17" s="596" t="str">
        <f>IF(Pricing!AE29="Quoted","",IF(Pricing!J29="","",Pricing!J29))</f>
        <v/>
      </c>
      <c r="H17" s="643" t="str">
        <f>IF(Pricing!AE29="Quoted","",IF(Pricing!AE30=0,"",Pricing!AE30))</f>
        <v/>
      </c>
      <c r="I17" s="644" t="str">
        <f>IF(Pricing!AE29="Quoted","",IF(Pricing!AE31=0,"",Pricing!AE31))</f>
        <v/>
      </c>
      <c r="J17" s="643" t="str">
        <f>IF(Pricing!AE29="Quoted","",IF(H17="","",H17-I17))</f>
        <v/>
      </c>
    </row>
    <row r="18" spans="1:11" s="568" customFormat="1" ht="27" customHeight="1">
      <c r="A18" s="596" t="str">
        <f>IF(Pricing!AE32="Quoted","",Pricing!C32 &amp; " " &amp; Pricing!C33 &amp; " " &amp;Pricing!C34)</f>
        <v xml:space="preserve">  </v>
      </c>
      <c r="B18" s="597" t="str">
        <f>IF(Pricing!AE32="Quoted","",IF(Pricing!D32="","",Pricing!D32))</f>
        <v/>
      </c>
      <c r="C18" s="596" t="str">
        <f>IF(Pricing!AE32="Quoted","",IF(Pricing!E32="","",Pricing!E32))</f>
        <v/>
      </c>
      <c r="D18" s="597" t="str">
        <f>IF(Pricing!AE32="Quoted","",IF(Pricing!F32="","",Pricing!F32))</f>
        <v/>
      </c>
      <c r="E18" s="596" t="str">
        <f>IF(Pricing!AE32="Quoted","",IF(Pricing!H32="","",Pricing!H32))</f>
        <v/>
      </c>
      <c r="F18" s="597" t="str">
        <f>IF(Pricing!AE32="Quoted","",IF(Pricing!I32="","",Pricing!I32))</f>
        <v/>
      </c>
      <c r="G18" s="596" t="str">
        <f>IF(Pricing!AE32="Quoted","",IF(Pricing!J32="","",Pricing!J32))</f>
        <v/>
      </c>
      <c r="H18" s="643" t="str">
        <f>IF(Pricing!AE32="Quoted","",IF(Pricing!AE33=0,"",Pricing!AE33))</f>
        <v/>
      </c>
      <c r="I18" s="644" t="str">
        <f>IF(Pricing!AE32="Quoted","",IF(Pricing!AE34=0,"",Pricing!AE34))</f>
        <v/>
      </c>
      <c r="J18" s="643" t="str">
        <f>IF(Pricing!AE32="Quoted","",IF(H18="","",H18-I18))</f>
        <v/>
      </c>
    </row>
    <row r="19" spans="1:11" s="568" customFormat="1" ht="27" customHeight="1">
      <c r="A19" s="596" t="str">
        <f>IF(Pricing!AE35="Quoted","",Pricing!C35 &amp; " " &amp; Pricing!C36 &amp; " " &amp;Pricing!C37)</f>
        <v xml:space="preserve">  </v>
      </c>
      <c r="B19" s="597" t="str">
        <f>IF(Pricing!AE35="Quoted","",IF(Pricing!D35="","",Pricing!D35))</f>
        <v/>
      </c>
      <c r="C19" s="596" t="str">
        <f>IF(Pricing!AE35="Quoted","",IF(Pricing!E35="","",Pricing!E35))</f>
        <v/>
      </c>
      <c r="D19" s="597" t="str">
        <f>IF(Pricing!AE35="Quoted","",IF(Pricing!F35="","",Pricing!F35))</f>
        <v/>
      </c>
      <c r="E19" s="596" t="str">
        <f>IF(Pricing!AE35="Quoted","",IF(Pricing!AE35="Quoted","",IF(Pricing!H35="","",Pricing!H35)))</f>
        <v/>
      </c>
      <c r="F19" s="597" t="str">
        <f>IF(Pricing!AE35="Quoted","",IF(Pricing!I35="","",Pricing!I35))</f>
        <v/>
      </c>
      <c r="G19" s="596" t="str">
        <f>IF(Pricing!AE35="Quoted","",IF(Pricing!J35="","",Pricing!J35))</f>
        <v/>
      </c>
      <c r="H19" s="643" t="str">
        <f>IF(Pricing!AE35="Quoted","",IF(Pricing!AE36=0,"",Pricing!AE36))</f>
        <v/>
      </c>
      <c r="I19" s="644" t="str">
        <f>IF(Pricing!AE35="Quoted","",IF(Pricing!AE37=0,"",Pricing!AE37))</f>
        <v/>
      </c>
      <c r="J19" s="643" t="str">
        <f>IF(Pricing!AE35="Quoted","",IF(H19="","",H19-I19))</f>
        <v/>
      </c>
    </row>
    <row r="20" spans="1:11" s="568" customFormat="1" ht="27" customHeight="1">
      <c r="A20" s="596" t="str">
        <f>IF(Pricing!AE38="Quoted","",Pricing!C38 &amp; " " &amp; Pricing!C39 &amp; " " &amp;Pricing!C40)</f>
        <v xml:space="preserve">  </v>
      </c>
      <c r="B20" s="597" t="str">
        <f>IF(Pricing!AE38="Quoted","",IF(Pricing!D38="","",Pricing!D38))</f>
        <v/>
      </c>
      <c r="C20" s="596" t="str">
        <f>IF(Pricing!AE38="Quoted","",IF(Pricing!E38="","",Pricing!E38))</f>
        <v/>
      </c>
      <c r="D20" s="597" t="str">
        <f>IF(Pricing!AE38="Quoted","",IF(Pricing!F38="","",Pricing!F38))</f>
        <v/>
      </c>
      <c r="E20" s="596" t="str">
        <f>IF(Pricing!AE38="Quoted","",IF(Pricing!H38="","",Pricing!H38))</f>
        <v/>
      </c>
      <c r="F20" s="597" t="str">
        <f>IF(Pricing!AE38="Quoted","",IF(Pricing!I38="","",Pricing!I38))</f>
        <v/>
      </c>
      <c r="G20" s="596" t="str">
        <f>IF(Pricing!AE38="Quoted","",IF(Pricing!J38="","",Pricing!J38))</f>
        <v/>
      </c>
      <c r="H20" s="643" t="str">
        <f>IF(Pricing!AE38="Quoted","",IF(Pricing!AE39=0,"",Pricing!AE39))</f>
        <v/>
      </c>
      <c r="I20" s="644" t="str">
        <f>IF(Pricing!AE38="Quoted","",IF(Pricing!AE40=0,"",Pricing!AE40))</f>
        <v/>
      </c>
      <c r="J20" s="643" t="str">
        <f>IF(Pricing!AE38="Quoted","",IF(H20="","",H20-I20))</f>
        <v/>
      </c>
    </row>
    <row r="21" spans="1:11" s="568" customFormat="1" ht="27" customHeight="1">
      <c r="A21" s="596" t="str">
        <f>IF(Pricing!AE41="Quoted","",Pricing!C41 &amp; " " &amp; Pricing!C42 &amp; " " &amp;Pricing!C43)</f>
        <v xml:space="preserve">  </v>
      </c>
      <c r="B21" s="597" t="str">
        <f>IF(Pricing!AE38="Quoted","",IF(Pricing!D41="","",Pricing!D41))</f>
        <v/>
      </c>
      <c r="C21" s="596" t="str">
        <f>IF(Pricing!AE38="Quoted","",IF(Pricing!E41="","",Pricing!E41))</f>
        <v/>
      </c>
      <c r="D21" s="597" t="str">
        <f>IF(Pricing!AE41="Quoted","",IF(Pricing!F41="","",Pricing!F41))</f>
        <v/>
      </c>
      <c r="E21" s="596" t="str">
        <f>IF(Pricing!AE38="Quoted","",IF(Pricing!H41="","",Pricing!H41))</f>
        <v/>
      </c>
      <c r="F21" s="597" t="str">
        <f>IF(Pricing!AE38="Quoted","",IF(Pricing!I41="","",Pricing!I41))</f>
        <v/>
      </c>
      <c r="G21" s="596" t="str">
        <f>IF(Pricing!AE38="Quoted","",IF(Pricing!J41="","",Pricing!J41))</f>
        <v/>
      </c>
      <c r="H21" s="643" t="str">
        <f>IF(Pricing!AE38="Quoted","",IF(Pricing!AE42=0,"",Pricing!AE42))</f>
        <v/>
      </c>
      <c r="I21" s="644" t="str">
        <f>IF(Pricing!AE38="Quoted","",IF(Pricing!AE43=0,"",Pricing!AE43))</f>
        <v/>
      </c>
      <c r="J21" s="643" t="str">
        <f>IF(Pricing!AE38="Quoted","",IF(H21="","",H21-I21))</f>
        <v/>
      </c>
    </row>
    <row r="22" spans="1:11" s="568" customFormat="1" ht="27" customHeight="1">
      <c r="A22" s="596" t="str">
        <f>IF(Pricing!AE44="Quoted","",Pricing!C44 &amp; " " &amp; Pricing!C45 &amp; " " &amp;Pricing!C46)</f>
        <v xml:space="preserve">  </v>
      </c>
      <c r="B22" s="597" t="str">
        <f>IF(Pricing!AE44="Quoted","",IF(Pricing!D44="","",Pricing!D44))</f>
        <v/>
      </c>
      <c r="C22" s="596" t="str">
        <f>IF(Pricing!AE44="Quoted","",IF(Pricing!E44="","",Pricing!E44))</f>
        <v/>
      </c>
      <c r="D22" s="597" t="str">
        <f>IF(Pricing!AE44="Quoted","",IF(Pricing!F44="","",Pricing!F44))</f>
        <v/>
      </c>
      <c r="E22" s="596" t="str">
        <f>IF(Pricing!AE44="Quoted","",IF(Pricing!H44="","",Pricing!H44))</f>
        <v/>
      </c>
      <c r="F22" s="597" t="str">
        <f>IF(Pricing!AE44="Quoted","",IF(Pricing!I44="","",Pricing!I44))</f>
        <v/>
      </c>
      <c r="G22" s="596" t="str">
        <f>IF(Pricing!AE44="Quoted","",IF(Pricing!J44="","",Pricing!J44))</f>
        <v/>
      </c>
      <c r="H22" s="643" t="str">
        <f>IF(Pricing!AE44="Quoted","",IF(Pricing!AE45=0,"",Pricing!AE45))</f>
        <v/>
      </c>
      <c r="I22" s="644" t="str">
        <f>IF(Pricing!AE44="Quoted","",IF(Pricing!AE46=0,"",Pricing!AE46))</f>
        <v/>
      </c>
      <c r="J22" s="643" t="str">
        <f>IF(Pricing!AE44="Quoted","",IF(H22="","",H22-I22))</f>
        <v/>
      </c>
    </row>
    <row r="23" spans="1:11" s="568" customFormat="1" ht="27" customHeight="1">
      <c r="A23" s="596" t="str">
        <f>IF(Pricing!AE47="Quoted","",Pricing!C47 &amp; " " &amp; Pricing!C48 &amp; " " &amp;Pricing!C49)</f>
        <v xml:space="preserve">  </v>
      </c>
      <c r="B23" s="597" t="str">
        <f>IF(Pricing!AE47="Quoted","",IF(Pricing!D47="","",Pricing!D47))</f>
        <v/>
      </c>
      <c r="C23" s="596" t="str">
        <f>IF(Pricing!AE47="Quoted","",IF(Pricing!E47="","",Pricing!E47))</f>
        <v/>
      </c>
      <c r="D23" s="597" t="str">
        <f>IF(Pricing!AE47="Quoted","",IF(Pricing!F47="","",Pricing!F47))</f>
        <v/>
      </c>
      <c r="E23" s="596" t="str">
        <f>IF(Pricing!AE47="Quoted","",IF(Pricing!H47="","",Pricing!H47))</f>
        <v/>
      </c>
      <c r="F23" s="597" t="str">
        <f>IF(Pricing!AE47="Quoted","",IF(Pricing!I47="","",Pricing!I47))</f>
        <v/>
      </c>
      <c r="G23" s="596" t="str">
        <f>IF(Pricing!AE47="Quoted","",IF(Pricing!J47="","",Pricing!J47))</f>
        <v/>
      </c>
      <c r="H23" s="643" t="str">
        <f>IF(Pricing!AE47="Quoted","",IF(Pricing!AE48=0,"",Pricing!AE48))</f>
        <v/>
      </c>
      <c r="I23" s="644" t="str">
        <f>IF(Pricing!AE47="Quoted","",IF(Pricing!AE49=0,"",Pricing!AE49))</f>
        <v/>
      </c>
      <c r="J23" s="643" t="str">
        <f>IF(Pricing!AE47="Quoted","",IF(H23="","",H23-I23))</f>
        <v/>
      </c>
    </row>
    <row r="24" spans="1:11" s="568" customFormat="1" ht="27" customHeight="1">
      <c r="A24" s="596" t="str">
        <f>IF(Pricing!AE50="Quoted","",Pricing!C50 &amp; " " &amp; Pricing!C51 &amp; " " &amp;Pricing!C52)</f>
        <v xml:space="preserve">  </v>
      </c>
      <c r="B24" s="597" t="str">
        <f>IF(Pricing!AE50="Quoted","",IF(Pricing!D50="","",Pricing!D50))</f>
        <v/>
      </c>
      <c r="C24" s="596" t="str">
        <f>IF(Pricing!AE50="Quoted","",IF(Pricing!E50="","",Pricing!E50))</f>
        <v/>
      </c>
      <c r="D24" s="597" t="str">
        <f>IF(Pricing!AE50="Quoted","",IF(Pricing!F50="","",Pricing!F50))</f>
        <v/>
      </c>
      <c r="E24" s="596" t="str">
        <f>IF(Pricing!AE50="Quoted","",IF(Pricing!H50="","",Pricing!H50))</f>
        <v/>
      </c>
      <c r="F24" s="597" t="str">
        <f>IF(Pricing!AE50="Quoted","",IF(Pricing!I50="","",Pricing!I50))</f>
        <v/>
      </c>
      <c r="G24" s="596" t="str">
        <f>IF(Pricing!AE50="Quoted","",IF(Pricing!J50="","",Pricing!J50))</f>
        <v/>
      </c>
      <c r="H24" s="643" t="str">
        <f>IF(Pricing!AE50="Quoted","",IF(Pricing!AE51=0,"",Pricing!AE51))</f>
        <v/>
      </c>
      <c r="I24" s="644" t="str">
        <f>IF(Pricing!AE50="Quoted","",IF(Pricing!AE52=0,"",Pricing!AE52))</f>
        <v/>
      </c>
      <c r="J24" s="643" t="str">
        <f>IF(Pricing!AE50="Quoted","",IF(H24="","",H24-I24))</f>
        <v/>
      </c>
    </row>
    <row r="25" spans="1:11" s="568" customFormat="1" ht="27" customHeight="1">
      <c r="A25" s="596"/>
      <c r="B25" s="597"/>
      <c r="C25" s="596"/>
      <c r="D25" s="597"/>
      <c r="E25" s="596"/>
      <c r="F25" s="597"/>
      <c r="G25" s="596"/>
      <c r="H25" s="643"/>
      <c r="I25" s="644"/>
      <c r="J25" s="643"/>
    </row>
    <row r="26" spans="1:11" s="569" customFormat="1" ht="7.15" customHeight="1" thickBot="1">
      <c r="A26" s="1132"/>
      <c r="B26" s="1133"/>
      <c r="C26" s="1133"/>
      <c r="D26" s="1133"/>
      <c r="E26" s="1133"/>
      <c r="F26" s="1133"/>
      <c r="G26" s="1133"/>
      <c r="H26" s="1133"/>
      <c r="I26" s="1133"/>
      <c r="J26" s="1134"/>
    </row>
    <row r="27" spans="1:11" s="569" customFormat="1" ht="60" customHeight="1" thickTop="1" thickBot="1">
      <c r="A27" s="1122" t="s">
        <v>221</v>
      </c>
      <c r="B27" s="1123"/>
      <c r="C27" s="1124"/>
      <c r="D27" s="1124"/>
      <c r="E27" s="1124"/>
      <c r="F27" s="1124"/>
      <c r="G27" s="1124"/>
      <c r="H27" s="1124"/>
      <c r="I27" s="1124"/>
      <c r="J27" s="1125"/>
    </row>
    <row r="28" spans="1:11" s="14" customFormat="1" ht="7.15" customHeight="1" thickTop="1">
      <c r="A28" s="1116"/>
      <c r="B28" s="1117"/>
      <c r="C28" s="1117"/>
      <c r="D28" s="1117"/>
      <c r="E28" s="1117"/>
      <c r="F28" s="1117"/>
      <c r="G28" s="1117"/>
      <c r="H28" s="1117"/>
      <c r="I28" s="1117"/>
      <c r="J28" s="1118"/>
      <c r="K28"/>
    </row>
    <row r="29" spans="1:11" ht="40.15" customHeight="1">
      <c r="A29" s="1119" t="s">
        <v>222</v>
      </c>
      <c r="B29" s="1120"/>
      <c r="C29" s="1120"/>
      <c r="D29" s="1120"/>
      <c r="E29" s="1120"/>
      <c r="F29" s="1120"/>
      <c r="G29" s="1120"/>
      <c r="H29" s="1120"/>
      <c r="I29" s="1120"/>
      <c r="J29" s="1121"/>
    </row>
    <row r="30" spans="1:11" ht="37.9" customHeight="1">
      <c r="A30" s="1148"/>
      <c r="B30" s="1149"/>
      <c r="C30" s="1152" t="s">
        <v>223</v>
      </c>
      <c r="D30" s="1152"/>
      <c r="E30" s="1152"/>
      <c r="F30" s="1152"/>
      <c r="G30" s="1153"/>
      <c r="H30" s="593" t="s">
        <v>218</v>
      </c>
      <c r="I30" s="592" t="s">
        <v>224</v>
      </c>
      <c r="J30" s="604" t="s">
        <v>220</v>
      </c>
    </row>
    <row r="31" spans="1:11" s="571" customFormat="1" ht="37.9" customHeight="1">
      <c r="A31" s="1148"/>
      <c r="B31" s="1149"/>
      <c r="C31" s="1152"/>
      <c r="D31" s="1152"/>
      <c r="E31" s="1152"/>
      <c r="F31" s="1152"/>
      <c r="G31" s="1153"/>
      <c r="H31" s="591">
        <f>Pricing!X66</f>
        <v>7099.1339250000001</v>
      </c>
      <c r="I31" s="590">
        <f>Pricing!AB66</f>
        <v>4920</v>
      </c>
      <c r="J31" s="605">
        <f>Pricing!AE66</f>
        <v>2179.1339250000001</v>
      </c>
      <c r="K31" s="570"/>
    </row>
    <row r="32" spans="1:11" s="571" customFormat="1" ht="37.9" customHeight="1">
      <c r="A32" s="1150"/>
      <c r="B32" s="1151"/>
      <c r="C32" s="1154"/>
      <c r="D32" s="1154"/>
      <c r="E32" s="1154"/>
      <c r="F32" s="1154"/>
      <c r="G32" s="1155"/>
      <c r="H32" s="1162" t="s">
        <v>225</v>
      </c>
      <c r="I32" s="1163"/>
      <c r="J32" s="620">
        <f>Pricing!AB72</f>
        <v>2460</v>
      </c>
      <c r="K32" s="570"/>
    </row>
    <row r="33" spans="1:11" s="619" customFormat="1" ht="1.1499999999999999" customHeight="1">
      <c r="A33" s="609" t="str">
        <f>IF(F33="Finance not available","Finance available on orders over £1000.00","Spread the cost with 12 months Interest Free option &gt;")</f>
        <v>Spread the cost with 12 months Interest Free option &gt;</v>
      </c>
      <c r="B33" s="610"/>
      <c r="C33" s="610"/>
      <c r="D33" s="610"/>
      <c r="E33" s="611"/>
      <c r="F33" s="610" t="str">
        <f>IF(I31&lt;1000,"Finance not available","Only £" &amp; ROUND(ABS(Data!AV12),0.2) &amp; "           per month")</f>
        <v>Only £308           per month</v>
      </c>
      <c r="G33" s="610"/>
      <c r="H33" s="610"/>
      <c r="I33" s="610"/>
      <c r="J33" s="610"/>
      <c r="K33"/>
    </row>
    <row r="34" spans="1:11" s="14" customFormat="1" ht="32.450000000000003" customHeight="1">
      <c r="A34" s="1146" t="str">
        <f>IF(Pricing!S61="Finance not available","Great finance options available on orders over £1000.00","Spread the cost over 12 months. Minimum 25% deposit.")</f>
        <v>Spread the cost over 12 months. Minimum 25% deposit.</v>
      </c>
      <c r="B34" s="1147"/>
      <c r="C34" s="1147"/>
      <c r="D34" s="588" t="s">
        <v>226</v>
      </c>
      <c r="E34" s="588" t="s">
        <v>227</v>
      </c>
      <c r="F34" s="586" t="s">
        <v>228</v>
      </c>
      <c r="G34" s="586" t="s">
        <v>229</v>
      </c>
      <c r="H34" s="586" t="s">
        <v>230</v>
      </c>
      <c r="I34" s="586" t="s">
        <v>231</v>
      </c>
      <c r="J34" s="625" t="s">
        <v>232</v>
      </c>
      <c r="K34"/>
    </row>
    <row r="35" spans="1:11" s="589" customFormat="1" ht="60" customHeight="1">
      <c r="A35" s="1146"/>
      <c r="B35" s="1147"/>
      <c r="C35" s="1147"/>
      <c r="D35" s="587">
        <f>IF(I31&lt;1000,0,Pricing!U63)</f>
        <v>1230</v>
      </c>
      <c r="E35" s="587" t="str">
        <f>IF(I31&lt;1000,0,"£" &amp; ROUND(ABS(Data!AV12),0.2))</f>
        <v>£308</v>
      </c>
      <c r="F35" s="586" t="s">
        <v>233</v>
      </c>
      <c r="G35" s="598">
        <f>IF(E34="Finance not available",0,Data!AV13)</f>
        <v>171.81165610458859</v>
      </c>
      <c r="H35" s="598">
        <f>IF(E35="Finance not available",0,ABS(Data!AV14))</f>
        <v>120.63119620928289</v>
      </c>
      <c r="I35" s="598">
        <f>IF(E34="Finance not available",0,ABS(Data!AV15))</f>
        <v>95.190880051901942</v>
      </c>
      <c r="J35" s="626">
        <f>IF(E35="Finance not available",0,ABS(Data!AV16))</f>
        <v>80.045640233291721</v>
      </c>
    </row>
    <row r="36" spans="1:11" ht="7.15" customHeight="1">
      <c r="A36" s="621"/>
      <c r="B36" s="622"/>
      <c r="C36" s="623"/>
      <c r="D36" s="623"/>
      <c r="E36" s="623"/>
      <c r="F36" s="623"/>
      <c r="G36" s="623"/>
      <c r="H36" s="623"/>
      <c r="I36" s="623"/>
      <c r="J36" s="624"/>
    </row>
    <row r="37" spans="1:11" ht="270.60000000000002" customHeight="1">
      <c r="A37" s="1167"/>
      <c r="B37" s="1168"/>
      <c r="C37" s="1168"/>
      <c r="D37" s="1168"/>
      <c r="E37" s="1168"/>
      <c r="F37" s="1168"/>
      <c r="G37" s="1168"/>
      <c r="H37" s="1168"/>
      <c r="I37" s="1168"/>
      <c r="J37" s="1169"/>
    </row>
    <row r="38" spans="1:11" ht="7.15" customHeight="1">
      <c r="A38" s="126"/>
      <c r="J38" s="317"/>
    </row>
    <row r="39" spans="1:11" ht="409.5" customHeight="1">
      <c r="A39" s="1170"/>
      <c r="B39" s="1171"/>
      <c r="C39" s="1171"/>
      <c r="D39" s="1171"/>
      <c r="E39" s="1171"/>
      <c r="F39" s="1171"/>
      <c r="G39" s="1171"/>
      <c r="H39" s="1171"/>
      <c r="I39" s="1171"/>
      <c r="J39" s="1172"/>
    </row>
    <row r="40" spans="1:11" ht="43.9" customHeight="1">
      <c r="A40" s="1135"/>
      <c r="B40" s="1136"/>
      <c r="C40" s="1136"/>
      <c r="D40" s="1136"/>
      <c r="E40" s="1136"/>
      <c r="F40" s="1136"/>
      <c r="G40" s="1136"/>
      <c r="H40" s="1136"/>
      <c r="I40" s="1136"/>
      <c r="J40" s="1137"/>
    </row>
    <row r="41" spans="1:11" ht="207.6" customHeight="1">
      <c r="A41" s="1173"/>
      <c r="B41" s="1009"/>
      <c r="C41" s="1009"/>
      <c r="D41" s="1009"/>
      <c r="E41" s="1009"/>
      <c r="F41" s="1009"/>
      <c r="G41" s="1009"/>
      <c r="H41" s="1009"/>
      <c r="I41" s="1009"/>
      <c r="J41" s="1174"/>
    </row>
    <row r="42" spans="1:11" s="7" customFormat="1" ht="37.9" customHeight="1">
      <c r="A42" s="1164" t="s">
        <v>234</v>
      </c>
      <c r="B42" s="1165"/>
      <c r="C42" s="1165"/>
      <c r="D42" s="1165"/>
      <c r="E42" s="1165"/>
      <c r="F42" s="1165"/>
      <c r="G42" s="1165"/>
      <c r="H42" s="1165"/>
      <c r="I42" s="1165"/>
      <c r="J42" s="1166"/>
    </row>
    <row r="43" spans="1:11" s="585" customFormat="1" ht="10.15" customHeight="1">
      <c r="A43" s="606"/>
      <c r="B43" s="607"/>
      <c r="C43" s="607"/>
      <c r="D43" s="607"/>
      <c r="E43" s="607"/>
      <c r="F43" s="607"/>
      <c r="G43" s="607"/>
      <c r="H43" s="607"/>
      <c r="I43" s="607"/>
      <c r="J43" s="608"/>
    </row>
    <row r="44" spans="1:11" s="7" customFormat="1" ht="28.9" customHeight="1">
      <c r="A44" s="1156" t="s">
        <v>235</v>
      </c>
      <c r="B44" s="1157"/>
      <c r="C44" s="1157"/>
      <c r="D44" s="1157"/>
      <c r="E44" s="1157"/>
      <c r="F44" s="1157"/>
      <c r="G44" s="1157"/>
      <c r="H44" s="1157"/>
      <c r="I44" s="1157"/>
      <c r="J44" s="1158"/>
    </row>
    <row r="45" spans="1:11" s="7" customFormat="1" ht="97.9" customHeight="1">
      <c r="A45" s="1175"/>
      <c r="B45" s="1176"/>
      <c r="C45" s="1177"/>
      <c r="D45" s="1177"/>
      <c r="E45" s="1177"/>
      <c r="F45" s="1177"/>
      <c r="G45" s="1177"/>
      <c r="H45" s="1177"/>
      <c r="I45" s="1177"/>
      <c r="J45" s="1178"/>
    </row>
  </sheetData>
  <mergeCells count="35">
    <mergeCell ref="A45:B45"/>
    <mergeCell ref="C45:D45"/>
    <mergeCell ref="E45:F45"/>
    <mergeCell ref="G45:H45"/>
    <mergeCell ref="I45:J45"/>
    <mergeCell ref="A44:J44"/>
    <mergeCell ref="A6:B6"/>
    <mergeCell ref="C6:J6"/>
    <mergeCell ref="H32:I32"/>
    <mergeCell ref="A42:J42"/>
    <mergeCell ref="A40:J40"/>
    <mergeCell ref="A37:J37"/>
    <mergeCell ref="A39:J39"/>
    <mergeCell ref="A41:J41"/>
    <mergeCell ref="H3:J3"/>
    <mergeCell ref="A3:G3"/>
    <mergeCell ref="A34:C35"/>
    <mergeCell ref="A30:B32"/>
    <mergeCell ref="C30:G32"/>
    <mergeCell ref="A1:J1"/>
    <mergeCell ref="A28:J28"/>
    <mergeCell ref="A29:J29"/>
    <mergeCell ref="A27:B27"/>
    <mergeCell ref="C27:J27"/>
    <mergeCell ref="A8:J8"/>
    <mergeCell ref="A4:B4"/>
    <mergeCell ref="C4:E4"/>
    <mergeCell ref="F4:G4"/>
    <mergeCell ref="H4:J4"/>
    <mergeCell ref="A26:J26"/>
    <mergeCell ref="A2:J2"/>
    <mergeCell ref="A5:B5"/>
    <mergeCell ref="C5:E5"/>
    <mergeCell ref="F5:G5"/>
    <mergeCell ref="H5:J5"/>
  </mergeCells>
  <pageMargins left="0.7" right="0.7" top="0.75" bottom="0.75" header="0.3" footer="0.3"/>
  <pageSetup paperSize="9" scale="63" fitToHeight="0" orientation="portrait" r:id="rId1"/>
  <rowBreaks count="1" manualBreakCount="1">
    <brk id="35" max="9"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A213A3-F71D-4F6E-8982-7FFE04819D06}">
  <sheetPr codeName="Sheet26">
    <pageSetUpPr fitToPage="1"/>
  </sheetPr>
  <dimension ref="A1:K46"/>
  <sheetViews>
    <sheetView showGridLines="0" zoomScaleNormal="100" zoomScaleSheetLayoutView="100" workbookViewId="0">
      <selection activeCell="L27" sqref="L27"/>
    </sheetView>
  </sheetViews>
  <sheetFormatPr defaultColWidth="8.7109375" defaultRowHeight="14.45"/>
  <cols>
    <col min="1" max="10" width="13.7109375" customWidth="1"/>
    <col min="11" max="11" width="9.7109375" customWidth="1"/>
  </cols>
  <sheetData>
    <row r="1" spans="1:11" ht="85.15" customHeight="1">
      <c r="A1" s="1113"/>
      <c r="B1" s="1114"/>
      <c r="C1" s="1114"/>
      <c r="D1" s="1114"/>
      <c r="E1" s="1114"/>
      <c r="F1" s="1114"/>
      <c r="G1" s="1114"/>
      <c r="H1" s="1114"/>
      <c r="I1" s="1114"/>
      <c r="J1" s="1115"/>
    </row>
    <row r="2" spans="1:11" s="14" customFormat="1" ht="7.15" customHeight="1">
      <c r="A2" s="1135"/>
      <c r="B2" s="1136"/>
      <c r="C2" s="1136"/>
      <c r="D2" s="1136"/>
      <c r="E2" s="1136"/>
      <c r="F2" s="1136"/>
      <c r="G2" s="1136"/>
      <c r="H2" s="1136"/>
      <c r="I2" s="1136"/>
      <c r="J2" s="1137"/>
      <c r="K2"/>
    </row>
    <row r="3" spans="1:11" s="7" customFormat="1" ht="40.15" customHeight="1">
      <c r="A3" s="1144" t="s">
        <v>236</v>
      </c>
      <c r="B3" s="1145"/>
      <c r="C3" s="1145"/>
      <c r="D3" s="1145"/>
      <c r="E3" s="1145"/>
      <c r="F3" s="1145"/>
      <c r="G3" s="1145"/>
      <c r="H3" s="1145"/>
      <c r="I3" s="1145"/>
      <c r="J3" s="1179"/>
    </row>
    <row r="4" spans="1:11" s="565" customFormat="1" ht="40.15" customHeight="1">
      <c r="A4" s="1126" t="s">
        <v>237</v>
      </c>
      <c r="B4" s="1127"/>
      <c r="C4" s="1128" t="str">
        <f>IF(Pricing!E66="","",Pricing!E66)</f>
        <v/>
      </c>
      <c r="D4" s="1129"/>
      <c r="E4" s="1130"/>
      <c r="F4" s="1126" t="s">
        <v>74</v>
      </c>
      <c r="G4" s="1131"/>
      <c r="H4" s="1128" t="str">
        <f>IF(Pricing!B66="","",Pricing!B66)</f>
        <v/>
      </c>
      <c r="I4" s="1129"/>
      <c r="J4" s="1130"/>
    </row>
    <row r="5" spans="1:11" s="565" customFormat="1" ht="40.15" customHeight="1">
      <c r="A5" s="1126" t="s">
        <v>214</v>
      </c>
      <c r="B5" s="1127"/>
      <c r="C5" s="1138" t="str">
        <f>IF(Pricing!B59="","",Pricing!B59)</f>
        <v/>
      </c>
      <c r="D5" s="1129"/>
      <c r="E5" s="1130"/>
      <c r="F5" s="1126" t="s">
        <v>193</v>
      </c>
      <c r="G5" s="1131"/>
      <c r="H5" s="1138" t="str">
        <f>IF(Pricing!E59="","",Pricing!E59)</f>
        <v/>
      </c>
      <c r="I5" s="1139"/>
      <c r="J5" s="1140"/>
    </row>
    <row r="6" spans="1:11" s="565" customFormat="1" ht="40.15" customHeight="1">
      <c r="A6" s="1126" t="s">
        <v>215</v>
      </c>
      <c r="B6" s="1127"/>
      <c r="C6" s="1159" t="str">
        <f>IF(Pricing!B69="","",Pricing!B69)</f>
        <v/>
      </c>
      <c r="D6" s="1160"/>
      <c r="E6" s="1160"/>
      <c r="F6" s="1160"/>
      <c r="G6" s="1160"/>
      <c r="H6" s="1160"/>
      <c r="I6" s="1160"/>
      <c r="J6" s="1161"/>
    </row>
    <row r="7" spans="1:11" s="14" customFormat="1" ht="7.15" customHeight="1">
      <c r="A7" s="600"/>
      <c r="B7" s="567"/>
      <c r="C7" s="566"/>
      <c r="D7" s="566"/>
      <c r="E7" s="566"/>
      <c r="F7" s="566"/>
      <c r="G7" s="566"/>
      <c r="H7" s="566"/>
      <c r="I7" s="566"/>
      <c r="J7" s="601"/>
      <c r="K7"/>
    </row>
    <row r="8" spans="1:11" ht="40.15" customHeight="1">
      <c r="A8" s="1119" t="s">
        <v>238</v>
      </c>
      <c r="B8" s="1120"/>
      <c r="C8" s="1120"/>
      <c r="D8" s="1120"/>
      <c r="E8" s="1120"/>
      <c r="F8" s="1120"/>
      <c r="G8" s="1120"/>
      <c r="H8" s="1120"/>
      <c r="I8" s="1120"/>
      <c r="J8" s="1121"/>
    </row>
    <row r="9" spans="1:11" s="568" customFormat="1" ht="37.9" customHeight="1">
      <c r="A9" s="602" t="s">
        <v>1</v>
      </c>
      <c r="B9" s="595" t="s">
        <v>2</v>
      </c>
      <c r="C9" s="594" t="s">
        <v>3</v>
      </c>
      <c r="D9" s="595" t="s">
        <v>4</v>
      </c>
      <c r="E9" s="594" t="s">
        <v>217</v>
      </c>
      <c r="F9" s="595" t="s">
        <v>6</v>
      </c>
      <c r="G9" s="594" t="s">
        <v>7</v>
      </c>
      <c r="H9" s="595" t="s">
        <v>218</v>
      </c>
      <c r="I9" s="594" t="s">
        <v>219</v>
      </c>
      <c r="J9" s="603" t="s">
        <v>220</v>
      </c>
    </row>
    <row r="10" spans="1:11" s="568" customFormat="1" ht="27" customHeight="1">
      <c r="A10" s="596" t="str">
        <f>IF(Pricing!AE8="Quoted","",Pricing!C8 &amp; " " &amp; Pricing!C9 &amp; " " &amp;Pricing!C10)</f>
        <v xml:space="preserve">Dining room  </v>
      </c>
      <c r="B10" s="597" t="str">
        <f>IF(Pricing!AE8="Quoted","",IF(Pricing!D8="","",Pricing!D8))</f>
        <v>Tracked</v>
      </c>
      <c r="C10" s="596" t="str">
        <f>IF(Pricing!AE8="Quoted","",IF(Pricing!E8="","",Pricing!E8))</f>
        <v>Barbados</v>
      </c>
      <c r="D10" s="597" t="str">
        <f>IF(Pricing!AE8="Quoted","",IF(Pricing!F8="","",Pricing!F8))</f>
        <v>Pure White</v>
      </c>
      <c r="E10" s="596" t="str">
        <f>IF(Pricing!AE8="Quoted","",IF(Pricing!H8="","",Pricing!H8))</f>
        <v>76mm</v>
      </c>
      <c r="F10" s="597" t="str">
        <f>IF(Pricing!AE8="Quoted","",IF(Pricing!I8="","",Pricing!I8))</f>
        <v>M Track</v>
      </c>
      <c r="G10" s="596" t="str">
        <f>IF(Pricing!AE8="Quoted","",IF(Pricing!J8="","",Pricing!J8))</f>
        <v>Silent</v>
      </c>
      <c r="H10" s="643">
        <f>IF(Pricing!AE8="Quoted","",IF(Pricing!AE9=0,"",Pricing!AE9))</f>
        <v>3945.2363850000002</v>
      </c>
      <c r="I10" s="644">
        <f>IF(Pricing!AE8="Quoted","",IF(Pricing!AE10=0,"",Pricing!AE10))</f>
        <v>2814.9380262500003</v>
      </c>
      <c r="J10" s="643">
        <f>IF(Pricing!AE8="Quoted","",IF(H10="","",H10-I10))</f>
        <v>1130.2983587499998</v>
      </c>
    </row>
    <row r="11" spans="1:11" s="568" customFormat="1" ht="27" customHeight="1">
      <c r="A11" s="596" t="str">
        <f>IF(Pricing!AE11="Quoted","",Pricing!C11 &amp; " " &amp; Pricing!C12 &amp; " " &amp;Pricing!C13)</f>
        <v xml:space="preserve">Office  </v>
      </c>
      <c r="B11" s="597" t="str">
        <f>IF(Pricing!AE11="Quoted","",IF(Pricing!D11="","",Pricing!D11))</f>
        <v>Full Height</v>
      </c>
      <c r="C11" s="596" t="str">
        <f>IF(Pricing!AE11="Quoted","",IF(Pricing!E11="","",Pricing!E11))</f>
        <v>Barbados</v>
      </c>
      <c r="D11" s="597" t="str">
        <f>IF(Pricing!AE11="Quoted","",IF(Pricing!F11="","",Pricing!F11))</f>
        <v>Pure White</v>
      </c>
      <c r="E11" s="596" t="str">
        <f>IF(Pricing!AE11="Quoted","",IF(Pricing!H11="","",Pricing!H11))</f>
        <v>76mm</v>
      </c>
      <c r="F11" s="597" t="str">
        <f>IF(Pricing!AE11="Quoted","",IF(Pricing!I11="","",Pricing!I11))</f>
        <v>Plain L</v>
      </c>
      <c r="G11" s="596" t="str">
        <f>IF(Pricing!AE11="Quoted","",IF(Pricing!J11="","",Pricing!J11))</f>
        <v>Silent</v>
      </c>
      <c r="H11" s="643">
        <f>IF(Pricing!AE11="Quoted","",IF(Pricing!AE12=0,"",Pricing!AE12))</f>
        <v>417.280575</v>
      </c>
      <c r="I11" s="644">
        <f>IF(Pricing!AE11="Quoted","",IF(Pricing!AE13=0,"",Pricing!AE13))</f>
        <v>303.50049374999998</v>
      </c>
      <c r="J11" s="643">
        <f>IF(Pricing!AE11="Quoted","",IF(H11="","",H11-I11))</f>
        <v>113.78008125000002</v>
      </c>
    </row>
    <row r="12" spans="1:11" s="568" customFormat="1" ht="27" customHeight="1">
      <c r="A12" s="596" t="str">
        <f>IF(Pricing!AE14="Quoted","",Pricing!C14 &amp; " " &amp; Pricing!C15 &amp; " " &amp;Pricing!C16)</f>
        <v xml:space="preserve">Living room  </v>
      </c>
      <c r="B12" s="597" t="str">
        <f>IF(Pricing!AE14="Quoted","",IF(Pricing!D14="","",Pricing!D14))</f>
        <v>Full Height</v>
      </c>
      <c r="C12" s="596" t="str">
        <f>IF(Pricing!AE14="Quoted","",IF(Pricing!E14="","",Pricing!E14))</f>
        <v>Barbados</v>
      </c>
      <c r="D12" s="597" t="str">
        <f>IF(Pricing!AE14="Quoted","",IF(Pricing!F14="","",Pricing!F14))</f>
        <v>Pure White</v>
      </c>
      <c r="E12" s="596" t="str">
        <f>IF(Pricing!AE14="Quoted","",IF(Pricing!H14="","",Pricing!H14))</f>
        <v>76mm</v>
      </c>
      <c r="F12" s="597" t="str">
        <f>IF(Pricing!AE14="Quoted","",IF(Pricing!I14="","",Pricing!I14))</f>
        <v>Plain L</v>
      </c>
      <c r="G12" s="596" t="str">
        <f>IF(Pricing!AE14="Quoted","",IF(Pricing!J14="","",Pricing!J14))</f>
        <v>Silent</v>
      </c>
      <c r="H12" s="643">
        <f>IF(Pricing!AE14="Quoted","",IF(Pricing!AE15=0,"",Pricing!AE15))</f>
        <v>1754.5655399999998</v>
      </c>
      <c r="I12" s="644">
        <f>IF(Pricing!AE14="Quoted","",IF(Pricing!AE16=0,"",Pricing!AE16))</f>
        <v>1171.3171050000001</v>
      </c>
      <c r="J12" s="643">
        <f>IF(Pricing!AE14="Quoted","",IF(H12="","",H12-I12))</f>
        <v>583.24843499999974</v>
      </c>
    </row>
    <row r="13" spans="1:11" s="568" customFormat="1" ht="27" customHeight="1">
      <c r="A13" s="596" t="str">
        <f>IF(Pricing!AE17="Quoted","",Pricing!C17 &amp; " " &amp; Pricing!C18 &amp; " " &amp;Pricing!C19)</f>
        <v xml:space="preserve">Bedroom Front Right </v>
      </c>
      <c r="B13" s="597" t="str">
        <f>IF(Pricing!AE17="Quoted","",IF(Pricing!D17="","",Pricing!D17))</f>
        <v>Full Height</v>
      </c>
      <c r="C13" s="596" t="str">
        <f>IF(Pricing!AE17="Quoted","",IF(Pricing!E17="","",Pricing!E17))</f>
        <v>Barbados</v>
      </c>
      <c r="D13" s="597" t="str">
        <f>IF(Pricing!AE17="Quoted","",IF(Pricing!F17="","",Pricing!F17))</f>
        <v>Pure White</v>
      </c>
      <c r="E13" s="596" t="str">
        <f>IF(Pricing!AE17="Quoted","",IF(Pricing!H17="","",Pricing!H17))</f>
        <v>76mm</v>
      </c>
      <c r="F13" s="597" t="str">
        <f>IF(Pricing!AE17="Quoted","",IF(Pricing!I17="","",Pricing!I17))</f>
        <v>Plain L</v>
      </c>
      <c r="G13" s="596" t="str">
        <f>IF(Pricing!AE17="Quoted","",IF(Pricing!J17="","",Pricing!J17))</f>
        <v>Silent</v>
      </c>
      <c r="H13" s="643">
        <f>IF(Pricing!AE17="Quoted","",IF(Pricing!AE18=0,"",Pricing!AE18))</f>
        <v>1057.202055</v>
      </c>
      <c r="I13" s="644">
        <f>IF(Pricing!AE17="Quoted","",IF(Pricing!AE19=0,"",Pricing!AE19))</f>
        <v>705.7695037499999</v>
      </c>
      <c r="J13" s="643">
        <f>IF(Pricing!AE17="Quoted","",IF(H13="","",H13-I13))</f>
        <v>351.43255125000007</v>
      </c>
    </row>
    <row r="14" spans="1:11" s="568" customFormat="1" ht="27" customHeight="1">
      <c r="A14" s="596" t="str">
        <f>IF(Pricing!AE20="Quoted","",Pricing!C20 &amp; " " &amp; Pricing!C21 &amp; " " &amp;Pricing!C22)</f>
        <v xml:space="preserve">  </v>
      </c>
      <c r="B14" s="597" t="str">
        <f>IF(Pricing!AE20="Quoted","",IF(Pricing!D20="","",Pricing!D20))</f>
        <v/>
      </c>
      <c r="C14" s="596" t="str">
        <f>IF(Pricing!AE20="Quoted","",IF(Pricing!E20="","",Pricing!E20))</f>
        <v/>
      </c>
      <c r="D14" s="597" t="str">
        <f>IF(Pricing!AE20="Quoted","",IF(Pricing!F20="","",Pricing!F20))</f>
        <v/>
      </c>
      <c r="E14" s="596" t="str">
        <f>IF(Pricing!AE20="Quoted","",IF(Pricing!H20="","",Pricing!H20))</f>
        <v/>
      </c>
      <c r="F14" s="597" t="str">
        <f>IF(Pricing!AE20="Quoted","",IF(Pricing!I20="","",Pricing!I20))</f>
        <v/>
      </c>
      <c r="G14" s="596" t="str">
        <f>IF(Pricing!AE20="Quoted","",IF(Pricing!J20="","",Pricing!J20))</f>
        <v/>
      </c>
      <c r="H14" s="643" t="str">
        <f>IF(Pricing!AE20="Quoted","",IF(Pricing!AE21=0,"",Pricing!AE21))</f>
        <v/>
      </c>
      <c r="I14" s="644" t="str">
        <f>IF(Pricing!AE20="Quoted","",IF(Pricing!AE22=0,"",Pricing!AE22))</f>
        <v/>
      </c>
      <c r="J14" s="643" t="str">
        <f>IF(Pricing!AE20="Quoted","",IF(H14="","",H14-I14))</f>
        <v/>
      </c>
    </row>
    <row r="15" spans="1:11" s="568" customFormat="1" ht="27" customHeight="1">
      <c r="A15" s="596" t="str">
        <f>IF(Pricing!AE23="Quoted","",Pricing!C23 &amp; " " &amp; Pricing!C24 &amp; " " &amp;Pricing!C25)</f>
        <v xml:space="preserve">  </v>
      </c>
      <c r="B15" s="597" t="str">
        <f>IF(Pricing!AE23="Quoted","",IF(Pricing!D23="","",Pricing!D23))</f>
        <v/>
      </c>
      <c r="C15" s="596" t="str">
        <f>IF(Pricing!AE23="Quoted","",IF(Pricing!E23="","",Pricing!E23))</f>
        <v/>
      </c>
      <c r="D15" s="597" t="str">
        <f>IF(Pricing!AE23="Quoted","",IF(Pricing!F23="","",Pricing!F23))</f>
        <v/>
      </c>
      <c r="E15" s="596" t="str">
        <f>IF(Pricing!AE23="Quoted","",IF(Pricing!H23="","",Pricing!H23))</f>
        <v/>
      </c>
      <c r="F15" s="597" t="str">
        <f>IF(Pricing!AE23="Quoted","",IF(Pricing!I23="","",Pricing!I23))</f>
        <v/>
      </c>
      <c r="G15" s="596" t="str">
        <f>IF(Pricing!AE23="Quoted","",IF(Pricing!J23="","",Pricing!J23))</f>
        <v/>
      </c>
      <c r="H15" s="643" t="str">
        <f>IF(Pricing!AE23="Quoted","",IF(Pricing!AE24=0,"",Pricing!AE24))</f>
        <v/>
      </c>
      <c r="I15" s="644" t="str">
        <f>IF(Pricing!AE23="Quoted","",IF(Pricing!AE25=0,"",Pricing!AE25))</f>
        <v/>
      </c>
      <c r="J15" s="643" t="str">
        <f>IF(Pricing!AE23="Quoted","",IF(H15="","",H15-I15))</f>
        <v/>
      </c>
    </row>
    <row r="16" spans="1:11" s="568" customFormat="1" ht="27" customHeight="1">
      <c r="A16" s="596" t="str">
        <f>IF(Pricing!AE26="Quoted","",Pricing!C26 &amp; " " &amp; Pricing!C27 &amp; " " &amp;Pricing!C28)</f>
        <v xml:space="preserve">  </v>
      </c>
      <c r="B16" s="597" t="str">
        <f>IF(Pricing!AE26="Quoted","",IF(Pricing!D26="","",Pricing!D26))</f>
        <v/>
      </c>
      <c r="C16" s="596" t="str">
        <f>IF(Pricing!AE26="Quoted","",IF(Pricing!E26="","",Pricing!E26))</f>
        <v/>
      </c>
      <c r="D16" s="597" t="str">
        <f>IF(Pricing!AE26="Quoted","",IF(Pricing!F26="","",Pricing!F26))</f>
        <v/>
      </c>
      <c r="E16" s="596" t="str">
        <f>IF(Pricing!AE26="Quoted","",IF(Pricing!H26="","",Pricing!H26))</f>
        <v/>
      </c>
      <c r="F16" s="597" t="str">
        <f>IF(Pricing!AE26="Quoted","",IF(Pricing!I26="","",Pricing!I26))</f>
        <v/>
      </c>
      <c r="G16" s="596" t="str">
        <f>IF(Pricing!AE26="Quoted","",IF(Pricing!J26="","",Pricing!J26))</f>
        <v/>
      </c>
      <c r="H16" s="643" t="str">
        <f>IF(Pricing!AE26="Quoted","",IF(Pricing!AE27=0,"",Pricing!AE27))</f>
        <v/>
      </c>
      <c r="I16" s="644" t="str">
        <f>IF(Pricing!AE26="Quoted","",IF(Pricing!AE28=0,"",Pricing!AE28))</f>
        <v/>
      </c>
      <c r="J16" s="643" t="str">
        <f>IF(Pricing!AE26="Quoted","",IF(H16="","",H16-I16))</f>
        <v/>
      </c>
    </row>
    <row r="17" spans="1:11" s="568" customFormat="1" ht="27" customHeight="1">
      <c r="A17" s="596" t="str">
        <f>IF(Pricing!AE29="Quoted","",Pricing!C29 &amp; " " &amp; Pricing!C30 &amp; " " &amp;Pricing!C31)</f>
        <v xml:space="preserve">  </v>
      </c>
      <c r="B17" s="597" t="str">
        <f>IF(Pricing!AE29="Quoted","",IF(Pricing!D29="","",Pricing!D29))</f>
        <v/>
      </c>
      <c r="C17" s="596" t="str">
        <f>IF(Pricing!AE29="Quoted","",IF(Pricing!E29="","",Pricing!E29))</f>
        <v/>
      </c>
      <c r="D17" s="597" t="str">
        <f>IF(Pricing!AE29="Quoted","",IF(Pricing!F29="","",Pricing!F29))</f>
        <v/>
      </c>
      <c r="E17" s="596" t="str">
        <f>IF(Pricing!AE29="Quoted","",IF(Pricing!H29="","",Pricing!H29))</f>
        <v/>
      </c>
      <c r="F17" s="597" t="str">
        <f>IF(Pricing!AE29="Quoted","",IF(Pricing!I29="","",Pricing!I29))</f>
        <v/>
      </c>
      <c r="G17" s="596" t="str">
        <f>IF(Pricing!AE29="Quoted","",IF(Pricing!J29="","",Pricing!J29))</f>
        <v/>
      </c>
      <c r="H17" s="643" t="str">
        <f>IF(Pricing!AE29="Quoted","",IF(Pricing!AE30=0,"",Pricing!AE30))</f>
        <v/>
      </c>
      <c r="I17" s="644" t="str">
        <f>IF(Pricing!AE29="Quoted","",IF(Pricing!AE31=0,"",Pricing!AE31))</f>
        <v/>
      </c>
      <c r="J17" s="643" t="str">
        <f>IF(Pricing!AE29="Quoted","",IF(H17="","",H17-I17))</f>
        <v/>
      </c>
    </row>
    <row r="18" spans="1:11" s="568" customFormat="1" ht="27" customHeight="1">
      <c r="A18" s="596" t="str">
        <f>IF(Pricing!AE32="Quoted","",Pricing!C32 &amp; " " &amp; Pricing!C33 &amp; " " &amp;Pricing!C34)</f>
        <v xml:space="preserve">  </v>
      </c>
      <c r="B18" s="597" t="str">
        <f>IF(Pricing!AE32="Quoted","",IF(Pricing!D32="","",Pricing!D32))</f>
        <v/>
      </c>
      <c r="C18" s="596" t="str">
        <f>IF(Pricing!AE32="Quoted","",IF(Pricing!E32="","",Pricing!E32))</f>
        <v/>
      </c>
      <c r="D18" s="597" t="str">
        <f>IF(Pricing!AE32="Quoted","",IF(Pricing!F32="","",Pricing!F32))</f>
        <v/>
      </c>
      <c r="E18" s="596" t="str">
        <f>IF(Pricing!AE32="Quoted","",IF(Pricing!H32="","",Pricing!H32))</f>
        <v/>
      </c>
      <c r="F18" s="597" t="str">
        <f>IF(Pricing!AE32="Quoted","",IF(Pricing!I32="","",Pricing!I32))</f>
        <v/>
      </c>
      <c r="G18" s="596" t="str">
        <f>IF(Pricing!AE32="Quoted","",IF(Pricing!J32="","",Pricing!J32))</f>
        <v/>
      </c>
      <c r="H18" s="643" t="str">
        <f>IF(Pricing!AE32="Quoted","",IF(Pricing!AE33=0,"",Pricing!AE33))</f>
        <v/>
      </c>
      <c r="I18" s="644" t="str">
        <f>IF(Pricing!AE32="Quoted","",IF(Pricing!AE34=0,"",Pricing!AE34))</f>
        <v/>
      </c>
      <c r="J18" s="643" t="str">
        <f>IF(Pricing!AE32="Quoted","",IF(H18="","",H18-I18))</f>
        <v/>
      </c>
    </row>
    <row r="19" spans="1:11" s="568" customFormat="1" ht="27" customHeight="1">
      <c r="A19" s="596" t="str">
        <f>IF(Pricing!AE35="Quoted","",Pricing!C35 &amp; " " &amp; Pricing!C36 &amp; " " &amp;Pricing!C37)</f>
        <v xml:space="preserve">  </v>
      </c>
      <c r="B19" s="597" t="str">
        <f>IF(Pricing!AE35="Quoted","",IF(Pricing!D35="","",Pricing!D35))</f>
        <v/>
      </c>
      <c r="C19" s="596" t="str">
        <f>IF(Pricing!AE35="Quoted","",IF(Pricing!E35="","",Pricing!E35))</f>
        <v/>
      </c>
      <c r="D19" s="597" t="str">
        <f>IF(Pricing!AE35="Quoted","",IF(Pricing!F35="","",Pricing!F35))</f>
        <v/>
      </c>
      <c r="E19" s="596" t="str">
        <f>IF(Pricing!AE35="Quoted","",IF(Pricing!AE35="Quoted","",IF(Pricing!H35="","",Pricing!H35)))</f>
        <v/>
      </c>
      <c r="F19" s="597" t="str">
        <f>IF(Pricing!AE35="Quoted","",IF(Pricing!I35="","",Pricing!I35))</f>
        <v/>
      </c>
      <c r="G19" s="596" t="str">
        <f>IF(Pricing!AE35="Quoted","",IF(Pricing!J35="","",Pricing!J35))</f>
        <v/>
      </c>
      <c r="H19" s="643" t="str">
        <f>IF(Pricing!AE35="Quoted","",IF(Pricing!AE36=0,"",Pricing!AE36))</f>
        <v/>
      </c>
      <c r="I19" s="644" t="str">
        <f>IF(Pricing!AE35="Quoted","",IF(Pricing!AE37=0,"",Pricing!AE37))</f>
        <v/>
      </c>
      <c r="J19" s="643" t="str">
        <f>IF(Pricing!AE35="Quoted","",IF(H19="","",H19-I19))</f>
        <v/>
      </c>
    </row>
    <row r="20" spans="1:11" s="568" customFormat="1" ht="27" customHeight="1">
      <c r="A20" s="596" t="str">
        <f>IF(Pricing!AE38="Quoted","",Pricing!C38 &amp; " " &amp; Pricing!C39 &amp; " " &amp;Pricing!C40)</f>
        <v xml:space="preserve">  </v>
      </c>
      <c r="B20" s="597" t="str">
        <f>IF(Pricing!AE38="Quoted","",IF(Pricing!D38="","",Pricing!D38))</f>
        <v/>
      </c>
      <c r="C20" s="596" t="str">
        <f>IF(Pricing!AE38="Quoted","",IF(Pricing!E38="","",Pricing!E38))</f>
        <v/>
      </c>
      <c r="D20" s="597" t="str">
        <f>IF(Pricing!AE38="Quoted","",IF(Pricing!F38="","",Pricing!F38))</f>
        <v/>
      </c>
      <c r="E20" s="596" t="str">
        <f>IF(Pricing!AE38="Quoted","",IF(Pricing!H38="","",Pricing!H38))</f>
        <v/>
      </c>
      <c r="F20" s="597" t="str">
        <f>IF(Pricing!AE38="Quoted","",IF(Pricing!I38="","",Pricing!I38))</f>
        <v/>
      </c>
      <c r="G20" s="596" t="str">
        <f>IF(Pricing!AE38="Quoted","",IF(Pricing!J38="","",Pricing!J38))</f>
        <v/>
      </c>
      <c r="H20" s="643" t="str">
        <f>IF(Pricing!AE38="Quoted","",IF(Pricing!AE39=0,"",Pricing!AE39))</f>
        <v/>
      </c>
      <c r="I20" s="644" t="str">
        <f>IF(Pricing!AE38="Quoted","",IF(Pricing!AE40=0,"",Pricing!AE40))</f>
        <v/>
      </c>
      <c r="J20" s="643" t="str">
        <f>IF(Pricing!AE38="Quoted","",IF(H20="","",H20-I20))</f>
        <v/>
      </c>
    </row>
    <row r="21" spans="1:11" s="568" customFormat="1" ht="27" customHeight="1">
      <c r="A21" s="596" t="str">
        <f>IF(Pricing!AE41="Quoted","",Pricing!C41 &amp; " " &amp; Pricing!C42 &amp; " " &amp;Pricing!C43)</f>
        <v xml:space="preserve">  </v>
      </c>
      <c r="B21" s="597" t="str">
        <f>IF(Pricing!AE38="Quoted","",IF(Pricing!D41="","",Pricing!D41))</f>
        <v/>
      </c>
      <c r="C21" s="596" t="str">
        <f>IF(Pricing!AE38="Quoted","",IF(Pricing!E41="","",Pricing!E41))</f>
        <v/>
      </c>
      <c r="D21" s="597" t="str">
        <f>IF(Pricing!AE41="Quoted","",IF(Pricing!F41="","",Pricing!F41))</f>
        <v/>
      </c>
      <c r="E21" s="596" t="str">
        <f>IF(Pricing!AE38="Quoted","",IF(Pricing!H41="","",Pricing!H41))</f>
        <v/>
      </c>
      <c r="F21" s="597" t="str">
        <f>IF(Pricing!AE38="Quoted","",IF(Pricing!I41="","",Pricing!I41))</f>
        <v/>
      </c>
      <c r="G21" s="596" t="str">
        <f>IF(Pricing!AE38="Quoted","",IF(Pricing!J41="","",Pricing!J41))</f>
        <v/>
      </c>
      <c r="H21" s="643" t="str">
        <f>IF(Pricing!AE38="Quoted","",IF(Pricing!AE42=0,"",Pricing!AE42))</f>
        <v/>
      </c>
      <c r="I21" s="644" t="str">
        <f>IF(Pricing!AE38="Quoted","",IF(Pricing!AE43=0,"",Pricing!AE43))</f>
        <v/>
      </c>
      <c r="J21" s="643" t="str">
        <f>IF(Pricing!AE38="Quoted","",IF(H21="","",H21-I21))</f>
        <v/>
      </c>
    </row>
    <row r="22" spans="1:11" s="568" customFormat="1" ht="27" customHeight="1">
      <c r="A22" s="596" t="str">
        <f>IF(Pricing!AE44="Quoted","",Pricing!C44 &amp; " " &amp; Pricing!C45 &amp; " " &amp;Pricing!C46)</f>
        <v xml:space="preserve">  </v>
      </c>
      <c r="B22" s="597" t="str">
        <f>IF(Pricing!AE44="Quoted","",IF(Pricing!D44="","",Pricing!D44))</f>
        <v/>
      </c>
      <c r="C22" s="596" t="str">
        <f>IF(Pricing!AE44="Quoted","",IF(Pricing!E44="","",Pricing!E44))</f>
        <v/>
      </c>
      <c r="D22" s="597" t="str">
        <f>IF(Pricing!AE44="Quoted","",IF(Pricing!F44="","",Pricing!F44))</f>
        <v/>
      </c>
      <c r="E22" s="596" t="str">
        <f>IF(Pricing!AE44="Quoted","",IF(Pricing!H44="","",Pricing!H44))</f>
        <v/>
      </c>
      <c r="F22" s="597" t="str">
        <f>IF(Pricing!AE44="Quoted","",IF(Pricing!I44="","",Pricing!I44))</f>
        <v/>
      </c>
      <c r="G22" s="596" t="str">
        <f>IF(Pricing!AE44="Quoted","",IF(Pricing!J44="","",Pricing!J44))</f>
        <v/>
      </c>
      <c r="H22" s="643" t="str">
        <f>IF(Pricing!AE44="Quoted","",IF(Pricing!AE45=0,"",Pricing!AE45))</f>
        <v/>
      </c>
      <c r="I22" s="644" t="str">
        <f>IF(Pricing!AE44="Quoted","",IF(Pricing!AE46=0,"",Pricing!AE46))</f>
        <v/>
      </c>
      <c r="J22" s="643" t="str">
        <f>IF(Pricing!AE44="Quoted","",IF(H22="","",H22-I22))</f>
        <v/>
      </c>
    </row>
    <row r="23" spans="1:11" s="568" customFormat="1" ht="27" customHeight="1">
      <c r="A23" s="596" t="str">
        <f>IF(Pricing!AE47="Quoted","",Pricing!C47 &amp; " " &amp; Pricing!C48 &amp; " " &amp;Pricing!C49)</f>
        <v xml:space="preserve">  </v>
      </c>
      <c r="B23" s="597" t="str">
        <f>IF(Pricing!AE47="Quoted","",IF(Pricing!D47="","",Pricing!D47))</f>
        <v/>
      </c>
      <c r="C23" s="596" t="str">
        <f>IF(Pricing!AE47="Quoted","",IF(Pricing!E47="","",Pricing!E47))</f>
        <v/>
      </c>
      <c r="D23" s="597" t="str">
        <f>IF(Pricing!AE47="Quoted","",IF(Pricing!F47="","",Pricing!F47))</f>
        <v/>
      </c>
      <c r="E23" s="596" t="str">
        <f>IF(Pricing!AE47="Quoted","",IF(Pricing!H47="","",Pricing!H47))</f>
        <v/>
      </c>
      <c r="F23" s="597" t="str">
        <f>IF(Pricing!AE47="Quoted","",IF(Pricing!I47="","",Pricing!I47))</f>
        <v/>
      </c>
      <c r="G23" s="596" t="str">
        <f>IF(Pricing!AE47="Quoted","",IF(Pricing!J47="","",Pricing!J47))</f>
        <v/>
      </c>
      <c r="H23" s="643" t="str">
        <f>IF(Pricing!AE47="Quoted","",IF(Pricing!AE48=0,"",Pricing!AE48))</f>
        <v/>
      </c>
      <c r="I23" s="644" t="str">
        <f>IF(Pricing!AE47="Quoted","",IF(Pricing!AE49=0,"",Pricing!AE49))</f>
        <v/>
      </c>
      <c r="J23" s="643" t="str">
        <f>IF(Pricing!AE47="Quoted","",IF(H23="","",H23-I23))</f>
        <v/>
      </c>
    </row>
    <row r="24" spans="1:11" s="568" customFormat="1" ht="27" customHeight="1">
      <c r="A24" s="596" t="str">
        <f>IF(Pricing!AE50="Quoted","",Pricing!C50 &amp; " " &amp; Pricing!C51 &amp; " " &amp;Pricing!C52)</f>
        <v xml:space="preserve">  </v>
      </c>
      <c r="B24" s="597" t="str">
        <f>IF(Pricing!AE50="Quoted","",IF(Pricing!D50="","",Pricing!D50))</f>
        <v/>
      </c>
      <c r="C24" s="596" t="str">
        <f>IF(Pricing!AE50="Quoted","",IF(Pricing!E50="","",Pricing!E50))</f>
        <v/>
      </c>
      <c r="D24" s="597" t="str">
        <f>IF(Pricing!AE50="Quoted","",IF(Pricing!F50="","",Pricing!F50))</f>
        <v/>
      </c>
      <c r="E24" s="596" t="str">
        <f>IF(Pricing!AE50="Quoted","",IF(Pricing!H50="","",Pricing!H50))</f>
        <v/>
      </c>
      <c r="F24" s="597" t="str">
        <f>IF(Pricing!AE50="Quoted","",IF(Pricing!I50="","",Pricing!I50))</f>
        <v/>
      </c>
      <c r="G24" s="596" t="str">
        <f>IF(Pricing!AE50="Quoted","",IF(Pricing!J50="","",Pricing!J50))</f>
        <v/>
      </c>
      <c r="H24" s="643" t="str">
        <f>IF(Pricing!AE50="Quoted","",IF(Pricing!AE51=0,"",Pricing!AE51))</f>
        <v/>
      </c>
      <c r="I24" s="644" t="str">
        <f>IF(Pricing!AE50="Quoted","",IF(Pricing!AE52=0,"",Pricing!AE52))</f>
        <v/>
      </c>
      <c r="J24" s="643" t="str">
        <f>IF(Pricing!AE50="Quoted","",IF(H24="","",H24-I24))</f>
        <v/>
      </c>
    </row>
    <row r="25" spans="1:11" s="568" customFormat="1" ht="27" customHeight="1">
      <c r="A25" s="596"/>
      <c r="B25" s="597"/>
      <c r="C25" s="596"/>
      <c r="D25" s="597"/>
      <c r="E25" s="596"/>
      <c r="F25" s="597"/>
      <c r="G25" s="596"/>
      <c r="H25" s="643"/>
      <c r="I25" s="644"/>
      <c r="J25" s="643"/>
    </row>
    <row r="26" spans="1:11" s="569" customFormat="1" ht="7.15" customHeight="1" thickBot="1">
      <c r="A26" s="1132"/>
      <c r="B26" s="1133"/>
      <c r="C26" s="1133"/>
      <c r="D26" s="1133"/>
      <c r="E26" s="1133"/>
      <c r="F26" s="1133"/>
      <c r="G26" s="1133"/>
      <c r="H26" s="1133"/>
      <c r="I26" s="1133"/>
      <c r="J26" s="1134"/>
    </row>
    <row r="27" spans="1:11" s="569" customFormat="1" ht="60" customHeight="1" thickTop="1" thickBot="1">
      <c r="A27" s="1122" t="s">
        <v>221</v>
      </c>
      <c r="B27" s="1123"/>
      <c r="C27" s="1180" t="str">
        <f>IF(Pricing!D77="","",Pricing!D77)</f>
        <v/>
      </c>
      <c r="D27" s="1180"/>
      <c r="E27" s="1180"/>
      <c r="F27" s="1180"/>
      <c r="G27" s="1180"/>
      <c r="H27" s="1180"/>
      <c r="I27" s="1180"/>
      <c r="J27" s="648" t="str">
        <f>IF(OR(Pricing!S61="Finance not available",Pricing!S61="Please Select"),"","Select")</f>
        <v/>
      </c>
    </row>
    <row r="28" spans="1:11" s="14" customFormat="1" ht="7.15" customHeight="1" thickTop="1">
      <c r="A28" s="1116"/>
      <c r="B28" s="1117"/>
      <c r="C28" s="1117"/>
      <c r="D28" s="1117"/>
      <c r="E28" s="1117"/>
      <c r="F28" s="1117"/>
      <c r="G28" s="1117"/>
      <c r="H28" s="1117"/>
      <c r="I28" s="1117"/>
      <c r="J28" s="1118"/>
      <c r="K28"/>
    </row>
    <row r="29" spans="1:11" ht="40.15" customHeight="1">
      <c r="A29" s="1119" t="s">
        <v>239</v>
      </c>
      <c r="B29" s="1120"/>
      <c r="C29" s="1120"/>
      <c r="D29" s="1120"/>
      <c r="E29" s="1120"/>
      <c r="F29" s="1120"/>
      <c r="G29" s="1120"/>
      <c r="H29" s="1120"/>
      <c r="I29" s="1120"/>
      <c r="J29" s="1121"/>
    </row>
    <row r="30" spans="1:11" ht="37.9" customHeight="1">
      <c r="A30" s="1148"/>
      <c r="B30" s="1149"/>
      <c r="C30" s="1152" t="s">
        <v>223</v>
      </c>
      <c r="D30" s="1152"/>
      <c r="E30" s="1152"/>
      <c r="F30" s="1152"/>
      <c r="G30" s="1153"/>
      <c r="H30" s="593" t="s">
        <v>26</v>
      </c>
      <c r="I30" s="592" t="str">
        <f>IF(J27="Yes","IFC Deposit","Deposit")</f>
        <v>Deposit</v>
      </c>
      <c r="J30" s="604" t="str">
        <f>IF(J27="Yes","IFC Balance","Balance")</f>
        <v>Balance</v>
      </c>
    </row>
    <row r="31" spans="1:11" s="571" customFormat="1" ht="37.9" customHeight="1">
      <c r="A31" s="1148"/>
      <c r="B31" s="1149"/>
      <c r="C31" s="1152"/>
      <c r="D31" s="1152"/>
      <c r="E31" s="1152"/>
      <c r="F31" s="1152"/>
      <c r="G31" s="1153"/>
      <c r="H31" s="1181">
        <f>Pricing!AB66</f>
        <v>4920</v>
      </c>
      <c r="I31" s="1183">
        <f>IF(J27="Yes",Pricing!U63,Pricing!AB72)</f>
        <v>2460</v>
      </c>
      <c r="J31" s="1184">
        <f>H31-I31</f>
        <v>2460</v>
      </c>
      <c r="K31" s="570"/>
    </row>
    <row r="32" spans="1:11" s="571" customFormat="1" ht="37.9" customHeight="1">
      <c r="A32" s="1150"/>
      <c r="B32" s="1151"/>
      <c r="C32" s="1154"/>
      <c r="D32" s="1154"/>
      <c r="E32" s="1154"/>
      <c r="F32" s="1154"/>
      <c r="G32" s="1155"/>
      <c r="H32" s="1182"/>
      <c r="I32" s="1183"/>
      <c r="J32" s="1185"/>
      <c r="K32" s="570"/>
    </row>
    <row r="33" spans="1:11" ht="1.1499999999999999" customHeight="1">
      <c r="A33" s="609" t="str">
        <f>IF(F33="Finance not available","Finance available on orders over £1000.00","Spread the cost with 12 months Interest Free option &gt;")</f>
        <v>Spread the cost with 12 months Interest Free option &gt;</v>
      </c>
      <c r="B33" s="610"/>
      <c r="C33" s="610"/>
      <c r="D33" s="610"/>
      <c r="E33" s="611"/>
      <c r="F33" s="610" t="str">
        <f>IF(I31&lt;1000,"Finance not available","Only £" &amp; ROUND(ABS(Data!AV12),0.2) &amp; "           per month")</f>
        <v>Only £308           per month</v>
      </c>
      <c r="G33" s="610"/>
      <c r="H33" s="610"/>
      <c r="I33" s="610"/>
      <c r="J33" s="610"/>
    </row>
    <row r="34" spans="1:11" ht="25.15" customHeight="1">
      <c r="A34" s="649"/>
      <c r="B34" s="650"/>
      <c r="C34" s="650"/>
      <c r="D34" s="650"/>
      <c r="E34" s="651"/>
      <c r="F34" s="1186" t="s">
        <v>240</v>
      </c>
      <c r="G34" s="1187"/>
      <c r="H34" s="1187"/>
      <c r="I34" s="1187"/>
      <c r="J34" s="1188"/>
    </row>
    <row r="35" spans="1:11" s="14" customFormat="1" ht="28.9" customHeight="1">
      <c r="A35" s="1146" t="str">
        <f>IF(J27="Yes","Your Chosen Finance Option is: " &amp; Pricing!S61,IF(Pricing!S61="Finance not available","Great finance options available on orders over £1000.00","Spread the cost over 12 months. Minimum 25% deposit."))</f>
        <v>Spread the cost over 12 months. Minimum 25% deposit.</v>
      </c>
      <c r="B35" s="1147"/>
      <c r="C35" s="1147"/>
      <c r="D35" s="588" t="s">
        <v>226</v>
      </c>
      <c r="E35" s="588" t="s">
        <v>227</v>
      </c>
      <c r="F35" s="1186" t="s">
        <v>241</v>
      </c>
      <c r="G35" s="1187"/>
      <c r="H35" s="1187"/>
      <c r="I35" s="1187"/>
      <c r="J35" s="1188"/>
      <c r="K35"/>
    </row>
    <row r="36" spans="1:11" s="589" customFormat="1" ht="37.9" customHeight="1" thickBot="1">
      <c r="A36" s="1146"/>
      <c r="B36" s="1147"/>
      <c r="C36" s="1147"/>
      <c r="D36" s="587" t="b">
        <f>IF(Pricing!U63=0,"N/A")</f>
        <v>0</v>
      </c>
      <c r="E36" s="652">
        <f>IF(D36="N/A","N/A",IF(AND(J27="Yes",Pricing!S61="12 Months @ 0%"),Pricing!U66,IF(AND(Confirmation!J27="Yes",Pricing!S61="2 Years @ 10.9%"),Pricing!U67,IF(AND(Confirmation!J27="Yes",Pricing!S61="3 Years @ 10.9%"),Pricing!U68,IF(AND(Confirmation!J27="Yes",Pricing!S61="4 Years @ 10.9%"),Pricing!U69,IF(AND(Confirmation!J27="Yes",Pricing!S61="5 Years @ 10.9%"),Pricing!U70,))))))</f>
        <v>0</v>
      </c>
      <c r="F36" s="589" t="s">
        <v>111</v>
      </c>
      <c r="G36" s="1189"/>
      <c r="H36" s="1189"/>
      <c r="I36" s="1189"/>
      <c r="J36" s="1189"/>
    </row>
    <row r="37" spans="1:11" ht="7.15" customHeight="1">
      <c r="A37" s="621"/>
      <c r="B37" s="622"/>
      <c r="C37" s="623"/>
      <c r="D37" s="623"/>
      <c r="E37" s="623"/>
      <c r="F37" s="623"/>
      <c r="G37" s="14"/>
      <c r="H37" s="14"/>
      <c r="I37" s="14"/>
      <c r="J37" s="653"/>
    </row>
    <row r="38" spans="1:11" ht="270.60000000000002" customHeight="1">
      <c r="A38" s="1167"/>
      <c r="B38" s="1168"/>
      <c r="C38" s="1168"/>
      <c r="D38" s="1168"/>
      <c r="E38" s="1168"/>
      <c r="F38" s="1168"/>
      <c r="G38" s="1168"/>
      <c r="H38" s="1168"/>
      <c r="I38" s="1168"/>
      <c r="J38" s="1169"/>
    </row>
    <row r="39" spans="1:11" ht="7.15" customHeight="1">
      <c r="A39" s="126"/>
      <c r="J39" s="317"/>
    </row>
    <row r="40" spans="1:11" ht="409.5" customHeight="1">
      <c r="A40" s="1170"/>
      <c r="B40" s="1171"/>
      <c r="C40" s="1171"/>
      <c r="D40" s="1171"/>
      <c r="E40" s="1171"/>
      <c r="F40" s="1171"/>
      <c r="G40" s="1171"/>
      <c r="H40" s="1171"/>
      <c r="I40" s="1171"/>
      <c r="J40" s="1172"/>
    </row>
    <row r="41" spans="1:11" ht="43.9" customHeight="1">
      <c r="A41" s="1135"/>
      <c r="B41" s="1136"/>
      <c r="C41" s="1136"/>
      <c r="D41" s="1136"/>
      <c r="E41" s="1136"/>
      <c r="F41" s="1136"/>
      <c r="G41" s="1136"/>
      <c r="H41" s="1136"/>
      <c r="I41" s="1136"/>
      <c r="J41" s="1137"/>
    </row>
    <row r="42" spans="1:11" ht="207.6" customHeight="1">
      <c r="A42" s="1173"/>
      <c r="B42" s="1009"/>
      <c r="C42" s="1009"/>
      <c r="D42" s="1009"/>
      <c r="E42" s="1009"/>
      <c r="F42" s="1009"/>
      <c r="G42" s="1009"/>
      <c r="H42" s="1009"/>
      <c r="I42" s="1009"/>
      <c r="J42" s="1174"/>
    </row>
    <row r="43" spans="1:11" s="7" customFormat="1" ht="37.9" customHeight="1">
      <c r="A43" s="1190" t="s">
        <v>234</v>
      </c>
      <c r="B43" s="1191"/>
      <c r="C43" s="1191"/>
      <c r="D43" s="1191"/>
      <c r="E43" s="1191"/>
      <c r="F43" s="1191"/>
      <c r="G43" s="1191"/>
      <c r="H43" s="1191"/>
      <c r="I43" s="1191"/>
      <c r="J43" s="1192"/>
    </row>
    <row r="44" spans="1:11" s="585" customFormat="1" ht="10.15" customHeight="1">
      <c r="A44" s="606"/>
      <c r="B44" s="607"/>
      <c r="C44" s="607"/>
      <c r="D44" s="607"/>
      <c r="E44" s="607"/>
      <c r="F44" s="607"/>
      <c r="G44" s="607"/>
      <c r="H44" s="607"/>
      <c r="I44" s="607"/>
      <c r="J44" s="608"/>
    </row>
    <row r="45" spans="1:11" s="7" customFormat="1" ht="28.9" customHeight="1">
      <c r="A45" s="1156" t="s">
        <v>235</v>
      </c>
      <c r="B45" s="1157"/>
      <c r="C45" s="1157"/>
      <c r="D45" s="1157"/>
      <c r="E45" s="1157"/>
      <c r="F45" s="1157"/>
      <c r="G45" s="1157"/>
      <c r="H45" s="1157"/>
      <c r="I45" s="1157"/>
      <c r="J45" s="1158"/>
    </row>
    <row r="46" spans="1:11" s="7" customFormat="1" ht="97.9" customHeight="1">
      <c r="A46" s="1175"/>
      <c r="B46" s="1176"/>
      <c r="C46" s="1177"/>
      <c r="D46" s="1177"/>
      <c r="E46" s="1177"/>
      <c r="F46" s="1177"/>
      <c r="G46" s="1177"/>
      <c r="H46" s="1177"/>
      <c r="I46" s="1177"/>
      <c r="J46" s="1178"/>
    </row>
  </sheetData>
  <mergeCells count="39">
    <mergeCell ref="A42:J42"/>
    <mergeCell ref="A43:J43"/>
    <mergeCell ref="A45:J45"/>
    <mergeCell ref="A46:B46"/>
    <mergeCell ref="C46:D46"/>
    <mergeCell ref="E46:F46"/>
    <mergeCell ref="G46:H46"/>
    <mergeCell ref="I46:J46"/>
    <mergeCell ref="A41:J41"/>
    <mergeCell ref="A30:B32"/>
    <mergeCell ref="C30:G32"/>
    <mergeCell ref="H31:H32"/>
    <mergeCell ref="I31:I32"/>
    <mergeCell ref="J31:J32"/>
    <mergeCell ref="F34:J34"/>
    <mergeCell ref="A35:C36"/>
    <mergeCell ref="F35:J35"/>
    <mergeCell ref="G36:J36"/>
    <mergeCell ref="A38:J38"/>
    <mergeCell ref="A40:J40"/>
    <mergeCell ref="A29:J29"/>
    <mergeCell ref="A5:B5"/>
    <mergeCell ref="C5:E5"/>
    <mergeCell ref="F5:G5"/>
    <mergeCell ref="H5:J5"/>
    <mergeCell ref="A6:B6"/>
    <mergeCell ref="C6:J6"/>
    <mergeCell ref="A8:J8"/>
    <mergeCell ref="A26:J26"/>
    <mergeCell ref="A27:B27"/>
    <mergeCell ref="C27:I27"/>
    <mergeCell ref="A28:J28"/>
    <mergeCell ref="A1:J1"/>
    <mergeCell ref="A2:J2"/>
    <mergeCell ref="A3:J3"/>
    <mergeCell ref="A4:B4"/>
    <mergeCell ref="C4:E4"/>
    <mergeCell ref="F4:G4"/>
    <mergeCell ref="H4:J4"/>
  </mergeCells>
  <conditionalFormatting sqref="J27">
    <cfRule type="cellIs" dxfId="794" priority="1" operator="equal">
      <formula>"No"</formula>
    </cfRule>
    <cfRule type="cellIs" dxfId="793" priority="2" operator="equal">
      <formula>"Yes"</formula>
    </cfRule>
    <cfRule type="cellIs" dxfId="792" priority="3" operator="equal">
      <formula>"Select"</formula>
    </cfRule>
  </conditionalFormatting>
  <dataValidations count="1">
    <dataValidation type="list" allowBlank="1" showInputMessage="1" sqref="J27" xr:uid="{705AA3DB-37B4-44BD-97F2-2BFCC18705CF}">
      <formula1>"Select,No,Yes"</formula1>
    </dataValidation>
  </dataValidations>
  <hyperlinks>
    <hyperlink ref="F34:J34" r:id="rId1" display="Perfect Shutters Terms and Conditions" xr:uid="{1EAE2964-FE73-4186-92A3-6F2C1E239B12}"/>
    <hyperlink ref="F35:J35" r:id="rId2" display="Perfect Shutters finance options and information" xr:uid="{9971FB68-FF7C-47A8-AAC4-AFCB2D8723F8}"/>
  </hyperlinks>
  <pageMargins left="0.7" right="0.7" top="0.75" bottom="0.75" header="0.3" footer="0.3"/>
  <pageSetup paperSize="9" scale="63" fitToHeight="0" orientation="portrait" r:id="rId3"/>
  <rowBreaks count="1" manualBreakCount="1">
    <brk id="36" max="9" man="1"/>
  </rowBreaks>
  <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3700EB-1CB2-4F8A-9C8A-62F579875E87}">
  <sheetPr codeName="Sheet18"/>
  <dimension ref="A1:AC44"/>
  <sheetViews>
    <sheetView workbookViewId="0">
      <selection activeCell="B12" sqref="B12"/>
    </sheetView>
  </sheetViews>
  <sheetFormatPr defaultRowHeight="14.45"/>
  <cols>
    <col min="2" max="2" width="9.7109375" customWidth="1"/>
    <col min="6" max="6" width="10.7109375" bestFit="1" customWidth="1"/>
  </cols>
  <sheetData>
    <row r="1" spans="1:29">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row>
    <row r="2" spans="1:29" ht="15" thickBot="1">
      <c r="A2" s="14"/>
      <c r="B2" s="14" t="s">
        <v>242</v>
      </c>
      <c r="C2" s="14"/>
      <c r="D2" s="14"/>
      <c r="E2" s="14"/>
      <c r="F2" s="14"/>
      <c r="G2" s="14"/>
      <c r="H2" s="14" t="s">
        <v>243</v>
      </c>
      <c r="I2" s="14"/>
      <c r="J2" s="14"/>
      <c r="K2" s="14"/>
      <c r="L2" s="14"/>
      <c r="M2" s="14"/>
      <c r="N2" s="14"/>
      <c r="O2" s="14"/>
      <c r="P2" s="14"/>
      <c r="Q2" s="14"/>
      <c r="R2" s="14"/>
      <c r="S2" s="14"/>
      <c r="T2" s="14"/>
      <c r="U2" s="14"/>
      <c r="V2" s="14"/>
      <c r="W2" s="14"/>
      <c r="X2" s="14"/>
      <c r="Y2" s="14"/>
      <c r="Z2" s="14"/>
      <c r="AA2" s="14"/>
      <c r="AB2" s="14"/>
      <c r="AC2" s="14"/>
    </row>
    <row r="3" spans="1:29" ht="15" customHeight="1" thickTop="1">
      <c r="A3" s="302"/>
      <c r="B3" s="1193" t="s">
        <v>244</v>
      </c>
      <c r="C3" s="1193"/>
      <c r="D3" s="1193"/>
      <c r="E3" s="1193"/>
      <c r="F3" s="1193"/>
      <c r="G3" s="303"/>
      <c r="H3" s="303"/>
      <c r="I3" s="303"/>
      <c r="J3" s="303"/>
      <c r="K3" s="14"/>
      <c r="L3" s="14"/>
      <c r="M3" s="14"/>
      <c r="N3" s="14"/>
      <c r="O3" s="303"/>
      <c r="P3" s="304"/>
      <c r="Q3" s="14"/>
      <c r="R3" s="14"/>
      <c r="S3" s="14"/>
      <c r="T3" s="14"/>
      <c r="U3" s="14"/>
      <c r="V3" s="14"/>
      <c r="W3" s="14"/>
      <c r="X3" s="14"/>
      <c r="Y3" s="14"/>
      <c r="Z3" s="14"/>
      <c r="AA3" s="14"/>
      <c r="AB3" s="14"/>
      <c r="AC3" s="14"/>
    </row>
    <row r="4" spans="1:29">
      <c r="A4" s="305"/>
      <c r="B4" s="1194"/>
      <c r="C4" s="1194"/>
      <c r="D4" s="1194"/>
      <c r="E4" s="1194"/>
      <c r="F4" s="1194"/>
      <c r="G4" s="14"/>
      <c r="H4" s="14"/>
      <c r="I4" s="14"/>
      <c r="J4" s="14"/>
      <c r="K4" s="14"/>
      <c r="L4" s="14"/>
      <c r="M4" s="14"/>
      <c r="N4" s="14"/>
      <c r="O4" s="14"/>
      <c r="P4" s="306"/>
      <c r="Q4" s="14"/>
      <c r="R4" s="14"/>
      <c r="S4" s="14"/>
      <c r="T4" s="14"/>
      <c r="U4" s="14"/>
      <c r="V4" s="14"/>
      <c r="W4" s="14"/>
      <c r="X4" s="14"/>
      <c r="Y4" s="14"/>
      <c r="Z4" s="14"/>
      <c r="AA4" s="14"/>
      <c r="AB4" s="14"/>
      <c r="AC4" s="14"/>
    </row>
    <row r="5" spans="1:29">
      <c r="A5" s="305"/>
      <c r="B5" s="14"/>
      <c r="C5" s="14"/>
      <c r="D5" s="14"/>
      <c r="E5" s="14"/>
      <c r="F5" s="14"/>
      <c r="G5" s="14"/>
      <c r="H5" s="14"/>
      <c r="I5" s="14"/>
      <c r="J5" s="14" t="s">
        <v>245</v>
      </c>
      <c r="K5" s="14"/>
      <c r="L5" s="1197" t="s">
        <v>246</v>
      </c>
      <c r="M5" s="1197"/>
      <c r="N5" s="1197"/>
      <c r="O5" s="1197"/>
      <c r="P5" s="1198"/>
      <c r="Q5" s="14"/>
      <c r="R5" s="14"/>
      <c r="S5" s="14"/>
      <c r="T5" s="14"/>
      <c r="U5" s="14"/>
      <c r="V5" s="14"/>
      <c r="W5" s="14"/>
      <c r="X5" s="14"/>
      <c r="Y5" s="14"/>
      <c r="Z5" s="14"/>
      <c r="AA5" s="14"/>
      <c r="AB5" s="14"/>
      <c r="AC5" s="14"/>
    </row>
    <row r="6" spans="1:29" ht="15" thickBot="1">
      <c r="A6" s="305"/>
      <c r="B6" s="14"/>
      <c r="C6" s="14"/>
      <c r="D6" s="14"/>
      <c r="E6" s="14"/>
      <c r="F6" s="14"/>
      <c r="G6" s="14"/>
      <c r="H6" s="14"/>
      <c r="I6" s="14"/>
      <c r="J6" s="14"/>
      <c r="K6" s="14"/>
      <c r="L6" s="14"/>
      <c r="M6" s="14"/>
      <c r="N6" s="14"/>
      <c r="O6" s="14"/>
      <c r="P6" s="306"/>
      <c r="Q6" s="14"/>
      <c r="R6" s="14"/>
      <c r="S6" s="14"/>
      <c r="T6" s="14"/>
      <c r="U6" s="14"/>
      <c r="V6" s="14"/>
      <c r="W6" s="14"/>
      <c r="X6" s="14"/>
      <c r="Y6" s="14"/>
      <c r="Z6" s="14"/>
      <c r="AA6" s="14"/>
      <c r="AB6" s="14"/>
      <c r="AC6" s="14"/>
    </row>
    <row r="7" spans="1:29" ht="15" thickTop="1">
      <c r="A7" s="305"/>
      <c r="B7" s="307" t="s">
        <v>247</v>
      </c>
      <c r="C7" s="1199">
        <f>Pricing!B59</f>
        <v>0</v>
      </c>
      <c r="D7" s="1200"/>
      <c r="E7" s="1200"/>
      <c r="F7" s="1200"/>
      <c r="G7" s="1200"/>
      <c r="H7" s="1201"/>
      <c r="I7" s="14"/>
      <c r="J7" s="1199" t="s">
        <v>248</v>
      </c>
      <c r="K7" s="1201"/>
      <c r="L7" s="1199">
        <f>Pricing!E59</f>
        <v>0</v>
      </c>
      <c r="M7" s="1200"/>
      <c r="N7" s="1200"/>
      <c r="O7" s="1201"/>
      <c r="P7" s="306"/>
      <c r="Q7" s="14"/>
      <c r="R7" s="14"/>
      <c r="S7" s="14"/>
      <c r="T7" s="14"/>
      <c r="U7" s="14"/>
      <c r="V7" s="14"/>
      <c r="W7" s="14"/>
      <c r="X7" s="14"/>
      <c r="Y7" s="14"/>
      <c r="Z7" s="14"/>
      <c r="AA7" s="14"/>
      <c r="AB7" s="14"/>
      <c r="AC7" s="14"/>
    </row>
    <row r="8" spans="1:29">
      <c r="A8" s="305"/>
      <c r="B8" s="308" t="s">
        <v>88</v>
      </c>
      <c r="C8" s="1202">
        <f>Pricing!B69</f>
        <v>0</v>
      </c>
      <c r="D8" s="1203"/>
      <c r="E8" s="1203"/>
      <c r="F8" s="1203"/>
      <c r="G8" s="1203"/>
      <c r="H8" s="1204"/>
      <c r="I8" s="14"/>
      <c r="J8" s="1202" t="s">
        <v>249</v>
      </c>
      <c r="K8" s="1204"/>
      <c r="L8" s="1205" t="str">
        <f>'Survey Front'!U6</f>
        <v xml:space="preserve">Day: </v>
      </c>
      <c r="M8" s="1203"/>
      <c r="N8" s="1203"/>
      <c r="O8" s="1204"/>
      <c r="P8" s="306"/>
      <c r="Q8" s="14"/>
      <c r="R8" s="14"/>
      <c r="S8" s="14"/>
      <c r="T8" s="14"/>
      <c r="U8" s="14"/>
      <c r="V8" s="14"/>
      <c r="W8" s="14"/>
      <c r="X8" s="14"/>
      <c r="Y8" s="14"/>
      <c r="Z8" s="14"/>
      <c r="AA8" s="14"/>
      <c r="AB8" s="14"/>
      <c r="AC8" s="14"/>
    </row>
    <row r="9" spans="1:29" ht="15" thickBot="1">
      <c r="A9" s="305"/>
      <c r="B9" s="309" t="s">
        <v>250</v>
      </c>
      <c r="C9" s="1206" t="str">
        <f>Pricing!B66</f>
        <v/>
      </c>
      <c r="D9" s="1207"/>
      <c r="E9" s="1207"/>
      <c r="F9" s="1207"/>
      <c r="G9" s="1207"/>
      <c r="H9" s="1208"/>
      <c r="I9" s="14"/>
      <c r="J9" s="1206" t="s">
        <v>251</v>
      </c>
      <c r="K9" s="1208"/>
      <c r="L9" s="1206">
        <f>'Survey Front'!W8</f>
        <v>0</v>
      </c>
      <c r="M9" s="1207"/>
      <c r="N9" s="1207"/>
      <c r="O9" s="1208"/>
      <c r="P9" s="306"/>
      <c r="Q9" s="14"/>
      <c r="R9" s="14"/>
      <c r="S9" s="14"/>
      <c r="T9" s="14"/>
      <c r="U9" s="14"/>
      <c r="V9" s="14"/>
      <c r="W9" s="14"/>
      <c r="X9" s="14"/>
      <c r="Y9" s="14"/>
      <c r="Z9" s="14"/>
      <c r="AA9" s="14"/>
      <c r="AB9" s="14"/>
      <c r="AC9" s="14"/>
    </row>
    <row r="10" spans="1:29" ht="15.6" thickTop="1" thickBot="1">
      <c r="A10" s="305"/>
      <c r="B10" s="14"/>
      <c r="C10" s="14"/>
      <c r="D10" s="14"/>
      <c r="E10" s="14"/>
      <c r="F10" s="14"/>
      <c r="G10" s="14"/>
      <c r="H10" s="14"/>
      <c r="I10" s="14"/>
      <c r="J10" s="14"/>
      <c r="K10" s="14"/>
      <c r="L10" s="14"/>
      <c r="M10" s="14"/>
      <c r="N10" s="14"/>
      <c r="O10" s="14"/>
      <c r="P10" s="306"/>
      <c r="Q10" s="14"/>
      <c r="R10" s="14"/>
      <c r="S10" s="14"/>
      <c r="T10" s="14"/>
      <c r="U10" s="14"/>
      <c r="V10" s="14"/>
      <c r="W10" s="14"/>
      <c r="X10" s="14"/>
      <c r="Y10" s="14"/>
      <c r="Z10" s="14"/>
      <c r="AA10" s="14"/>
      <c r="AB10" s="14"/>
      <c r="AC10" s="14"/>
    </row>
    <row r="11" spans="1:29" ht="15" thickBot="1">
      <c r="A11" s="305"/>
      <c r="B11" s="257" t="s">
        <v>252</v>
      </c>
      <c r="C11" s="258" t="s">
        <v>253</v>
      </c>
      <c r="D11" s="258" t="s">
        <v>2</v>
      </c>
      <c r="E11" s="258" t="s">
        <v>254</v>
      </c>
      <c r="F11" s="258" t="s">
        <v>255</v>
      </c>
      <c r="G11" s="258" t="s">
        <v>256</v>
      </c>
      <c r="H11" s="258" t="s">
        <v>9</v>
      </c>
      <c r="I11" s="258" t="s">
        <v>257</v>
      </c>
      <c r="J11" s="258" t="s">
        <v>258</v>
      </c>
      <c r="K11" s="258" t="s">
        <v>259</v>
      </c>
      <c r="L11" s="258" t="s">
        <v>260</v>
      </c>
      <c r="M11" s="258" t="s">
        <v>261</v>
      </c>
      <c r="N11" s="1209" t="s">
        <v>26</v>
      </c>
      <c r="O11" s="1210"/>
      <c r="P11" s="256"/>
    </row>
    <row r="12" spans="1:29">
      <c r="A12" s="305"/>
      <c r="B12" s="259"/>
      <c r="C12" s="260"/>
      <c r="D12" s="260"/>
      <c r="E12" s="260"/>
      <c r="F12" s="260"/>
      <c r="G12" s="260"/>
      <c r="H12" s="260"/>
      <c r="I12" s="260"/>
      <c r="J12" s="260"/>
      <c r="K12" s="260"/>
      <c r="L12" s="260"/>
      <c r="M12" s="260"/>
      <c r="N12" s="1211"/>
      <c r="O12" s="1212"/>
      <c r="P12" s="306"/>
      <c r="Q12" s="14"/>
      <c r="R12" s="14"/>
      <c r="S12" s="14"/>
      <c r="T12" s="14"/>
      <c r="U12" s="14"/>
      <c r="V12" s="14"/>
      <c r="W12" s="14"/>
      <c r="X12" s="14"/>
      <c r="Y12" s="14"/>
      <c r="Z12" s="14"/>
      <c r="AA12" s="14"/>
      <c r="AB12" s="14"/>
      <c r="AC12" s="14"/>
    </row>
    <row r="13" spans="1:29">
      <c r="A13" s="305"/>
      <c r="B13" s="261"/>
      <c r="C13" s="262"/>
      <c r="D13" s="262"/>
      <c r="E13" s="262"/>
      <c r="F13" s="262"/>
      <c r="G13" s="262"/>
      <c r="H13" s="262"/>
      <c r="I13" s="262"/>
      <c r="J13" s="262"/>
      <c r="K13" s="262"/>
      <c r="L13" s="262"/>
      <c r="M13" s="262"/>
      <c r="N13" s="1195"/>
      <c r="O13" s="1196"/>
      <c r="P13" s="306"/>
      <c r="Q13" s="14"/>
      <c r="R13" s="14"/>
      <c r="S13" s="14"/>
      <c r="T13" s="14"/>
      <c r="U13" s="14"/>
      <c r="V13" s="14"/>
      <c r="W13" s="14"/>
      <c r="X13" s="14"/>
      <c r="Y13" s="14"/>
      <c r="Z13" s="14"/>
      <c r="AA13" s="14"/>
      <c r="AB13" s="14"/>
      <c r="AC13" s="14"/>
    </row>
    <row r="14" spans="1:29">
      <c r="A14" s="305"/>
      <c r="B14" s="263"/>
      <c r="C14" s="264"/>
      <c r="D14" s="264"/>
      <c r="E14" s="264"/>
      <c r="F14" s="264"/>
      <c r="G14" s="264"/>
      <c r="H14" s="264"/>
      <c r="I14" s="264"/>
      <c r="J14" s="264"/>
      <c r="K14" s="264"/>
      <c r="L14" s="264"/>
      <c r="M14" s="264"/>
      <c r="N14" s="1215"/>
      <c r="O14" s="1216"/>
      <c r="P14" s="306"/>
      <c r="Q14" s="14"/>
      <c r="R14" s="14"/>
      <c r="S14" s="14"/>
      <c r="T14" s="14"/>
      <c r="U14" s="14"/>
      <c r="V14" s="14"/>
      <c r="W14" s="14"/>
      <c r="X14" s="14"/>
      <c r="Y14" s="14"/>
      <c r="Z14" s="14"/>
      <c r="AA14" s="14"/>
      <c r="AB14" s="14"/>
      <c r="AC14" s="14"/>
    </row>
    <row r="15" spans="1:29">
      <c r="A15" s="305"/>
      <c r="B15" s="261"/>
      <c r="C15" s="262"/>
      <c r="D15" s="262"/>
      <c r="E15" s="262"/>
      <c r="F15" s="262"/>
      <c r="G15" s="262"/>
      <c r="H15" s="262"/>
      <c r="I15" s="262"/>
      <c r="J15" s="262"/>
      <c r="K15" s="262"/>
      <c r="L15" s="262"/>
      <c r="M15" s="262"/>
      <c r="N15" s="1195"/>
      <c r="O15" s="1196"/>
      <c r="P15" s="306"/>
      <c r="Q15" s="14"/>
      <c r="R15" s="14"/>
      <c r="S15" s="14"/>
      <c r="T15" s="14"/>
      <c r="U15" s="14"/>
      <c r="V15" s="14"/>
      <c r="W15" s="14"/>
      <c r="X15" s="14"/>
      <c r="Y15" s="14"/>
      <c r="Z15" s="14"/>
      <c r="AA15" s="14"/>
      <c r="AB15" s="14"/>
      <c r="AC15" s="14"/>
    </row>
    <row r="16" spans="1:29">
      <c r="A16" s="305"/>
      <c r="B16" s="263"/>
      <c r="C16" s="264"/>
      <c r="D16" s="264"/>
      <c r="E16" s="264"/>
      <c r="F16" s="264"/>
      <c r="G16" s="264"/>
      <c r="H16" s="264"/>
      <c r="I16" s="264"/>
      <c r="J16" s="264"/>
      <c r="K16" s="264"/>
      <c r="L16" s="264"/>
      <c r="M16" s="264"/>
      <c r="N16" s="1215"/>
      <c r="O16" s="1216"/>
      <c r="P16" s="306"/>
      <c r="Q16" s="14"/>
      <c r="R16" s="14"/>
      <c r="S16" s="14"/>
      <c r="T16" s="14"/>
      <c r="U16" s="14"/>
      <c r="V16" s="14"/>
      <c r="W16" s="14"/>
      <c r="X16" s="14"/>
      <c r="Y16" s="14"/>
      <c r="Z16" s="14"/>
      <c r="AA16" s="14"/>
      <c r="AB16" s="14"/>
      <c r="AC16" s="14"/>
    </row>
    <row r="17" spans="1:29">
      <c r="A17" s="305"/>
      <c r="B17" s="261"/>
      <c r="C17" s="262"/>
      <c r="D17" s="262"/>
      <c r="E17" s="262"/>
      <c r="F17" s="262"/>
      <c r="G17" s="262"/>
      <c r="H17" s="262"/>
      <c r="I17" s="262"/>
      <c r="J17" s="262"/>
      <c r="K17" s="262"/>
      <c r="L17" s="262"/>
      <c r="M17" s="262"/>
      <c r="N17" s="1195"/>
      <c r="O17" s="1196"/>
      <c r="P17" s="306"/>
      <c r="Q17" s="14"/>
      <c r="R17" s="14"/>
      <c r="S17" s="14"/>
      <c r="T17" s="14"/>
      <c r="U17" s="14"/>
      <c r="V17" s="14"/>
      <c r="W17" s="14"/>
      <c r="X17" s="14"/>
      <c r="Y17" s="14"/>
      <c r="Z17" s="14"/>
      <c r="AA17" s="14"/>
      <c r="AB17" s="14"/>
      <c r="AC17" s="14"/>
    </row>
    <row r="18" spans="1:29">
      <c r="A18" s="305"/>
      <c r="B18" s="263"/>
      <c r="C18" s="264"/>
      <c r="D18" s="264"/>
      <c r="E18" s="264"/>
      <c r="F18" s="264"/>
      <c r="G18" s="264"/>
      <c r="H18" s="264"/>
      <c r="I18" s="264"/>
      <c r="J18" s="264"/>
      <c r="K18" s="264"/>
      <c r="L18" s="264"/>
      <c r="M18" s="264"/>
      <c r="N18" s="1215"/>
      <c r="O18" s="1216"/>
      <c r="P18" s="306"/>
      <c r="Q18" s="14"/>
      <c r="R18" s="14"/>
      <c r="S18" s="14"/>
      <c r="T18" s="14"/>
      <c r="U18" s="14"/>
      <c r="V18" s="14"/>
      <c r="W18" s="14"/>
      <c r="X18" s="14"/>
      <c r="Y18" s="14"/>
      <c r="Z18" s="14"/>
      <c r="AA18" s="14"/>
      <c r="AB18" s="14"/>
      <c r="AC18" s="14"/>
    </row>
    <row r="19" spans="1:29">
      <c r="A19" s="305"/>
      <c r="B19" s="261"/>
      <c r="C19" s="262"/>
      <c r="D19" s="262"/>
      <c r="E19" s="262"/>
      <c r="F19" s="262"/>
      <c r="G19" s="262"/>
      <c r="H19" s="262"/>
      <c r="I19" s="262"/>
      <c r="J19" s="262"/>
      <c r="K19" s="262"/>
      <c r="L19" s="262"/>
      <c r="M19" s="262"/>
      <c r="N19" s="1195"/>
      <c r="O19" s="1196"/>
      <c r="P19" s="306"/>
      <c r="Q19" s="14"/>
      <c r="R19" s="14"/>
      <c r="S19" s="14"/>
      <c r="T19" s="14"/>
      <c r="U19" s="14"/>
      <c r="V19" s="14"/>
      <c r="W19" s="14"/>
      <c r="X19" s="14"/>
      <c r="Y19" s="14"/>
      <c r="Z19" s="14"/>
      <c r="AA19" s="14"/>
      <c r="AB19" s="14"/>
      <c r="AC19" s="14"/>
    </row>
    <row r="20" spans="1:29">
      <c r="A20" s="305"/>
      <c r="B20" s="263"/>
      <c r="C20" s="264"/>
      <c r="D20" s="264"/>
      <c r="E20" s="264"/>
      <c r="F20" s="264"/>
      <c r="G20" s="264"/>
      <c r="H20" s="264"/>
      <c r="I20" s="264"/>
      <c r="J20" s="264"/>
      <c r="K20" s="264"/>
      <c r="L20" s="264"/>
      <c r="M20" s="264"/>
      <c r="N20" s="1215"/>
      <c r="O20" s="1216"/>
      <c r="P20" s="306"/>
      <c r="Q20" s="14"/>
      <c r="R20" s="14"/>
      <c r="S20" s="14"/>
      <c r="T20" s="14"/>
      <c r="U20" s="14"/>
      <c r="V20" s="14"/>
      <c r="W20" s="14"/>
      <c r="X20" s="14"/>
      <c r="Y20" s="14"/>
      <c r="Z20" s="14"/>
      <c r="AA20" s="14"/>
      <c r="AB20" s="14"/>
      <c r="AC20" s="14"/>
    </row>
    <row r="21" spans="1:29">
      <c r="A21" s="305"/>
      <c r="B21" s="261"/>
      <c r="C21" s="262"/>
      <c r="D21" s="262"/>
      <c r="E21" s="262"/>
      <c r="F21" s="262"/>
      <c r="G21" s="262"/>
      <c r="H21" s="262"/>
      <c r="I21" s="262"/>
      <c r="J21" s="262"/>
      <c r="K21" s="262"/>
      <c r="L21" s="262"/>
      <c r="M21" s="262"/>
      <c r="N21" s="1195"/>
      <c r="O21" s="1196"/>
      <c r="P21" s="306"/>
      <c r="Q21" s="14"/>
      <c r="R21" s="14"/>
      <c r="S21" s="14"/>
      <c r="T21" s="14"/>
      <c r="U21" s="14"/>
      <c r="V21" s="14"/>
      <c r="W21" s="14"/>
      <c r="X21" s="14"/>
      <c r="Y21" s="14"/>
      <c r="Z21" s="14"/>
      <c r="AA21" s="14"/>
      <c r="AB21" s="14"/>
      <c r="AC21" s="14"/>
    </row>
    <row r="22" spans="1:29">
      <c r="A22" s="305"/>
      <c r="B22" s="263"/>
      <c r="C22" s="264"/>
      <c r="D22" s="264"/>
      <c r="E22" s="264"/>
      <c r="F22" s="264"/>
      <c r="G22" s="264"/>
      <c r="H22" s="264"/>
      <c r="I22" s="264"/>
      <c r="J22" s="264"/>
      <c r="K22" s="264"/>
      <c r="L22" s="264"/>
      <c r="M22" s="264"/>
      <c r="N22" s="1215"/>
      <c r="O22" s="1216"/>
      <c r="P22" s="306"/>
      <c r="Q22" s="14"/>
      <c r="R22" s="14"/>
      <c r="S22" s="14"/>
      <c r="T22" s="14"/>
      <c r="U22" s="14"/>
      <c r="V22" s="14"/>
      <c r="W22" s="14"/>
      <c r="X22" s="14"/>
      <c r="Y22" s="14"/>
      <c r="Z22" s="14"/>
      <c r="AA22" s="14"/>
      <c r="AB22" s="14"/>
      <c r="AC22" s="14"/>
    </row>
    <row r="23" spans="1:29">
      <c r="A23" s="305"/>
      <c r="B23" s="261"/>
      <c r="C23" s="262"/>
      <c r="D23" s="262"/>
      <c r="E23" s="262"/>
      <c r="F23" s="262"/>
      <c r="G23" s="262"/>
      <c r="H23" s="262"/>
      <c r="I23" s="262"/>
      <c r="J23" s="262"/>
      <c r="K23" s="262"/>
      <c r="L23" s="262"/>
      <c r="M23" s="262"/>
      <c r="N23" s="1195"/>
      <c r="O23" s="1196"/>
      <c r="P23" s="306"/>
      <c r="Q23" s="14"/>
      <c r="R23" s="14"/>
      <c r="S23" s="14"/>
      <c r="T23" s="14"/>
      <c r="U23" s="14"/>
      <c r="V23" s="14"/>
      <c r="W23" s="14"/>
      <c r="X23" s="14"/>
      <c r="Y23" s="14"/>
      <c r="Z23" s="14"/>
      <c r="AA23" s="14"/>
      <c r="AB23" s="14"/>
      <c r="AC23" s="14"/>
    </row>
    <row r="24" spans="1:29">
      <c r="A24" s="305"/>
      <c r="B24" s="263"/>
      <c r="C24" s="264"/>
      <c r="D24" s="264"/>
      <c r="E24" s="264"/>
      <c r="F24" s="264"/>
      <c r="G24" s="264"/>
      <c r="H24" s="264"/>
      <c r="I24" s="264"/>
      <c r="J24" s="264"/>
      <c r="K24" s="264"/>
      <c r="L24" s="264"/>
      <c r="M24" s="264"/>
      <c r="N24" s="1215"/>
      <c r="O24" s="1216"/>
      <c r="P24" s="306"/>
      <c r="Q24" s="14"/>
      <c r="R24" s="14"/>
      <c r="S24" s="14"/>
      <c r="T24" s="14"/>
      <c r="U24" s="14"/>
      <c r="V24" s="14"/>
      <c r="W24" s="14"/>
      <c r="X24" s="14"/>
      <c r="Y24" s="14"/>
      <c r="Z24" s="14"/>
      <c r="AA24" s="14"/>
      <c r="AB24" s="14"/>
      <c r="AC24" s="14"/>
    </row>
    <row r="25" spans="1:29" ht="15" thickBot="1">
      <c r="A25" s="305"/>
      <c r="B25" s="265"/>
      <c r="C25" s="266"/>
      <c r="D25" s="266"/>
      <c r="E25" s="266"/>
      <c r="F25" s="266"/>
      <c r="G25" s="266"/>
      <c r="H25" s="266"/>
      <c r="I25" s="266"/>
      <c r="J25" s="266"/>
      <c r="K25" s="266"/>
      <c r="L25" s="266"/>
      <c r="M25" s="266"/>
      <c r="N25" s="1213"/>
      <c r="O25" s="1214"/>
      <c r="P25" s="306"/>
      <c r="Q25" s="14"/>
      <c r="R25" s="14"/>
      <c r="S25" s="14"/>
      <c r="T25" s="14"/>
      <c r="U25" s="14"/>
      <c r="V25" s="14"/>
      <c r="W25" s="14"/>
      <c r="X25" s="14"/>
      <c r="Y25" s="14"/>
      <c r="Z25" s="14"/>
      <c r="AA25" s="14"/>
      <c r="AB25" s="14"/>
      <c r="AC25" s="14"/>
    </row>
    <row r="26" spans="1:29" ht="15" thickBot="1">
      <c r="A26" s="305"/>
      <c r="P26" s="306"/>
      <c r="Q26" s="14"/>
      <c r="R26" s="14"/>
      <c r="S26" s="14"/>
      <c r="T26" s="14"/>
      <c r="U26" s="14"/>
      <c r="V26" s="14"/>
      <c r="W26" s="14"/>
      <c r="X26" s="14"/>
      <c r="Y26" s="14"/>
      <c r="Z26" s="14"/>
      <c r="AA26" s="14"/>
      <c r="AB26" s="14"/>
      <c r="AC26" s="14"/>
    </row>
    <row r="27" spans="1:29" ht="15" thickTop="1">
      <c r="A27" s="305"/>
      <c r="B27" s="1217" t="s">
        <v>262</v>
      </c>
      <c r="C27" s="1218"/>
      <c r="D27" s="1218"/>
      <c r="E27" s="1218"/>
      <c r="F27" s="1218"/>
      <c r="G27" s="1219"/>
      <c r="H27" s="1226" t="s">
        <v>263</v>
      </c>
      <c r="I27" s="1218"/>
      <c r="J27" s="1218"/>
      <c r="K27" s="1219"/>
      <c r="L27" s="1227" t="s">
        <v>264</v>
      </c>
      <c r="M27" s="1227"/>
      <c r="N27" s="1227"/>
      <c r="O27" s="267"/>
      <c r="P27" s="306"/>
      <c r="Q27" s="14"/>
      <c r="R27" s="14"/>
      <c r="S27" s="14"/>
      <c r="T27" s="14"/>
      <c r="U27" s="14"/>
      <c r="V27" s="14"/>
      <c r="W27" s="14"/>
      <c r="X27" s="14"/>
      <c r="Y27" s="14"/>
      <c r="Z27" s="14"/>
      <c r="AA27" s="14"/>
      <c r="AB27" s="14"/>
      <c r="AC27" s="14"/>
    </row>
    <row r="28" spans="1:29">
      <c r="A28" s="305"/>
      <c r="B28" s="1220"/>
      <c r="C28" s="1221"/>
      <c r="D28" s="1221"/>
      <c r="E28" s="1221"/>
      <c r="F28" s="1221"/>
      <c r="G28" s="1222"/>
      <c r="H28" s="1220"/>
      <c r="I28" s="1221"/>
      <c r="J28" s="1221"/>
      <c r="K28" s="1222"/>
      <c r="L28" s="1228"/>
      <c r="M28" s="1228"/>
      <c r="N28" s="1228"/>
      <c r="O28" s="116"/>
      <c r="P28" s="306"/>
      <c r="Q28" s="14"/>
      <c r="R28" s="14"/>
      <c r="S28" s="14"/>
      <c r="T28" s="14"/>
      <c r="U28" s="14"/>
      <c r="V28" s="14"/>
      <c r="W28" s="14"/>
      <c r="X28" s="14"/>
      <c r="Y28" s="14"/>
      <c r="Z28" s="14"/>
      <c r="AA28" s="14"/>
      <c r="AB28" s="14"/>
      <c r="AC28" s="14"/>
    </row>
    <row r="29" spans="1:29">
      <c r="A29" s="305"/>
      <c r="B29" s="1220"/>
      <c r="C29" s="1221"/>
      <c r="D29" s="1221"/>
      <c r="E29" s="1221"/>
      <c r="F29" s="1221"/>
      <c r="G29" s="1222"/>
      <c r="H29" s="1220"/>
      <c r="I29" s="1221"/>
      <c r="J29" s="1221"/>
      <c r="K29" s="1222"/>
      <c r="L29" s="1229" t="s">
        <v>265</v>
      </c>
      <c r="M29" s="1229"/>
      <c r="N29" s="1229"/>
      <c r="O29" s="268"/>
      <c r="P29" s="306"/>
      <c r="Q29" s="14"/>
      <c r="R29" s="14"/>
      <c r="S29" s="14"/>
      <c r="T29" s="14"/>
      <c r="U29" s="14"/>
      <c r="V29" s="14"/>
      <c r="W29" s="14"/>
      <c r="X29" s="14"/>
      <c r="Y29" s="14"/>
      <c r="Z29" s="14"/>
      <c r="AA29" s="14"/>
      <c r="AB29" s="14"/>
      <c r="AC29" s="14"/>
    </row>
    <row r="30" spans="1:29">
      <c r="A30" s="305"/>
      <c r="B30" s="1220"/>
      <c r="C30" s="1221"/>
      <c r="D30" s="1221"/>
      <c r="E30" s="1221"/>
      <c r="F30" s="1221"/>
      <c r="G30" s="1222"/>
      <c r="H30" s="1220"/>
      <c r="I30" s="1221"/>
      <c r="J30" s="1221"/>
      <c r="K30" s="1222"/>
      <c r="L30" s="269" t="s">
        <v>266</v>
      </c>
      <c r="M30" s="272"/>
      <c r="N30" s="270" t="s">
        <v>226</v>
      </c>
      <c r="O30" s="268"/>
      <c r="P30" s="306"/>
      <c r="Q30" s="14"/>
      <c r="R30" s="14"/>
      <c r="S30" s="14"/>
      <c r="T30" s="14"/>
      <c r="U30" s="14"/>
      <c r="V30" s="14"/>
      <c r="W30" s="14"/>
      <c r="X30" s="14"/>
      <c r="Y30" s="14"/>
      <c r="Z30" s="14"/>
      <c r="AA30" s="14"/>
      <c r="AB30" s="14"/>
      <c r="AC30" s="14"/>
    </row>
    <row r="31" spans="1:29" ht="15" thickBot="1">
      <c r="A31" s="305"/>
      <c r="B31" s="1223"/>
      <c r="C31" s="1224"/>
      <c r="D31" s="1224"/>
      <c r="E31" s="1224"/>
      <c r="F31" s="1224"/>
      <c r="G31" s="1225"/>
      <c r="H31" s="1223"/>
      <c r="I31" s="1224"/>
      <c r="J31" s="1224"/>
      <c r="K31" s="1225"/>
      <c r="L31" s="1230" t="s">
        <v>105</v>
      </c>
      <c r="M31" s="1230"/>
      <c r="N31" s="1230"/>
      <c r="O31" s="271"/>
      <c r="P31" s="256"/>
    </row>
    <row r="32" spans="1:29" ht="15.6" thickTop="1" thickBot="1">
      <c r="A32" s="310"/>
      <c r="B32" s="311"/>
      <c r="C32" s="311"/>
      <c r="D32" s="311"/>
      <c r="E32" s="311"/>
      <c r="F32" s="311"/>
      <c r="G32" s="311"/>
      <c r="H32" s="311"/>
      <c r="I32" s="311"/>
      <c r="J32" s="311"/>
      <c r="K32" s="311"/>
      <c r="L32" s="311"/>
      <c r="M32" s="311"/>
      <c r="N32" s="311"/>
      <c r="O32" s="311"/>
      <c r="P32" s="312"/>
      <c r="Q32" s="14"/>
      <c r="R32" s="14"/>
      <c r="S32" s="14"/>
      <c r="T32" s="14"/>
      <c r="U32" s="14"/>
      <c r="V32" s="14"/>
      <c r="W32" s="14"/>
      <c r="X32" s="14"/>
      <c r="Y32" s="14"/>
      <c r="Z32" s="14"/>
      <c r="AA32" s="14"/>
      <c r="AB32" s="14"/>
      <c r="AC32" s="14"/>
    </row>
    <row r="33" spans="1:29" ht="15" thickTop="1">
      <c r="A33" s="14"/>
      <c r="B33" s="14"/>
      <c r="C33" s="14"/>
      <c r="D33" s="14"/>
      <c r="E33" s="14"/>
      <c r="F33" s="14"/>
      <c r="G33" s="14"/>
      <c r="H33" s="14"/>
      <c r="I33" s="14"/>
      <c r="J33" s="14"/>
      <c r="K33" s="14"/>
      <c r="L33" s="14"/>
      <c r="M33" s="14"/>
      <c r="N33" s="14"/>
      <c r="O33" s="14"/>
      <c r="P33" s="14"/>
      <c r="Q33" s="14"/>
      <c r="R33" s="14"/>
      <c r="S33" s="14"/>
      <c r="T33" s="14"/>
      <c r="U33" s="14"/>
      <c r="V33" s="14"/>
      <c r="W33" s="14"/>
      <c r="X33" s="14"/>
      <c r="Y33" s="14"/>
      <c r="Z33" s="14"/>
      <c r="AA33" s="14"/>
      <c r="AB33" s="14"/>
      <c r="AC33" s="14"/>
    </row>
    <row r="34" spans="1:29">
      <c r="A34" s="14"/>
      <c r="B34" s="14"/>
      <c r="C34" s="14"/>
      <c r="D34" s="14"/>
      <c r="E34" s="14"/>
      <c r="F34" s="14"/>
      <c r="G34" s="14"/>
      <c r="H34" s="14"/>
      <c r="I34" s="14"/>
      <c r="J34" s="14"/>
      <c r="K34" s="14"/>
      <c r="L34" s="14"/>
      <c r="M34" s="14"/>
      <c r="N34" s="14"/>
      <c r="O34" s="14"/>
      <c r="P34" s="14"/>
      <c r="Q34" s="14"/>
      <c r="R34" s="14"/>
      <c r="S34" s="14"/>
      <c r="T34" s="14"/>
      <c r="U34" s="14"/>
      <c r="V34" s="14"/>
      <c r="W34" s="14"/>
      <c r="X34" s="14"/>
      <c r="Y34" s="14"/>
      <c r="Z34" s="14"/>
      <c r="AA34" s="14"/>
      <c r="AB34" s="14"/>
      <c r="AC34" s="14"/>
    </row>
    <row r="35" spans="1:29">
      <c r="A35" s="14"/>
      <c r="B35" s="14"/>
      <c r="C35" s="14"/>
      <c r="D35" s="14"/>
      <c r="E35" s="14"/>
      <c r="F35" s="14"/>
      <c r="G35" s="14"/>
      <c r="H35" s="14"/>
      <c r="I35" s="14"/>
      <c r="J35" s="14"/>
      <c r="K35" s="14"/>
      <c r="L35" s="14"/>
      <c r="M35" s="14"/>
      <c r="N35" s="14"/>
      <c r="O35" s="14"/>
      <c r="P35" s="14"/>
      <c r="Q35" s="14"/>
      <c r="R35" s="14"/>
      <c r="S35" s="14"/>
      <c r="T35" s="14"/>
      <c r="U35" s="14"/>
      <c r="V35" s="14"/>
      <c r="W35" s="14"/>
      <c r="X35" s="14"/>
      <c r="Y35" s="14"/>
      <c r="Z35" s="14"/>
      <c r="AA35" s="14"/>
      <c r="AB35" s="14"/>
      <c r="AC35" s="14"/>
    </row>
    <row r="36" spans="1:29">
      <c r="A36" s="14"/>
      <c r="B36" s="14"/>
      <c r="C36" s="14"/>
      <c r="D36" s="14"/>
      <c r="E36" s="14"/>
      <c r="F36" s="14"/>
      <c r="G36" s="14"/>
      <c r="H36" s="14"/>
      <c r="I36" s="14"/>
      <c r="J36" s="14"/>
      <c r="K36" s="14"/>
      <c r="L36" s="14"/>
      <c r="M36" s="14"/>
      <c r="N36" s="14"/>
      <c r="O36" s="14"/>
      <c r="P36" s="14"/>
      <c r="Q36" s="14"/>
      <c r="R36" s="14"/>
      <c r="S36" s="14"/>
      <c r="T36" s="14"/>
      <c r="U36" s="14"/>
      <c r="V36" s="14"/>
      <c r="W36" s="14"/>
      <c r="X36" s="14"/>
      <c r="Y36" s="14"/>
      <c r="Z36" s="14"/>
      <c r="AA36" s="14"/>
      <c r="AB36" s="14"/>
      <c r="AC36" s="14"/>
    </row>
    <row r="37" spans="1:29">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c r="AA37" s="14"/>
      <c r="AB37" s="14"/>
      <c r="AC37" s="14"/>
    </row>
    <row r="38" spans="1:29">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c r="AA38" s="14"/>
      <c r="AB38" s="14"/>
      <c r="AC38" s="14"/>
    </row>
    <row r="39" spans="1:29">
      <c r="A39" s="14"/>
    </row>
    <row r="40" spans="1:29">
      <c r="A40" s="14"/>
    </row>
    <row r="41" spans="1:29">
      <c r="A41" s="14"/>
    </row>
    <row r="42" spans="1:29">
      <c r="A42" s="14"/>
    </row>
    <row r="43" spans="1:29">
      <c r="A43" s="14"/>
    </row>
    <row r="44" spans="1:29">
      <c r="A44" s="14"/>
    </row>
  </sheetData>
  <mergeCells count="32">
    <mergeCell ref="B27:G31"/>
    <mergeCell ref="H27:K31"/>
    <mergeCell ref="L27:N27"/>
    <mergeCell ref="L28:N28"/>
    <mergeCell ref="L29:N29"/>
    <mergeCell ref="L31:N31"/>
    <mergeCell ref="N25:O25"/>
    <mergeCell ref="N14:O14"/>
    <mergeCell ref="N15:O15"/>
    <mergeCell ref="N16:O16"/>
    <mergeCell ref="N17:O17"/>
    <mergeCell ref="N18:O18"/>
    <mergeCell ref="N19:O19"/>
    <mergeCell ref="N20:O20"/>
    <mergeCell ref="N21:O21"/>
    <mergeCell ref="N22:O22"/>
    <mergeCell ref="N23:O23"/>
    <mergeCell ref="N24:O24"/>
    <mergeCell ref="B3:F4"/>
    <mergeCell ref="N13:O13"/>
    <mergeCell ref="L5:P5"/>
    <mergeCell ref="C7:H7"/>
    <mergeCell ref="J7:K7"/>
    <mergeCell ref="L7:O7"/>
    <mergeCell ref="C8:H8"/>
    <mergeCell ref="J8:K8"/>
    <mergeCell ref="L8:O8"/>
    <mergeCell ref="C9:H9"/>
    <mergeCell ref="J9:K9"/>
    <mergeCell ref="L9:O9"/>
    <mergeCell ref="N11:O11"/>
    <mergeCell ref="N12:O12"/>
  </mergeCells>
  <dataValidations count="1">
    <dataValidation type="list" allowBlank="1" showInputMessage="1" sqref="C12:C25" xr:uid="{0879F0B0-BA1C-4A3A-94FA-0452840318D4}">
      <formula1>rooms</formula1>
    </dataValidation>
  </dataValidations>
  <hyperlinks>
    <hyperlink ref="L5" r:id="rId1" xr:uid="{9BD607C6-6C8A-46D1-8AF3-54509935A068}"/>
  </hyperlinks>
  <pageMargins left="0.7" right="0.7" top="0.75" bottom="0.75" header="0.3" footer="0.3"/>
  <pageSetup paperSize="9" orientation="portrait" horizontalDpi="300" verticalDpi="300" r:id="rId2"/>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E40C97-78A2-4EE7-B058-D11411F60B9C}">
  <sheetPr codeName="Sheet2"/>
  <dimension ref="A2:AJ61"/>
  <sheetViews>
    <sheetView zoomScaleNormal="100" workbookViewId="0">
      <selection activeCell="Q3" sqref="Q3"/>
    </sheetView>
  </sheetViews>
  <sheetFormatPr defaultColWidth="8.85546875" defaultRowHeight="14.45"/>
  <cols>
    <col min="1" max="1" width="2.140625" style="14" customWidth="1"/>
    <col min="2" max="2" width="3.28515625" style="14" customWidth="1"/>
    <col min="3" max="3" width="11.85546875" style="14" bestFit="1" customWidth="1"/>
    <col min="4" max="4" width="10.28515625" style="14" bestFit="1" customWidth="1"/>
    <col min="5" max="5" width="8.85546875" style="14"/>
    <col min="6" max="6" width="6.7109375" style="14" customWidth="1"/>
    <col min="7" max="7" width="9.5703125" style="14" customWidth="1"/>
    <col min="8" max="8" width="10.42578125" style="14" customWidth="1"/>
    <col min="9" max="9" width="8.85546875" style="327"/>
    <col min="10" max="10" width="8.85546875" style="16"/>
    <col min="11" max="11" width="8.85546875" style="14"/>
    <col min="12" max="12" width="8.85546875" style="532"/>
    <col min="13" max="16" width="8.85546875" style="14"/>
    <col min="17" max="17" width="10" style="14" bestFit="1" customWidth="1"/>
    <col min="18" max="18" width="10" style="14" customWidth="1"/>
    <col min="19" max="19" width="5.28515625" style="14" customWidth="1"/>
    <col min="20" max="20" width="6.7109375" style="14" customWidth="1"/>
    <col min="21" max="21" width="7" style="14" customWidth="1"/>
    <col min="22" max="22" width="5.7109375" style="14" customWidth="1"/>
    <col min="23" max="27" width="6.85546875" style="14" customWidth="1"/>
    <col min="28" max="28" width="6.28515625" style="14" customWidth="1"/>
    <col min="29" max="29" width="4.85546875" style="14" customWidth="1"/>
    <col min="30" max="30" width="8.42578125" style="14" bestFit="1" customWidth="1"/>
    <col min="31" max="31" width="11.42578125" style="14" customWidth="1"/>
    <col min="32" max="32" width="8.85546875" style="14" hidden="1" customWidth="1"/>
    <col min="33" max="33" width="3.85546875" style="14" hidden="1" customWidth="1"/>
    <col min="34" max="35" width="8.85546875" style="14"/>
    <col min="36" max="36" width="10.7109375" style="14" bestFit="1" customWidth="1"/>
    <col min="37" max="16384" width="8.85546875" style="14"/>
  </cols>
  <sheetData>
    <row r="2" spans="1:36">
      <c r="A2" s="15"/>
      <c r="B2" s="15"/>
      <c r="C2" s="15"/>
      <c r="D2" s="15"/>
      <c r="E2" s="15"/>
      <c r="F2" s="15"/>
      <c r="G2" s="15"/>
      <c r="L2" s="531"/>
      <c r="M2" s="474"/>
      <c r="N2" s="474"/>
      <c r="O2" s="474"/>
      <c r="P2" s="474"/>
    </row>
    <row r="3" spans="1:36">
      <c r="A3" s="15"/>
      <c r="B3" s="15"/>
      <c r="C3" s="15"/>
      <c r="D3" s="15"/>
      <c r="E3" s="15"/>
      <c r="F3" s="15"/>
      <c r="G3" s="15"/>
      <c r="M3" s="1366"/>
      <c r="N3" s="1367"/>
      <c r="O3" s="475"/>
    </row>
    <row r="4" spans="1:36">
      <c r="A4" s="15"/>
      <c r="B4" s="15"/>
      <c r="C4" s="15"/>
      <c r="D4" s="15"/>
      <c r="E4" s="15"/>
      <c r="F4" s="15"/>
      <c r="G4" s="15"/>
      <c r="M4" s="475"/>
      <c r="N4" s="475"/>
      <c r="O4" s="475"/>
    </row>
    <row r="5" spans="1:36" ht="15" thickBot="1">
      <c r="R5" s="14" t="str">
        <f>IFERROR(IF(Pricing!Q76=0,"",IF(OR(Pricing!Q76&gt;=0.05,Pricing!Q76&lt;=0.05),"True",IF(Pricing!Q76=0,"",""))),"")</f>
        <v/>
      </c>
    </row>
    <row r="6" spans="1:36" ht="15" thickTop="1">
      <c r="B6" s="1310" t="s">
        <v>267</v>
      </c>
      <c r="C6" s="1311"/>
      <c r="D6" s="17" t="s">
        <v>178</v>
      </c>
      <c r="E6" s="1315" t="str">
        <f>IF(Pricing!B59="","",Pricing!B59)</f>
        <v/>
      </c>
      <c r="F6" s="1315"/>
      <c r="G6" s="1315"/>
      <c r="H6" s="1316"/>
      <c r="I6" s="328" t="s">
        <v>268</v>
      </c>
      <c r="J6" s="1319" t="str">
        <f>IF(Pricing!E59="","",Pricing!E59)</f>
        <v/>
      </c>
      <c r="K6" s="1319"/>
      <c r="L6" s="1311"/>
      <c r="M6" s="1320" t="s">
        <v>269</v>
      </c>
      <c r="N6" s="1321"/>
      <c r="O6" s="1320" t="s">
        <v>270</v>
      </c>
      <c r="P6" s="1324"/>
      <c r="Q6" s="1324"/>
      <c r="R6" s="1320" t="s">
        <v>271</v>
      </c>
      <c r="S6" s="1324"/>
      <c r="T6" s="1321"/>
      <c r="U6" s="1368" t="s">
        <v>272</v>
      </c>
      <c r="V6" s="1369"/>
      <c r="W6" s="1369"/>
      <c r="X6" s="1370"/>
      <c r="Y6" s="1306" t="s">
        <v>273</v>
      </c>
      <c r="Z6" s="1307"/>
      <c r="AA6" s="1333" t="s">
        <v>274</v>
      </c>
      <c r="AB6" s="1334"/>
      <c r="AC6" s="1337" t="s">
        <v>275</v>
      </c>
      <c r="AD6" s="1338"/>
      <c r="AE6" s="199" t="s">
        <v>276</v>
      </c>
    </row>
    <row r="7" spans="1:36">
      <c r="B7" s="1312"/>
      <c r="C7" s="1074"/>
      <c r="D7" s="18"/>
      <c r="E7" s="1317"/>
      <c r="F7" s="1317"/>
      <c r="G7" s="1317"/>
      <c r="H7" s="1318"/>
      <c r="I7" s="329"/>
      <c r="J7" s="1076"/>
      <c r="K7" s="1076"/>
      <c r="L7" s="1077"/>
      <c r="M7" s="1322"/>
      <c r="N7" s="1323"/>
      <c r="O7" s="1322"/>
      <c r="P7" s="1325"/>
      <c r="Q7" s="1325"/>
      <c r="R7" s="1322"/>
      <c r="S7" s="1325"/>
      <c r="T7" s="1323"/>
      <c r="U7" s="1371"/>
      <c r="V7" s="1372"/>
      <c r="W7" s="1372"/>
      <c r="X7" s="1373"/>
      <c r="Y7" s="1308"/>
      <c r="Z7" s="1309"/>
      <c r="AA7" s="1335"/>
      <c r="AB7" s="1336"/>
      <c r="AC7" s="1339"/>
      <c r="AD7" s="1340"/>
      <c r="AE7" s="200">
        <f>Pricing!AE54</f>
        <v>14.405021</v>
      </c>
    </row>
    <row r="8" spans="1:36">
      <c r="B8" s="1312"/>
      <c r="C8" s="1074"/>
      <c r="D8" s="19" t="s">
        <v>277</v>
      </c>
      <c r="E8" s="1261"/>
      <c r="F8" s="1262"/>
      <c r="G8" s="391" t="s">
        <v>278</v>
      </c>
      <c r="H8" s="392"/>
      <c r="I8" s="330" t="s">
        <v>279</v>
      </c>
      <c r="J8" s="1261"/>
      <c r="K8" s="1261"/>
      <c r="L8" s="1262"/>
      <c r="M8" s="1326" t="s">
        <v>14</v>
      </c>
      <c r="N8" s="1327"/>
      <c r="O8" s="1328" t="s">
        <v>280</v>
      </c>
      <c r="P8" s="1261"/>
      <c r="Q8" s="1262"/>
      <c r="R8" s="1296">
        <f>IFERROR("BP: " &amp; ROUND(SUM(Pricing!AB66-SUM(Pricing!O60:O71))/Pricing!AE54,0) &amp; " | " &amp; "SVBP:" &amp; TEXT(Matrix2!AA167+Matrix2!Z183,"#,##0"),0)</f>
        <v>0</v>
      </c>
      <c r="S8" s="1329"/>
      <c r="T8" s="1297"/>
      <c r="U8" s="1296" t="s">
        <v>251</v>
      </c>
      <c r="V8" s="1297"/>
      <c r="W8" s="1265"/>
      <c r="X8" s="700"/>
      <c r="Y8" s="1288" t="str">
        <f>IF('Install Time'!I26=0,"",'Install Time'!I26)</f>
        <v/>
      </c>
      <c r="Z8" s="1289"/>
      <c r="AA8" s="1375">
        <f>SUM(Matrix2!AD19:AR19)</f>
        <v>16</v>
      </c>
      <c r="AB8" s="1376"/>
      <c r="AC8" s="1379">
        <f>SUM(Matrix2!AD61:AR61)</f>
        <v>16</v>
      </c>
      <c r="AD8" s="1380"/>
      <c r="AE8" s="201" t="s">
        <v>281</v>
      </c>
    </row>
    <row r="9" spans="1:36" ht="15" thickBot="1">
      <c r="B9" s="1313"/>
      <c r="C9" s="1314"/>
      <c r="D9" s="21"/>
      <c r="E9" s="1263"/>
      <c r="F9" s="1264"/>
      <c r="G9" s="1286" t="str">
        <f>IF(H8="","","EFD:              " &amp; TEXT(H8+84,"dd/mm/yyyy"))</f>
        <v/>
      </c>
      <c r="H9" s="1287"/>
      <c r="I9" s="331"/>
      <c r="J9" s="1263"/>
      <c r="K9" s="1263"/>
      <c r="L9" s="1264"/>
      <c r="M9" s="1300">
        <f>IF(ISERROR( AE13+AE16+AE19+AE22+AE25+AE28+AE31+AE34+AE37+AE40+AE43+AE46+AE49+AE52+AE55),"Square Meters",  AE13+AE16+AE19+AE22+AE25+AE28+AE31+AE34+AE37+AE40+AE43+AE46+AE49+AE52+AE55)</f>
        <v>0</v>
      </c>
      <c r="N9" s="1301"/>
      <c r="O9" s="1302" t="s">
        <v>47</v>
      </c>
      <c r="P9" s="1303"/>
      <c r="Q9" s="1304"/>
      <c r="R9" s="1298"/>
      <c r="S9" s="1330"/>
      <c r="T9" s="1299"/>
      <c r="U9" s="1298"/>
      <c r="V9" s="1299"/>
      <c r="W9" s="1266"/>
      <c r="X9" s="1267"/>
      <c r="Y9" s="1290"/>
      <c r="Z9" s="1291"/>
      <c r="AA9" s="1377"/>
      <c r="AB9" s="1378"/>
      <c r="AC9" s="1302"/>
      <c r="AD9" s="1303"/>
      <c r="AE9" s="202">
        <f>M9</f>
        <v>0</v>
      </c>
    </row>
    <row r="10" spans="1:36" ht="15.6" thickTop="1" thickBot="1"/>
    <row r="11" spans="1:36" ht="27.6" customHeight="1" thickTop="1" thickBot="1">
      <c r="B11" s="204"/>
      <c r="C11" s="205" t="s">
        <v>1</v>
      </c>
      <c r="D11" s="205" t="s">
        <v>2</v>
      </c>
      <c r="E11" s="205" t="s">
        <v>3</v>
      </c>
      <c r="F11" s="790" t="s">
        <v>4</v>
      </c>
      <c r="G11" s="791"/>
      <c r="H11" s="209" t="s">
        <v>5</v>
      </c>
      <c r="I11" s="210" t="s">
        <v>6</v>
      </c>
      <c r="J11" s="205" t="s">
        <v>282</v>
      </c>
      <c r="K11" s="205" t="s">
        <v>283</v>
      </c>
      <c r="L11" s="533" t="s">
        <v>7</v>
      </c>
      <c r="M11" s="205" t="s">
        <v>9</v>
      </c>
      <c r="N11" s="205" t="s">
        <v>10</v>
      </c>
      <c r="O11" s="205" t="s">
        <v>11</v>
      </c>
      <c r="P11" s="205" t="s">
        <v>284</v>
      </c>
      <c r="Q11" s="206" t="s">
        <v>285</v>
      </c>
      <c r="R11" s="790" t="s">
        <v>12</v>
      </c>
      <c r="S11" s="792"/>
      <c r="T11" s="792"/>
      <c r="U11" s="792"/>
      <c r="V11" s="792"/>
      <c r="W11" s="792"/>
      <c r="X11" s="792"/>
      <c r="Y11" s="792"/>
      <c r="Z11" s="792"/>
      <c r="AA11" s="792"/>
      <c r="AB11" s="792"/>
      <c r="AC11" s="791"/>
      <c r="AD11" s="211" t="s">
        <v>286</v>
      </c>
      <c r="AE11" s="205" t="s">
        <v>287</v>
      </c>
      <c r="AF11" s="16" t="s">
        <v>288</v>
      </c>
      <c r="AG11" s="16" t="s">
        <v>289</v>
      </c>
      <c r="AH11" s="505" t="s">
        <v>290</v>
      </c>
      <c r="AI11" s="506" t="s">
        <v>291</v>
      </c>
      <c r="AJ11" s="179"/>
    </row>
    <row r="12" spans="1:36" ht="15" thickTop="1">
      <c r="B12" s="774">
        <v>1</v>
      </c>
      <c r="C12" s="10" t="str">
        <f>IF(Pricing!C8="","",Pricing!C8)</f>
        <v>Dining room</v>
      </c>
      <c r="D12" s="1247" t="str">
        <f>IF(Pricing!D8="","",Pricing!D8)</f>
        <v>Tracked</v>
      </c>
      <c r="E12" s="1250" t="str">
        <f>IF(Pricing!E8="","",Pricing!E8)</f>
        <v>Barbados</v>
      </c>
      <c r="F12" s="1251" t="str">
        <f>IF(Pricing!F8="","",Pricing!F8)</f>
        <v>Pure White</v>
      </c>
      <c r="G12" s="1251"/>
      <c r="H12" s="1252" t="str">
        <f>IF(Pricing!H8="","",Pricing!H8)</f>
        <v>76mm</v>
      </c>
      <c r="I12" s="1332" t="str">
        <f>IF(Pricing!I8="","",Pricing!I8)</f>
        <v>M Track</v>
      </c>
      <c r="J12" s="22">
        <v>0</v>
      </c>
      <c r="K12" s="1252"/>
      <c r="L12" s="1280" t="str">
        <f>IF(Pricing!J8="","",Pricing!J8)</f>
        <v>Silent</v>
      </c>
      <c r="M12" s="1252" t="str">
        <f>IF(AND(Pricing!D53="Yes",Pricing!M8&lt;&gt;""),Pricing!M8,UPPER(IF(Drawing!$F$2=1,Drawing!D17,IF(Drawing!$Y$2=1,Drawing!W17,IF(Drawing!$F$25=1,Drawing!D40,IF(Drawing!$Y$25=1,Drawing!W40,IF(Drawing!$F$48=1,Drawing!D60,IF(Drawing!$Y$48=1,Drawing!W63,""))))))))</f>
        <v/>
      </c>
      <c r="N12" s="1252" t="str">
        <f>IF(AND(Pricing!D53="Yes",Pricing!N8&lt;&gt;""),Pricing!N8,UPPER(IF(Drawing!$F$2=1,Drawing!D19,IF(Drawing!$Y$2=1,Drawing!W19,IF(Drawing!$F$25=1,Drawing!D42,IF(Drawing!$Y$25=1,Drawing!W42,IF(Drawing!$F$48=1,Drawing!D65,IF(Drawing!$Y$48=1,Drawing!W65,""))))))))</f>
        <v/>
      </c>
      <c r="O12" s="1282" t="str">
        <f>UPPER(IF(AND(Drawing!$F$2=1,Drawing!B21="Midrail"),Drawing!D21,IF(AND(Drawing!$Y$2=1,Drawing!U21="Midrail"),Drawing!W21,IF(AND(Drawing!$F$25=1,Drawing!B44="Midrail"),Drawing!D44,IF(AND(Drawing!$Y$25=1,Drawing!U44="Midrail"),Drawing!W44,IF(AND(Drawing!$F$48=1,Drawing!B67="Midrail"),Drawing!D67,IF(AND(Drawing!$Y$48=1,Drawing!U67="Midrail"),Drawing!W67,"")))))))</f>
        <v/>
      </c>
      <c r="P12" s="1282" t="str">
        <f>UPPER(IF(AND(Drawing!$F$2=1,Drawing!B21="Split"),Drawing!D21,IF(AND(Drawing!$Y$2=1,Drawing!U21="Split"),Drawing!W21,IF(AND(Drawing!$F$25=1,Drawing!B44="Split"),Drawing!D44,IF(AND(Drawing!$Y$25=1,Drawing!U44="Split"),Drawing!W44,IF(AND(Drawing!$F$48=1,Drawing!B67="Split"),Drawing!D67,IF(AND(Drawing!$Y$48=1,Drawing!U67="Split"),Drawing!W67,"")))))))</f>
        <v/>
      </c>
      <c r="Q12" s="1275"/>
      <c r="R12" s="22" t="s">
        <v>292</v>
      </c>
      <c r="S12" s="184" t="str">
        <f>UPPER(IF(Drawing!$F$2=1,Drawing!AW5,IF(Drawing!$Y$2=1,Drawing!AC17,IF(Drawing!$F$25=1,Drawing!J40,IF(Drawing!$Y$25=1,Drawing!AC40,IF(Drawing!$F$48=1,Drawing!J63,IF(Drawing!$Y$48=1,Drawing!AC63,IF(Pricing!R8="","",Pricing!R8))))))))</f>
        <v>FF</v>
      </c>
      <c r="T12" s="184" t="str">
        <f>UPPER(IF(Drawing!$F$2=1,Drawing!AX5,IF(Drawing!$Y$2=1,Drawing!AD17,IF(Drawing!$F$25=1,Drawing!K40,IF(Drawing!$Y$25=1,Drawing!AD40,IF(Drawing!$F$48=1,Drawing!K63,IF(Drawing!$Y$48=1,Drawing!AD63,IF(Pricing!S8="","",Pricing!S8))))))))</f>
        <v>FF</v>
      </c>
      <c r="U12" s="184" t="str">
        <f>UPPER(IF(Drawing!$F$2=1,Drawing!AY5,IF(Drawing!$Y$2=1,Drawing!AE17,IF(Drawing!$F$25=1,Drawing!L40,IF(Drawing!$Y$25=1,Drawing!AE40,IF(Drawing!$F$48=1,Drawing!L63,IF(Drawing!$Y$48=1,Drawing!AE63,IF(Pricing!T8="","",Pricing!T8))))))))</f>
        <v>FF</v>
      </c>
      <c r="V12" s="184" t="str">
        <f>UPPER(IF(Drawing!$F$2=1,Drawing!AZ5,IF(Drawing!$Y$2=1,Drawing!AF17,IF(Drawing!$F$25=1,Drawing!M40,IF(Drawing!$Y$25=1,Drawing!AF40,IF(Drawing!$F$48=1,Drawing!M63,IF(Drawing!$Y$48=1,Drawing!AF63,IF(Pricing!U8="","",Pricing!U8))))))))</f>
        <v>FF</v>
      </c>
      <c r="W12" s="184" t="str">
        <f>UPPER(IF(Drawing!$F$2=1,Drawing!BA5,IF(Drawing!$Y$2=1,Drawing!AG17,IF(Drawing!$F$25=1,Drawing!N40,IF(Drawing!$Y$25=1,Drawing!AG40,IF(Drawing!$F$48=1,Drawing!N63,IF(Drawing!$Y$48=1,Drawing!AG63,IF(Pricing!V8="","",Pricing!V8))))))))</f>
        <v/>
      </c>
      <c r="X12" s="184" t="str">
        <f>UPPER(IF(Drawing!$F$2=1,Drawing!BB5,IF(Drawing!$Y$2=1,Drawing!AH17,IF(Drawing!$F$25=1,Drawing!O40,IF(Drawing!$Y$25=1,Drawing!AH40,IF(Drawing!$F$48=1,Drawing!O63,IF(Drawing!$Y$48=1,Drawing!AH63,IF(Pricing!W8="","",Pricing!W8))))))))</f>
        <v/>
      </c>
      <c r="Y12" s="184" t="str">
        <f>UPPER(IF(Drawing!$F$2=1,Drawing!BC5,IF(Drawing!$Y$2=1,Drawing!AI17,IF(Drawing!$F$25=1,Drawing!P40,IF(Drawing!$Y$25=1,Drawing!AI40,IF(Drawing!$F$48=1,Drawing!P63,IF(Drawing!$Y$48=1,Drawing!AI63,IF(Pricing!X8="","",Pricing!X8))))))))</f>
        <v/>
      </c>
      <c r="Z12" s="184" t="str">
        <f>UPPER(IF(Drawing!$F$2=1,Drawing!BD5,IF(Drawing!$Y$2=1,Drawing!AJ17,IF(Drawing!$F$25=1,Drawing!Q40,IF(Drawing!$Y$25=1,Drawing!AJ40,IF(Drawing!$F$48=1,Drawing!Q63,IF(Drawing!$Y$48=1,Drawing!AJ63,IF(Pricing!Y8="","",Pricing!Y8))))))))</f>
        <v/>
      </c>
      <c r="AA12" s="184" t="str">
        <f>UPPER(IF(Drawing!$F$2=1,Drawing!BE5,IF(Drawing!$Y$2=1,Drawing!AK17,IF(Drawing!$F$25=1,Drawing!R40,IF(Drawing!$Y$25=1,Drawing!AK40,IF(Drawing!$F$48=1,Drawing!R63,IF(Drawing!$Y$48=1,Drawing!AK63,IF(Pricing!Z8="","",Pricing!Z8))))))))</f>
        <v/>
      </c>
      <c r="AB12" s="184" t="str">
        <f>UPPER(IF(Drawing!$F$2=1,Drawing!BF5,IF(Drawing!$Y$2=1,Drawing!AL17,IF(Drawing!$F$25=1,Drawing!S40,IF(Drawing!$Y$25=1,Drawing!AL40,IF(Drawing!$F$48=1,Drawing!S63,IF(Drawing!$Y$48=1,Drawing!AL63,IF(Pricing!AA8="","",Pricing!AA8))))))))</f>
        <v/>
      </c>
      <c r="AC12" s="184" t="str">
        <f>UPPER(IF(Drawing!$F$2=1,Drawing!BG5,IF(Drawing!$Y$2=1,Drawing!AM17,IF(Drawing!$F$25=1,Drawing!T40,IF(Drawing!$Y$25=1,Drawing!AM40,IF(Drawing!$F$48=1,Drawing!T63,IF(Drawing!$Y$48=1,Drawing!AM63,IF(Pricing!AB8="","",Pricing!AB8))))))))</f>
        <v/>
      </c>
      <c r="AD12" s="212" t="str">
        <f>IF(Pricing!AE8="Quoted","Q","")</f>
        <v/>
      </c>
      <c r="AE12" s="490" t="s">
        <v>30</v>
      </c>
      <c r="AF12" s="14">
        <f>COUNTIF(S12:AC12,"(T)")</f>
        <v>0</v>
      </c>
      <c r="AG12" s="14" t="b">
        <f>OR(COUNTIF(S12:AC12,"*(B)*"),COUNTIF(S12:AC12,"*(CB)*"))</f>
        <v>0</v>
      </c>
      <c r="AH12" s="501" t="s">
        <v>290</v>
      </c>
      <c r="AI12" s="497" t="s">
        <v>291</v>
      </c>
    </row>
    <row r="13" spans="1:36">
      <c r="B13" s="774"/>
      <c r="C13" s="188" t="str">
        <f>IF(Pricing!C9="","",Pricing!C9)</f>
        <v/>
      </c>
      <c r="D13" s="1248"/>
      <c r="E13" s="1248"/>
      <c r="F13" s="683" t="str">
        <f>IF(AND(D12="Shape",E12="Capri"),"Select Raked / Radius",IF(AND(E12="Bermuda",F12="Custom Colour"),"Not Black",IF(AND(E12="Cuba",F12="Custom Colour"),"Solid Colours Only",IF(AND(E12="Java",F12="Custom Colour"),"Solid (no Black)",IF(D12="S/Shade","Note Shade Colour",IF(Pricing!F9="","",Pricing!F9))))))</f>
        <v/>
      </c>
      <c r="G13" s="682"/>
      <c r="H13" s="1252"/>
      <c r="I13" s="1255"/>
      <c r="J13" s="1276"/>
      <c r="K13" s="1252"/>
      <c r="L13" s="1280"/>
      <c r="M13" s="1252"/>
      <c r="N13" s="1252"/>
      <c r="O13" s="1374"/>
      <c r="P13" s="1283"/>
      <c r="Q13" s="1276"/>
      <c r="R13" s="213" t="s">
        <v>293</v>
      </c>
      <c r="S13" s="322" t="str">
        <f>UPPER(IF(Drawing!$F$2=1,Drawing!J18,IF(Drawing!$Y$2=1,Drawing!AC18,IF(Drawing!$F$25=1,Drawing!J40,IF(Drawing!$Y$25=1,Drawing!AC41,IF(Drawing!$F$48=1,Drawing!J63,IF(Drawing!$Y$48=1,Drawing!AC63,"")))))))</f>
        <v/>
      </c>
      <c r="T13" s="322" t="str">
        <f>UPPER(IF(Drawing!$F$2=1,Drawing!K18,IF(Drawing!$Y$2=1,Drawing!AD18,IF(Drawing!$F$25=1,Drawing!K40,IF(Drawing!$Y$25=1,Drawing!AD41,IF(Drawing!$F$48=1,Drawing!K63,IF(Drawing!$Y$48=1,Drawing!AD63,"")))))))</f>
        <v/>
      </c>
      <c r="U13" s="322" t="str">
        <f>UPPER(IF(Drawing!$F$2=1,Drawing!L18,IF(Drawing!$Y$2=1,Drawing!AE18,IF(Drawing!$F$25=1,Drawing!L40,IF(Drawing!$Y$25=1,Drawing!AE41,IF(Drawing!$F$48=1,Drawing!L63,IF(Drawing!$Y$48=1,Drawing!AE63,"")))))))</f>
        <v/>
      </c>
      <c r="V13" s="322" t="str">
        <f>UPPER(IF(Drawing!$F$2=1,Drawing!M18,IF(Drawing!$Y$2=1,Drawing!AF18,IF(Drawing!$F$25=1,Drawing!M40,IF(Drawing!$Y$25=1,Drawing!AF41,IF(Drawing!$F$48=1,Drawing!M63,IF(Drawing!$Y$48=1,Drawing!AF63,"")))))))</f>
        <v/>
      </c>
      <c r="W13" s="322" t="str">
        <f>UPPER(IF(Drawing!$F$2=1,Drawing!N18,IF(Drawing!$Y$2=1,Drawing!AG18,IF(Drawing!$F$25=1,Drawing!N40,IF(Drawing!$Y$25=1,Drawing!AG41,IF(Drawing!$F$48=1,Drawing!N63,IF(Drawing!$Y$48=1,Drawing!AG63,"")))))))</f>
        <v/>
      </c>
      <c r="X13" s="322" t="str">
        <f>UPPER(IF(Drawing!$F$2=1,Drawing!O18,IF(Drawing!$Y$2=1,Drawing!AH18,IF(Drawing!$F$25=1,Drawing!O40,IF(Drawing!$Y$25=1,Drawing!AH41,IF(Drawing!$F$48=1,Drawing!O63,IF(Drawing!$Y$48=1,Drawing!AH63,"")))))))</f>
        <v/>
      </c>
      <c r="Y13" s="322" t="str">
        <f>UPPER(IF(Drawing!$F$2=1,Drawing!P18,IF(Drawing!$Y$2=1,Drawing!AI18,IF(Drawing!$F$25=1,Drawing!P40,IF(Drawing!$Y$25=1,Drawing!AI41,IF(Drawing!$F$48=1,Drawing!P63,IF(Drawing!$Y$48=1,Drawing!AI63,"")))))))</f>
        <v/>
      </c>
      <c r="Z13" s="322" t="str">
        <f>UPPER(IF(Drawing!$F$2=1,Drawing!Q18,IF(Drawing!$Y$2=1,Drawing!AJ18,IF(Drawing!$F$25=1,Drawing!Q40,IF(Drawing!$Y$25=1,Drawing!AJ41,IF(Drawing!$F$48=1,Drawing!Q63,IF(Drawing!$Y$48=1,Drawing!AJ63,"")))))))</f>
        <v/>
      </c>
      <c r="AA13" s="322" t="str">
        <f>UPPER(IF(Drawing!$F$2=1,Drawing!R18,IF(Drawing!$Y$2=1,Drawing!AK18,IF(Drawing!$F$25=1,Drawing!R40,IF(Drawing!$Y$25=1,Drawing!AK41,IF(Drawing!$F$48=1,Drawing!R63,IF(Drawing!$Y$48=1,Drawing!AK63,"")))))))</f>
        <v/>
      </c>
      <c r="AB13" s="322" t="str">
        <f>UPPER(IF(Drawing!$F$2=1,Drawing!S18,IF(Drawing!$Y$2=1,Drawing!AL18,IF(Drawing!$F$25=1,Drawing!S40,IF(Drawing!$Y$25=1,Drawing!AL41,IF(Drawing!$F$48=1,Drawing!S63,IF(Drawing!$Y$48=1,Drawing!AL63,"")))))))</f>
        <v/>
      </c>
      <c r="AC13" s="11" t="s">
        <v>28</v>
      </c>
      <c r="AD13" s="322" t="s">
        <v>294</v>
      </c>
      <c r="AE13" s="1268">
        <f>IF(ISERROR(M12*N12/1000000),,M12*N12/1000000)</f>
        <v>0</v>
      </c>
      <c r="AH13" s="1235" t="s">
        <v>47</v>
      </c>
      <c r="AI13" s="1257" t="s">
        <v>47</v>
      </c>
    </row>
    <row r="14" spans="1:36" ht="15" thickBot="1">
      <c r="B14" s="774"/>
      <c r="C14" s="12" t="str">
        <f>IF(Pricing!C10="","",Pricing!C10)</f>
        <v/>
      </c>
      <c r="D14" s="1249"/>
      <c r="E14" s="1331"/>
      <c r="F14" s="214" t="s">
        <v>31</v>
      </c>
      <c r="G14" s="23" t="str">
        <f>IF(Pricing!G10="","",Pricing!G10)</f>
        <v>Pure White</v>
      </c>
      <c r="H14" s="1253"/>
      <c r="I14" s="1255"/>
      <c r="J14" s="1305"/>
      <c r="K14" s="1253"/>
      <c r="L14" s="1281"/>
      <c r="M14" s="1253"/>
      <c r="N14" s="1253"/>
      <c r="O14" s="535" t="s">
        <v>77</v>
      </c>
      <c r="P14" s="1284"/>
      <c r="Q14" s="24" t="s">
        <v>77</v>
      </c>
      <c r="R14" s="24" t="s">
        <v>295</v>
      </c>
      <c r="S14" s="1237" t="str">
        <f>IF(Pricing!R10="","",Pricing!R10)</f>
        <v>Incorrect frame type</v>
      </c>
      <c r="T14" s="1238"/>
      <c r="U14" s="1238"/>
      <c r="V14" s="1238"/>
      <c r="W14" s="1238"/>
      <c r="X14" s="1238"/>
      <c r="Y14" s="1238"/>
      <c r="Z14" s="1238"/>
      <c r="AA14" s="1238"/>
      <c r="AB14" s="1238"/>
      <c r="AC14" s="1274"/>
      <c r="AD14" s="203"/>
      <c r="AE14" s="1269"/>
      <c r="AH14" s="1236"/>
      <c r="AI14" s="1258"/>
    </row>
    <row r="15" spans="1:36" ht="14.45" customHeight="1">
      <c r="B15" s="774">
        <v>2</v>
      </c>
      <c r="C15" s="225" t="str">
        <f>IF(Pricing!C11="","",Pricing!C11)</f>
        <v>Office</v>
      </c>
      <c r="D15" s="1232" t="str">
        <f>IF(Pricing!D11="","",Pricing!D11)</f>
        <v>Full Height</v>
      </c>
      <c r="E15" s="1343" t="str">
        <f>IF(Pricing!E11="","",Pricing!E11)</f>
        <v>Barbados</v>
      </c>
      <c r="F15" s="937" t="str">
        <f>IF(Pricing!F11="","",Pricing!F11)</f>
        <v>Pure White</v>
      </c>
      <c r="G15" s="1345"/>
      <c r="H15" s="742" t="str">
        <f>IF(Pricing!H11="","",Pricing!H11)</f>
        <v>76mm</v>
      </c>
      <c r="I15" s="1231" t="str">
        <f>IF(Pricing!I11="","",Pricing!I11)</f>
        <v>Plain L</v>
      </c>
      <c r="J15" s="461">
        <v>0</v>
      </c>
      <c r="K15" s="742"/>
      <c r="L15" s="1292" t="str">
        <f>IF(Pricing!J11="","",Pricing!J11)</f>
        <v>Silent</v>
      </c>
      <c r="M15" s="742" t="str">
        <f>IF(AND(Pricing!D53="Yes",Pricing!M11&lt;&gt;""),Pricing!M11,UPPER(IF(Drawing!$F$2=2,Drawing!D17,IF(Drawing!$Y$2=2,Drawing!W17,IF(Drawing!$F$25=2,Drawing!D40,IF(Drawing!$Y$25=2,Drawing!W40,IF(Drawing!$F$48=2,Drawing!D63,IF(Drawing!$Y$48=2,Drawing!W63,""))))))))</f>
        <v/>
      </c>
      <c r="N15" s="742" t="str">
        <f>IF(AND(Pricing!D53="Yes",Pricing!N11&lt;&gt;""),Pricing!N11,UPPER(IF(Drawing!$F$2=2,Drawing!D19,IF(Drawing!$Y$2=2,Drawing!W19,IF(Drawing!$F$25=2,Drawing!D42,IF(Drawing!$Y$25=2,Drawing!W42,IF(Drawing!$F$48=2,Drawing!D65,IF(Drawing!$Y$48=2,Drawing!W65,""))))))))</f>
        <v/>
      </c>
      <c r="O15" s="1231" t="str">
        <f>UPPER(IF(AND(Drawing!$F$2=2,Drawing!B21="Midrail"),Drawing!D21,IF(AND(Drawing!$Y$2=2,Drawing!U21="Midrail"),Drawing!W21,IF(AND(Drawing!$F$25=2,Drawing!B44="Midrail"),Drawing!D44,IF(AND(Drawing!$Y$25=2,Drawing!U44="Midrail"),Drawing!W44,IF(AND(Drawing!$F$48=2,Drawing!B67="Midrail"),Drawing!D67,IF(AND(Drawing!$Y$48=2,Drawing!U67="Midrail"),Drawing!W67,"")))))))</f>
        <v/>
      </c>
      <c r="P15" s="1231" t="str">
        <f>UPPER(IF(AND(Drawing!$F$2=2,Drawing!B21="Split"),Drawing!D21,IF(AND(Drawing!$Y$2=2,Drawing!U21="Split"),Drawing!W21,IF(AND(Drawing!$F$25=2,Drawing!B44="Split"),Drawing!D44,IF(AND(Drawing!$Y$25=2,Drawing!U44="Split"),Drawing!W44,IF(AND(Drawing!$F$48=2,Drawing!B67="Split"),Drawing!D67,IF(AND(Drawing!$Y$48=2,Drawing!U67="Split"),Drawing!W67,"")))))))</f>
        <v/>
      </c>
      <c r="Q15" s="1272"/>
      <c r="R15" s="208" t="s">
        <v>292</v>
      </c>
      <c r="S15" s="462" t="str">
        <f>IF(AND(Pricing!$D$53="Yes",Pricing!R11&lt;&gt;""),Pricing!R11,UPPER(IF(Drawing!$F$2=2,Drawing!AW5,IF(Drawing!$Y$2=2,Drawing!AC17,IF(Drawing!$F$25=2,Drawing!J40,IF(Drawing!$Y$25=2,Drawing!AC40,IF(Drawing!$F$48=2,Drawing!J63,IF(Drawing!$Y$48=2,Drawing!AC63,IF(Pricing!R11="","",Pricing!R11)))))))))</f>
        <v>L</v>
      </c>
      <c r="T15" s="462" t="str">
        <f>IF(AND(Pricing!$D$53="Yes",Pricing!S11&lt;&gt;""),Pricing!S11,UPPER(IF(Drawing!$F$2=2,Drawing!AX5,IF(Drawing!$Y$2=2,Drawing!AD17,IF(Drawing!$F$25=2,Drawing!K40,IF(Drawing!$Y$25=2,Drawing!AD40,IF(Drawing!$F$48=2,Drawing!K63,IF(Drawing!$Y$48=2,Drawing!AD63,IF(Pricing!S11="","",Pricing!S11)))))))))</f>
        <v/>
      </c>
      <c r="U15" s="462" t="str">
        <f>IF(AND(Pricing!$D$53="Yes",Pricing!T11&lt;&gt;""),Pricing!T11,UPPER(IF(Drawing!$F$2=2,Drawing!AY5,IF(Drawing!$Y$2=2,Drawing!AE17,IF(Drawing!$F$25=2,Drawing!L40,IF(Drawing!$Y$25=2,Drawing!AE40,IF(Drawing!$F$48=2,Drawing!L63,IF(Drawing!$Y$48=2,Drawing!AE63,IF(Pricing!T11="","",Pricing!T11)))))))))</f>
        <v/>
      </c>
      <c r="V15" s="462" t="str">
        <f>IF(AND(Pricing!$D$53="Yes",Pricing!U11&lt;&gt;""),Pricing!U11,UPPER(IF(Drawing!$F$2=2,Drawing!AZ5,IF(Drawing!$Y$2=2,Drawing!AF17,IF(Drawing!$F$25=2,Drawing!M40,IF(Drawing!$Y$25=2,Drawing!AF40,IF(Drawing!$F$48=2,Drawing!M63,IF(Drawing!$Y$48=2,Drawing!AF63,IF(Pricing!U11="","",Pricing!U11)))))))))</f>
        <v/>
      </c>
      <c r="W15" s="462" t="str">
        <f>IF(AND(Pricing!$D$53="Yes",Pricing!V11&lt;&gt;""),Pricing!V11,UPPER(IF(Drawing!$F$2=2,Drawing!BA5,IF(Drawing!$Y$2=2,Drawing!AG17,IF(Drawing!$F$25=2,Drawing!N40,IF(Drawing!$Y$25=2,Drawing!AG40,IF(Drawing!$F$48=2,Drawing!N63,IF(Drawing!$Y$48=2,Drawing!AG63,IF(Pricing!V11="","",Pricing!V11)))))))))</f>
        <v/>
      </c>
      <c r="X15" s="462" t="str">
        <f>IF(AND(Pricing!$D$53="Yes",Pricing!W11&lt;&gt;""),Pricing!W11,UPPER(IF(Drawing!$F$2=2,Drawing!BB5,IF(Drawing!$Y$2=2,Drawing!AH17,IF(Drawing!$F$25=2,Drawing!O40,IF(Drawing!$Y$25=2,Drawing!AH40,IF(Drawing!$F$48=2,Drawing!O63,IF(Drawing!$Y$48=2,Drawing!AH63,IF(Pricing!W11="","",Pricing!W11)))))))))</f>
        <v/>
      </c>
      <c r="Y15" s="462" t="str">
        <f>IF(AND(Pricing!$D$53="Yes",Pricing!X11&lt;&gt;""),Pricing!X11,UPPER(IF(Drawing!$F$2=2,Drawing!BC5,IF(Drawing!$Y$2=2,Drawing!AI17,IF(Drawing!$F$25=2,Drawing!P40,IF(Drawing!$Y$25=2,Drawing!AI40,IF(Drawing!$F$48=2,Drawing!P63,IF(Drawing!$Y$48=2,Drawing!AI63,IF(Pricing!X11="","",Pricing!X11)))))))))</f>
        <v/>
      </c>
      <c r="Z15" s="462" t="str">
        <f>IF(AND(Pricing!$D$53="Yes",Pricing!Y11&lt;&gt;""),Pricing!Y11,UPPER(IF(Drawing!$F$2=2,Drawing!BD5,IF(Drawing!$Y$2=2,Drawing!AJ17,IF(Drawing!$F$25=2,Drawing!Q40,IF(Drawing!$Y$25=2,Drawing!AJ40,IF(Drawing!$F$48=2,Drawing!Q63,IF(Drawing!$Y$48=2,Drawing!AJ63,IF(Pricing!Y11="","",Pricing!Y11)))))))))</f>
        <v/>
      </c>
      <c r="AA15" s="462" t="str">
        <f>IF(AND(Pricing!$D$53="Yes",Pricing!Z11&lt;&gt;""),Pricing!Z11,UPPER(IF(Drawing!$F$2=2,Drawing!BE5,IF(Drawing!$Y$2=2,Drawing!AK17,IF(Drawing!$F$25=2,Drawing!R40,IF(Drawing!$Y$25=2,Drawing!AK40,IF(Drawing!$F$48=2,Drawing!R63,IF(Drawing!$Y$48=2,Drawing!AK63,IF(Pricing!Z11="","",Pricing!Z11)))))))))</f>
        <v/>
      </c>
      <c r="AB15" s="462" t="str">
        <f>IF(AND(Pricing!$D$53="Yes",Pricing!AA11&lt;&gt;""),Pricing!AA11,UPPER(IF(Drawing!$F$2=2,Drawing!BF5,IF(Drawing!$Y$2=2,Drawing!AL17,IF(Drawing!$F$25=2,Drawing!S40,IF(Drawing!$Y$25=2,Drawing!AL40,IF(Drawing!$F$48=2,Drawing!S63,IF(Drawing!$Y$48=2,Drawing!AL63,IF(Pricing!AA11="","",Pricing!AA11)))))))))</f>
        <v/>
      </c>
      <c r="AC15" s="462" t="str">
        <f>IF(AND(Pricing!$D$53="Yes",Pricing!AB11&lt;&gt;""),Pricing!AB11,UPPER(IF(Drawing!$F$2=2,Drawing!BG5,IF(Drawing!$Y$2=2,Drawing!AM17,IF(Drawing!$F$25=2,Drawing!T40,IF(Drawing!$Y$25=2,Drawing!AM40,IF(Drawing!$F$48=2,Drawing!T63,IF(Drawing!$Y$48=2,Drawing!AM63,IF(Pricing!AB11="","",Pricing!AB11)))))))))</f>
        <v/>
      </c>
      <c r="AD15" s="463" t="str">
        <f>IF(Pricing!AE11="Quoted","Q","")</f>
        <v/>
      </c>
      <c r="AE15" s="491" t="s">
        <v>30</v>
      </c>
      <c r="AF15" s="14">
        <f>COUNTIF(S15:AC15,"(T)")</f>
        <v>0</v>
      </c>
      <c r="AG15" s="14" t="b">
        <f>OR(COUNTIF(S15:AC15,"*(B)*"),COUNTIF(S15:AC15,"*(CB)*"))</f>
        <v>0</v>
      </c>
      <c r="AH15" s="502" t="s">
        <v>290</v>
      </c>
      <c r="AI15" s="498" t="s">
        <v>291</v>
      </c>
    </row>
    <row r="16" spans="1:36">
      <c r="B16" s="774"/>
      <c r="C16" s="464" t="str">
        <f>IF(Pricing!C12="","",Pricing!C12)</f>
        <v/>
      </c>
      <c r="D16" s="1341"/>
      <c r="E16" s="1341"/>
      <c r="F16" s="745" t="str">
        <f>IF(AND(D15="Shape",E15="Capri"),"Select Raked / Radius",IF(AND(E15="Bermuda",F15="Custom Colour"),"Not Black",IF(AND(E15="Cuba",F15="Custom Colour"),"Solid Colours Only",IF(AND(E15="Java",F15="Custom Colour"),"Solid (no Black)",IF(D15="S/Shade","Note Shade Colour",IF(Pricing!F12="","",Pricing!F12))))))</f>
        <v/>
      </c>
      <c r="G16" s="744"/>
      <c r="H16" s="742"/>
      <c r="I16" s="762"/>
      <c r="J16" s="1273"/>
      <c r="K16" s="742"/>
      <c r="L16" s="1293"/>
      <c r="M16" s="742"/>
      <c r="N16" s="742"/>
      <c r="O16" s="1232"/>
      <c r="P16" s="762"/>
      <c r="Q16" s="1273"/>
      <c r="R16" s="208" t="s">
        <v>293</v>
      </c>
      <c r="S16" s="465" t="str">
        <f>UPPER(IF(Drawing!$F$2=2,Drawing!J18,IF(Drawing!$Y$2=2,Drawing!AC18,IF(Drawing!$F$25=2,Drawing!J41,IF(Drawing!$Y$25=2,Drawing!AC41,IF(Drawing!$F$48=2,Drawing!J64,IF(Drawing!$Y$48=2,Drawing!AC64,"")))))))</f>
        <v/>
      </c>
      <c r="T16" s="465" t="str">
        <f>UPPER(IF(Drawing!$F$2=2,Drawing!K18,IF(Drawing!$Y$2=2,Drawing!AD18,IF(Drawing!$F$25=2,Drawing!K41,IF(Drawing!$Y$25=2,Drawing!AD41,IF(Drawing!$F$48=2,Drawing!K64,IF(Drawing!$Y$48=2,Drawing!AD64,"")))))))</f>
        <v/>
      </c>
      <c r="U16" s="465" t="str">
        <f>UPPER(IF(Drawing!$F$2=2,Drawing!L18,IF(Drawing!$Y$2=2,Drawing!AE18,IF(Drawing!$F$25=2,Drawing!L41,IF(Drawing!$Y$25=2,Drawing!AE41,IF(Drawing!$F$48=2,Drawing!L64,IF(Drawing!$Y$48=2,Drawing!AE64,"")))))))</f>
        <v/>
      </c>
      <c r="V16" s="465" t="str">
        <f>UPPER(IF(Drawing!$F$2=2,Drawing!M18,IF(Drawing!$Y$2=2,Drawing!AF18,IF(Drawing!$F$25=2,Drawing!M41,IF(Drawing!$Y$25=2,Drawing!AF41,IF(Drawing!$F$48=2,Drawing!M64,IF(Drawing!$Y$48=2,Drawing!AF64,"")))))))</f>
        <v/>
      </c>
      <c r="W16" s="465" t="str">
        <f>UPPER(IF(Drawing!$F$2=2,Drawing!N18,IF(Drawing!$Y$2=2,Drawing!AG18,IF(Drawing!$F$25=2,Drawing!N41,IF(Drawing!$Y$25=2,Drawing!AG41,IF(Drawing!$F$48=2,Drawing!N64,IF(Drawing!$Y$48=2,Drawing!AG64,"")))))))</f>
        <v/>
      </c>
      <c r="X16" s="465" t="str">
        <f>UPPER(IF(Drawing!$F$2=2,Drawing!O18,IF(Drawing!$Y$2=2,Drawing!AH18,IF(Drawing!$F$25=2,Drawing!O41,IF(Drawing!$Y$25=2,Drawing!AH41,IF(Drawing!$F$48=2,Drawing!O64,IF(Drawing!$Y$48=2,Drawing!AH64,"")))))))</f>
        <v/>
      </c>
      <c r="Y16" s="465" t="str">
        <f>UPPER(IF(Drawing!$F$2=2,Drawing!P18,IF(Drawing!$Y$2=2,Drawing!AI18,IF(Drawing!$F$25=2,Drawing!P41,IF(Drawing!$Y$25=2,Drawing!AI41,IF(Drawing!$F$48=2,Drawing!P64,IF(Drawing!$Y$48=2,Drawing!AI64,"")))))))</f>
        <v/>
      </c>
      <c r="Z16" s="465" t="str">
        <f>UPPER(IF(Drawing!$F$2=2,Drawing!Q18,IF(Drawing!$Y$2=2,Drawing!AJ18,IF(Drawing!$F$25=2,Drawing!Q41,IF(Drawing!$Y$25=2,Drawing!AJ41,IF(Drawing!$F$48=2,Drawing!Q64,IF(Drawing!$Y$48=2,Drawing!AJ64,"")))))))</f>
        <v/>
      </c>
      <c r="AA16" s="465" t="str">
        <f>UPPER(IF(Drawing!$F$2=2,Drawing!R18,IF(Drawing!$Y$2=2,Drawing!AK18,IF(Drawing!$F$25=2,Drawing!R41,IF(Drawing!$Y$25=2,Drawing!AK41,IF(Drawing!$F$48=2,Drawing!R64,IF(Drawing!$Y$48=2,Drawing!AK64,"")))))))</f>
        <v/>
      </c>
      <c r="AB16" s="465" t="str">
        <f>UPPER(IF(Drawing!$F$2=2,Drawing!S18,IF(Drawing!$Y$2=2,Drawing!AL18,IF(Drawing!$F$25=2,Drawing!S41,IF(Drawing!$Y$25=2,Drawing!AL41,IF(Drawing!$F$48=2,Drawing!S64,IF(Drawing!$Y$48=2,Drawing!AL64,"")))))))</f>
        <v/>
      </c>
      <c r="AC16" s="228" t="s">
        <v>28</v>
      </c>
      <c r="AD16" s="465" t="s">
        <v>294</v>
      </c>
      <c r="AE16" s="1270">
        <f>IF(ISERROR(M15*N15/1000000),,M15*N15/1000000)</f>
        <v>0</v>
      </c>
      <c r="AH16" s="1233" t="s">
        <v>47</v>
      </c>
      <c r="AI16" s="1259" t="s">
        <v>47</v>
      </c>
    </row>
    <row r="17" spans="2:35" ht="15" thickBot="1">
      <c r="B17" s="774"/>
      <c r="C17" s="466" t="str">
        <f>IF(Pricing!C13="","",Pricing!C13)</f>
        <v/>
      </c>
      <c r="D17" s="1342"/>
      <c r="E17" s="1344"/>
      <c r="F17" s="467" t="s">
        <v>31</v>
      </c>
      <c r="G17" s="467" t="str">
        <f>IF(Pricing!G13="","",Pricing!G13)</f>
        <v>Pure White</v>
      </c>
      <c r="H17" s="743"/>
      <c r="I17" s="763"/>
      <c r="J17" s="1285"/>
      <c r="K17" s="743"/>
      <c r="L17" s="1294"/>
      <c r="M17" s="743"/>
      <c r="N17" s="743"/>
      <c r="O17" s="534" t="s">
        <v>77</v>
      </c>
      <c r="P17" s="763"/>
      <c r="Q17" s="468" t="s">
        <v>77</v>
      </c>
      <c r="R17" s="468" t="s">
        <v>295</v>
      </c>
      <c r="S17" s="1277" t="str">
        <f>IF(Pricing!R13="","",Pricing!R13)</f>
        <v/>
      </c>
      <c r="T17" s="1278"/>
      <c r="U17" s="1278"/>
      <c r="V17" s="1278"/>
      <c r="W17" s="1278"/>
      <c r="X17" s="1278"/>
      <c r="Y17" s="1278"/>
      <c r="Z17" s="1278"/>
      <c r="AA17" s="1278"/>
      <c r="AB17" s="1278"/>
      <c r="AC17" s="1279"/>
      <c r="AD17" s="469"/>
      <c r="AE17" s="1271"/>
      <c r="AH17" s="1234"/>
      <c r="AI17" s="1260"/>
    </row>
    <row r="18" spans="2:35" ht="14.45" customHeight="1">
      <c r="B18" s="774">
        <v>3</v>
      </c>
      <c r="C18" s="156" t="str">
        <f>IF(Pricing!C14="","",Pricing!C14)</f>
        <v>Living room</v>
      </c>
      <c r="D18" s="1247" t="str">
        <f>IF(Pricing!D14="","",Pricing!D14)</f>
        <v>Full Height</v>
      </c>
      <c r="E18" s="1250" t="str">
        <f>IF(Pricing!E14="","",Pricing!E14)</f>
        <v>Barbados</v>
      </c>
      <c r="F18" s="1251" t="str">
        <f>IF(Pricing!F14="","",Pricing!F14)</f>
        <v>Pure White</v>
      </c>
      <c r="G18" s="1251"/>
      <c r="H18" s="1252" t="str">
        <f>IF(Pricing!H14="","",Pricing!H14)</f>
        <v>76mm</v>
      </c>
      <c r="I18" s="1254" t="str">
        <f>IF(Pricing!I14="","",Pricing!I14)</f>
        <v>Plain L</v>
      </c>
      <c r="J18" s="22">
        <v>0</v>
      </c>
      <c r="K18" s="1252"/>
      <c r="L18" s="1295" t="str">
        <f>IF(Pricing!J14="","",Pricing!J14)</f>
        <v>Silent</v>
      </c>
      <c r="M18" s="1252" t="str">
        <f>IF(AND(Pricing!D53="Yes",Pricing!M14&lt;&gt;""),Pricing!M14,UPPER(IF(Drawing!$F$2=3,Drawing!D17,IF(Drawing!$Y$2=3,Drawing!W17,IF(Drawing!$F$25=3,Drawing!D40,IF(Drawing!$Y$25=3,Drawing!W40,IF(Drawing!$F$48=3,Drawing!D63,IF(Drawing!$Y$48=3,Drawing!W63,""))))))))</f>
        <v/>
      </c>
      <c r="N18" s="1252" t="str">
        <f>IF(AND(Pricing!D53="Yes",Pricing!N14&lt;&gt;""),Pricing!N14,UPPER(IF(Drawing!$F$2=3,Drawing!D19,IF(Drawing!$Y$2=3,Drawing!W19,IF(Drawing!$F$25=3,Drawing!D42,IF(Drawing!$Y$25=3,Drawing!W42,IF(Drawing!$F$48=3,Drawing!D65,IF(Drawing!$Y$48=3,Drawing!W65,""))))))))</f>
        <v/>
      </c>
      <c r="O18" s="1283" t="str">
        <f>UPPER(IF(AND(Drawing!$F$2=3,Drawing!B21="Midrail"),Drawing!D21,IF(AND(Drawing!$Y$2=3,Drawing!U21="Midrail"),Drawing!W21,IF(AND(Drawing!$F$25=3,Drawing!B44="Midrail"),Drawing!D44,IF(AND(Drawing!$Y$25=3,Drawing!U44="Midrail"),Drawing!W44,IF(AND(Drawing!$F$48=3,Drawing!B67="Midrail"),Drawing!D67,IF(AND(Drawing!$Y$48=3,Drawing!U67="Midrail"),Drawing!W67,"")))))))</f>
        <v/>
      </c>
      <c r="P18" s="1254" t="str">
        <f>UPPER(IF(AND(Drawing!$F$2=3,Drawing!B21="Split"),Drawing!D21,IF(AND(Drawing!$Y$2=3,Drawing!U21="Split"),Drawing!W21,IF(AND(Drawing!$F$25=3,Drawing!B44="Split"),Drawing!D44,IF(AND(Drawing!$Y$25=3,Drawing!U44="Split"),Drawing!W44,IF(AND(Drawing!$F$48=3,Drawing!B67="Split"),Drawing!D67,IF(AND(Drawing!$Y$48=3,Drawing!U67="Split"),Drawing!W67,"")))))))</f>
        <v/>
      </c>
      <c r="Q18" s="1275"/>
      <c r="R18" s="213" t="s">
        <v>292</v>
      </c>
      <c r="S18" s="186" t="str">
        <f>UPPER(IF(Drawing!$F$2=3,Drawing!AW5,IF(Drawing!$Y$2=3,Drawing!AC17,IF(Drawing!$F$25=3,Drawing!J40,IF(Drawing!$Y$25=3,Drawing!AC40,IF(Drawing!$F$48=3,Drawing!J63,IF(Drawing!$Y$48=3,Drawing!AC63,IF(Pricing!R14="","",Pricing!R14))))))))</f>
        <v>L</v>
      </c>
      <c r="T18" s="186" t="str">
        <f>UPPER(IF(Drawing!$F$2=3,Drawing!AX5,IF(Drawing!$Y$2=3,Drawing!AD17,IF(Drawing!$F$25=3,Drawing!K40,IF(Drawing!$Y$25=3,Drawing!AD40,IF(Drawing!$F$48=3,Drawing!K63,IF(Drawing!$Y$48=3,Drawing!AD63,IF(Pricing!S14="","",Pricing!S14))))))))</f>
        <v>(T)</v>
      </c>
      <c r="U18" s="186" t="str">
        <f>UPPER(IF(Drawing!$F$2=3,Drawing!AY5,IF(Drawing!$Y$2=3,Drawing!AE17,IF(Drawing!$F$25=3,Drawing!L40,IF(Drawing!$Y$25=3,Drawing!AE40,IF(Drawing!$F$48=3,Drawing!L63,IF(Drawing!$Y$48=3,Drawing!AE63,IF(Pricing!T14="","",Pricing!T14))))))))</f>
        <v>L</v>
      </c>
      <c r="V18" s="186" t="str">
        <f>UPPER(IF(Drawing!$F$2=3,Drawing!AZ5,IF(Drawing!$Y$2=3,Drawing!AF17,IF(Drawing!$F$25=3,Drawing!M40,IF(Drawing!$Y$25=3,Drawing!AF40,IF(Drawing!$F$48=3,Drawing!M63,IF(Drawing!$Y$48=3,Drawing!AF63,IF(Pricing!U14="","",Pricing!U14))))))))</f>
        <v>(T)</v>
      </c>
      <c r="W18" s="186" t="str">
        <f>UPPER(IF(Drawing!$F$2=3,Drawing!BA5,IF(Drawing!$Y$2=3,Drawing!AG17,IF(Drawing!$F$25=3,Drawing!N40,IF(Drawing!$Y$25=3,Drawing!AG40,IF(Drawing!$F$48=3,Drawing!N63,IF(Drawing!$Y$48=3,Drawing!AG63,IF(Pricing!V14="","",Pricing!V14))))))))</f>
        <v>R</v>
      </c>
      <c r="X18" s="186" t="str">
        <f>UPPER(IF(Drawing!$F$2=3,Drawing!BB5,IF(Drawing!$Y$2=3,Drawing!AH17,IF(Drawing!$F$25=3,Drawing!O40,IF(Drawing!$Y$25=3,Drawing!AH40,IF(Drawing!$F$48=3,Drawing!O63,IF(Drawing!$Y$48=3,Drawing!AH63,IF(Pricing!W14="","",Pricing!W14))))))))</f>
        <v>(T)</v>
      </c>
      <c r="Y18" s="186" t="str">
        <f>UPPER(IF(Drawing!$F$2=3,Drawing!BC5,IF(Drawing!$Y$2=3,Drawing!AI17,IF(Drawing!$F$25=3,Drawing!P40,IF(Drawing!$Y$25=3,Drawing!AI40,IF(Drawing!$F$48=3,Drawing!P63,IF(Drawing!$Y$48=3,Drawing!AI63,IF(Pricing!X14="","",Pricing!X14))))))))</f>
        <v>R</v>
      </c>
      <c r="Z18" s="186" t="str">
        <f>UPPER(IF(Drawing!$F$2=3,Drawing!BD5,IF(Drawing!$Y$2=3,Drawing!AJ17,IF(Drawing!$F$25=3,Drawing!Q40,IF(Drawing!$Y$25=3,Drawing!AJ40,IF(Drawing!$F$48=3,Drawing!Q63,IF(Drawing!$Y$48=3,Drawing!AJ63,IF(Pricing!Y14="","",Pricing!Y14))))))))</f>
        <v/>
      </c>
      <c r="AA18" s="186" t="str">
        <f>UPPER(IF(Drawing!$F$2=3,Drawing!BE5,IF(Drawing!$Y$2=3,Drawing!AK17,IF(Drawing!$F$25=3,Drawing!R40,IF(Drawing!$Y$25=3,Drawing!AK40,IF(Drawing!$F$48=3,Drawing!R63,IF(Drawing!$Y$48=3,Drawing!AK63,IF(Pricing!Z14="","",Pricing!Z14))))))))</f>
        <v/>
      </c>
      <c r="AB18" s="186" t="str">
        <f>UPPER(IF(Drawing!$F$2=3,Drawing!BF5,IF(Drawing!$Y$2=3,Drawing!AL17,IF(Drawing!$F$25=3,Drawing!S40,IF(Drawing!$Y$25=3,Drawing!AL40,IF(Drawing!$F$48=3,Drawing!S63,IF(Drawing!$Y$48=3,Drawing!AL63,IF(Pricing!AA14="","",Pricing!AA14))))))))</f>
        <v/>
      </c>
      <c r="AC18" s="186" t="str">
        <f>UPPER(IF(Drawing!$F$2=3,Drawing!BG5,IF(Drawing!$Y$2=3,Drawing!AM17,IF(Drawing!$F$25=3,Drawing!T40,IF(Drawing!$Y$25=3,Drawing!AM40,IF(Drawing!$F$48=3,Drawing!T63,IF(Drawing!$Y$48=3,Drawing!AM63,IF(Pricing!AB14="","",Pricing!AB14))))))))</f>
        <v/>
      </c>
      <c r="AD18" s="215" t="str">
        <f>IF(Pricing!AE14="Quoted","Q","")</f>
        <v/>
      </c>
      <c r="AE18" s="492" t="s">
        <v>30</v>
      </c>
      <c r="AF18" s="14">
        <f>COUNTIF(S18:AC18,"(T)")</f>
        <v>3</v>
      </c>
      <c r="AG18" s="14" t="b">
        <f>OR(COUNTIF(S18:AC18,"*(B)*"),COUNTIF(S18:AC18,"*(CB)*"))</f>
        <v>0</v>
      </c>
      <c r="AH18" s="503" t="s">
        <v>290</v>
      </c>
      <c r="AI18" s="499" t="s">
        <v>291</v>
      </c>
    </row>
    <row r="19" spans="2:35">
      <c r="B19" s="774"/>
      <c r="C19" s="10" t="str">
        <f>IF(Pricing!C15="","",Pricing!C15)</f>
        <v/>
      </c>
      <c r="D19" s="1248"/>
      <c r="E19" s="1248"/>
      <c r="F19" s="683" t="str">
        <f>IF(AND(D18="Shape",E18="Capri"),"Select Raked / Radius",IF(AND(E18="Bermuda",F18="Custom Colour"),"Not Black",IF(AND(E18="Cuba",F18="Custom Colour"),"Solid Colours Only",IF(AND(E18="Java",F18="Custom Colour"),"Solid (no Black)",IF(D18="S/Shade","Note Shade Colour",IF(Pricing!F15="","",Pricing!F15))))))</f>
        <v/>
      </c>
      <c r="G19" s="682"/>
      <c r="H19" s="1252"/>
      <c r="I19" s="1255"/>
      <c r="J19" s="1276"/>
      <c r="K19" s="1252"/>
      <c r="L19" s="1280"/>
      <c r="M19" s="1252"/>
      <c r="N19" s="1252"/>
      <c r="O19" s="1374"/>
      <c r="P19" s="1255"/>
      <c r="Q19" s="1276"/>
      <c r="R19" s="213" t="s">
        <v>293</v>
      </c>
      <c r="S19" s="322" t="str">
        <f>UPPER(IF(Drawing!$F$2=3,Drawing!J18,IF(Drawing!$Y$2=3,Drawing!AC18,IF(Drawing!$F$25=3,Drawing!J41,IF(Drawing!$Y$25=3,Drawing!AC41,IF(Drawing!$F$48=3,Drawing!J64,IF(Drawing!$Y$48=3,Drawing!AC64,"")))))))</f>
        <v/>
      </c>
      <c r="T19" s="322" t="str">
        <f>UPPER(IF(Drawing!$F$2=3,Drawing!K18,IF(Drawing!$Y$2=3,Drawing!AD18,IF(Drawing!$F$25=3,Drawing!K41,IF(Drawing!$Y$25=3,Drawing!AD41,IF(Drawing!$F$48=3,Drawing!K64,IF(Drawing!$Y$48=3,Drawing!AD64,"")))))))</f>
        <v/>
      </c>
      <c r="U19" s="322" t="str">
        <f>UPPER(IF(Drawing!$F$2=3,Drawing!L18,IF(Drawing!$Y$2=3,Drawing!AE18,IF(Drawing!$F$25=3,Drawing!L41,IF(Drawing!$Y$25=3,Drawing!AE41,IF(Drawing!$F$48=3,Drawing!L64,IF(Drawing!$Y$48=3,Drawing!AE64,"")))))))</f>
        <v/>
      </c>
      <c r="V19" s="322" t="str">
        <f>UPPER(IF(Drawing!$F$2=3,Drawing!M18,IF(Drawing!$Y$2=3,Drawing!AF18,IF(Drawing!$F$25=3,Drawing!M41,IF(Drawing!$Y$25=3,Drawing!AF41,IF(Drawing!$F$48=3,Drawing!M64,IF(Drawing!$Y$48=3,Drawing!AF64,"")))))))</f>
        <v/>
      </c>
      <c r="W19" s="322" t="str">
        <f>UPPER(IF(Drawing!$F$2=3,Drawing!N18,IF(Drawing!$Y$2=3,Drawing!AG18,IF(Drawing!$F$25=3,Drawing!N41,IF(Drawing!$Y$25=3,Drawing!AG41,IF(Drawing!$F$48=3,Drawing!N64,IF(Drawing!$Y$48=3,Drawing!AG64,"")))))))</f>
        <v/>
      </c>
      <c r="X19" s="322" t="str">
        <f>UPPER(IF(Drawing!$F$2=3,Drawing!O18,IF(Drawing!$Y$2=3,Drawing!AH18,IF(Drawing!$F$25=3,Drawing!O41,IF(Drawing!$Y$25=3,Drawing!AH41,IF(Drawing!$F$48=3,Drawing!O64,IF(Drawing!$Y$48=3,Drawing!AH64,"")))))))</f>
        <v/>
      </c>
      <c r="Y19" s="322" t="str">
        <f>UPPER(IF(Drawing!$F$2=3,Drawing!P18,IF(Drawing!$Y$2=3,Drawing!AI18,IF(Drawing!$F$25=3,Drawing!P41,IF(Drawing!$Y$25=3,Drawing!AI41,IF(Drawing!$F$48=3,Drawing!P64,IF(Drawing!$Y$48=3,Drawing!AI64,"")))))))</f>
        <v/>
      </c>
      <c r="Z19" s="322" t="str">
        <f>UPPER(IF(Drawing!$F$2=3,Drawing!Q18,IF(Drawing!$Y$2=3,Drawing!AJ18,IF(Drawing!$F$25=3,Drawing!Q41,IF(Drawing!$Y$25=3,Drawing!AJ41,IF(Drawing!$F$48=3,Drawing!Q64,IF(Drawing!$Y$48=3,Drawing!AJ64,"")))))))</f>
        <v/>
      </c>
      <c r="AA19" s="322" t="str">
        <f>UPPER(IF(Drawing!$F$2=3,Drawing!R18,IF(Drawing!$Y$2=3,Drawing!AK18,IF(Drawing!$F$25=3,Drawing!R41,IF(Drawing!$Y$25=3,Drawing!AK41,IF(Drawing!$F$48=3,Drawing!R64,IF(Drawing!$Y$48=3,Drawing!AK64,"")))))))</f>
        <v/>
      </c>
      <c r="AB19" s="322" t="str">
        <f>UPPER(IF(Drawing!$F$2=3,Drawing!S18,IF(Drawing!$Y$2=3,Drawing!AL18,IF(Drawing!$F$25=3,Drawing!S41,IF(Drawing!$Y$25=3,Drawing!AL41,IF(Drawing!$F$48=3,Drawing!S64,IF(Drawing!$Y$48=3,Drawing!AL64,"")))))))</f>
        <v/>
      </c>
      <c r="AC19" s="11" t="s">
        <v>28</v>
      </c>
      <c r="AD19" s="322" t="s">
        <v>294</v>
      </c>
      <c r="AE19" s="1268">
        <f>IF(ISERROR(M18*N18/1000000),,M18*N18/1000000)</f>
        <v>0</v>
      </c>
      <c r="AH19" s="1235" t="s">
        <v>47</v>
      </c>
      <c r="AI19" s="1257" t="s">
        <v>47</v>
      </c>
    </row>
    <row r="20" spans="2:35" ht="15" thickBot="1">
      <c r="B20" s="774"/>
      <c r="C20" s="187" t="str">
        <f>IF(Pricing!C16="","",Pricing!C16)</f>
        <v/>
      </c>
      <c r="D20" s="1249"/>
      <c r="E20" s="1249"/>
      <c r="F20" s="189" t="s">
        <v>31</v>
      </c>
      <c r="G20" s="189" t="str">
        <f>IF(Pricing!G16="","",Pricing!G16)</f>
        <v>Pure White</v>
      </c>
      <c r="H20" s="1253"/>
      <c r="I20" s="1256"/>
      <c r="J20" s="1305"/>
      <c r="K20" s="1253"/>
      <c r="L20" s="1281"/>
      <c r="M20" s="1253"/>
      <c r="N20" s="1253"/>
      <c r="O20" s="535" t="s">
        <v>77</v>
      </c>
      <c r="P20" s="1256"/>
      <c r="Q20" s="24" t="s">
        <v>77</v>
      </c>
      <c r="R20" s="24" t="s">
        <v>295</v>
      </c>
      <c r="S20" s="1237" t="str">
        <f>IF(Pricing!R16="","",Pricing!R16)</f>
        <v>J6</v>
      </c>
      <c r="T20" s="1238"/>
      <c r="U20" s="1238"/>
      <c r="V20" s="1238"/>
      <c r="W20" s="1238"/>
      <c r="X20" s="1238"/>
      <c r="Y20" s="1238"/>
      <c r="Z20" s="1238"/>
      <c r="AA20" s="1238"/>
      <c r="AB20" s="1238"/>
      <c r="AC20" s="1274"/>
      <c r="AD20" s="203"/>
      <c r="AE20" s="1269"/>
      <c r="AH20" s="1235"/>
      <c r="AI20" s="1257"/>
    </row>
    <row r="21" spans="2:35" ht="14.45" customHeight="1">
      <c r="B21" s="774">
        <v>4</v>
      </c>
      <c r="C21" s="225" t="str">
        <f>IF(Pricing!C17="","",Pricing!C17)</f>
        <v>Bedroom</v>
      </c>
      <c r="D21" s="1232" t="str">
        <f>IF(Pricing!D17="","",Pricing!D17)</f>
        <v>Full Height</v>
      </c>
      <c r="E21" s="1343" t="str">
        <f>IF(Pricing!E17="","",Pricing!E17)</f>
        <v>Barbados</v>
      </c>
      <c r="F21" s="1346" t="str">
        <f>IF(Pricing!F17="","",Pricing!F17)</f>
        <v>Pure White</v>
      </c>
      <c r="G21" s="1347"/>
      <c r="H21" s="742" t="str">
        <f>IF(Pricing!H17="","",Pricing!H17)</f>
        <v>76mm</v>
      </c>
      <c r="I21" s="1231" t="str">
        <f>IF(Pricing!I17="","",Pricing!I17)</f>
        <v>Plain L</v>
      </c>
      <c r="J21" s="461">
        <v>0</v>
      </c>
      <c r="K21" s="742"/>
      <c r="L21" s="1292" t="str">
        <f>IF(Pricing!J17="","",Pricing!J17)</f>
        <v>Silent</v>
      </c>
      <c r="M21" s="742" t="str">
        <f>IF(AND(Pricing!D53="Yes",Pricing!M17&lt;&gt;""),Pricing!M17,UPPER(IF(Drawing!$F$2=4,Drawing!D17,IF(Drawing!$Y$2=4,Drawing!W17,IF(Drawing!$F$25=4,Drawing!D40,IF(Drawing!$Y$25=4,Drawing!W40,IF(Drawing!$F$48=4,Drawing!D63,IF(Drawing!$Y$48=4,Drawing!W63,""))))))))</f>
        <v/>
      </c>
      <c r="N21" s="742" t="str">
        <f>IF(AND(Pricing!D53="Yes",Pricing!N17&lt;&gt;""),Pricing!N17,UPPER(IF(Drawing!$F$2=4,Drawing!D19,IF(Drawing!$Y$2=4,Drawing!W19,IF(Drawing!$F$25=4,Drawing!D42,IF(Drawing!$Y$25=4,Drawing!W42,IF(Drawing!$F$48=4,Drawing!D65,IF(Drawing!$Y$48=4,Drawing!W65,""))))))))</f>
        <v/>
      </c>
      <c r="O21" s="762" t="str">
        <f>UPPER(IF(AND(Drawing!$F$2=4,Drawing!B21="Midrail"),Drawing!D21,IF(AND(Drawing!$Y$2=4,Drawing!U21="Midrail"),Drawing!W21,IF(AND(Drawing!$F$25=4,Drawing!B44="Midrail"),Drawing!D44,IF(AND(Drawing!$Y$25=4,Drawing!U44="Midrail"),Drawing!W44,IF(AND(Drawing!$F$48=4,Drawing!B67="Midrail"),Drawing!D67,IF(AND(Drawing!$Y$48=4,Drawing!U67="Midrail"),Drawing!W67,"")))))))</f>
        <v/>
      </c>
      <c r="P21" s="1231" t="str">
        <f>UPPER(IF(AND(Drawing!$F$2=4,Drawing!B21="Split"),Drawing!D21,IF(AND(Drawing!$Y$2=4,Drawing!U21="Split"),Drawing!W21,IF(AND(Drawing!$F$25=4,Drawing!B44="Split"),Drawing!D44,IF(AND(Drawing!$Y$25=4,Drawing!U44="Split"),Drawing!W44,IF(AND(Drawing!$F$48=4,Drawing!B67="Split"),Drawing!D67,IF(AND(Drawing!$Y$48=4,Drawing!U67="Split"),Drawing!W67,"")))))))</f>
        <v/>
      </c>
      <c r="Q21" s="1272"/>
      <c r="R21" s="208" t="s">
        <v>292</v>
      </c>
      <c r="S21" s="462" t="str">
        <f>UPPER(IF(Drawing!$F$2=4,Drawing!AW5,IF(Drawing!$Y$2=4,Drawing!AC17,IF(Drawing!$F$25=4,Drawing!J40,IF(Drawing!$Y$25=4,Drawing!AC40,IF(Drawing!$F$48=4,Drawing!J63,IF(Drawing!$Y$48=4,Drawing!AC63,IF(Pricing!R17="","",Pricing!R17))))))))</f>
        <v>L</v>
      </c>
      <c r="T21" s="462" t="str">
        <f>UPPER(IF(Drawing!$F$2=4,Drawing!AX5,IF(Drawing!$Y$2=4,Drawing!AD17,IF(Drawing!$F$25=4,Drawing!K40,IF(Drawing!$Y$25=4,Drawing!AD40,IF(Drawing!$F$48=4,Drawing!K63,IF(Drawing!$Y$48=4,Drawing!AD63,IF(Pricing!S17="","",Pricing!S17))))))))</f>
        <v>(T)</v>
      </c>
      <c r="U21" s="462" t="str">
        <f>UPPER(IF(Drawing!$F$2=4,Drawing!AY5,IF(Drawing!$Y$2=4,Drawing!AE17,IF(Drawing!$F$25=4,Drawing!L40,IF(Drawing!$Y$25=4,Drawing!AE40,IF(Drawing!$F$48=4,Drawing!L63,IF(Drawing!$Y$48=4,Drawing!AE63,IF(Pricing!T17="","",Pricing!T17))))))))</f>
        <v>R</v>
      </c>
      <c r="V21" s="462" t="str">
        <f>UPPER(IF(Drawing!$F$2=4,Drawing!AZ5,IF(Drawing!$Y$2=4,Drawing!AF17,IF(Drawing!$F$25=4,Drawing!M40,IF(Drawing!$Y$25=4,Drawing!AF40,IF(Drawing!$F$48=4,Drawing!M63,IF(Drawing!$Y$48=4,Drawing!AF63,IF(Pricing!U17="","",Pricing!U17))))))))</f>
        <v>(T)</v>
      </c>
      <c r="W21" s="462" t="str">
        <f>UPPER(IF(Drawing!$F$2=4,Drawing!BA5,IF(Drawing!$Y$2=4,Drawing!AG17,IF(Drawing!$F$25=4,Drawing!N40,IF(Drawing!$Y$25=4,Drawing!AG40,IF(Drawing!$F$48=4,Drawing!N63,IF(Drawing!$Y$48=4,Drawing!AG63,IF(Pricing!V17="","",Pricing!V17))))))))</f>
        <v>R</v>
      </c>
      <c r="X21" s="462" t="str">
        <f>UPPER(IF(Drawing!$F$2=4,Drawing!BB5,IF(Drawing!$Y$2=4,Drawing!AH17,IF(Drawing!$F$25=4,Drawing!O40,IF(Drawing!$Y$25=4,Drawing!AH40,IF(Drawing!$F$48=4,Drawing!O63,IF(Drawing!$Y$48=4,Drawing!AH63,IF(Pricing!W17="","",Pricing!W17))))))))</f>
        <v/>
      </c>
      <c r="Y21" s="462" t="str">
        <f>UPPER(IF(Drawing!$F$2=4,Drawing!BC5,IF(Drawing!$Y$2=4,Drawing!AI17,IF(Drawing!$F$25=4,Drawing!P40,IF(Drawing!$Y$25=4,Drawing!AI40,IF(Drawing!$F$48=4,Drawing!P63,IF(Drawing!$Y$48=4,Drawing!AI63,IF(Pricing!X17="","",Pricing!X17))))))))</f>
        <v/>
      </c>
      <c r="Z21" s="462" t="str">
        <f>UPPER(IF(Drawing!$F$2=4,Drawing!BD5,IF(Drawing!$Y$2=4,Drawing!AJ17,IF(Drawing!$F$25=4,Drawing!Q40,IF(Drawing!$Y$25=4,Drawing!AJ40,IF(Drawing!$F$48=4,Drawing!Q63,IF(Drawing!$Y$48=4,Drawing!AJ63,IF(Pricing!Y17="","",Pricing!Y17))))))))</f>
        <v/>
      </c>
      <c r="AA21" s="462" t="str">
        <f>UPPER(IF(Drawing!$F$2=4,Drawing!BE5,IF(Drawing!$Y$2=4,Drawing!AK17,IF(Drawing!$F$25=4,Drawing!R40,IF(Drawing!$Y$25=4,Drawing!AK40,IF(Drawing!$F$48=4,Drawing!R63,IF(Drawing!$Y$48=4,Drawing!AK63,IF(Pricing!Z17="","",Pricing!Z17))))))))</f>
        <v/>
      </c>
      <c r="AB21" s="462" t="str">
        <f>UPPER(IF(Drawing!$F$2=4,Drawing!BF5,IF(Drawing!$Y$2=4,Drawing!AL17,IF(Drawing!$F$25=4,Drawing!S40,IF(Drawing!$Y$25=4,Drawing!AL40,IF(Drawing!$F$48=4,Drawing!S63,IF(Drawing!$Y$48=4,Drawing!AL63,IF(Pricing!AA17="","",Pricing!AA17))))))))</f>
        <v/>
      </c>
      <c r="AC21" s="462" t="str">
        <f>UPPER(IF(Drawing!$F$2=4,Drawing!BG5,IF(Drawing!$Y$2=4,Drawing!AM17,IF(Drawing!$F$25=4,Drawing!T40,IF(Drawing!$Y$25=4,Drawing!AM40,IF(Drawing!$F$48=4,Drawing!T63,IF(Drawing!$Y$48=4,Drawing!AM63,IF(Pricing!AB17="","",Pricing!AB17))))))))</f>
        <v/>
      </c>
      <c r="AD21" s="463" t="str">
        <f>IF(Pricing!AE17="Quoted","Q","")</f>
        <v/>
      </c>
      <c r="AE21" s="491" t="s">
        <v>30</v>
      </c>
      <c r="AF21" s="14">
        <f>COUNTIF(S21:AC21,"(T)")</f>
        <v>2</v>
      </c>
      <c r="AG21" s="14" t="b">
        <f>OR(COUNTIF(S21:AC21,"*(B)*"),COUNTIF(S21:AC21,"*(CB)*"))</f>
        <v>0</v>
      </c>
      <c r="AH21" s="504" t="s">
        <v>290</v>
      </c>
      <c r="AI21" s="500" t="s">
        <v>291</v>
      </c>
    </row>
    <row r="22" spans="2:35">
      <c r="B22" s="774"/>
      <c r="C22" s="464" t="str">
        <f>IF(Pricing!C18="","",Pricing!C18)</f>
        <v>Front Right</v>
      </c>
      <c r="D22" s="1341"/>
      <c r="E22" s="1341"/>
      <c r="F22" s="745" t="str">
        <f>IF(AND(D21="Shape",E21="Capri"),"Select Raked / Radius",IF(AND(E21="Bermuda",F21="Custom Colour"),"Not Black",IF(AND(E21="Cuba",F21="Custom Colour"),"Solid Colours Only",IF(AND(E21="Java",F21="Custom Colour"),"Solid (no Black)",IF(D21="S/Shade","Note Shade Colour",IF(Pricing!F18="","",Pricing!F18))))))</f>
        <v/>
      </c>
      <c r="G22" s="744"/>
      <c r="H22" s="742"/>
      <c r="I22" s="762"/>
      <c r="J22" s="1273"/>
      <c r="K22" s="742"/>
      <c r="L22" s="1293"/>
      <c r="M22" s="742"/>
      <c r="N22" s="742"/>
      <c r="O22" s="762"/>
      <c r="P22" s="762"/>
      <c r="Q22" s="1273"/>
      <c r="R22" s="208" t="s">
        <v>293</v>
      </c>
      <c r="S22" s="465" t="str">
        <f>UPPER(IF(Drawing!$F$2=4,Drawing!J18,IF(Drawing!$Y$2=4,Drawing!AC18,IF(Drawing!$F$25=4,Drawing!J41,IF(Drawing!$Y$25=4,Drawing!AC41,IF(Drawing!$F$48=4,Drawing!J64,IF(Drawing!$Y$48=4,Drawing!AC64,"")))))))</f>
        <v/>
      </c>
      <c r="T22" s="465" t="str">
        <f>UPPER(IF(Drawing!$F$2=4,Drawing!K18,IF(Drawing!$Y$2=4,Drawing!AD18,IF(Drawing!$F$25=4,Drawing!K41,IF(Drawing!$Y$25=4,Drawing!AD41,IF(Drawing!$F$48=4,Drawing!K64,IF(Drawing!$Y$48=4,Drawing!AD64,"")))))))</f>
        <v/>
      </c>
      <c r="U22" s="465" t="str">
        <f>UPPER(IF(Drawing!$F$2=4,Drawing!L18,IF(Drawing!$Y$2=4,Drawing!AE18,IF(Drawing!$F$25=4,Drawing!L41,IF(Drawing!$Y$25=4,Drawing!AE41,IF(Drawing!$F$48=4,Drawing!L64,IF(Drawing!$Y$48=4,Drawing!AE64,"")))))))</f>
        <v/>
      </c>
      <c r="V22" s="465" t="str">
        <f>UPPER(IF(Drawing!$F$2=4,Drawing!M18,IF(Drawing!$Y$2=4,Drawing!AF18,IF(Drawing!$F$25=4,Drawing!M41,IF(Drawing!$Y$25=4,Drawing!AF41,IF(Drawing!$F$48=4,Drawing!M64,IF(Drawing!$Y$48=4,Drawing!AF64,"")))))))</f>
        <v/>
      </c>
      <c r="W22" s="465" t="str">
        <f>UPPER(IF(Drawing!$F$2=4,Drawing!N18,IF(Drawing!$Y$2=4,Drawing!AG18,IF(Drawing!$F$25=4,Drawing!N41,IF(Drawing!$Y$25=4,Drawing!AG41,IF(Drawing!$F$48=4,Drawing!N64,IF(Drawing!$Y$48=4,Drawing!AG64,"")))))))</f>
        <v/>
      </c>
      <c r="X22" s="465" t="str">
        <f>UPPER(IF(Drawing!$F$2=4,Drawing!O18,IF(Drawing!$Y$2=4,Drawing!AH18,IF(Drawing!$F$25=4,Drawing!O41,IF(Drawing!$Y$25=4,Drawing!AH41,IF(Drawing!$F$48=4,Drawing!O64,IF(Drawing!$Y$48=4,Drawing!AH64,"")))))))</f>
        <v/>
      </c>
      <c r="Y22" s="465" t="str">
        <f>UPPER(IF(Drawing!$F$2=4,Drawing!P18,IF(Drawing!$Y$2=4,Drawing!AI18,IF(Drawing!$F$25=4,Drawing!P41,IF(Drawing!$Y$25=4,Drawing!AI41,IF(Drawing!$F$48=4,Drawing!P64,IF(Drawing!$Y$48=4,Drawing!AI64,"")))))))</f>
        <v/>
      </c>
      <c r="Z22" s="465" t="str">
        <f>UPPER(IF(Drawing!$F$2=4,Drawing!Q18,IF(Drawing!$Y$2=4,Drawing!AJ18,IF(Drawing!$F$25=4,Drawing!Q41,IF(Drawing!$Y$25=4,Drawing!AJ41,IF(Drawing!$F$48=4,Drawing!Q64,IF(Drawing!$Y$48=4,Drawing!AJ64,"")))))))</f>
        <v/>
      </c>
      <c r="AA22" s="465" t="str">
        <f>UPPER(IF(Drawing!$F$2=4,Drawing!R18,IF(Drawing!$Y$2=4,Drawing!AK18,IF(Drawing!$F$25=4,Drawing!R41,IF(Drawing!$Y$25=4,Drawing!AK41,IF(Drawing!$F$48=4,Drawing!R64,IF(Drawing!$Y$48=4,Drawing!AK64,"")))))))</f>
        <v/>
      </c>
      <c r="AB22" s="465" t="str">
        <f>UPPER(IF(Drawing!$F$2=4,Drawing!S18,IF(Drawing!$Y$2=4,Drawing!AL18,IF(Drawing!$F$25=4,Drawing!S41,IF(Drawing!$Y$25=4,Drawing!AL41,IF(Drawing!$F$48=4,Drawing!S64,IF(Drawing!$Y$48=4,Drawing!AL64,"")))))))</f>
        <v/>
      </c>
      <c r="AC22" s="228" t="s">
        <v>28</v>
      </c>
      <c r="AD22" s="465" t="s">
        <v>294</v>
      </c>
      <c r="AE22" s="1270">
        <f>IF(ISERROR(M21*N21/1000000),,M21*N21/1000000)</f>
        <v>0</v>
      </c>
      <c r="AH22" s="1233" t="s">
        <v>47</v>
      </c>
      <c r="AI22" s="1259" t="s">
        <v>47</v>
      </c>
    </row>
    <row r="23" spans="2:35" ht="15" thickBot="1">
      <c r="B23" s="774"/>
      <c r="C23" s="470" t="str">
        <f>IF(Pricing!C19="","",Pricing!C19)</f>
        <v/>
      </c>
      <c r="D23" s="1342"/>
      <c r="E23" s="1342"/>
      <c r="F23" s="467" t="s">
        <v>31</v>
      </c>
      <c r="G23" s="467" t="str">
        <f>IF(Pricing!G19="","",Pricing!G19)</f>
        <v>Pure White</v>
      </c>
      <c r="H23" s="743"/>
      <c r="I23" s="763"/>
      <c r="J23" s="1285"/>
      <c r="K23" s="743"/>
      <c r="L23" s="1294"/>
      <c r="M23" s="743"/>
      <c r="N23" s="743"/>
      <c r="O23" s="534" t="s">
        <v>77</v>
      </c>
      <c r="P23" s="763"/>
      <c r="Q23" s="468" t="s">
        <v>77</v>
      </c>
      <c r="R23" s="468" t="s">
        <v>295</v>
      </c>
      <c r="S23" s="1277" t="str">
        <f>IF(Pricing!R19="","",Pricing!R19)</f>
        <v/>
      </c>
      <c r="T23" s="1278"/>
      <c r="U23" s="1278"/>
      <c r="V23" s="1278"/>
      <c r="W23" s="1278"/>
      <c r="X23" s="1278"/>
      <c r="Y23" s="1278"/>
      <c r="Z23" s="1278"/>
      <c r="AA23" s="1278"/>
      <c r="AB23" s="1278"/>
      <c r="AC23" s="1279"/>
      <c r="AD23" s="469"/>
      <c r="AE23" s="1271"/>
      <c r="AH23" s="1234"/>
      <c r="AI23" s="1260"/>
    </row>
    <row r="24" spans="2:35" ht="14.45" customHeight="1">
      <c r="B24" s="774">
        <v>5</v>
      </c>
      <c r="C24" s="10" t="str">
        <f>IF(Pricing!C20="","",Pricing!C20)</f>
        <v/>
      </c>
      <c r="D24" s="1247" t="str">
        <f>IF(Pricing!D20="","",Pricing!D20)</f>
        <v/>
      </c>
      <c r="E24" s="1250" t="str">
        <f>IF(Pricing!E20="","",Pricing!E20)</f>
        <v/>
      </c>
      <c r="F24" s="1251" t="str">
        <f>IF(Pricing!F20="","",Pricing!F20)</f>
        <v/>
      </c>
      <c r="G24" s="1350"/>
      <c r="H24" s="1252" t="str">
        <f>IF(Pricing!H20="","",Pricing!H20)</f>
        <v/>
      </c>
      <c r="I24" s="1254" t="str">
        <f>IF(Pricing!I20="","",Pricing!I20)</f>
        <v/>
      </c>
      <c r="J24" s="22">
        <v>0</v>
      </c>
      <c r="K24" s="1252"/>
      <c r="L24" s="1295" t="str">
        <f>IF(Pricing!J20="","",Pricing!J20)</f>
        <v/>
      </c>
      <c r="M24" s="1252" t="str">
        <f>IF(AND(Pricing!D53="Yes",Pricing!M20&lt;&gt;""),Pricing!M20,UPPER(IF(Drawing!$F$2=5,Drawing!D17,IF(Drawing!$Y$2=5,Drawing!W17,IF(Drawing!$F$25=5,Drawing!D40,IF(Drawing!$Y$25=5,Drawing!W40,IF(Drawing!$F$48=5,Drawing!D63,IF(Drawing!$Y$48=5,Drawing!W63,""))))))))</f>
        <v/>
      </c>
      <c r="N24" s="1252" t="str">
        <f>IF(AND(Pricing!D53="Yes",Pricing!N20&lt;&gt;""),Pricing!N20,UPPER(IF(Drawing!$F$2=5,Drawing!D19,IF(Drawing!$Y$2=5,Drawing!W19,IF(Drawing!$F$25=5,Drawing!D42,IF(Drawing!$Y$25=5,Drawing!W42,IF(Drawing!$F$48=5,Drawing!D65,IF(Drawing!$Y$48=5,Drawing!W65,""))))))))</f>
        <v/>
      </c>
      <c r="O24" s="1283" t="str">
        <f>UPPER(IF(AND(Drawing!$F$2=5,Drawing!B21="Midrail"),Drawing!D21,IF(AND(Drawing!$Y$2=5,Drawing!U21="Midrail"),Drawing!W21,IF(AND(Drawing!$F$25=5,Drawing!B44="Midrail"),Drawing!D44,IF(AND(Drawing!$Y$25=5,Drawing!U44="Midrail"),Drawing!W44,IF(AND(Drawing!$F$48=5,Drawing!B67="Midrail"),Drawing!D67,IF(AND(Drawing!$Y$48=5,Drawing!U67),Drawing!W67,"")))))))</f>
        <v/>
      </c>
      <c r="P24" s="1254" t="str">
        <f>UPPER(IF(AND(Drawing!$F$2=5,Drawing!B21="Split"),Drawing!D21,IF(AND(Drawing!$Y$2=5,Drawing!U21="Split"),Drawing!W21,IF(AND(Drawing!$F$25=5,Drawing!B44="Split"),Drawing!D44,IF(AND(Drawing!$Y$25=5,Drawing!U44="Split"),Drawing!W44,IF(AND(Drawing!$F$48=5,Drawing!B67="Split"),Drawing!D67,IF(AND(Drawing!$Y$48=5,Drawing!U67="Split"),Drawing!W67,"")))))))</f>
        <v/>
      </c>
      <c r="Q24" s="1275"/>
      <c r="R24" s="213" t="s">
        <v>292</v>
      </c>
      <c r="S24" s="185" t="str">
        <f>UPPER(IF(Drawing!$F$2=5,Drawing!AW5,IF(Drawing!$Y$2=5,Drawing!AC17,IF(Drawing!$F$25=5,Drawing!J40,IF(Drawing!$Y$25=5,Drawing!AC40,IF(Drawing!$F$48=5,Drawing!J63,IF(Drawing!$Y$48=5,Drawing!AC63,IF(Pricing!R20="","",Pricing!R20))))))))</f>
        <v/>
      </c>
      <c r="T24" s="185" t="str">
        <f>UPPER(IF(Drawing!$F$2=5,Drawing!AX5,IF(Drawing!$Y$2=5,Drawing!AD17,IF(Drawing!$F$25=5,Drawing!K40,IF(Drawing!$Y$25=5,Drawing!AD40,IF(Drawing!$F$48=5,Drawing!K63,IF(Drawing!$Y$48=5,Drawing!AD63,IF(Pricing!S20="","",Pricing!S20))))))))</f>
        <v/>
      </c>
      <c r="U24" s="185" t="str">
        <f>UPPER(IF(Drawing!$F$2=5,Drawing!AY5,IF(Drawing!$Y$2=5,Drawing!AE17,IF(Drawing!$F$25=5,Drawing!L40,IF(Drawing!$Y$25=5,Drawing!AE40,IF(Drawing!$F$48=5,Drawing!L63,IF(Drawing!$Y$48=5,Drawing!AE63,IF(Pricing!T20="","",Pricing!T20))))))))</f>
        <v/>
      </c>
      <c r="V24" s="185" t="str">
        <f>UPPER(IF(Drawing!$F$2=5,Drawing!AZ5,IF(Drawing!$Y$2=5,Drawing!AF17,IF(Drawing!$F$25=5,Drawing!M40,IF(Drawing!$Y$25=5,Drawing!AF40,IF(Drawing!$F$48=5,Drawing!M63,IF(Drawing!$Y$48=5,Drawing!AF63,IF(Pricing!U20="","",Pricing!U20))))))))</f>
        <v/>
      </c>
      <c r="W24" s="185" t="str">
        <f>UPPER(IF(Drawing!$F$2=5,Drawing!BA5,IF(Drawing!$Y$2=5,Drawing!AG17,IF(Drawing!$F$25=5,Drawing!N40,IF(Drawing!$Y$25=5,Drawing!AG40,IF(Drawing!$F$48=5,Drawing!N63,IF(Drawing!$Y$48=5,Drawing!AG63,IF(Pricing!V20="","",Pricing!V20))))))))</f>
        <v/>
      </c>
      <c r="X24" s="185" t="str">
        <f>UPPER(IF(Drawing!$F$2=5,Drawing!BB5,IF(Drawing!$Y$2=5,Drawing!AH17,IF(Drawing!$F$25=5,Drawing!O40,IF(Drawing!$Y$25=5,Drawing!AH40,IF(Drawing!$F$48=5,Drawing!O63,IF(Drawing!$Y$48=5,Drawing!AH63,IF(Pricing!W20="","",Pricing!W20))))))))</f>
        <v/>
      </c>
      <c r="Y24" s="185" t="str">
        <f>UPPER(IF(Drawing!$F$2=5,Drawing!BC5,IF(Drawing!$Y$2=5,Drawing!AI17,IF(Drawing!$F$25=5,Drawing!P40,IF(Drawing!$Y$25=5,Drawing!AI40,IF(Drawing!$F$48=5,Drawing!P63,IF(Drawing!$Y$48=5,Drawing!AI63,IF(Pricing!X20="","",Pricing!X20))))))))</f>
        <v/>
      </c>
      <c r="Z24" s="185" t="str">
        <f>UPPER(IF(Drawing!$F$2=5,Drawing!BD5,IF(Drawing!$Y$2=5,Drawing!AJ17,IF(Drawing!$F$25=5,Drawing!Q40,IF(Drawing!$Y$25=5,Drawing!AJ40,IF(Drawing!$F$48=5,Drawing!Q63,IF(Drawing!$Y$48=5,Drawing!AJ63,IF(Pricing!Y20="","",Pricing!Y20))))))))</f>
        <v/>
      </c>
      <c r="AA24" s="185" t="str">
        <f>UPPER(IF(Drawing!$F$2=5,Drawing!BE5,IF(Drawing!$Y$2=5,Drawing!AK17,IF(Drawing!$F$25=5,Drawing!R40,IF(Drawing!$Y$25=5,Drawing!AK40,IF(Drawing!$F$48=5,Drawing!R63,IF(Drawing!$Y$48=5,Drawing!AK63,IF(Pricing!Z20="","",Pricing!Z20))))))))</f>
        <v/>
      </c>
      <c r="AB24" s="185" t="str">
        <f>UPPER(IF(Drawing!$F$2=5,Drawing!BF5,IF(Drawing!$Y$2=5,Drawing!AL17,IF(Drawing!$F$25=5,Drawing!S40,IF(Drawing!$Y$25=5,Drawing!AL40,IF(Drawing!$F$48=5,Drawing!S63,IF(Drawing!$Y$48=5,Drawing!AL63,IF(Pricing!AA20="","",Pricing!AA20))))))))</f>
        <v/>
      </c>
      <c r="AC24" s="185" t="str">
        <f>UPPER(IF(Drawing!$F$2=5,Drawing!BG5,IF(Drawing!$Y$2=5,Drawing!AM17,IF(Drawing!$F$25=5,Drawing!T40,IF(Drawing!$Y$25=5,Drawing!AM40,IF(Drawing!$F$48=5,Drawing!T63,IF(Drawing!$Y$48=5,Drawing!AM63,IF(Pricing!AB20="","",Pricing!AB20))))))))</f>
        <v/>
      </c>
      <c r="AD24" s="215" t="str">
        <f>IF(Pricing!AE20="Quoted","Q","")</f>
        <v/>
      </c>
      <c r="AE24" s="492" t="s">
        <v>30</v>
      </c>
      <c r="AF24" s="14">
        <f>COUNTIF(S24:AC24,"(T)")</f>
        <v>0</v>
      </c>
      <c r="AG24" s="14" t="b">
        <f>OR(COUNTIF(S24:AC24,"*(B)*"),COUNTIF(S24:AC24,"*(CB)*"))</f>
        <v>0</v>
      </c>
      <c r="AH24" s="503" t="s">
        <v>290</v>
      </c>
      <c r="AI24" s="499" t="s">
        <v>291</v>
      </c>
    </row>
    <row r="25" spans="2:35">
      <c r="B25" s="774"/>
      <c r="C25" s="10" t="str">
        <f>IF(Pricing!C21="","",Pricing!C21)</f>
        <v/>
      </c>
      <c r="D25" s="1248"/>
      <c r="E25" s="1248"/>
      <c r="F25" s="683" t="str">
        <f>IF(AND(D24="Shape",E24="Capri"),"Select Raked / Radius",IF(AND(E24="Bermuda",F24="Custom Colour"),"Not Black",IF(AND(E24="Cuba",F24="Custom Colour"),"Solid Colours Only",IF(AND(E24="Java",F24="Custom Colour"),"Solid (no Black)",IF(D24="S/Shade","Note Shade Colour",IF(Pricing!F21="","",Pricing!F21))))))</f>
        <v/>
      </c>
      <c r="G25" s="682"/>
      <c r="H25" s="1252"/>
      <c r="I25" s="1255"/>
      <c r="J25" s="1276"/>
      <c r="K25" s="1252"/>
      <c r="L25" s="1280"/>
      <c r="M25" s="1252"/>
      <c r="N25" s="1252"/>
      <c r="O25" s="1283"/>
      <c r="P25" s="1255"/>
      <c r="Q25" s="1276"/>
      <c r="R25" s="213" t="s">
        <v>293</v>
      </c>
      <c r="S25" s="322" t="str">
        <f>UPPER(IF(Drawing!$F$2=5,Drawing!J18,IF(Drawing!$Y$2=5,Drawing!AC18,IF(Drawing!$F$25=5,Drawing!J40,IF(Drawing!$Y$25=5,Drawing!AC41,IF(Drawing!$F$48=5,Drawing!J63,IF(Drawing!$Y$48=5,Drawing!AC63,"")))))))</f>
        <v/>
      </c>
      <c r="T25" s="322" t="str">
        <f>UPPER(IF(Drawing!$F$2=5,Drawing!K18,IF(Drawing!$Y$2=5,Drawing!AD18,IF(Drawing!$F$25=5,Drawing!K40,IF(Drawing!$Y$25=5,Drawing!AD41,IF(Drawing!$F$48=5,Drawing!K63,IF(Drawing!$Y$48=5,Drawing!AD63,"")))))))</f>
        <v/>
      </c>
      <c r="U25" s="322" t="str">
        <f>UPPER(IF(Drawing!$F$2=5,Drawing!L18,IF(Drawing!$Y$2=5,Drawing!AE18,IF(Drawing!$F$25=5,Drawing!L40,IF(Drawing!$Y$25=5,Drawing!AE41,IF(Drawing!$F$48=5,Drawing!L63,IF(Drawing!$Y$48=5,Drawing!AE63,"")))))))</f>
        <v/>
      </c>
      <c r="V25" s="322" t="str">
        <f>UPPER(IF(Drawing!$F$2=5,Drawing!M18,IF(Drawing!$Y$2=5,Drawing!AF18,IF(Drawing!$F$25=5,Drawing!M40,IF(Drawing!$Y$25=5,Drawing!AF41,IF(Drawing!$F$48=5,Drawing!M63,IF(Drawing!$Y$48=5,Drawing!AF63,"")))))))</f>
        <v/>
      </c>
      <c r="W25" s="322" t="str">
        <f>UPPER(IF(Drawing!$F$2=5,Drawing!N18,IF(Drawing!$Y$2=5,Drawing!AG18,IF(Drawing!$F$25=5,Drawing!N40,IF(Drawing!$Y$25=5,Drawing!AG41,IF(Drawing!$F$48=5,Drawing!N63,IF(Drawing!$Y$48=5,Drawing!AG63,"")))))))</f>
        <v/>
      </c>
      <c r="X25" s="322" t="str">
        <f>UPPER(IF(Drawing!$F$2=5,Drawing!O18,IF(Drawing!$Y$2=5,Drawing!AH18,IF(Drawing!$F$25=5,Drawing!O40,IF(Drawing!$Y$25=5,Drawing!AH41,IF(Drawing!$F$48=5,Drawing!O63,IF(Drawing!$Y$48=5,Drawing!AH63,"")))))))</f>
        <v/>
      </c>
      <c r="Y25" s="322" t="str">
        <f>UPPER(IF(Drawing!$F$2=5,Drawing!P18,IF(Drawing!$Y$2=5,Drawing!AI18,IF(Drawing!$F$25=5,Drawing!P40,IF(Drawing!$Y$25=5,Drawing!AI41,IF(Drawing!$F$48=5,Drawing!P63,IF(Drawing!$Y$48=5,Drawing!AI63,"")))))))</f>
        <v/>
      </c>
      <c r="Z25" s="322" t="str">
        <f>UPPER(IF(Drawing!$F$2=5,Drawing!Q18,IF(Drawing!$Y$2=5,Drawing!AJ18,IF(Drawing!$F$25=5,Drawing!Q40,IF(Drawing!$Y$25=5,Drawing!AJ41,IF(Drawing!$F$48=5,Drawing!Q63,IF(Drawing!$Y$48=5,Drawing!AJ63,"")))))))</f>
        <v/>
      </c>
      <c r="AA25" s="322" t="str">
        <f>UPPER(IF(Drawing!$F$2=5,Drawing!R18,IF(Drawing!$Y$2=5,Drawing!AK18,IF(Drawing!$F$25=5,Drawing!R40,IF(Drawing!$Y$25=5,Drawing!AK41,IF(Drawing!$F$48=5,Drawing!R63,IF(Drawing!$Y$48=5,Drawing!AK63,"")))))))</f>
        <v/>
      </c>
      <c r="AB25" s="322" t="str">
        <f>UPPER(IF(Drawing!$F$2=5,Drawing!S18,IF(Drawing!$Y$2=5,Drawing!AL18,IF(Drawing!$F$25=5,Drawing!S40,IF(Drawing!$Y$25=5,Drawing!AL41,IF(Drawing!$F$48=5,Drawing!S63,IF(Drawing!$Y$48=5,Drawing!AL63,"")))))))</f>
        <v/>
      </c>
      <c r="AC25" s="11" t="s">
        <v>28</v>
      </c>
      <c r="AD25" s="322" t="s">
        <v>294</v>
      </c>
      <c r="AE25" s="1268">
        <f>IF(ISERROR(M24*N24/1000000),,M24*N24/1000000)</f>
        <v>0</v>
      </c>
      <c r="AH25" s="1235" t="s">
        <v>47</v>
      </c>
      <c r="AI25" s="1257" t="s">
        <v>47</v>
      </c>
    </row>
    <row r="26" spans="2:35" ht="15" thickBot="1">
      <c r="B26" s="774"/>
      <c r="C26" s="188" t="str">
        <f>IF(Pricing!C22="","",Pricing!C22)</f>
        <v/>
      </c>
      <c r="D26" s="1249"/>
      <c r="E26" s="1249"/>
      <c r="F26" s="12" t="s">
        <v>31</v>
      </c>
      <c r="G26" s="12" t="str">
        <f>IF(Pricing!G22="","",Pricing!G22)</f>
        <v/>
      </c>
      <c r="H26" s="1253"/>
      <c r="I26" s="1256"/>
      <c r="J26" s="1305"/>
      <c r="K26" s="1253"/>
      <c r="L26" s="1281"/>
      <c r="M26" s="1253"/>
      <c r="N26" s="1253"/>
      <c r="O26" s="535" t="s">
        <v>77</v>
      </c>
      <c r="P26" s="1256"/>
      <c r="Q26" s="24" t="s">
        <v>77</v>
      </c>
      <c r="R26" s="24" t="s">
        <v>295</v>
      </c>
      <c r="S26" s="1237" t="str">
        <f>IF(Pricing!R22="","",Pricing!R22)</f>
        <v/>
      </c>
      <c r="T26" s="1238"/>
      <c r="U26" s="1238"/>
      <c r="V26" s="1238"/>
      <c r="W26" s="1238"/>
      <c r="X26" s="1238"/>
      <c r="Y26" s="1238"/>
      <c r="Z26" s="1238"/>
      <c r="AA26" s="1238"/>
      <c r="AB26" s="1238"/>
      <c r="AC26" s="1274"/>
      <c r="AD26" s="203"/>
      <c r="AE26" s="1269"/>
      <c r="AH26" s="1236"/>
      <c r="AI26" s="1258"/>
    </row>
    <row r="27" spans="2:35" ht="14.45" customHeight="1">
      <c r="B27" s="774">
        <v>6</v>
      </c>
      <c r="C27" s="225" t="str">
        <f>IF(Pricing!C23="","",Pricing!C23)</f>
        <v/>
      </c>
      <c r="D27" s="1232" t="str">
        <f>IF(Pricing!D23="","",Pricing!D23)</f>
        <v/>
      </c>
      <c r="E27" s="1232" t="str">
        <f>IF(Pricing!E23="","",Pricing!E23)</f>
        <v/>
      </c>
      <c r="F27" s="1348" t="str">
        <f>IF(Pricing!F23="","",Pricing!F23)</f>
        <v/>
      </c>
      <c r="G27" s="1349"/>
      <c r="H27" s="742" t="str">
        <f>IF(Pricing!H23="","",Pricing!H23)</f>
        <v/>
      </c>
      <c r="I27" s="1231" t="str">
        <f>IF(Pricing!I23="","",Pricing!I23)</f>
        <v/>
      </c>
      <c r="J27" s="461">
        <v>0</v>
      </c>
      <c r="K27" s="742"/>
      <c r="L27" s="1292" t="str">
        <f>IF(Pricing!J23="","",Pricing!J23)</f>
        <v/>
      </c>
      <c r="M27" s="742" t="str">
        <f>IF(AND(Pricing!D53="Yes",Pricing!M23&lt;&gt;""),Pricing!M23,UPPER(IF(Drawing!$F$2=6,Drawing!D17,IF(Drawing!$Y$2=6,Drawing!W17,IF(Drawing!$F$25=6,Drawing!D40,IF(Drawing!$Y$25=6,Drawing!W40,IF(Drawing!$F$48=6,Drawing!D63,IF(Drawing!$Y$48=6,Drawing!W63,""))))))))</f>
        <v/>
      </c>
      <c r="N27" s="742" t="str">
        <f>IF(AND(Pricing!D53="Yes",Pricing!N23&lt;&gt;""),Pricing!N23,UPPER(IF(Drawing!$F$2=6,Drawing!D19,IF(Drawing!$Y$2=6,Drawing!W19,IF(Drawing!$F$25=6,Drawing!D42,IF(Drawing!$Y$25=6,Drawing!W42,IF(Drawing!$F$48=6,Drawing!D65,IF(Drawing!$Y$48=6,Drawing!W65,""))))))))</f>
        <v/>
      </c>
      <c r="O27" s="762" t="str">
        <f>UPPER(IF(AND(Drawing!$F$2=6,Drawing!B21="Midrail"),Drawing!D21,IF(AND(Drawing!$Y$2=6,Drawing!U21="Midrail"),Drawing!W21,IF(AND(Drawing!$F$25=6,Drawing!B44="Midrail"),Drawing!D44,IF(AND(Drawing!$Y$25=6,Drawing!U44="Midrail"),Drawing!W44,IF(AND(Drawing!$F$48=6,Drawing!B67="Midrail"),Drawing!D67,IF(AND(Drawing!$Y$48=6,Drawing!U67="Midrail"),Drawing!W67,"")))))))</f>
        <v/>
      </c>
      <c r="P27" s="1231" t="str">
        <f>UPPER(IF(AND(Drawing!$F$2=6,Drawing!B21="Split"),Drawing!D21,IF(AND(Drawing!$Y$2=6,Drawing!U21="Split"),Drawing!W21,IF(AND(Drawing!$F$25=6,Drawing!B44="Split"),Drawing!D44,IF(AND(Drawing!$Y$25=6,Drawing!U44="Split"),Drawing!W44,IF(AND(Drawing!$F$48=6,Drawing!B67="Split"),Drawing!D67,IF(AND(Drawing!$Y$48=6,Drawing!U67="Split"),Drawing!W67,"")))))))</f>
        <v/>
      </c>
      <c r="Q27" s="1272"/>
      <c r="R27" s="208" t="s">
        <v>292</v>
      </c>
      <c r="S27" s="462" t="str">
        <f>UPPER(IF(Drawing!$F$2=6,Drawing!AW5,IF(Drawing!$Y$2=6,Drawing!AC17,IF(Drawing!$F$25=6,Drawing!J40,IF(Drawing!$Y$25=6,Drawing!AC40,IF(Drawing!$F$48=6,Drawing!J63,IF(Drawing!$Y$48=6,Drawing!AC63,IF(Pricing!R23="","",Pricing!R23))))))))</f>
        <v/>
      </c>
      <c r="T27" s="462" t="str">
        <f>UPPER(IF(Drawing!$F$2=6,Drawing!AX5,IF(Drawing!$Y$2=6,Drawing!AD17,IF(Drawing!$F$25=6,Drawing!K40,IF(Drawing!$Y$25=6,Drawing!AD40,IF(Drawing!$F$48=6,Drawing!K63,IF(Drawing!$Y$48=6,Drawing!AD63,IF(Pricing!S23="","",Pricing!S23))))))))</f>
        <v/>
      </c>
      <c r="U27" s="462" t="str">
        <f>UPPER(IF(Drawing!$F$2=6,Drawing!AY5,IF(Drawing!$Y$2=6,Drawing!AE17,IF(Drawing!$F$25=6,Drawing!L40,IF(Drawing!$Y$25=6,Drawing!AE40,IF(Drawing!$F$48=6,Drawing!L63,IF(Drawing!$Y$48=6,Drawing!AE63,IF(Pricing!T23="","",Pricing!T23))))))))</f>
        <v/>
      </c>
      <c r="V27" s="462" t="str">
        <f>UPPER(IF(Drawing!$F$2=6,Drawing!AZ5,IF(Drawing!$Y$2=6,Drawing!AF17,IF(Drawing!$F$25=6,Drawing!M40,IF(Drawing!$Y$25=6,Drawing!AF40,IF(Drawing!$F$48=6,Drawing!M63,IF(Drawing!$Y$48=6,Drawing!AF63,IF(Pricing!U23="","",Pricing!U23))))))))</f>
        <v/>
      </c>
      <c r="W27" s="462" t="str">
        <f>UPPER(IF(Drawing!$F$2=6,Drawing!BA5,IF(Drawing!$Y$2=6,Drawing!AG17,IF(Drawing!$F$25=6,Drawing!N40,IF(Drawing!$Y$25=6,Drawing!AG40,IF(Drawing!$F$48=6,Drawing!N63,IF(Drawing!$Y$48=6,Drawing!AG63,IF(Pricing!V23="","",Pricing!V23))))))))</f>
        <v/>
      </c>
      <c r="X27" s="462" t="str">
        <f>UPPER(IF(Drawing!$F$2=6,Drawing!BB5,IF(Drawing!$Y$2=6,Drawing!AH17,IF(Drawing!$F$25=6,Drawing!O40,IF(Drawing!$Y$25=6,Drawing!AH40,IF(Drawing!$F$48=6,Drawing!O63,IF(Drawing!$Y$48=6,Drawing!AH63,IF(Pricing!W23="","",Pricing!W23))))))))</f>
        <v/>
      </c>
      <c r="Y27" s="462" t="str">
        <f>UPPER(IF(Drawing!$F$2=6,Drawing!BC5,IF(Drawing!$Y$2=6,Drawing!AI17,IF(Drawing!$F$25=6,Drawing!P40,IF(Drawing!$Y$25=6,Drawing!AI40,IF(Drawing!$F$48=6,Drawing!P63,IF(Drawing!$Y$48=6,Drawing!AI63,IF(Pricing!X23="","",Pricing!X23))))))))</f>
        <v/>
      </c>
      <c r="Z27" s="462" t="str">
        <f>UPPER(IF(Drawing!$F$2=6,Drawing!BD5,IF(Drawing!$Y$2=6,Drawing!AJ17,IF(Drawing!$F$25=6,Drawing!Q40,IF(Drawing!$Y$25=6,Drawing!AJ40,IF(Drawing!$F$48=6,Drawing!Q63,IF(Drawing!$Y$48=6,Drawing!AJ63,IF(Pricing!Y23="","",Pricing!Y23))))))))</f>
        <v/>
      </c>
      <c r="AA27" s="462" t="str">
        <f>UPPER(IF(Drawing!$F$2=6,Drawing!BE5,IF(Drawing!$Y$2=6,Drawing!AK17,IF(Drawing!$F$25=6,Drawing!R40,IF(Drawing!$Y$25=6,Drawing!AK40,IF(Drawing!$F$48=6,Drawing!R63,IF(Drawing!$Y$48=6,Drawing!AK63,IF(Pricing!Z23="","",Pricing!Z23))))))))</f>
        <v/>
      </c>
      <c r="AB27" s="462" t="str">
        <f>UPPER(IF(Drawing!$F$2=6,Drawing!BF5,IF(Drawing!$Y$2=6,Drawing!AL17,IF(Drawing!$F$25=6,Drawing!S40,IF(Drawing!$Y$25=6,Drawing!AL40,IF(Drawing!$F$48=6,Drawing!S63,IF(Drawing!$Y$48=6,Drawing!AL63,IF(Pricing!AA23="","",Pricing!AA23))))))))</f>
        <v/>
      </c>
      <c r="AC27" s="462" t="str">
        <f>UPPER(IF(Drawing!$F$2=6,Drawing!BG5,IF(Drawing!$Y$2=6,Drawing!AM17,IF(Drawing!$F$25=6,Drawing!T40,IF(Drawing!$Y$25=6,Drawing!AM40,IF(Drawing!$F$48=6,Drawing!T63,IF(Drawing!$Y$48=6,Drawing!AM63,IF(Pricing!AB23="","",Pricing!AB23))))))))</f>
        <v/>
      </c>
      <c r="AD27" s="463" t="str">
        <f>IF(Pricing!AE23="Quoted","Q","")</f>
        <v/>
      </c>
      <c r="AE27" s="491" t="s">
        <v>30</v>
      </c>
      <c r="AF27" s="14">
        <f>COUNTIF(S27:AC27,"(T)")</f>
        <v>0</v>
      </c>
      <c r="AG27" s="14" t="b">
        <f>OR(COUNTIF(S27:AC27,"*(B)*"),COUNTIF(S27:AC27,"*(CB)*"))</f>
        <v>0</v>
      </c>
      <c r="AH27" s="502" t="s">
        <v>290</v>
      </c>
      <c r="AI27" s="498" t="s">
        <v>291</v>
      </c>
    </row>
    <row r="28" spans="2:35">
      <c r="B28" s="774"/>
      <c r="C28" s="464" t="str">
        <f>IF(Pricing!C24="","",Pricing!C24)</f>
        <v/>
      </c>
      <c r="D28" s="1341"/>
      <c r="E28" s="1341"/>
      <c r="F28" s="745" t="str">
        <f>IF(AND(D27="Shape",E27="Capri"),"Select Raked / Radius",IF(AND(E27="Bermuda",F27="Custom Colour"),"Not Black",IF(AND(E27="Cuba",F27="Custom Colour"),"Solid Colours Only",IF(AND(E27="Java",F27="Custom Colour"),"Solid (no Black)",IF(D27="S/Shade","Note Shade Colour",IF(Pricing!F24="","",Pricing!F24))))))</f>
        <v/>
      </c>
      <c r="G28" s="744"/>
      <c r="H28" s="742"/>
      <c r="I28" s="762"/>
      <c r="J28" s="1273"/>
      <c r="K28" s="742"/>
      <c r="L28" s="1293"/>
      <c r="M28" s="742"/>
      <c r="N28" s="742"/>
      <c r="O28" s="762"/>
      <c r="P28" s="762"/>
      <c r="Q28" s="1273"/>
      <c r="R28" s="208" t="s">
        <v>293</v>
      </c>
      <c r="S28" s="465" t="str">
        <f>UPPER(IF(Drawing!$F$2=6,Drawing!J18,IF(Drawing!$Y$2=6,Drawing!AC18,IF(Drawing!$F$25=6,Drawing!J40,IF(Drawing!$Y$25=6,Drawing!AC41,IF(Drawing!$F$48=6,Drawing!J63,IF(Drawing!$Y$48=6,Drawing!AC63,"")))))))</f>
        <v/>
      </c>
      <c r="T28" s="465" t="str">
        <f>UPPER(IF(Drawing!$F$2=6,Drawing!K18,IF(Drawing!$Y$2=6,Drawing!AD18,IF(Drawing!$F$25=6,Drawing!K40,IF(Drawing!$Y$25=6,Drawing!AD41,IF(Drawing!$F$48=6,Drawing!K63,IF(Drawing!$Y$48=6,Drawing!AD63,"")))))))</f>
        <v/>
      </c>
      <c r="U28" s="465" t="str">
        <f>UPPER(IF(Drawing!$F$2=6,Drawing!L18,IF(Drawing!$Y$2=6,Drawing!AE18,IF(Drawing!$F$25=6,Drawing!L40,IF(Drawing!$Y$25=6,Drawing!AE41,IF(Drawing!$F$48=6,Drawing!L63,IF(Drawing!$Y$48=6,Drawing!AE63,"")))))))</f>
        <v/>
      </c>
      <c r="V28" s="465" t="str">
        <f>UPPER(IF(Drawing!$F$2=6,Drawing!M18,IF(Drawing!$Y$2=6,Drawing!AF18,IF(Drawing!$F$25=6,Drawing!M40,IF(Drawing!$Y$25=6,Drawing!AF41,IF(Drawing!$F$48=6,Drawing!M63,IF(Drawing!$Y$48=6,Drawing!AF63,"")))))))</f>
        <v/>
      </c>
      <c r="W28" s="465" t="str">
        <f>UPPER(IF(Drawing!$F$2=6,Drawing!N18,IF(Drawing!$Y$2=6,Drawing!AG18,IF(Drawing!$F$25=6,Drawing!N40,IF(Drawing!$Y$25=6,Drawing!AG41,IF(Drawing!$F$48=6,Drawing!N63,IF(Drawing!$Y$48=6,Drawing!AG63,"")))))))</f>
        <v/>
      </c>
      <c r="X28" s="465" t="str">
        <f>UPPER(IF(Drawing!$F$2=6,Drawing!O18,IF(Drawing!$Y$2=6,Drawing!AH18,IF(Drawing!$F$25=6,Drawing!O40,IF(Drawing!$Y$25=6,Drawing!AH41,IF(Drawing!$F$48=6,Drawing!O63,IF(Drawing!$Y$48=6,Drawing!AH63,"")))))))</f>
        <v/>
      </c>
      <c r="Y28" s="465" t="str">
        <f>UPPER(IF(Drawing!$F$2=6,Drawing!P18,IF(Drawing!$Y$2=6,Drawing!AI18,IF(Drawing!$F$25=6,Drawing!P40,IF(Drawing!$Y$25=6,Drawing!AI41,IF(Drawing!$F$48=6,Drawing!P63,IF(Drawing!$Y$48=6,Drawing!AI63,"")))))))</f>
        <v/>
      </c>
      <c r="Z28" s="465" t="str">
        <f>UPPER(IF(Drawing!$F$2=6,Drawing!Q18,IF(Drawing!$Y$2=6,Drawing!AJ18,IF(Drawing!$F$25=6,Drawing!Q40,IF(Drawing!$Y$25=6,Drawing!AJ41,IF(Drawing!$F$48=6,Drawing!Q63,IF(Drawing!$Y$48=6,Drawing!AJ63,"")))))))</f>
        <v/>
      </c>
      <c r="AA28" s="465" t="str">
        <f>UPPER(IF(Drawing!$F$2=6,Drawing!R18,IF(Drawing!$Y$2=6,Drawing!AK18,IF(Drawing!$F$25=6,Drawing!R40,IF(Drawing!$Y$25=6,Drawing!AK41,IF(Drawing!$F$48=6,Drawing!R63,IF(Drawing!$Y$48=6,Drawing!AK63,"")))))))</f>
        <v/>
      </c>
      <c r="AB28" s="465" t="str">
        <f>UPPER(IF(Drawing!$F$2=6,Drawing!S18,IF(Drawing!$Y$2=6,Drawing!AL18,IF(Drawing!$F$25=6,Drawing!S40,IF(Drawing!$Y$25=6,Drawing!AL41,IF(Drawing!$F$48=6,Drawing!S63,IF(Drawing!$Y$48=6,Drawing!AL63,"")))))))</f>
        <v/>
      </c>
      <c r="AC28" s="228" t="s">
        <v>28</v>
      </c>
      <c r="AD28" s="465" t="s">
        <v>294</v>
      </c>
      <c r="AE28" s="1270">
        <f>IF(ISERROR(M27*N27/1000000),,M27*N27/1000000)</f>
        <v>0</v>
      </c>
      <c r="AH28" s="1233" t="s">
        <v>47</v>
      </c>
      <c r="AI28" s="1259" t="s">
        <v>47</v>
      </c>
    </row>
    <row r="29" spans="2:35" ht="15" thickBot="1">
      <c r="B29" s="774"/>
      <c r="C29" s="464" t="str">
        <f>IF(Pricing!C25="","",Pricing!C25)</f>
        <v/>
      </c>
      <c r="D29" s="1344"/>
      <c r="E29" s="1344"/>
      <c r="F29" s="467" t="s">
        <v>31</v>
      </c>
      <c r="G29" s="467" t="str">
        <f>IF(Pricing!G25="","",Pricing!G25)</f>
        <v/>
      </c>
      <c r="H29" s="743"/>
      <c r="I29" s="763"/>
      <c r="J29" s="1285"/>
      <c r="K29" s="743"/>
      <c r="L29" s="1294"/>
      <c r="M29" s="743"/>
      <c r="N29" s="743"/>
      <c r="O29" s="534" t="s">
        <v>77</v>
      </c>
      <c r="P29" s="763"/>
      <c r="Q29" s="468" t="s">
        <v>77</v>
      </c>
      <c r="R29" s="468" t="s">
        <v>295</v>
      </c>
      <c r="S29" s="1277" t="str">
        <f>IF(Pricing!R25="","",Pricing!R25)</f>
        <v/>
      </c>
      <c r="T29" s="1278"/>
      <c r="U29" s="1278"/>
      <c r="V29" s="1278"/>
      <c r="W29" s="1278"/>
      <c r="X29" s="1278"/>
      <c r="Y29" s="1278"/>
      <c r="Z29" s="1278"/>
      <c r="AA29" s="1278"/>
      <c r="AB29" s="1278"/>
      <c r="AC29" s="1279"/>
      <c r="AD29" s="469"/>
      <c r="AE29" s="1271"/>
      <c r="AH29" s="1234"/>
      <c r="AI29" s="1260"/>
    </row>
    <row r="30" spans="2:35" ht="14.45" customHeight="1">
      <c r="B30" s="774">
        <v>7</v>
      </c>
      <c r="C30" s="156" t="str">
        <f>IF(Pricing!C26="","",Pricing!C26)</f>
        <v/>
      </c>
      <c r="D30" s="1250" t="str">
        <f>IF(Pricing!D26="","",Pricing!D26)</f>
        <v/>
      </c>
      <c r="E30" s="1250" t="str">
        <f>IF(Pricing!E26="","",Pricing!E26)</f>
        <v/>
      </c>
      <c r="F30" s="1251" t="str">
        <f>IF(Pricing!F26="","",Pricing!F26)</f>
        <v/>
      </c>
      <c r="G30" s="1350"/>
      <c r="H30" s="1252" t="str">
        <f>IF(Pricing!H26="","",Pricing!H26)</f>
        <v/>
      </c>
      <c r="I30" s="1254" t="str">
        <f>IF(Pricing!I26="","",Pricing!I26)</f>
        <v/>
      </c>
      <c r="J30" s="22">
        <v>0</v>
      </c>
      <c r="K30" s="1252"/>
      <c r="L30" s="1295" t="str">
        <f>IF(Pricing!J26="","",Pricing!J26)</f>
        <v/>
      </c>
      <c r="M30" s="1252" t="str">
        <f>IF(AND(Pricing!D53="Yes",Pricing!M26&lt;&gt;""),Pricing!M26,UPPER(IF(Drawing!$F$2=7,Drawing!D17,IF(Drawing!$Y$2=7,Drawing!W17,IF(Drawing!$F$25=7,Drawing!D40,IF(Drawing!$Y$25=7,Drawing!W40,IF(Drawing!$F$48=7,Drawing!D63,IF(Drawing!$Y$48=7,Drawing!W63,""))))))))</f>
        <v/>
      </c>
      <c r="N30" s="1252" t="str">
        <f>IF(AND(Pricing!D53="Yes",Pricing!N26&lt;&gt;""),Pricing!N26,UPPER(IF(Drawing!$F$2=7,Drawing!D19,IF(Drawing!$Y$2=7,Drawing!W19,IF(Drawing!$F$25=7,Drawing!D42,IF(Drawing!$Y$25=7,Drawing!W42,IF(Drawing!$F$48=7,Drawing!D65,IF(Drawing!$Y$48=7,Drawing!W65,""))))))))</f>
        <v/>
      </c>
      <c r="O30" s="1283" t="str">
        <f>UPPER(IF(AND(Drawing!$F$2=7,Drawing!B21="Midrail"),Drawing!D21,IF(AND(Drawing!$Y$2=7,Drawing!U21="Midrail"),Drawing!W21,IF(AND(Drawing!$F$25=7,Drawing!B44="Midrail"),Drawing!D44,IF(AND(Drawing!$Y$25=7,Drawing!U44="Midrail"),Drawing!W44,IF(AND(Drawing!$F$48=7,Drawing!B67="Midrail"),Drawing!D67,IF(AND(Drawing!$Y$48=7,Drawing!U67="Midrail"),Drawing!W67,"")))))))</f>
        <v/>
      </c>
      <c r="P30" s="1254" t="str">
        <f>UPPER(IF(AND(Drawing!$F$2=7,Drawing!B21="Split"),Drawing!D21,IF(AND(Drawing!$Y$2=7,Drawing!U21="Split"),Drawing!W21,IF(AND(Drawing!$F$25=7,Drawing!B44="Split"),Drawing!D44,IF(AND(Drawing!$Y$25=7,Drawing!U44="Split"),Drawing!W44,IF(AND(Drawing!$F$48=7,Drawing!B67="Split"),Drawing!D67,IF(AND(Drawing!$Y$48=7,Drawing!U67="Split"),Drawing!W67,"")))))))</f>
        <v/>
      </c>
      <c r="Q30" s="1275"/>
      <c r="R30" s="213" t="s">
        <v>292</v>
      </c>
      <c r="S30" s="185" t="str">
        <f>UPPER(IF(Drawing!$F$2=7,Drawing!AW5,IF(Drawing!$Y$2=7,Drawing!AC17,IF(Drawing!$F$25=7,Drawing!J40,IF(Drawing!$Y$25=7,Drawing!AC40,IF(Drawing!$F$48=7,Drawing!J63,IF(Drawing!$Y$48=7,Drawing!AC63,IF(Pricing!R26="","",Pricing!R26))))))))</f>
        <v/>
      </c>
      <c r="T30" s="185" t="str">
        <f>UPPER(IF(Drawing!$F$2=7,Drawing!AX5,IF(Drawing!$Y$2=7,Drawing!AD17,IF(Drawing!$F$25=7,Drawing!K40,IF(Drawing!$Y$25=7,Drawing!AD40,IF(Drawing!$F$48=7,Drawing!K63,IF(Drawing!$Y$48=7,Drawing!AD63,IF(Pricing!S26="","",Pricing!S26))))))))</f>
        <v/>
      </c>
      <c r="U30" s="185" t="str">
        <f>UPPER(IF(Drawing!$F$2=7,Drawing!AY5,IF(Drawing!$Y$2=7,Drawing!AE17,IF(Drawing!$F$25=7,Drawing!L40,IF(Drawing!$Y$25=7,Drawing!AE40,IF(Drawing!$F$48=7,Drawing!L63,IF(Drawing!$Y$48=7,Drawing!AE63,IF(Pricing!T26="","",Pricing!T26))))))))</f>
        <v/>
      </c>
      <c r="V30" s="185" t="str">
        <f>UPPER(IF(Drawing!$F$2=7,Drawing!AZ5,IF(Drawing!$Y$2=7,Drawing!AF17,IF(Drawing!$F$25=7,Drawing!M40,IF(Drawing!$Y$25=7,Drawing!AF40,IF(Drawing!$F$48=7,Drawing!M63,IF(Drawing!$Y$48=7,Drawing!AF63,IF(Pricing!U26="","",Pricing!U26))))))))</f>
        <v/>
      </c>
      <c r="W30" s="185" t="str">
        <f>UPPER(IF(Drawing!$F$2=7,Drawing!BA5,IF(Drawing!$Y$2=7,Drawing!AG17,IF(Drawing!$F$25=7,Drawing!N40,IF(Drawing!$Y$25=7,Drawing!AG40,IF(Drawing!$F$48=7,Drawing!N63,IF(Drawing!$Y$48=7,Drawing!AG63,IF(Pricing!V26="","",Pricing!V26))))))))</f>
        <v/>
      </c>
      <c r="X30" s="185" t="str">
        <f>UPPER(IF(Drawing!$F$2=7,Drawing!BB5,IF(Drawing!$Y$2=7,Drawing!AH17,IF(Drawing!$F$25=7,Drawing!O40,IF(Drawing!$Y$25=7,Drawing!AH40,IF(Drawing!$F$48=7,Drawing!O63,IF(Drawing!$Y$48=7,Drawing!AH63,IF(Pricing!W26="","",Pricing!W26))))))))</f>
        <v/>
      </c>
      <c r="Y30" s="185" t="str">
        <f>UPPER(IF(Drawing!$F$2=7,Drawing!BC5,IF(Drawing!$Y$2=7,Drawing!AI17,IF(Drawing!$F$25=7,Drawing!P40,IF(Drawing!$Y$25=7,Drawing!AI40,IF(Drawing!$F$48=7,Drawing!P63,IF(Drawing!$Y$48=7,Drawing!AI63,IF(Pricing!X26="","",Pricing!X26))))))))</f>
        <v/>
      </c>
      <c r="Z30" s="185" t="str">
        <f>UPPER(IF(Drawing!$F$2=7,Drawing!BD5,IF(Drawing!$Y$2=7,Drawing!AJ17,IF(Drawing!$F$25=7,Drawing!Q40,IF(Drawing!$Y$25=7,Drawing!AJ40,IF(Drawing!$F$48=7,Drawing!Q63,IF(Drawing!$Y$48=7,Drawing!AJ63,IF(Pricing!Y26="","",Pricing!Y26))))))))</f>
        <v/>
      </c>
      <c r="AA30" s="185" t="str">
        <f>UPPER(IF(Drawing!$F$2=7,Drawing!BE5,IF(Drawing!$Y$2=7,Drawing!AK17,IF(Drawing!$F$25=7,Drawing!R40,IF(Drawing!$Y$25=7,Drawing!AK40,IF(Drawing!$F$48=7,Drawing!R63,IF(Drawing!$Y$48=7,Drawing!AK63,IF(Pricing!Z26="","",Pricing!Z26))))))))</f>
        <v/>
      </c>
      <c r="AB30" s="185" t="str">
        <f>UPPER(IF(Drawing!$F$2=7,Drawing!BF5,IF(Drawing!$Y$2=7,Drawing!AL17,IF(Drawing!$F$25=7,Drawing!S40,IF(Drawing!$Y$25=7,Drawing!AL40,IF(Drawing!$F$48=7,Drawing!S63,IF(Drawing!$Y$48=7,Drawing!AL63,IF(Pricing!AA26="","",Pricing!AA26))))))))</f>
        <v/>
      </c>
      <c r="AC30" s="185" t="str">
        <f>UPPER(IF(Drawing!$F$2=7,Drawing!BG5,IF(Drawing!$Y$2=7,Drawing!AM17,IF(Drawing!$F$25=7,Drawing!T40,IF(Drawing!$Y$25=7,Drawing!AM40,IF(Drawing!$F$48=7,Drawing!T63,IF(Drawing!$Y$48=7,Drawing!AM63,IF(Pricing!AB26="","",Pricing!AB26))))))))</f>
        <v/>
      </c>
      <c r="AD30" s="215" t="str">
        <f>IF(Pricing!AE26="Quoted","Q","")</f>
        <v/>
      </c>
      <c r="AE30" s="492" t="s">
        <v>30</v>
      </c>
      <c r="AF30" s="14">
        <f>COUNTIF(S30:AC30,"(T)")</f>
        <v>0</v>
      </c>
      <c r="AG30" s="14" t="b">
        <f>OR(COUNTIF(S30:AC30,"*(B)*"),COUNTIF(S30:AC30,"*(CB)*"))</f>
        <v>0</v>
      </c>
      <c r="AH30" s="503" t="s">
        <v>290</v>
      </c>
      <c r="AI30" s="499" t="s">
        <v>291</v>
      </c>
    </row>
    <row r="31" spans="2:35">
      <c r="B31" s="774"/>
      <c r="C31" s="10" t="str">
        <f>IF(Pricing!C27="","",Pricing!C27)</f>
        <v/>
      </c>
      <c r="D31" s="1248"/>
      <c r="E31" s="1248"/>
      <c r="F31" s="683" t="str">
        <f>IF(AND(D30="Shape",E30="Capri"),"Select Raked / Radius",IF(AND(E30="Bermuda",F30="Custom Colour"),"Not Black",IF(AND(E30="Cuba",F30="Custom Colour"),"Solid Colours Only",IF(AND(E30="Java",F30="Custom Colour"),"Solid (no Black)",IF(D30="S/Shade","Note Shade Colour",IF(Pricing!F27="","",Pricing!F27))))))</f>
        <v/>
      </c>
      <c r="G31" s="682"/>
      <c r="H31" s="1252"/>
      <c r="I31" s="1255"/>
      <c r="J31" s="1276"/>
      <c r="K31" s="1252"/>
      <c r="L31" s="1280"/>
      <c r="M31" s="1252"/>
      <c r="N31" s="1252"/>
      <c r="O31" s="1283"/>
      <c r="P31" s="1255"/>
      <c r="Q31" s="1276"/>
      <c r="R31" s="213" t="s">
        <v>293</v>
      </c>
      <c r="S31" s="322" t="str">
        <f>UPPER(IF(Drawing!$F$2=7,Drawing!J18,IF(Drawing!$Y$2=7,Drawing!AC18,IF(Drawing!$F$25=7,Drawing!J40,IF(Drawing!$Y$25=7,Drawing!AC41,IF(Drawing!$F$48=7,Drawing!J63,IF(Drawing!$Y$48=7,Drawing!AC63,"")))))))</f>
        <v/>
      </c>
      <c r="T31" s="322" t="str">
        <f>UPPER(IF(Drawing!$F$2=7,Drawing!K18,IF(Drawing!$Y$2=7,Drawing!AD18,IF(Drawing!$F$25=7,Drawing!K40,IF(Drawing!$Y$25=7,Drawing!AD41,IF(Drawing!$F$48=7,Drawing!K63,IF(Drawing!$Y$48=7,Drawing!AD63,"")))))))</f>
        <v/>
      </c>
      <c r="U31" s="322" t="str">
        <f>UPPER(IF(Drawing!$F$2=7,Drawing!L18,IF(Drawing!$Y$2=7,Drawing!AE18,IF(Drawing!$F$25=7,Drawing!L40,IF(Drawing!$Y$25=7,Drawing!AE41,IF(Drawing!$F$48=7,Drawing!L63,IF(Drawing!$Y$48=7,Drawing!AE63,"")))))))</f>
        <v/>
      </c>
      <c r="V31" s="322" t="str">
        <f>UPPER(IF(Drawing!$F$2=7,Drawing!M18,IF(Drawing!$Y$2=7,Drawing!AF18,IF(Drawing!$F$25=7,Drawing!M40,IF(Drawing!$Y$25=7,Drawing!AF41,IF(Drawing!$F$48=7,Drawing!M63,IF(Drawing!$Y$48=7,Drawing!AF63,"")))))))</f>
        <v/>
      </c>
      <c r="W31" s="322" t="str">
        <f>UPPER(IF(Drawing!$F$2=7,Drawing!N18,IF(Drawing!$Y$2=7,Drawing!AG18,IF(Drawing!$F$25=7,Drawing!N40,IF(Drawing!$Y$25=7,Drawing!AG41,IF(Drawing!$F$48=7,Drawing!N63,IF(Drawing!$Y$48=7,Drawing!AG63,"")))))))</f>
        <v/>
      </c>
      <c r="X31" s="322" t="str">
        <f>UPPER(IF(Drawing!$F$2=7,Drawing!O18,IF(Drawing!$Y$2=7,Drawing!AH18,IF(Drawing!$F$25=7,Drawing!O40,IF(Drawing!$Y$25=7,Drawing!AH41,IF(Drawing!$F$48=7,Drawing!O63,IF(Drawing!$Y$48=7,Drawing!AH63,"")))))))</f>
        <v/>
      </c>
      <c r="Y31" s="322" t="str">
        <f>UPPER(IF(Drawing!$F$2=7,Drawing!P18,IF(Drawing!$Y$2=7,Drawing!AI18,IF(Drawing!$F$25=7,Drawing!P40,IF(Drawing!$Y$25=7,Drawing!AI41,IF(Drawing!$F$48=7,Drawing!P63,IF(Drawing!$Y$48=7,Drawing!AI63,"")))))))</f>
        <v/>
      </c>
      <c r="Z31" s="322" t="str">
        <f>UPPER(IF(Drawing!$F$2=7,Drawing!Q18,IF(Drawing!$Y$2=7,Drawing!AJ18,IF(Drawing!$F$25=7,Drawing!Q40,IF(Drawing!$Y$25=7,Drawing!AJ41,IF(Drawing!$F$48=7,Drawing!Q63,IF(Drawing!$Y$48=7,Drawing!AJ63,"")))))))</f>
        <v/>
      </c>
      <c r="AA31" s="322" t="str">
        <f>UPPER(IF(Drawing!$F$2=7,Drawing!R18,IF(Drawing!$Y$2=7,Drawing!AK18,IF(Drawing!$F$25=7,Drawing!R40,IF(Drawing!$Y$25=7,Drawing!AK41,IF(Drawing!$F$48=7,Drawing!R63,IF(Drawing!$Y$48=7,Drawing!AK63,"")))))))</f>
        <v/>
      </c>
      <c r="AB31" s="322" t="str">
        <f>UPPER(IF(Drawing!$F$2=7,Drawing!S18,IF(Drawing!$Y$2=7,Drawing!AL18,IF(Drawing!$F$25=7,Drawing!S40,IF(Drawing!$Y$25=7,Drawing!AL41,IF(Drawing!$F$48=7,Drawing!S63,IF(Drawing!$Y$48=7,Drawing!AL63,"")))))))</f>
        <v/>
      </c>
      <c r="AC31" s="11" t="s">
        <v>28</v>
      </c>
      <c r="AD31" s="322" t="s">
        <v>294</v>
      </c>
      <c r="AE31" s="1268">
        <f>IF(ISERROR(M30*N30/1000000),,M30*N30/1000000)</f>
        <v>0</v>
      </c>
      <c r="AH31" s="1235" t="s">
        <v>47</v>
      </c>
      <c r="AI31" s="1257" t="s">
        <v>47</v>
      </c>
    </row>
    <row r="32" spans="2:35" ht="15" thickBot="1">
      <c r="B32" s="774"/>
      <c r="C32" s="188" t="str">
        <f>IF(Pricing!C28="","",Pricing!C28)</f>
        <v/>
      </c>
      <c r="D32" s="1249"/>
      <c r="E32" s="1249"/>
      <c r="F32" s="12" t="s">
        <v>31</v>
      </c>
      <c r="G32" s="12" t="str">
        <f>IF(Pricing!G28="","",Pricing!G28)</f>
        <v/>
      </c>
      <c r="H32" s="1253"/>
      <c r="I32" s="1256"/>
      <c r="J32" s="1305"/>
      <c r="K32" s="1253"/>
      <c r="L32" s="1281"/>
      <c r="M32" s="1253"/>
      <c r="N32" s="1253"/>
      <c r="O32" s="535" t="s">
        <v>77</v>
      </c>
      <c r="P32" s="1256"/>
      <c r="Q32" s="24" t="s">
        <v>77</v>
      </c>
      <c r="R32" s="24" t="s">
        <v>295</v>
      </c>
      <c r="S32" s="1237" t="str">
        <f>IF(Pricing!R28="","",Pricing!R28)</f>
        <v/>
      </c>
      <c r="T32" s="1238"/>
      <c r="U32" s="1238"/>
      <c r="V32" s="1238"/>
      <c r="W32" s="1238"/>
      <c r="X32" s="1238"/>
      <c r="Y32" s="1238"/>
      <c r="Z32" s="1238"/>
      <c r="AA32" s="1238"/>
      <c r="AB32" s="1238"/>
      <c r="AC32" s="1274"/>
      <c r="AD32" s="203"/>
      <c r="AE32" s="1269"/>
      <c r="AH32" s="1236"/>
      <c r="AI32" s="1258"/>
    </row>
    <row r="33" spans="2:35" ht="14.45" customHeight="1">
      <c r="B33" s="774">
        <v>8</v>
      </c>
      <c r="C33" s="225" t="str">
        <f>IF(Pricing!C29="","",Pricing!C29)</f>
        <v/>
      </c>
      <c r="D33" s="1232" t="str">
        <f>IF(Pricing!D29="","",Pricing!D29)</f>
        <v/>
      </c>
      <c r="E33" s="1232" t="str">
        <f>IF(Pricing!E29="","",Pricing!E29)</f>
        <v/>
      </c>
      <c r="F33" s="1348" t="str">
        <f>IF(Pricing!F29="","",Pricing!F29)</f>
        <v/>
      </c>
      <c r="G33" s="1349"/>
      <c r="H33" s="742" t="str">
        <f>IF(Pricing!H29="","",Pricing!H29)</f>
        <v/>
      </c>
      <c r="I33" s="1231" t="str">
        <f>IF(Pricing!I29="","",Pricing!I29)</f>
        <v/>
      </c>
      <c r="J33" s="461">
        <v>0</v>
      </c>
      <c r="K33" s="742"/>
      <c r="L33" s="1292" t="str">
        <f>IF(Pricing!J29="","",Pricing!J29)</f>
        <v/>
      </c>
      <c r="M33" s="742" t="str">
        <f>IF(AND(Pricing!D53="Yes",Pricing!M29&lt;&gt;""),Pricing!M29,UPPER(IF(Drawing!$F$2=8,Drawing!D17,IF(Drawing!$Y$2=8,Drawing!W17,IF(Drawing!$F$25=8,Drawing!D40,IF(Drawing!$Y$25=8,Drawing!W40,IF(Drawing!$F$48=8,Drawing!D63,IF(Drawing!$Y$48=8,Drawing!W63,""))))))))</f>
        <v/>
      </c>
      <c r="N33" s="742" t="str">
        <f>IF(AND(Pricing!D53="Yes",Pricing!N29&lt;&gt;""),Pricing!N29,UPPER(IF(Drawing!$F$2=8,Drawing!D19,IF(Drawing!$Y$2=8,Drawing!W19,IF(Drawing!$F$25=8,Drawing!D42,IF(Drawing!$Y$25=8,Drawing!W42,IF(Drawing!$F$48=8,Drawing!D65,IF(Drawing!$Y$48=8,Drawing!W65,""))))))))</f>
        <v/>
      </c>
      <c r="O33" s="762" t="str">
        <f>UPPER(IF(AND(Drawing!$F$2=8,Drawing!B21="Midrail"),Drawing!D21,IF(AND(Drawing!$Y$2=8,Drawing!U21="Midrail"),Drawing!W21,IF(AND(Drawing!$F$25=8,Drawing!B44="Midrail"),Drawing!D44,IF(AND(Drawing!$Y$25=8,Drawing!U44="Midrail"),Drawing!W44,IF(AND(Drawing!$F$48=8,Drawing!B67="Midrail"),Drawing!D67,IF(AND(Drawing!$Y$48=8,Drawing!U67="Midrail"),Drawing!W67,"")))))))</f>
        <v/>
      </c>
      <c r="P33" s="1231" t="str">
        <f>UPPER(IF(AND(Drawing!$F$2=8,Drawing!B21="Split"),Drawing!D21,IF(AND(Drawing!$Y$2=8,Drawing!U21="Split"),Drawing!W21,IF(AND(Drawing!$F$25=8,Drawing!B44="Split"),Drawing!D44,IF(AND(Drawing!$Y$25=8,Drawing!U44="Split"),Drawing!W44,IF(AND(Drawing!$F$48=8,Drawing!B67="Split"),Drawing!D67,IF(AND(Drawing!$Y$48=8,Drawing!U67="Split"),Drawing!W67,"")))))))</f>
        <v/>
      </c>
      <c r="Q33" s="1272"/>
      <c r="R33" s="208" t="s">
        <v>292</v>
      </c>
      <c r="S33" s="462" t="str">
        <f>UPPER(IF(Drawing!$F$2=8,Drawing!AW5,IF(Drawing!$Y$2=8,Drawing!AC17,IF(Drawing!$F$25=8,Drawing!J40,IF(Drawing!$Y$25=8,Drawing!AC40,IF(Drawing!$F$48=8,Drawing!J63,IF(Drawing!$Y$48=8,Drawing!AC63,IF(Pricing!R29="","",Pricing!R29))))))))</f>
        <v/>
      </c>
      <c r="T33" s="462" t="str">
        <f>UPPER(IF(Drawing!$F$2=8,Drawing!AX5,IF(Drawing!$Y$2=8,Drawing!AD17,IF(Drawing!$F$25=8,Drawing!K40,IF(Drawing!$Y$25=8,Drawing!AD40,IF(Drawing!$F$48=8,Drawing!K63,IF(Drawing!$Y$48=8,Drawing!AD63,IF(Pricing!S29="","",Pricing!S29))))))))</f>
        <v/>
      </c>
      <c r="U33" s="462" t="str">
        <f>UPPER(IF(Drawing!$F$2=8,Drawing!AY5,IF(Drawing!$Y$2=8,Drawing!AE17,IF(Drawing!$F$25=8,Drawing!L40,IF(Drawing!$Y$25=8,Drawing!AE40,IF(Drawing!$F$48=8,Drawing!L63,IF(Drawing!$Y$48=8,Drawing!AE63,IF(Pricing!T29="","",Pricing!T29))))))))</f>
        <v/>
      </c>
      <c r="V33" s="462" t="str">
        <f>UPPER(IF(Drawing!$F$2=8,Drawing!AZ5,IF(Drawing!$Y$2=8,Drawing!AF17,IF(Drawing!$F$25=8,Drawing!M40,IF(Drawing!$Y$25=8,Drawing!AF40,IF(Drawing!$F$48=8,Drawing!M63,IF(Drawing!$Y$48=8,Drawing!AF63,IF(Pricing!U29="","",Pricing!U29))))))))</f>
        <v/>
      </c>
      <c r="W33" s="462" t="str">
        <f>UPPER(IF(Drawing!$F$2=8,Drawing!BA5,IF(Drawing!$Y$2=8,Drawing!AG17,IF(Drawing!$F$25=8,Drawing!N40,IF(Drawing!$Y$25=8,Drawing!AG40,IF(Drawing!$F$48=8,Drawing!N63,IF(Drawing!$Y$48=8,Drawing!AG63,IF(Pricing!V29="","",Pricing!V29))))))))</f>
        <v/>
      </c>
      <c r="X33" s="462" t="str">
        <f>UPPER(IF(Drawing!$F$2=8,Drawing!BB5,IF(Drawing!$Y$2=8,Drawing!AH17,IF(Drawing!$F$25=8,Drawing!O40,IF(Drawing!$Y$25=8,Drawing!AH40,IF(Drawing!$F$48=8,Drawing!O63,IF(Drawing!$Y$48=8,Drawing!AH63,IF(Pricing!W29="","",Pricing!W29))))))))</f>
        <v/>
      </c>
      <c r="Y33" s="462" t="str">
        <f>UPPER(IF(Drawing!$F$2=8,Drawing!BC5,IF(Drawing!$Y$2=8,Drawing!AI17,IF(Drawing!$F$25=8,Drawing!P40,IF(Drawing!$Y$25=8,Drawing!AI40,IF(Drawing!$F$48=8,Drawing!P63,IF(Drawing!$Y$48=8,Drawing!AI63,IF(Pricing!X29="","",Pricing!X29))))))))</f>
        <v/>
      </c>
      <c r="Z33" s="462" t="str">
        <f>UPPER(IF(Drawing!$F$2=8,Drawing!BD5,IF(Drawing!$Y$2=8,Drawing!AJ17,IF(Drawing!$F$25=8,Drawing!Q40,IF(Drawing!$Y$25=8,Drawing!AJ40,IF(Drawing!$F$48=8,Drawing!Q63,IF(Drawing!$Y$48=8,Drawing!AJ63,IF(Pricing!Y29="","",Pricing!Y29))))))))</f>
        <v/>
      </c>
      <c r="AA33" s="462" t="str">
        <f>UPPER(IF(Drawing!$F$2=8,Drawing!BE5,IF(Drawing!$Y$2=8,Drawing!AK17,IF(Drawing!$F$25=8,Drawing!R40,IF(Drawing!$Y$25=8,Drawing!AK40,IF(Drawing!$F$48=8,Drawing!R63,IF(Drawing!$Y$48=8,Drawing!AK63,IF(Pricing!Z29="","",Pricing!Z29))))))))</f>
        <v/>
      </c>
      <c r="AB33" s="462" t="str">
        <f>UPPER(IF(Drawing!$F$2=8,Drawing!BF5,IF(Drawing!$Y$2=8,Drawing!AL17,IF(Drawing!$F$25=8,Drawing!S40,IF(Drawing!$Y$25=8,Drawing!AL40,IF(Drawing!$F$48=8,Drawing!S63,IF(Drawing!$Y$48=8,Drawing!AL63,IF(Pricing!AA29="","",Pricing!AA29))))))))</f>
        <v/>
      </c>
      <c r="AC33" s="462" t="str">
        <f>UPPER(IF(Drawing!$F$2=8,Drawing!BG5,IF(Drawing!$Y$2=8,Drawing!AM17,IF(Drawing!$F$25=8,Drawing!T40,IF(Drawing!$Y$25=8,Drawing!AM40,IF(Drawing!$F$48=8,Drawing!T63,IF(Drawing!$Y$48=8,Drawing!AM63,IF(Pricing!AB29="","",Pricing!AB29))))))))</f>
        <v/>
      </c>
      <c r="AD33" s="463" t="str">
        <f>IF(Pricing!AE29="Quoted","Q","")</f>
        <v/>
      </c>
      <c r="AE33" s="491" t="s">
        <v>30</v>
      </c>
      <c r="AF33" s="14">
        <f>COUNTIF(S33:AC33,"(T)")</f>
        <v>0</v>
      </c>
      <c r="AG33" s="14" t="b">
        <f>OR(COUNTIF(S33:AC33,"*(B)*"),COUNTIF(S33:AC33,"*(CB)*"))</f>
        <v>0</v>
      </c>
      <c r="AH33" s="502" t="s">
        <v>290</v>
      </c>
      <c r="AI33" s="498" t="s">
        <v>291</v>
      </c>
    </row>
    <row r="34" spans="2:35">
      <c r="B34" s="774"/>
      <c r="C34" s="464" t="str">
        <f>IF(Pricing!C30="","",Pricing!C30)</f>
        <v/>
      </c>
      <c r="D34" s="1341"/>
      <c r="E34" s="1341"/>
      <c r="F34" s="745" t="str">
        <f>IF(AND(D33="Shape",E33="Capri"),"Select Raked / Radius",IF(AND(E33="Bermuda",F33="Custom Colour"),"Not Black",IF(AND(E33="Cuba",F33="Custom Colour"),"Solid Colours Only",IF(AND(E33="Java",F33="Custom Colour"),"Solid (no Black)",IF(D33="S/Shade","Note Shade Colour",IF(Pricing!F30="","",Pricing!F30))))))</f>
        <v/>
      </c>
      <c r="G34" s="744"/>
      <c r="H34" s="742"/>
      <c r="I34" s="762"/>
      <c r="J34" s="1273"/>
      <c r="K34" s="742"/>
      <c r="L34" s="1293"/>
      <c r="M34" s="742"/>
      <c r="N34" s="742"/>
      <c r="O34" s="762"/>
      <c r="P34" s="762"/>
      <c r="Q34" s="1273"/>
      <c r="R34" s="208" t="s">
        <v>293</v>
      </c>
      <c r="S34" s="465" t="str">
        <f>UPPER(IF(Drawing!$F$2=8,Drawing!J18,IF(Drawing!$Y$2=8,Drawing!AC18,IF(Drawing!$F$25=8,Drawing!J40,IF(Drawing!$Y$25=8,Drawing!AC41,IF(Drawing!$F$48=8,Drawing!J63,IF(Drawing!$Y$48=8,Drawing!AC63,"")))))))</f>
        <v/>
      </c>
      <c r="T34" s="465" t="str">
        <f>UPPER(IF(Drawing!$F$2=8,Drawing!K18,IF(Drawing!$Y$2=8,Drawing!AD18,IF(Drawing!$F$25=8,Drawing!K40,IF(Drawing!$Y$25=8,Drawing!AD41,IF(Drawing!$F$48=8,Drawing!K63,IF(Drawing!$Y$48=8,Drawing!AD63,"")))))))</f>
        <v/>
      </c>
      <c r="U34" s="465" t="str">
        <f>UPPER(IF(Drawing!$F$2=8,Drawing!L18,IF(Drawing!$Y$2=8,Drawing!AE18,IF(Drawing!$F$25=8,Drawing!L40,IF(Drawing!$Y$25=8,Drawing!AE41,IF(Drawing!$F$48=8,Drawing!L63,IF(Drawing!$Y$48=8,Drawing!AE63,"")))))))</f>
        <v/>
      </c>
      <c r="V34" s="465" t="str">
        <f>UPPER(IF(Drawing!$F$2=8,Drawing!M18,IF(Drawing!$Y$2=8,Drawing!AF18,IF(Drawing!$F$25=8,Drawing!M40,IF(Drawing!$Y$25=8,Drawing!AF41,IF(Drawing!$F$48=8,Drawing!M63,IF(Drawing!$Y$48=8,Drawing!AF63,"")))))))</f>
        <v/>
      </c>
      <c r="W34" s="465" t="str">
        <f>UPPER(IF(Drawing!$F$2=8,Drawing!N18,IF(Drawing!$Y$2=8,Drawing!AG18,IF(Drawing!$F$25=8,Drawing!N40,IF(Drawing!$Y$25=8,Drawing!AG41,IF(Drawing!$F$48=8,Drawing!N63,IF(Drawing!$Y$48=8,Drawing!AG63,"")))))))</f>
        <v/>
      </c>
      <c r="X34" s="465" t="str">
        <f>UPPER(IF(Drawing!$F$2=8,Drawing!O18,IF(Drawing!$Y$2=8,Drawing!AH18,IF(Drawing!$F$25=8,Drawing!O40,IF(Drawing!$Y$25=8,Drawing!AH41,IF(Drawing!$F$48=8,Drawing!O63,IF(Drawing!$Y$48=8,Drawing!AH63,"")))))))</f>
        <v/>
      </c>
      <c r="Y34" s="465" t="str">
        <f>UPPER(IF(Drawing!$F$2=8,Drawing!P18,IF(Drawing!$Y$2=8,Drawing!AI18,IF(Drawing!$F$25=8,Drawing!P40,IF(Drawing!$Y$25=8,Drawing!AI41,IF(Drawing!$F$48=8,Drawing!P63,IF(Drawing!$Y$48=8,Drawing!AI63,"")))))))</f>
        <v/>
      </c>
      <c r="Z34" s="465" t="str">
        <f>UPPER(IF(Drawing!$F$2=8,Drawing!Q18,IF(Drawing!$Y$2=8,Drawing!AJ18,IF(Drawing!$F$25=8,Drawing!Q40,IF(Drawing!$Y$25=8,Drawing!AJ41,IF(Drawing!$F$48=8,Drawing!Q63,IF(Drawing!$Y$48=8,Drawing!AJ63,"")))))))</f>
        <v/>
      </c>
      <c r="AA34" s="465" t="str">
        <f>UPPER(IF(Drawing!$F$2=8,Drawing!R18,IF(Drawing!$Y$2=8,Drawing!AK18,IF(Drawing!$F$25=8,Drawing!R40,IF(Drawing!$Y$25=8,Drawing!AK41,IF(Drawing!$F$48=8,Drawing!R63,IF(Drawing!$Y$48=8,Drawing!AK63,"")))))))</f>
        <v/>
      </c>
      <c r="AB34" s="465" t="str">
        <f>UPPER(IF(Drawing!$F$2=8,Drawing!S18,IF(Drawing!$Y$2=8,Drawing!AL18,IF(Drawing!$F$25=8,Drawing!S40,IF(Drawing!$Y$25=8,Drawing!AL41,IF(Drawing!$F$48=8,Drawing!S63,IF(Drawing!$Y$48=8,Drawing!AL63,"")))))))</f>
        <v/>
      </c>
      <c r="AC34" s="228" t="s">
        <v>28</v>
      </c>
      <c r="AD34" s="465" t="s">
        <v>294</v>
      </c>
      <c r="AE34" s="1270">
        <f>IF(ISERROR(M33*N33/1000000),,M33*N33/1000000)</f>
        <v>0</v>
      </c>
      <c r="AH34" s="1233" t="s">
        <v>47</v>
      </c>
      <c r="AI34" s="1259" t="s">
        <v>47</v>
      </c>
    </row>
    <row r="35" spans="2:35" ht="15" thickBot="1">
      <c r="B35" s="774"/>
      <c r="C35" s="464" t="str">
        <f>IF(Pricing!C31="","",Pricing!C31)</f>
        <v/>
      </c>
      <c r="D35" s="1344"/>
      <c r="E35" s="1344"/>
      <c r="F35" s="467" t="s">
        <v>31</v>
      </c>
      <c r="G35" s="467" t="str">
        <f>IF(Pricing!G31="","",Pricing!G31)</f>
        <v/>
      </c>
      <c r="H35" s="743"/>
      <c r="I35" s="763"/>
      <c r="J35" s="1285"/>
      <c r="K35" s="743"/>
      <c r="L35" s="1294"/>
      <c r="M35" s="743"/>
      <c r="N35" s="743"/>
      <c r="O35" s="534" t="s">
        <v>77</v>
      </c>
      <c r="P35" s="763"/>
      <c r="Q35" s="468" t="s">
        <v>77</v>
      </c>
      <c r="R35" s="468" t="s">
        <v>295</v>
      </c>
      <c r="S35" s="1351" t="str">
        <f>IF(Pricing!R31="","",Pricing!R31)</f>
        <v/>
      </c>
      <c r="T35" s="1352"/>
      <c r="U35" s="1352"/>
      <c r="V35" s="1352"/>
      <c r="W35" s="1352"/>
      <c r="X35" s="1352"/>
      <c r="Y35" s="1352"/>
      <c r="Z35" s="1352"/>
      <c r="AA35" s="1352"/>
      <c r="AB35" s="1352"/>
      <c r="AC35" s="1353"/>
      <c r="AD35" s="469"/>
      <c r="AE35" s="1271"/>
      <c r="AH35" s="1234"/>
      <c r="AI35" s="1260"/>
    </row>
    <row r="36" spans="2:35" ht="14.45" customHeight="1">
      <c r="B36" s="774">
        <v>9</v>
      </c>
      <c r="C36" s="156" t="str">
        <f>IF(Pricing!C32="","",Pricing!C32)</f>
        <v/>
      </c>
      <c r="D36" s="1250" t="str">
        <f>IF(Pricing!D32="","",Pricing!D32)</f>
        <v/>
      </c>
      <c r="E36" s="1250" t="str">
        <f>IF(Pricing!E32="","",Pricing!E32)</f>
        <v/>
      </c>
      <c r="F36" s="1251" t="str">
        <f>IF(Pricing!F32="","",Pricing!F32)</f>
        <v/>
      </c>
      <c r="G36" s="1350"/>
      <c r="H36" s="1252" t="str">
        <f>IF(Pricing!H32="","",Pricing!H32)</f>
        <v/>
      </c>
      <c r="I36" s="1254" t="str">
        <f>IF(Pricing!I32="","",Pricing!I32)</f>
        <v/>
      </c>
      <c r="J36" s="22">
        <v>0</v>
      </c>
      <c r="K36" s="1252"/>
      <c r="L36" s="1295" t="str">
        <f>IF(Pricing!J32="","",Pricing!J32)</f>
        <v/>
      </c>
      <c r="M36" s="1252" t="str">
        <f>IF(AND(Pricing!D53="Yes",Pricing!M32&lt;&gt;""),Pricing!M32,UPPER(IF(Drawing!$F$2=9,Drawing!D17,IF(Drawing!$Y$2=9,Drawing!W17,IF(Drawing!$F$25=9,Drawing!D40,IF(Drawing!$Y$25=9,Drawing!W40,IF(Drawing!$F$48=9,Drawing!D63,IF(Drawing!$Y$48=9,Drawing!W63,""))))))))</f>
        <v/>
      </c>
      <c r="N36" s="1252" t="str">
        <f>IF(AND(Pricing!D53="Yes",Pricing!N32&lt;&gt;""),Pricing!N32,UPPER(IF(Drawing!$F$2=9,Drawing!D19,IF(Drawing!$Y$2=9,Drawing!W19,IF(Drawing!$F$25=9,Drawing!D42,IF(Drawing!$Y$25=9,Drawing!W42,IF(Drawing!$F$48=9,Drawing!D65,IF(Drawing!$Y$48=9,Drawing!W65,""))))))))</f>
        <v/>
      </c>
      <c r="O36" s="1283" t="str">
        <f>UPPER(IF(AND(Drawing!$F$2=9,Drawing!B21="Midrail"),Drawing!D21,IF(AND(Drawing!$Y$2=9,Drawing!U21="Midrail"),Drawing!W21,IF(AND(Drawing!$F$25=9,Drawing!B44="Midrail"),Drawing!D44,IF(AND(Drawing!$Y$25=9,Drawing!U44="Midrail"),Drawing!W44,IF(AND(Drawing!$F$48=9,Drawing!B67="Midrail"),Drawing!D67,IF(AND(Drawing!$Y$48=9,Drawing!U67="Midrail"),Drawing!W67,"")))))))</f>
        <v/>
      </c>
      <c r="P36" s="1254" t="str">
        <f>UPPER(IF(AND(Drawing!$F$2=9,Drawing!B21="Split"),Drawing!D21,IF(AND(Drawing!$Y$2=9,Drawing!U21="Split"),Drawing!W21,IF(AND(Drawing!$F$25=9,Drawing!B44="Split"),Drawing!D44,IF(AND(Drawing!$Y$25=9,Drawing!U44="Split"),Drawing!W44,IF(AND(Drawing!$F$48=9,Drawing!B67="Split"),Drawing!D67,IF(AND(Drawing!$Y$48=9,Drawing!U67="Split"),Drawing!W67,"")))))))</f>
        <v/>
      </c>
      <c r="Q36" s="1275"/>
      <c r="R36" s="213" t="s">
        <v>292</v>
      </c>
      <c r="S36" s="185" t="str">
        <f>UPPER(IF(Drawing!$F$2=9,Drawing!AW5,IF(Drawing!$Y$2=9,Drawing!AC17,IF(Drawing!$F$25=9,Drawing!J40,IF(Drawing!$Y$25=9,Drawing!AC40,IF(Drawing!$F$48=9,Drawing!J63,IF(Drawing!$Y$48=9,Drawing!AC63,IF(Pricing!R32="","",Pricing!R32))))))))</f>
        <v/>
      </c>
      <c r="T36" s="185" t="str">
        <f>UPPER(IF(Drawing!$F$2=9,Drawing!AX5,IF(Drawing!$Y$2=9,Drawing!AD17,IF(Drawing!$F$25=9,Drawing!K40,IF(Drawing!$Y$25=9,Drawing!AD40,IF(Drawing!$F$48=9,Drawing!K63,IF(Drawing!$Y$48=9,Drawing!AD63,IF(Pricing!S32="","",Pricing!S32))))))))</f>
        <v/>
      </c>
      <c r="U36" s="185" t="str">
        <f>UPPER(IF(Drawing!$F$2=9,Drawing!AY5,IF(Drawing!$Y$2=9,Drawing!AE17,IF(Drawing!$F$25=9,Drawing!L40,IF(Drawing!$Y$25=9,Drawing!AE40,IF(Drawing!$F$48=9,Drawing!L63,IF(Drawing!$Y$48=9,Drawing!AE63,IF(Pricing!T32="","",Pricing!T32))))))))</f>
        <v/>
      </c>
      <c r="V36" s="185" t="str">
        <f>UPPER(IF(Drawing!$F$2=9,Drawing!AZ5,IF(Drawing!$Y$2=9,Drawing!AF17,IF(Drawing!$F$25=9,Drawing!M40,IF(Drawing!$Y$25=9,Drawing!AF40,IF(Drawing!$F$48=9,Drawing!M63,IF(Drawing!$Y$48=9,Drawing!AF63,IF(Pricing!U32="","",Pricing!U32))))))))</f>
        <v/>
      </c>
      <c r="W36" s="185" t="str">
        <f>UPPER(IF(Drawing!$F$2=9,Drawing!BA5,IF(Drawing!$Y$2=9,Drawing!AG17,IF(Drawing!$F$25=9,Drawing!N40,IF(Drawing!$Y$25=9,Drawing!AG40,IF(Drawing!$F$48=9,Drawing!N63,IF(Drawing!$Y$48=9,Drawing!AG63,IF(Pricing!V32="","",Pricing!V32))))))))</f>
        <v/>
      </c>
      <c r="X36" s="185" t="str">
        <f>UPPER(IF(Drawing!$F$2=9,Drawing!BB5,IF(Drawing!$Y$2=9,Drawing!AH17,IF(Drawing!$F$25=9,Drawing!O40,IF(Drawing!$Y$25=9,Drawing!AH40,IF(Drawing!$F$48=9,Drawing!O63,IF(Drawing!$Y$48=9,Drawing!AH63,IF(Pricing!W32="","",Pricing!W32))))))))</f>
        <v/>
      </c>
      <c r="Y36" s="185" t="str">
        <f>UPPER(IF(Drawing!$F$2=9,Drawing!BC5,IF(Drawing!$Y$2=9,Drawing!AI17,IF(Drawing!$F$25=9,Drawing!P40,IF(Drawing!$Y$25=9,Drawing!AI40,IF(Drawing!$F$48=9,Drawing!P63,IF(Drawing!$Y$48=9,Drawing!AI63,IF(Pricing!X32="","",Pricing!X32))))))))</f>
        <v/>
      </c>
      <c r="Z36" s="185" t="str">
        <f>UPPER(IF(Drawing!$F$2=9,Drawing!BD5,IF(Drawing!$Y$2=9,Drawing!AJ17,IF(Drawing!$F$25=9,Drawing!Q40,IF(Drawing!$Y$25=9,Drawing!AJ40,IF(Drawing!$F$48=9,Drawing!Q63,IF(Drawing!$Y$48=9,Drawing!AJ63,IF(Pricing!Y32="","",Pricing!Y32))))))))</f>
        <v/>
      </c>
      <c r="AA36" s="185" t="str">
        <f>UPPER(IF(Drawing!$F$2=9,Drawing!BE5,IF(Drawing!$Y$2=9,Drawing!AK17,IF(Drawing!$F$25=9,Drawing!R40,IF(Drawing!$Y$25=9,Drawing!AK40,IF(Drawing!$F$48=9,Drawing!R63,IF(Drawing!$Y$48=9,Drawing!AK63,IF(Pricing!Z32="","",Pricing!Z32))))))))</f>
        <v/>
      </c>
      <c r="AB36" s="185" t="str">
        <f>UPPER(IF(Drawing!$F$2=9,Drawing!BF5,IF(Drawing!$Y$2=9,Drawing!AL17,IF(Drawing!$F$25=9,Drawing!S40,IF(Drawing!$Y$25=9,Drawing!AL40,IF(Drawing!$F$48=9,Drawing!S63,IF(Drawing!$Y$48=9,Drawing!AL63,IF(Pricing!AA32="","",Pricing!AA32))))))))</f>
        <v/>
      </c>
      <c r="AC36" s="185" t="str">
        <f>UPPER(IF(Drawing!$F$2=9,Drawing!BG5,IF(Drawing!$Y$2=9,Drawing!AM17,IF(Drawing!$F$25=9,Drawing!T40,IF(Drawing!$Y$25=9,Drawing!AM40,IF(Drawing!$F$48=9,Drawing!T63,IF(Drawing!$Y$48=9,Drawing!AM63,IF(Pricing!AB32="","",Pricing!AB32))))))))</f>
        <v/>
      </c>
      <c r="AD36" s="215" t="str">
        <f>IF(Pricing!AE32="Quoted","Q","")</f>
        <v/>
      </c>
      <c r="AE36" s="492" t="s">
        <v>30</v>
      </c>
      <c r="AF36" s="14">
        <f>COUNTIF(S36:AC36,"(T)")</f>
        <v>0</v>
      </c>
      <c r="AG36" s="14" t="b">
        <f>OR(COUNTIF(S36:AC36,"*(B)*"),COUNTIF(S36:AC36,"*(CB)*"))</f>
        <v>0</v>
      </c>
      <c r="AH36" s="503" t="s">
        <v>290</v>
      </c>
      <c r="AI36" s="499" t="s">
        <v>291</v>
      </c>
    </row>
    <row r="37" spans="2:35">
      <c r="B37" s="774"/>
      <c r="C37" s="10" t="str">
        <f>IF(Pricing!C33="","",Pricing!C33)</f>
        <v/>
      </c>
      <c r="D37" s="1248"/>
      <c r="E37" s="1248"/>
      <c r="F37" s="683" t="str">
        <f>IF(AND(D36="Shape",E36="Capri"),"Select Raked / Radius",IF(AND(E36="Bermuda",F36="Custom Colour"),"Not Black",IF(AND(E36="Cuba",F36="Custom Colour"),"Solid Colours Only",IF(AND(E36="Java",F36="Custom Colour"),"Solid (no Black)",IF(D36="S/Shade","Note Shade Colour",IF(Pricing!F33="","",Pricing!F33))))))</f>
        <v/>
      </c>
      <c r="G37" s="682"/>
      <c r="H37" s="1252"/>
      <c r="I37" s="1255"/>
      <c r="J37" s="1276"/>
      <c r="K37" s="1252"/>
      <c r="L37" s="1280"/>
      <c r="M37" s="1252"/>
      <c r="N37" s="1252"/>
      <c r="O37" s="1283"/>
      <c r="P37" s="1255"/>
      <c r="Q37" s="1276"/>
      <c r="R37" s="213" t="s">
        <v>293</v>
      </c>
      <c r="S37" s="322" t="str">
        <f>UPPER(IF(Drawing!$F$2=9,Drawing!J18,IF(Drawing!$Y$2=9,Drawing!AC18,IF(Drawing!$F$25=9,Drawing!J40,IF(Drawing!$Y$25=9,Drawing!AC41,IF(Drawing!$F$48=9,Drawing!J63,IF(Drawing!$Y$48=9,Drawing!AC63,"")))))))</f>
        <v/>
      </c>
      <c r="T37" s="322" t="str">
        <f>UPPER(IF(Drawing!$F$2=9,Drawing!K18,IF(Drawing!$Y$2=9,Drawing!AD18,IF(Drawing!$F$25=9,Drawing!K40,IF(Drawing!$Y$25=9,Drawing!AD41,IF(Drawing!$F$48=9,Drawing!K63,IF(Drawing!$Y$48=9,Drawing!AD63,"")))))))</f>
        <v/>
      </c>
      <c r="U37" s="322" t="str">
        <f>UPPER(IF(Drawing!$F$2=9,Drawing!L18,IF(Drawing!$Y$2=9,Drawing!AE18,IF(Drawing!$F$25=9,Drawing!L40,IF(Drawing!$Y$25=9,Drawing!AE41,IF(Drawing!$F$48=9,Drawing!L63,IF(Drawing!$Y$48=9,Drawing!AE63,"")))))))</f>
        <v/>
      </c>
      <c r="V37" s="322" t="str">
        <f>UPPER(IF(Drawing!$F$2=9,Drawing!M18,IF(Drawing!$Y$2=9,Drawing!AF18,IF(Drawing!$F$25=9,Drawing!M40,IF(Drawing!$Y$25=9,Drawing!AF41,IF(Drawing!$F$48=9,Drawing!M63,IF(Drawing!$Y$48=9,Drawing!AF63,"")))))))</f>
        <v/>
      </c>
      <c r="W37" s="322" t="str">
        <f>UPPER(IF(Drawing!$F$2=9,Drawing!N18,IF(Drawing!$Y$2=9,Drawing!AG18,IF(Drawing!$F$25=9,Drawing!N40,IF(Drawing!$Y$25=9,Drawing!AG41,IF(Drawing!$F$48=9,Drawing!N63,IF(Drawing!$Y$48=9,Drawing!AG63,"")))))))</f>
        <v/>
      </c>
      <c r="X37" s="322" t="str">
        <f>UPPER(IF(Drawing!$F$2=9,Drawing!O18,IF(Drawing!$Y$2=9,Drawing!AH18,IF(Drawing!$F$25=9,Drawing!O40,IF(Drawing!$Y$25=9,Drawing!AH41,IF(Drawing!$F$48=9,Drawing!O63,IF(Drawing!$Y$48=9,Drawing!AH63,"")))))))</f>
        <v/>
      </c>
      <c r="Y37" s="322" t="str">
        <f>UPPER(IF(Drawing!$F$2=9,Drawing!P18,IF(Drawing!$Y$2=9,Drawing!AI18,IF(Drawing!$F$25=9,Drawing!P40,IF(Drawing!$Y$25=9,Drawing!AI41,IF(Drawing!$F$48=9,Drawing!P63,IF(Drawing!$Y$48=9,Drawing!AI63,"")))))))</f>
        <v/>
      </c>
      <c r="Z37" s="322" t="str">
        <f>UPPER(IF(Drawing!$F$2=9,Drawing!Q18,IF(Drawing!$Y$2=9,Drawing!AJ18,IF(Drawing!$F$25=9,Drawing!Q40,IF(Drawing!$Y$25=9,Drawing!AJ41,IF(Drawing!$F$48=9,Drawing!Q63,IF(Drawing!$Y$48=9,Drawing!AJ63,"")))))))</f>
        <v/>
      </c>
      <c r="AA37" s="322" t="str">
        <f>UPPER(IF(Drawing!$F$2=9,Drawing!R18,IF(Drawing!$Y$2=9,Drawing!AK18,IF(Drawing!$F$25=9,Drawing!R40,IF(Drawing!$Y$25=9,Drawing!AK41,IF(Drawing!$F$48=9,Drawing!R63,IF(Drawing!$Y$48=9,Drawing!AK63,"")))))))</f>
        <v/>
      </c>
      <c r="AB37" s="322" t="str">
        <f>UPPER(IF(Drawing!$F$2=9,Drawing!S18,IF(Drawing!$Y$2=9,Drawing!AL18,IF(Drawing!$F$25=9,Drawing!S40,IF(Drawing!$Y$25=9,Drawing!AL41,IF(Drawing!$F$48=9,Drawing!S63,IF(Drawing!$Y$48=9,Drawing!AL63,"")))))))</f>
        <v/>
      </c>
      <c r="AC37" s="11" t="s">
        <v>28</v>
      </c>
      <c r="AD37" s="322" t="s">
        <v>294</v>
      </c>
      <c r="AE37" s="1268">
        <f>IF(ISERROR(M36*N36/1000000),,M36*N36/1000000)</f>
        <v>0</v>
      </c>
      <c r="AH37" s="1235" t="s">
        <v>47</v>
      </c>
      <c r="AI37" s="1257" t="s">
        <v>47</v>
      </c>
    </row>
    <row r="38" spans="2:35" ht="15" thickBot="1">
      <c r="B38" s="774"/>
      <c r="C38" s="188" t="str">
        <f>IF(Pricing!C34="","",Pricing!C34)</f>
        <v/>
      </c>
      <c r="D38" s="1249"/>
      <c r="E38" s="1249"/>
      <c r="F38" s="216" t="s">
        <v>31</v>
      </c>
      <c r="G38" s="12" t="str">
        <f>IF(Pricing!G34="","",Pricing!G34)</f>
        <v/>
      </c>
      <c r="H38" s="1253"/>
      <c r="I38" s="1256"/>
      <c r="J38" s="1305"/>
      <c r="K38" s="1253"/>
      <c r="L38" s="1281"/>
      <c r="M38" s="1253"/>
      <c r="N38" s="1253"/>
      <c r="O38" s="535" t="s">
        <v>77</v>
      </c>
      <c r="P38" s="1256"/>
      <c r="Q38" s="24" t="s">
        <v>77</v>
      </c>
      <c r="R38" s="24" t="s">
        <v>295</v>
      </c>
      <c r="S38" s="1241" t="str">
        <f>IF(Pricing!R34="","",Pricing!R34)</f>
        <v/>
      </c>
      <c r="T38" s="1242"/>
      <c r="U38" s="1242"/>
      <c r="V38" s="1242"/>
      <c r="W38" s="1242"/>
      <c r="X38" s="1242"/>
      <c r="Y38" s="1242"/>
      <c r="Z38" s="1242"/>
      <c r="AA38" s="1242"/>
      <c r="AB38" s="1242"/>
      <c r="AC38" s="1358"/>
      <c r="AD38" s="203"/>
      <c r="AE38" s="1269"/>
      <c r="AH38" s="1236"/>
      <c r="AI38" s="1258"/>
    </row>
    <row r="39" spans="2:35" ht="14.45" customHeight="1">
      <c r="B39" s="774">
        <v>10</v>
      </c>
      <c r="C39" s="225" t="str">
        <f>IF(Pricing!C35="","",Pricing!C35)</f>
        <v/>
      </c>
      <c r="D39" s="1232" t="str">
        <f>IF(Pricing!D35="","",Pricing!D35)</f>
        <v/>
      </c>
      <c r="E39" s="1232" t="str">
        <f>IF(Pricing!E35="","",Pricing!E35)</f>
        <v/>
      </c>
      <c r="F39" s="1354" t="str">
        <f>IF(Pricing!F35="","",Pricing!F35)</f>
        <v/>
      </c>
      <c r="G39" s="1355"/>
      <c r="H39" s="742" t="str">
        <f>IF(Pricing!H35="","",Pricing!H35)</f>
        <v/>
      </c>
      <c r="I39" s="1231" t="str">
        <f>IF(Pricing!I35="","",Pricing!I35)</f>
        <v/>
      </c>
      <c r="J39" s="461">
        <v>0</v>
      </c>
      <c r="K39" s="742"/>
      <c r="L39" s="1292" t="str">
        <f>IF(Pricing!J35="","",Pricing!J35)</f>
        <v/>
      </c>
      <c r="M39" s="742" t="str">
        <f>IF(AND(Pricing!D53="Yes",Pricing!M35&lt;&gt;""),Pricing!M35,UPPER(IF(Drawing!$F$2=10,Drawing!D17,IF(Drawing!$Y$2=10,Drawing!W17,IF(Drawing!$F$25=10,Drawing!D40,IF(Drawing!$Y$25=10,Drawing!W40,IF(Drawing!$F$48=10,Drawing!D63,IF(Drawing!$Y$48=10,Drawing!W63,""))))))))</f>
        <v/>
      </c>
      <c r="N39" s="742" t="str">
        <f>IF(AND(Pricing!D53="Yes",Pricing!N35&lt;&gt;""),Pricing!N35,UPPER(IF(Drawing!$F$2=10,Drawing!D19,IF(Drawing!$Y$2=10,Drawing!W19,IF(Drawing!$F$25=10,Drawing!D42,IF(Drawing!$Y$25=10,Drawing!W42,IF(Drawing!$F$48=10,Drawing!D65,IF(Drawing!$Y$48=10,Drawing!W65,""))))))))</f>
        <v/>
      </c>
      <c r="O39" s="762" t="str">
        <f>UPPER(IF(AND(Drawing!$F$2=10,Drawing!B21="Midrail"),Drawing!D21,IF(AND(Drawing!$Y$2=10,Drawing!U21="Midrail"),Drawing!W21,IF(AND(Drawing!$F$25=10,Drawing!B44="Midrail"),Drawing!D44,IF(AND(Drawing!$Y$25=10,Drawing!U44="Midrail"),Drawing!W44,IF(AND(Drawing!$F$48=10,Drawing!B67="Midrail"),Drawing!D67,IF(AND(Drawing!$Y$48=10,Drawing!U67="Midrail"),Drawing!W67,"")))))))</f>
        <v/>
      </c>
      <c r="P39" s="1231" t="str">
        <f>UPPER(IF(AND(Drawing!$F$2=10,Drawing!B21="Split"),Drawing!D21,IF(AND(Drawing!$Y$2=10,Drawing!U21="Split"),Drawing!W21,IF(AND(Drawing!$F$25=10,Drawing!B44="Split"),Drawing!D44,IF(AND(Drawing!$Y$25=10,Drawing!U44="Split"),Drawing!W44,IF(AND(Drawing!$F$48=10,Drawing!B67="Split"),Drawing!D67,IF(AND(Drawing!$Y$48=10,Drawing!U67="Split"),Drawing!W67,"")))))))</f>
        <v/>
      </c>
      <c r="Q39" s="1272"/>
      <c r="R39" s="208" t="s">
        <v>292</v>
      </c>
      <c r="S39" s="462" t="str">
        <f>UPPER(IF(Drawing!$F$2=10,Drawing!AW5,IF(Drawing!$Y$2=10,Drawing!AC17,IF(Drawing!$F$25=10,Drawing!J40,IF(Drawing!$Y$25=10,Drawing!AC40,IF(Drawing!$F$48=10,Drawing!J63,IF(Drawing!$Y$48=10,Drawing!AC63,IF(Pricing!R35="","",Pricing!R35))))))))</f>
        <v/>
      </c>
      <c r="T39" s="462" t="str">
        <f>UPPER(IF(Drawing!$F$2=10,Drawing!AX5,IF(Drawing!$Y$2=10,Drawing!AD17,IF(Drawing!$F$25=10,Drawing!K40,IF(Drawing!$Y$25=10,Drawing!AD40,IF(Drawing!$F$48=10,Drawing!K63,IF(Drawing!$Y$48=10,Drawing!AD63,IF(Pricing!S35="","",Pricing!S35))))))))</f>
        <v/>
      </c>
      <c r="U39" s="462" t="str">
        <f>UPPER(IF(Drawing!$F$2=10,Drawing!AY5,IF(Drawing!$Y$2=10,Drawing!AE17,IF(Drawing!$F$25=10,Drawing!L40,IF(Drawing!$Y$25=10,Drawing!AE40,IF(Drawing!$F$48=10,Drawing!L63,IF(Drawing!$Y$48=10,Drawing!AE63,IF(Pricing!T35="","",Pricing!T35))))))))</f>
        <v/>
      </c>
      <c r="V39" s="462" t="str">
        <f>UPPER(IF(Drawing!$F$2=10,Drawing!AZ5,IF(Drawing!$Y$2=10,Drawing!AF17,IF(Drawing!$F$25=10,Drawing!M40,IF(Drawing!$Y$25=10,Drawing!AF40,IF(Drawing!$F$48=10,Drawing!M63,IF(Drawing!$Y$48=10,Drawing!AF63,IF(Pricing!U35="","",Pricing!U35))))))))</f>
        <v/>
      </c>
      <c r="W39" s="462" t="str">
        <f>UPPER(IF(Drawing!$F$2=10,Drawing!BA5,IF(Drawing!$Y$2=10,Drawing!AG17,IF(Drawing!$F$25=10,Drawing!N40,IF(Drawing!$Y$25=10,Drawing!AG40,IF(Drawing!$F$48=10,Drawing!N63,IF(Drawing!$Y$48=10,Drawing!AG63,IF(Pricing!V35="","",Pricing!V35))))))))</f>
        <v/>
      </c>
      <c r="X39" s="462" t="str">
        <f>UPPER(IF(Drawing!$F$2=10,Drawing!BB5,IF(Drawing!$Y$2=10,Drawing!AH17,IF(Drawing!$F$25=10,Drawing!O40,IF(Drawing!$Y$25=10,Drawing!AH40,IF(Drawing!$F$48=10,Drawing!O63,IF(Drawing!$Y$48=10,Drawing!AH63,IF(Pricing!W35="","",Pricing!W35))))))))</f>
        <v/>
      </c>
      <c r="Y39" s="462" t="str">
        <f>UPPER(IF(Drawing!$F$2=10,Drawing!BC5,IF(Drawing!$Y$2=10,Drawing!AI17,IF(Drawing!$F$25=10,Drawing!P40,IF(Drawing!$Y$25=10,Drawing!AI40,IF(Drawing!$F$48=10,Drawing!P63,IF(Drawing!$Y$48=10,Drawing!AI63,IF(Pricing!X35="","",Pricing!X35))))))))</f>
        <v/>
      </c>
      <c r="Z39" s="462" t="str">
        <f>UPPER(IF(Drawing!$F$2=10,Drawing!BD5,IF(Drawing!$Y$2=10,Drawing!AJ17,IF(Drawing!$F$25=10,Drawing!Q40,IF(Drawing!$Y$25=10,Drawing!AJ40,IF(Drawing!$F$48=10,Drawing!Q63,IF(Drawing!$Y$48=10,Drawing!AJ63,IF(Pricing!Y35="","",Pricing!Y35))))))))</f>
        <v/>
      </c>
      <c r="AA39" s="462" t="str">
        <f>UPPER(IF(Drawing!$F$2=10,Drawing!BE5,IF(Drawing!$Y$2=10,Drawing!AK17,IF(Drawing!$F$25=10,Drawing!R40,IF(Drawing!$Y$25=10,Drawing!AK40,IF(Drawing!$F$48=10,Drawing!R63,IF(Drawing!$Y$48=10,Drawing!AK63,IF(Pricing!Z35="","",Pricing!Z35))))))))</f>
        <v/>
      </c>
      <c r="AB39" s="462" t="str">
        <f>UPPER(IF(Drawing!$F$2=10,Drawing!BF5,IF(Drawing!$Y$2=10,Drawing!AL17,IF(Drawing!$F$25=10,Drawing!S40,IF(Drawing!$Y$25=10,Drawing!AL40,IF(Drawing!$F$48=10,Drawing!S63,IF(Drawing!$Y$48=10,Drawing!AL63,IF(Pricing!AA35="","",Pricing!AA35))))))))</f>
        <v/>
      </c>
      <c r="AC39" s="462" t="str">
        <f>UPPER(IF(Drawing!$F$2=10,Drawing!BG5,IF(Drawing!$Y$2=10,Drawing!AM17,IF(Drawing!$F$25=10,Drawing!T40,IF(Drawing!$Y$25=10,Drawing!AM40,IF(Drawing!$F$48=10,Drawing!T63,IF(Drawing!$Y$48=10,Drawing!AM63,IF(Pricing!AB35="","",Pricing!AB35))))))))</f>
        <v/>
      </c>
      <c r="AD39" s="463" t="str">
        <f>IF(Pricing!AE35="Quoted","Q","")</f>
        <v/>
      </c>
      <c r="AE39" s="491" t="s">
        <v>30</v>
      </c>
      <c r="AF39" s="14">
        <f>COUNTIF(S39:AC39,"(T)")</f>
        <v>0</v>
      </c>
      <c r="AG39" s="14" t="b">
        <f>OR(COUNTIF(S39:AC39,"*(B)*"),COUNTIF(S39:AC39,"*(CB)*"))</f>
        <v>0</v>
      </c>
      <c r="AH39" s="502" t="s">
        <v>290</v>
      </c>
      <c r="AI39" s="498" t="s">
        <v>291</v>
      </c>
    </row>
    <row r="40" spans="2:35">
      <c r="B40" s="774"/>
      <c r="C40" s="464" t="str">
        <f>IF(Pricing!C36="","",Pricing!C36)</f>
        <v/>
      </c>
      <c r="D40" s="1341"/>
      <c r="E40" s="1341"/>
      <c r="F40" s="745" t="str">
        <f>IF(AND(D39="Shape",E39="Capri"),"Select Raked / Radius",IF(AND(E39="Bermuda",F39="Custom Colour"),"Not Black",IF(AND(E39="Cuba",F39="Custom Colour"),"Solid Colours Only",IF(AND(E39="Java",F39="Custom Colour"),"Solid (no Black)",IF(D39="S/Shade","Note Shade Colour",IF(Pricing!F36="","",Pricing!F36))))))</f>
        <v/>
      </c>
      <c r="G40" s="744"/>
      <c r="H40" s="742"/>
      <c r="I40" s="762"/>
      <c r="J40" s="1273"/>
      <c r="K40" s="742"/>
      <c r="L40" s="1293"/>
      <c r="M40" s="742"/>
      <c r="N40" s="742"/>
      <c r="O40" s="762"/>
      <c r="P40" s="762"/>
      <c r="Q40" s="1273"/>
      <c r="R40" s="208" t="s">
        <v>293</v>
      </c>
      <c r="S40" s="465" t="str">
        <f>UPPER(IF(Drawing!$F$2=10,Drawing!J18,IF(Drawing!$Y$2=10,Drawing!AC18,IF(Drawing!$F$25=10,Drawing!J40,IF(Drawing!$Y$25=10,Drawing!AC41,IF(Drawing!$F$48=10,Drawing!J63,IF(Drawing!$Y$48=10,Drawing!AC63,"")))))))</f>
        <v/>
      </c>
      <c r="T40" s="465" t="str">
        <f>UPPER(IF(Drawing!$F$2=10,Drawing!K18,IF(Drawing!$Y$2=10,Drawing!AD18,IF(Drawing!$F$25=10,Drawing!K40,IF(Drawing!$Y$25=10,Drawing!AD41,IF(Drawing!$F$48=10,Drawing!K63,IF(Drawing!$Y$48=10,Drawing!AD63,"")))))))</f>
        <v/>
      </c>
      <c r="U40" s="465" t="str">
        <f>UPPER(IF(Drawing!$F$2=10,Drawing!L18,IF(Drawing!$Y$2=10,Drawing!AE18,IF(Drawing!$F$25=10,Drawing!L40,IF(Drawing!$Y$25=10,Drawing!AE41,IF(Drawing!$F$48=10,Drawing!L63,IF(Drawing!$Y$48=10,Drawing!AE63,"")))))))</f>
        <v/>
      </c>
      <c r="V40" s="465" t="str">
        <f>UPPER(IF(Drawing!$F$2=10,Drawing!M18,IF(Drawing!$Y$2=10,Drawing!AF18,IF(Drawing!$F$25=10,Drawing!M40,IF(Drawing!$Y$25=10,Drawing!AF41,IF(Drawing!$F$48=10,Drawing!M63,IF(Drawing!$Y$48=10,Drawing!AF63,"")))))))</f>
        <v/>
      </c>
      <c r="W40" s="465" t="str">
        <f>UPPER(IF(Drawing!$F$2=10,Drawing!N18,IF(Drawing!$Y$2=10,Drawing!AG18,IF(Drawing!$F$25=10,Drawing!N40,IF(Drawing!$Y$25=10,Drawing!AG41,IF(Drawing!$F$48=10,Drawing!N63,IF(Drawing!$Y$48=10,Drawing!AG63,"")))))))</f>
        <v/>
      </c>
      <c r="X40" s="465" t="str">
        <f>UPPER(IF(Drawing!$F$2=10,Drawing!O18,IF(Drawing!$Y$2=10,Drawing!AH18,IF(Drawing!$F$25=10,Drawing!O40,IF(Drawing!$Y$25=10,Drawing!AH41,IF(Drawing!$F$48=10,Drawing!O63,IF(Drawing!$Y$48=10,Drawing!AH63,"")))))))</f>
        <v/>
      </c>
      <c r="Y40" s="465" t="str">
        <f>UPPER(IF(Drawing!$F$2=10,Drawing!P18,IF(Drawing!$Y$2=10,Drawing!AI18,IF(Drawing!$F$25=10,Drawing!P40,IF(Drawing!$Y$25=10,Drawing!AI41,IF(Drawing!$F$48=10,Drawing!P63,IF(Drawing!$Y$48=10,Drawing!AI63,"")))))))</f>
        <v/>
      </c>
      <c r="Z40" s="465" t="str">
        <f>UPPER(IF(Drawing!$F$2=10,Drawing!Q18,IF(Drawing!$Y$2=10,Drawing!AJ18,IF(Drawing!$F$25=10,Drawing!Q40,IF(Drawing!$Y$25=10,Drawing!AJ41,IF(Drawing!$F$48=10,Drawing!Q63,IF(Drawing!$Y$48=10,Drawing!AJ63,"")))))))</f>
        <v/>
      </c>
      <c r="AA40" s="465" t="str">
        <f>UPPER(IF(Drawing!$F$2=10,Drawing!R18,IF(Drawing!$Y$2=10,Drawing!AK18,IF(Drawing!$F$25=10,Drawing!R40,IF(Drawing!$Y$25=10,Drawing!AK41,IF(Drawing!$F$48=10,Drawing!R63,IF(Drawing!$Y$48=10,Drawing!AK63,"")))))))</f>
        <v/>
      </c>
      <c r="AB40" s="465" t="str">
        <f>UPPER(IF(Drawing!$F$2=10,Drawing!S18,IF(Drawing!$Y$2=10,Drawing!AL18,IF(Drawing!$F$25=10,Drawing!S40,IF(Drawing!$Y$25=10,Drawing!AL41,IF(Drawing!$F$48=10,Drawing!S63,IF(Drawing!$Y$48=10,Drawing!AL63,"")))))))</f>
        <v/>
      </c>
      <c r="AC40" s="228" t="s">
        <v>28</v>
      </c>
      <c r="AD40" s="465" t="s">
        <v>294</v>
      </c>
      <c r="AE40" s="1270">
        <f>IF(ISERROR(M39*N39/1000000),,M39*N39/1000000)</f>
        <v>0</v>
      </c>
      <c r="AH40" s="1233" t="s">
        <v>47</v>
      </c>
      <c r="AI40" s="1259" t="s">
        <v>47</v>
      </c>
    </row>
    <row r="41" spans="2:35" ht="15" thickBot="1">
      <c r="B41" s="774"/>
      <c r="C41" s="464" t="str">
        <f>IF(Pricing!C37="","",Pricing!C37)</f>
        <v/>
      </c>
      <c r="D41" s="1344"/>
      <c r="E41" s="1344"/>
      <c r="F41" s="471" t="s">
        <v>31</v>
      </c>
      <c r="G41" s="472" t="str">
        <f>IF(Pricing!G37="","",Pricing!G37)</f>
        <v/>
      </c>
      <c r="H41" s="743"/>
      <c r="I41" s="763"/>
      <c r="J41" s="1285"/>
      <c r="K41" s="743"/>
      <c r="L41" s="1294"/>
      <c r="M41" s="743"/>
      <c r="N41" s="743"/>
      <c r="O41" s="534" t="s">
        <v>77</v>
      </c>
      <c r="P41" s="763"/>
      <c r="Q41" s="468" t="s">
        <v>77</v>
      </c>
      <c r="R41" s="468" t="s">
        <v>295</v>
      </c>
      <c r="S41" s="1351" t="str">
        <f>IF(Pricing!R37="","",Pricing!R37)</f>
        <v/>
      </c>
      <c r="T41" s="1352"/>
      <c r="U41" s="1352"/>
      <c r="V41" s="1352"/>
      <c r="W41" s="1352"/>
      <c r="X41" s="1352"/>
      <c r="Y41" s="1352"/>
      <c r="Z41" s="1352"/>
      <c r="AA41" s="1352"/>
      <c r="AB41" s="1352"/>
      <c r="AC41" s="1353"/>
      <c r="AD41" s="469"/>
      <c r="AE41" s="1271"/>
      <c r="AH41" s="1234"/>
      <c r="AI41" s="1260"/>
    </row>
    <row r="42" spans="2:35" ht="14.45" customHeight="1">
      <c r="B42" s="774">
        <v>11</v>
      </c>
      <c r="C42" s="156" t="str">
        <f>IF(Pricing!C38="","",Pricing!C38)</f>
        <v/>
      </c>
      <c r="D42" s="1250" t="str">
        <f>IF(Pricing!D38="","",Pricing!D38)</f>
        <v/>
      </c>
      <c r="E42" s="1250" t="str">
        <f>IF(Pricing!E38="","",Pricing!E38)</f>
        <v/>
      </c>
      <c r="F42" s="1356" t="str">
        <f>IF(Pricing!F38="","",Pricing!F38)</f>
        <v/>
      </c>
      <c r="G42" s="1357"/>
      <c r="H42" s="1252" t="str">
        <f>IF(Pricing!H38="","",Pricing!H38)</f>
        <v/>
      </c>
      <c r="I42" s="1254" t="str">
        <f>IF(Pricing!I38="","",Pricing!I38)</f>
        <v/>
      </c>
      <c r="J42" s="22">
        <v>0</v>
      </c>
      <c r="K42" s="1252"/>
      <c r="L42" s="1295" t="str">
        <f>IF(Pricing!J38="","",Pricing!J38)</f>
        <v/>
      </c>
      <c r="M42" s="1252" t="str">
        <f>IF(AND(Pricing!D53="Yes",Pricing!M38&lt;&gt;""),Pricing!M38,UPPER(IF(Drawing!$F$2=11,Drawing!D17,IF(Drawing!$Y$2=11,Drawing!W17,IF(Drawing!$F$25=11,Drawing!D40,IF(Drawing!$Y$25=11,Drawing!W40,IF(Drawing!$F$48=11,Drawing!D63,IF(Drawing!$Y$48=11,Drawing!W63,""))))))))</f>
        <v/>
      </c>
      <c r="N42" s="1252" t="str">
        <f>IF(AND(Pricing!D53="Yes",Pricing!N38&lt;&gt;""),Pricing!N38,UPPER(IF(Drawing!$F$2=11,Drawing!D19,IF(Drawing!$Y$2=11,Drawing!W19,IF(Drawing!$F$25=11,Drawing!D42,IF(Drawing!$Y$25=11,Drawing!W42,IF(Drawing!$F$48=11,Drawing!D65,IF(Drawing!$Y$48=11,Drawing!W65,""))))))))</f>
        <v/>
      </c>
      <c r="O42" s="1283" t="str">
        <f>UPPER(IF(AND(Drawing!$F$2=11,Drawing!B21="Midrail"),Drawing!D21,IF(AND(Drawing!$Y$2=11,Drawing!U21="Midrail"),Drawing!W21,IF(AND(Drawing!$F$25=11,Drawing!B44="Midrail"),Drawing!D44,IF(AND(Drawing!$Y$25=11,Drawing!U44="Midrail"),Drawing!W44,IF(AND(Drawing!$F$48=11,Drawing!B67="Midrail"),Drawing!D67,IF(AND(Drawing!$Y$48=11,Drawing!U67="Midrail"),Drawing!W67,"")))))))</f>
        <v/>
      </c>
      <c r="P42" s="1254" t="str">
        <f>UPPER(IF(AND(Drawing!$F$2=11,Drawing!B21="Split"),Drawing!D21,IF(AND(Drawing!$Y$2=11,Drawing!U21="Split"),Drawing!W21,IF(AND(Drawing!$F$25=11,Drawing!B44="Split"),Drawing!D44,IF(AND(Drawing!$Y$25=11,Drawing!U44="Split"),Drawing!W44,IF(AND(Drawing!$F$48=11,Drawing!B67="Split"),Drawing!D67,IF(AND(Drawing!$Y$48=11,Drawing!U67="Split"),Drawing!W67,"")))))))</f>
        <v/>
      </c>
      <c r="Q42" s="1275"/>
      <c r="R42" s="213" t="s">
        <v>292</v>
      </c>
      <c r="S42" s="185" t="str">
        <f>UPPER(IF(Drawing!$F$2=11,Drawing!AW5,IF(Drawing!$Y$2=11,Drawing!AC17,IF(Drawing!$F$25=11,Drawing!J40,IF(Drawing!$Y$25=11,Drawing!AC40,IF(Drawing!$F$48=11,Drawing!J63,IF(Drawing!$Y$48=11,Drawing!AC63,IF(Pricing!R38="","",Pricing!R38))))))))</f>
        <v/>
      </c>
      <c r="T42" s="185" t="str">
        <f>UPPER(IF(Drawing!$F$2=11,Drawing!AX5,IF(Drawing!$Y$2=11,Drawing!AD17,IF(Drawing!$F$25=11,Drawing!K40,IF(Drawing!$Y$25=11,Drawing!AD40,IF(Drawing!$F$48=11,Drawing!K63,IF(Drawing!$Y$48=11,Drawing!AD63,IF(Pricing!S38="","",Pricing!S38))))))))</f>
        <v/>
      </c>
      <c r="U42" s="185" t="str">
        <f>UPPER(IF(Drawing!$F$2=11,Drawing!AY5,IF(Drawing!$Y$2=11,Drawing!AE17,IF(Drawing!$F$25=11,Drawing!L40,IF(Drawing!$Y$25=11,Drawing!AE40,IF(Drawing!$F$48=11,Drawing!L63,IF(Drawing!$Y$48=11,Drawing!AE63,IF(Pricing!T38="","",Pricing!T38))))))))</f>
        <v/>
      </c>
      <c r="V42" s="185" t="str">
        <f>UPPER(IF(Drawing!$F$2=11,Drawing!AZ5,IF(Drawing!$Y$2=11,Drawing!AF17,IF(Drawing!$F$25=11,Drawing!M40,IF(Drawing!$Y$25=11,Drawing!AF40,IF(Drawing!$F$48=11,Drawing!M63,IF(Drawing!$Y$48=11,Drawing!AF63,IF(Pricing!U38="","",Pricing!U38))))))))</f>
        <v/>
      </c>
      <c r="W42" s="185" t="str">
        <f>UPPER(IF(Drawing!$F$2=11,Drawing!BA5,IF(Drawing!$Y$2=11,Drawing!AG17,IF(Drawing!$F$25=11,Drawing!N40,IF(Drawing!$Y$25=11,Drawing!AG40,IF(Drawing!$F$48=11,Drawing!N63,IF(Drawing!$Y$48=11,Drawing!AG63,IF(Pricing!V38="","",Pricing!V38))))))))</f>
        <v/>
      </c>
      <c r="X42" s="185" t="str">
        <f>UPPER(IF(Drawing!$F$2=11,Drawing!BB5,IF(Drawing!$Y$2=11,Drawing!AH17,IF(Drawing!$F$25=11,Drawing!O40,IF(Drawing!$Y$25=11,Drawing!AH40,IF(Drawing!$F$48=11,Drawing!O63,IF(Drawing!$Y$48=11,Drawing!AH63,IF(Pricing!W38="","",Pricing!W38))))))))</f>
        <v/>
      </c>
      <c r="Y42" s="185" t="str">
        <f>UPPER(IF(Drawing!$F$2=11,Drawing!BC5,IF(Drawing!$Y$2=11,Drawing!AI17,IF(Drawing!$F$25=11,Drawing!P40,IF(Drawing!$Y$25=11,Drawing!AI40,IF(Drawing!$F$48=11,Drawing!P63,IF(Drawing!$Y$48=11,Drawing!AI63,IF(Pricing!X38="","",Pricing!X38))))))))</f>
        <v/>
      </c>
      <c r="Z42" s="185" t="str">
        <f>UPPER(IF(Drawing!$F$2=11,Drawing!BD5,IF(Drawing!$Y$2=11,Drawing!AJ17,IF(Drawing!$F$25=11,Drawing!Q40,IF(Drawing!$Y$25=11,Drawing!AJ40,IF(Drawing!$F$48=11,Drawing!Q63,IF(Drawing!$Y$48=11,Drawing!AJ63,IF(Pricing!Y38="","",Pricing!Y38))))))))</f>
        <v/>
      </c>
      <c r="AA42" s="185" t="str">
        <f>UPPER(IF(Drawing!$F$2=11,Drawing!BE5,IF(Drawing!$Y$2=11,Drawing!AK17,IF(Drawing!$F$25=11,Drawing!R40,IF(Drawing!$Y$25=11,Drawing!AK40,IF(Drawing!$F$48=11,Drawing!R63,IF(Drawing!$Y$48=11,Drawing!AK63,IF(Pricing!Z38="","",Pricing!Z38))))))))</f>
        <v/>
      </c>
      <c r="AB42" s="185" t="str">
        <f>UPPER(IF(Drawing!$F$2=11,Drawing!BF5,IF(Drawing!$Y$2=11,Drawing!AL17,IF(Drawing!$F$25=11,Drawing!S40,IF(Drawing!$Y$25=11,Drawing!AL40,IF(Drawing!$F$48=11,Drawing!S63,IF(Drawing!$Y$48=11,Drawing!AL63,IF(Pricing!AA38="","",Pricing!AA38))))))))</f>
        <v/>
      </c>
      <c r="AC42" s="185" t="str">
        <f>UPPER(IF(Drawing!$F$2=11,Drawing!BG5,IF(Drawing!$Y$2=11,Drawing!AM17,IF(Drawing!$F$25=11,Drawing!T40,IF(Drawing!$Y$25=11,Drawing!AM40,IF(Drawing!$F$48=11,Drawing!T63,IF(Drawing!$Y$48=11,Drawing!AM63,IF(Pricing!AB38="","",Pricing!AB38))))))))</f>
        <v/>
      </c>
      <c r="AD42" s="215" t="str">
        <f>IF(Pricing!AE38="Quoted","Q","")</f>
        <v/>
      </c>
      <c r="AE42" s="492" t="s">
        <v>30</v>
      </c>
      <c r="AF42" s="14">
        <f>COUNTIF(S42:AC42,"(T)")</f>
        <v>0</v>
      </c>
      <c r="AG42" s="14" t="b">
        <f>OR(COUNTIF(S42:AC42,"*(B)*"),COUNTIF(S42:AC42,"*(CB)*"))</f>
        <v>0</v>
      </c>
      <c r="AH42" s="503" t="s">
        <v>290</v>
      </c>
      <c r="AI42" s="499" t="s">
        <v>291</v>
      </c>
    </row>
    <row r="43" spans="2:35">
      <c r="B43" s="774"/>
      <c r="C43" s="10" t="str">
        <f>IF(Pricing!C39="","",Pricing!C39)</f>
        <v/>
      </c>
      <c r="D43" s="1248"/>
      <c r="E43" s="1248"/>
      <c r="F43" s="683" t="str">
        <f>IF(AND(D42="Shape",E42="Capri"),"Select Raked / Radius",IF(AND(E42="Bermuda",F42="Custom Colour"),"Not Black",IF(AND(E42="Cuba",F42="Custom Colour"),"Solid Colours Only",IF(AND(E42="Java",F42="Custom Colour"),"Solid (no Black)",IF(D42="S/Shade","Note Shade Colour",IF(Pricing!F39="","",Pricing!F39))))))</f>
        <v/>
      </c>
      <c r="G43" s="682"/>
      <c r="H43" s="1252"/>
      <c r="I43" s="1255"/>
      <c r="J43" s="1276"/>
      <c r="K43" s="1252"/>
      <c r="L43" s="1280"/>
      <c r="M43" s="1252"/>
      <c r="N43" s="1252"/>
      <c r="O43" s="1283"/>
      <c r="P43" s="1255"/>
      <c r="Q43" s="1276"/>
      <c r="R43" s="213" t="s">
        <v>293</v>
      </c>
      <c r="S43" s="322" t="str">
        <f>UPPER(IF(Drawing!$F$2=11,Drawing!J18,IF(Drawing!$Y$2=11,Drawing!AC18,IF(Drawing!$F$25=11,Drawing!J40,IF(Drawing!$Y$25=11,Drawing!AC41,IF(Drawing!$F$48=11,Drawing!J63,IF(Drawing!$Y$48=11,Drawing!AC63,"")))))))</f>
        <v/>
      </c>
      <c r="T43" s="322" t="str">
        <f>UPPER(IF(Drawing!$F$2=11,Drawing!K18,IF(Drawing!$Y$2=11,Drawing!AD18,IF(Drawing!$F$25=11,Drawing!K40,IF(Drawing!$Y$25=11,Drawing!AD41,IF(Drawing!$F$48=11,Drawing!K63,IF(Drawing!$Y$48=11,Drawing!AD63,"")))))))</f>
        <v/>
      </c>
      <c r="U43" s="322" t="str">
        <f>UPPER(IF(Drawing!$F$2=11,Drawing!L18,IF(Drawing!$Y$2=11,Drawing!AE18,IF(Drawing!$F$25=11,Drawing!L40,IF(Drawing!$Y$25=11,Drawing!AE41,IF(Drawing!$F$48=11,Drawing!L63,IF(Drawing!$Y$48=11,Drawing!AE63,"")))))))</f>
        <v/>
      </c>
      <c r="V43" s="322" t="str">
        <f>UPPER(IF(Drawing!$F$2=11,Drawing!M18,IF(Drawing!$Y$2=11,Drawing!AF18,IF(Drawing!$F$25=11,Drawing!M40,IF(Drawing!$Y$25=11,Drawing!AF41,IF(Drawing!$F$48=11,Drawing!M63,IF(Drawing!$Y$48=11,Drawing!AF63,"")))))))</f>
        <v/>
      </c>
      <c r="W43" s="322" t="str">
        <f>UPPER(IF(Drawing!$F$2=11,Drawing!N18,IF(Drawing!$Y$2=11,Drawing!AG18,IF(Drawing!$F$25=11,Drawing!N40,IF(Drawing!$Y$25=11,Drawing!AG41,IF(Drawing!$F$48=11,Drawing!N63,IF(Drawing!$Y$48=11,Drawing!AG63,"")))))))</f>
        <v/>
      </c>
      <c r="X43" s="322" t="str">
        <f>UPPER(IF(Drawing!$F$2=11,Drawing!O18,IF(Drawing!$Y$2=11,Drawing!AH18,IF(Drawing!$F$25=11,Drawing!O40,IF(Drawing!$Y$25=11,Drawing!AH41,IF(Drawing!$F$48=11,Drawing!O63,IF(Drawing!$Y$48=11,Drawing!AH63,"")))))))</f>
        <v/>
      </c>
      <c r="Y43" s="322" t="str">
        <f>UPPER(IF(Drawing!$F$2=11,Drawing!P18,IF(Drawing!$Y$2=11,Drawing!AI18,IF(Drawing!$F$25=11,Drawing!P40,IF(Drawing!$Y$25=11,Drawing!AI41,IF(Drawing!$F$48=11,Drawing!P63,IF(Drawing!$Y$48=11,Drawing!AI63,"")))))))</f>
        <v/>
      </c>
      <c r="Z43" s="322" t="str">
        <f>UPPER(IF(Drawing!$F$2=11,Drawing!Q18,IF(Drawing!$Y$2=11,Drawing!AJ18,IF(Drawing!$F$25=11,Drawing!Q40,IF(Drawing!$Y$25=11,Drawing!AJ41,IF(Drawing!$F$48=11,Drawing!Q63,IF(Drawing!$Y$48=11,Drawing!AJ63,"")))))))</f>
        <v/>
      </c>
      <c r="AA43" s="322" t="str">
        <f>UPPER(IF(Drawing!$F$2=11,Drawing!R18,IF(Drawing!$Y$2=11,Drawing!AK18,IF(Drawing!$F$25=11,Drawing!R40,IF(Drawing!$Y$25=11,Drawing!AK41,IF(Drawing!$F$48=11,Drawing!R63,IF(Drawing!$Y$48=11,Drawing!AK63,"")))))))</f>
        <v/>
      </c>
      <c r="AB43" s="322" t="str">
        <f>UPPER(IF(Drawing!$F$2=11,Drawing!S18,IF(Drawing!$Y$2=11,Drawing!AL18,IF(Drawing!$F$25=11,Drawing!S40,IF(Drawing!$Y$25=11,Drawing!AL41,IF(Drawing!$F$48=11,Drawing!S63,IF(Drawing!$Y$48=11,Drawing!AL63,"")))))))</f>
        <v/>
      </c>
      <c r="AC43" s="11" t="s">
        <v>28</v>
      </c>
      <c r="AD43" s="322" t="s">
        <v>294</v>
      </c>
      <c r="AE43" s="1268">
        <f>IF(ISERROR(M42*N42/1000000),,M42*N42/1000000)</f>
        <v>0</v>
      </c>
      <c r="AH43" s="1235" t="s">
        <v>47</v>
      </c>
      <c r="AI43" s="1257" t="s">
        <v>47</v>
      </c>
    </row>
    <row r="44" spans="2:35" ht="15" thickBot="1">
      <c r="B44" s="774"/>
      <c r="C44" s="187" t="str">
        <f>IF(Pricing!C40="","",Pricing!C40)</f>
        <v/>
      </c>
      <c r="D44" s="1249"/>
      <c r="E44" s="1249"/>
      <c r="F44" s="216" t="s">
        <v>31</v>
      </c>
      <c r="G44" s="12" t="str">
        <f>IF(Pricing!G40="","",Pricing!G40)</f>
        <v/>
      </c>
      <c r="H44" s="1253"/>
      <c r="I44" s="1256"/>
      <c r="J44" s="1305"/>
      <c r="K44" s="1253"/>
      <c r="L44" s="1281"/>
      <c r="M44" s="1253"/>
      <c r="N44" s="1253"/>
      <c r="O44" s="535" t="s">
        <v>77</v>
      </c>
      <c r="P44" s="1256"/>
      <c r="Q44" s="24" t="s">
        <v>77</v>
      </c>
      <c r="R44" s="24" t="s">
        <v>295</v>
      </c>
      <c r="S44" s="1241" t="str">
        <f>IF(Pricing!R40="","",Pricing!R40)</f>
        <v/>
      </c>
      <c r="T44" s="1242"/>
      <c r="U44" s="1242"/>
      <c r="V44" s="1242"/>
      <c r="W44" s="1242"/>
      <c r="X44" s="1242"/>
      <c r="Y44" s="1242"/>
      <c r="Z44" s="1242"/>
      <c r="AA44" s="1242"/>
      <c r="AB44" s="1242"/>
      <c r="AC44" s="1358"/>
      <c r="AD44" s="203"/>
      <c r="AE44" s="1269"/>
      <c r="AH44" s="1236"/>
      <c r="AI44" s="1258"/>
    </row>
    <row r="45" spans="2:35" ht="14.45" customHeight="1">
      <c r="B45" s="774">
        <v>12</v>
      </c>
      <c r="C45" s="464" t="str">
        <f>IF(Pricing!C41="","",Pricing!C41)</f>
        <v/>
      </c>
      <c r="D45" s="1232" t="str">
        <f>IF(Pricing!D41="","",Pricing!D41)</f>
        <v/>
      </c>
      <c r="E45" s="1232" t="str">
        <f>IF(Pricing!E41="","",Pricing!E41)</f>
        <v/>
      </c>
      <c r="F45" s="1354" t="str">
        <f>IF(Pricing!F41="","",Pricing!F41)</f>
        <v/>
      </c>
      <c r="G45" s="1355"/>
      <c r="H45" s="742" t="str">
        <f>IF(Pricing!H41="","",Pricing!H41)</f>
        <v/>
      </c>
      <c r="I45" s="1231" t="str">
        <f>IF(Pricing!I41="","",Pricing!I41)</f>
        <v/>
      </c>
      <c r="J45" s="461">
        <v>0</v>
      </c>
      <c r="K45" s="742"/>
      <c r="L45" s="1292" t="str">
        <f>IF(Pricing!J41="","",Pricing!J41)</f>
        <v/>
      </c>
      <c r="M45" s="742" t="str">
        <f>IF(AND(Pricing!D53="Yes",Pricing!M41&lt;&gt;""),Pricing!M41,UPPER(IF(Drawing!$F$2=12,Drawing!D17,IF(Drawing!$Y$2=12,Drawing!W17,IF(Drawing!$F$25=12,Drawing!D40,IF(Drawing!$Y$25=12,Drawing!W40,IF(Drawing!$F$48=12,Drawing!D63,IF(Drawing!$Y$48=12,Drawing!W63,""))))))))</f>
        <v/>
      </c>
      <c r="N45" s="742" t="str">
        <f>IF(AND(Pricing!D53="Yes",Pricing!N41&lt;&gt;""),Pricing!N41,UPPER(IF(Drawing!$F$2=12,Drawing!D19,IF(Drawing!$Y$2=12,Drawing!W19,IF(Drawing!$F$25=12,Drawing!D42,IF(Drawing!$Y$25=12,Drawing!W42,IF(Drawing!$F$48=12,Drawing!D65,IF(Drawing!$Y$48=12,Drawing!W65,""))))))))</f>
        <v/>
      </c>
      <c r="O45" s="762" t="str">
        <f>UPPER(IF(AND(Drawing!$F$2=12,Drawing!B21="Midrail"),Drawing!D21,IF(AND(Drawing!$Y$2=12,Drawing!U21="Midrail"),Drawing!W21,IF(AND(Drawing!$F$25=12,Drawing!B44="Midrail"),Drawing!D44,IF(AND(Drawing!$Y$25=12,Drawing!U44="Midrail"),Drawing!W44,IF(AND(Drawing!$F$48=12,Drawing!B67="Midrail"),Drawing!D67,IF(AND(Drawing!$Y$48=12,Drawing!U67="Midrail"),Drawing!W67,"")))))))</f>
        <v/>
      </c>
      <c r="P45" s="1231" t="str">
        <f>UPPER(IF(AND(Drawing!$F$2=12,Drawing!B21="Split"),Drawing!D21,IF(AND(Drawing!$Y$2=12,Drawing!U21="Split"),Drawing!W21,IF(AND(Drawing!$F$25=12,Drawing!B44="Split"),Drawing!D44,IF(AND(Drawing!$Y$25=12,Drawing!U44="Split"),Drawing!W44,IF(AND(Drawing!$F$48=12,Drawing!B67="Split"),Drawing!D67,IF(AND(Drawing!$Y$48=12,Drawing!U67="Split"),Drawing!W67,"")))))))</f>
        <v/>
      </c>
      <c r="Q45" s="1272"/>
      <c r="R45" s="208" t="s">
        <v>292</v>
      </c>
      <c r="S45" s="462" t="str">
        <f>UPPER(IF(Drawing!$F$2=12,Drawing!AW5,IF(Drawing!$Y$2=12,Drawing!AC17,IF(Drawing!$F$25=12,Drawing!J40,IF(Drawing!$Y$25=12,Drawing!AC40,IF(Drawing!$F$48=12,Drawing!J63,IF(Drawing!$Y$48=12,Drawing!AC63,IF(Pricing!R41="","",Pricing!R41))))))))</f>
        <v/>
      </c>
      <c r="T45" s="462" t="str">
        <f>UPPER(IF(Drawing!$F$2=12,Drawing!AX5,IF(Drawing!$Y$2=12,Drawing!AD17,IF(Drawing!$F$25=12,Drawing!K40,IF(Drawing!$Y$25=12,Drawing!AD40,IF(Drawing!$F$48=12,Drawing!K63,IF(Drawing!$Y$48=12,Drawing!AD63,IF(Pricing!S41="","",Pricing!S41))))))))</f>
        <v/>
      </c>
      <c r="U45" s="462" t="str">
        <f>UPPER(IF(Drawing!$F$2=12,Drawing!AY5,IF(Drawing!$Y$2=12,Drawing!AE17,IF(Drawing!$F$25=12,Drawing!L40,IF(Drawing!$Y$25=12,Drawing!AE40,IF(Drawing!$F$48=12,Drawing!L63,IF(Drawing!$Y$48=12,Drawing!AE63,IF(Pricing!T41="","",Pricing!T41))))))))</f>
        <v/>
      </c>
      <c r="V45" s="462" t="str">
        <f>UPPER(IF(Drawing!$F$2=12,Drawing!AZ5,IF(Drawing!$Y$2=12,Drawing!AF17,IF(Drawing!$F$25=12,Drawing!M40,IF(Drawing!$Y$25=12,Drawing!AF40,IF(Drawing!$F$48=12,Drawing!M63,IF(Drawing!$Y$48=12,Drawing!AF63,IF(Pricing!U41="","",Pricing!U41))))))))</f>
        <v/>
      </c>
      <c r="W45" s="462" t="str">
        <f>UPPER(IF(Drawing!$F$2=12,Drawing!BA5,IF(Drawing!$Y$2=12,Drawing!AG17,IF(Drawing!$F$25=12,Drawing!N40,IF(Drawing!$Y$25=12,Drawing!AG40,IF(Drawing!$F$48=12,Drawing!N63,IF(Drawing!$Y$48=12,Drawing!AG63,IF(Pricing!V41="","",Pricing!V41))))))))</f>
        <v/>
      </c>
      <c r="X45" s="462" t="str">
        <f>UPPER(IF(Drawing!$F$2=12,Drawing!BB5,IF(Drawing!$Y$2=12,Drawing!AH17,IF(Drawing!$F$25=12,Drawing!O40,IF(Drawing!$Y$25=12,Drawing!AH40,IF(Drawing!$F$48=12,Drawing!O63,IF(Drawing!$Y$48=12,Drawing!AH63,IF(Pricing!W41="","",Pricing!W41))))))))</f>
        <v/>
      </c>
      <c r="Y45" s="462" t="str">
        <f>UPPER(IF(Drawing!$F$2=12,Drawing!BC5,IF(Drawing!$Y$2=12,Drawing!AI17,IF(Drawing!$F$25=12,Drawing!P40,IF(Drawing!$Y$25=12,Drawing!AI40,IF(Drawing!$F$48=12,Drawing!P63,IF(Drawing!$Y$48=12,Drawing!AI63,IF(Pricing!X41="","",Pricing!X41))))))))</f>
        <v/>
      </c>
      <c r="Z45" s="462" t="str">
        <f>UPPER(IF(Drawing!$F$2=12,Drawing!BD5,IF(Drawing!$Y$2=12,Drawing!AJ17,IF(Drawing!$F$25=12,Drawing!Q40,IF(Drawing!$Y$25=12,Drawing!AJ40,IF(Drawing!$F$48=12,Drawing!Q63,IF(Drawing!$Y$48=12,Drawing!AJ63,IF(Pricing!Y41="","",Pricing!Y41))))))))</f>
        <v/>
      </c>
      <c r="AA45" s="462" t="str">
        <f>UPPER(IF(Drawing!$F$2=12,Drawing!BE5,IF(Drawing!$Y$2=12,Drawing!AK17,IF(Drawing!$F$25=12,Drawing!R40,IF(Drawing!$Y$25=12,Drawing!AK40,IF(Drawing!$F$48=12,Drawing!R63,IF(Drawing!$Y$48=12,Drawing!AK63,IF(Pricing!Z41="","",Pricing!Z41))))))))</f>
        <v/>
      </c>
      <c r="AB45" s="462" t="str">
        <f>UPPER(IF(Drawing!$F$2=12,Drawing!BF5,IF(Drawing!$Y$2=12,Drawing!AL17,IF(Drawing!$F$25=12,Drawing!S40,IF(Drawing!$Y$25=12,Drawing!AL40,IF(Drawing!$F$48=12,Drawing!S63,IF(Drawing!$Y$48=12,Drawing!AL63,IF(Pricing!AA41="","",Pricing!AA41))))))))</f>
        <v/>
      </c>
      <c r="AC45" s="462" t="str">
        <f>UPPER(IF(Drawing!$F$2=12,Drawing!BG5,IF(Drawing!$Y$2=12,Drawing!AM17,IF(Drawing!$F$25=12,Drawing!T40,IF(Drawing!$Y$25=12,Drawing!AM40,IF(Drawing!$F$48=12,Drawing!T63,IF(Drawing!$Y$48=12,Drawing!AM63,IF(Pricing!AB41="","",Pricing!AB41))))))))</f>
        <v/>
      </c>
      <c r="AD45" s="463" t="str">
        <f>IF(Pricing!AE41="Quoted","Q","")</f>
        <v/>
      </c>
      <c r="AE45" s="491" t="s">
        <v>30</v>
      </c>
      <c r="AF45" s="14">
        <f>COUNTIF(S45:AC45,"(T)")</f>
        <v>0</v>
      </c>
      <c r="AG45" s="14" t="b">
        <f>OR(COUNTIF(S45:AC45,"*(B)*"),COUNTIF(S45:AC45,"*(CB)*"))</f>
        <v>0</v>
      </c>
      <c r="AH45" s="502" t="s">
        <v>290</v>
      </c>
      <c r="AI45" s="498" t="s">
        <v>291</v>
      </c>
    </row>
    <row r="46" spans="2:35">
      <c r="B46" s="774"/>
      <c r="C46" s="464" t="str">
        <f>IF(Pricing!C42="","",Pricing!C42)</f>
        <v/>
      </c>
      <c r="D46" s="1341"/>
      <c r="E46" s="1341"/>
      <c r="F46" s="745" t="str">
        <f>IF(AND(D45="Shape",E45="Capri"),"Select Raked / Radius",IF(AND(E45="Bermuda",F45="Custom Colour"),"Not Black",IF(AND(E45="Cuba",F45="Custom Colour"),"Solid Colours Only",IF(AND(E45="Java",F45="Custom Colour"),"Solid (no Black)",IF(D45="S/Shade","Note Shade Colour",IF(Pricing!F42="","",Pricing!F42))))))</f>
        <v/>
      </c>
      <c r="G46" s="744"/>
      <c r="H46" s="742"/>
      <c r="I46" s="762"/>
      <c r="J46" s="1273"/>
      <c r="K46" s="742"/>
      <c r="L46" s="1293"/>
      <c r="M46" s="742"/>
      <c r="N46" s="742"/>
      <c r="O46" s="762"/>
      <c r="P46" s="762"/>
      <c r="Q46" s="1273"/>
      <c r="R46" s="208" t="s">
        <v>293</v>
      </c>
      <c r="S46" s="465" t="str">
        <f>UPPER(IF(Drawing!$F$2=12,Drawing!J18,IF(Drawing!$Y$2=12,Drawing!AC18,IF(Drawing!$F$25=12,Drawing!J40,IF(Drawing!$Y$25=12,Drawing!AC41,IF(Drawing!$F$48=12,Drawing!J63,IF(Drawing!$Y$48=12,Drawing!AC63,"")))))))</f>
        <v/>
      </c>
      <c r="T46" s="465" t="str">
        <f>UPPER(IF(Drawing!$F$2=12,Drawing!K18,IF(Drawing!$Y$2=12,Drawing!AD18,IF(Drawing!$F$25=12,Drawing!K40,IF(Drawing!$Y$25=12,Drawing!AD41,IF(Drawing!$F$48=12,Drawing!K63,IF(Drawing!$Y$48=12,Drawing!AD63,"")))))))</f>
        <v/>
      </c>
      <c r="U46" s="465" t="str">
        <f>UPPER(IF(Drawing!$F$2=12,Drawing!L18,IF(Drawing!$Y$2=12,Drawing!AE18,IF(Drawing!$F$25=12,Drawing!L40,IF(Drawing!$Y$25=12,Drawing!AE41,IF(Drawing!$F$48=12,Drawing!L63,IF(Drawing!$Y$48=12,Drawing!AE63,"")))))))</f>
        <v/>
      </c>
      <c r="V46" s="465" t="str">
        <f>UPPER(IF(Drawing!$F$2=12,Drawing!M18,IF(Drawing!$Y$2=12,Drawing!AF18,IF(Drawing!$F$25=12,Drawing!M40,IF(Drawing!$Y$25=12,Drawing!AF41,IF(Drawing!$F$48=12,Drawing!M63,IF(Drawing!$Y$48=12,Drawing!AF63,"")))))))</f>
        <v/>
      </c>
      <c r="W46" s="465" t="str">
        <f>UPPER(IF(Drawing!$F$2=12,Drawing!N18,IF(Drawing!$Y$2=12,Drawing!AG18,IF(Drawing!$F$25=12,Drawing!N40,IF(Drawing!$Y$25=12,Drawing!AG41,IF(Drawing!$F$48=12,Drawing!N63,IF(Drawing!$Y$48=12,Drawing!AG63,"")))))))</f>
        <v/>
      </c>
      <c r="X46" s="465" t="str">
        <f>UPPER(IF(Drawing!$F$2=12,Drawing!O18,IF(Drawing!$Y$2=12,Drawing!AH18,IF(Drawing!$F$25=12,Drawing!O40,IF(Drawing!$Y$25=12,Drawing!AH41,IF(Drawing!$F$48=12,Drawing!O63,IF(Drawing!$Y$48=12,Drawing!AH63,"")))))))</f>
        <v/>
      </c>
      <c r="Y46" s="465" t="str">
        <f>UPPER(IF(Drawing!$F$2=12,Drawing!P18,IF(Drawing!$Y$2=12,Drawing!AI18,IF(Drawing!$F$25=12,Drawing!P40,IF(Drawing!$Y$25=12,Drawing!AI41,IF(Drawing!$F$48=12,Drawing!P63,IF(Drawing!$Y$48=12,Drawing!AI63,"")))))))</f>
        <v/>
      </c>
      <c r="Z46" s="465" t="str">
        <f>UPPER(IF(Drawing!$F$2=12,Drawing!Q18,IF(Drawing!$Y$2=12,Drawing!AJ18,IF(Drawing!$F$25=12,Drawing!Q40,IF(Drawing!$Y$25=12,Drawing!AJ41,IF(Drawing!$F$48=12,Drawing!Q63,IF(Drawing!$Y$48=12,Drawing!AJ63,"")))))))</f>
        <v/>
      </c>
      <c r="AA46" s="465" t="str">
        <f>UPPER(IF(Drawing!$F$2=12,Drawing!R18,IF(Drawing!$Y$2=12,Drawing!AK18,IF(Drawing!$F$25=12,Drawing!R40,IF(Drawing!$Y$25=12,Drawing!AK41,IF(Drawing!$F$48=12,Drawing!R63,IF(Drawing!$Y$48=12,Drawing!AK63,"")))))))</f>
        <v/>
      </c>
      <c r="AB46" s="465" t="str">
        <f>UPPER(IF(Drawing!$F$2=12,Drawing!S18,IF(Drawing!$Y$2=12,Drawing!AL18,IF(Drawing!$F$25=12,Drawing!S40,IF(Drawing!$Y$25=12,Drawing!AL41,IF(Drawing!$F$48=12,Drawing!S63,IF(Drawing!$Y$48=12,Drawing!AL63,"")))))))</f>
        <v/>
      </c>
      <c r="AC46" s="228" t="s">
        <v>28</v>
      </c>
      <c r="AD46" s="465" t="s">
        <v>294</v>
      </c>
      <c r="AE46" s="1270">
        <f>IF(ISERROR(M45*N45/1000000),,M45*N45/1000000)</f>
        <v>0</v>
      </c>
      <c r="AH46" s="1233" t="s">
        <v>47</v>
      </c>
      <c r="AI46" s="1259" t="s">
        <v>47</v>
      </c>
    </row>
    <row r="47" spans="2:35" ht="15" thickBot="1">
      <c r="B47" s="774"/>
      <c r="C47" s="466" t="str">
        <f>IF(Pricing!C43="","",Pricing!C43)</f>
        <v/>
      </c>
      <c r="D47" s="1344"/>
      <c r="E47" s="1344"/>
      <c r="F47" s="467" t="s">
        <v>31</v>
      </c>
      <c r="G47" s="467" t="str">
        <f>IF(Pricing!G43="","",Pricing!G43)</f>
        <v/>
      </c>
      <c r="H47" s="743"/>
      <c r="I47" s="763"/>
      <c r="J47" s="1285"/>
      <c r="K47" s="743"/>
      <c r="L47" s="1294"/>
      <c r="M47" s="743"/>
      <c r="N47" s="743"/>
      <c r="O47" s="534" t="s">
        <v>77</v>
      </c>
      <c r="P47" s="763"/>
      <c r="Q47" s="468" t="s">
        <v>77</v>
      </c>
      <c r="R47" s="468" t="s">
        <v>295</v>
      </c>
      <c r="S47" s="1351" t="str">
        <f>IF(Pricing!R43="","",Pricing!R43)</f>
        <v/>
      </c>
      <c r="T47" s="1352"/>
      <c r="U47" s="1352"/>
      <c r="V47" s="1352"/>
      <c r="W47" s="1352"/>
      <c r="X47" s="1352"/>
      <c r="Y47" s="1352"/>
      <c r="Z47" s="1352"/>
      <c r="AA47" s="1352"/>
      <c r="AB47" s="1352"/>
      <c r="AC47" s="1353"/>
      <c r="AD47" s="469"/>
      <c r="AE47" s="1271"/>
      <c r="AH47" s="1234"/>
      <c r="AI47" s="1260"/>
    </row>
    <row r="48" spans="2:35" ht="14.45" customHeight="1">
      <c r="B48" s="774">
        <v>13</v>
      </c>
      <c r="C48" s="156" t="str">
        <f>IF(Pricing!C44="","",Pricing!C44)</f>
        <v/>
      </c>
      <c r="D48" s="1250" t="str">
        <f>IF(Pricing!D44="","",Pricing!D44)</f>
        <v/>
      </c>
      <c r="E48" s="1250" t="str">
        <f>IF(Pricing!E44="","",Pricing!E44)</f>
        <v/>
      </c>
      <c r="F48" s="1359" t="str">
        <f>IF(Pricing!F44="","",Pricing!F44)</f>
        <v/>
      </c>
      <c r="G48" s="1360"/>
      <c r="H48" s="1252" t="str">
        <f>IF(Pricing!H44="","",Pricing!H44)</f>
        <v/>
      </c>
      <c r="I48" s="1254" t="str">
        <f>IF(Pricing!I44="","",Pricing!I44)</f>
        <v/>
      </c>
      <c r="J48" s="22">
        <v>0</v>
      </c>
      <c r="K48" s="1252"/>
      <c r="L48" s="1295" t="str">
        <f>IF(Pricing!J44="","",Pricing!J44)</f>
        <v/>
      </c>
      <c r="M48" s="1252" t="str">
        <f>IF(AND(Pricing!D53="Yes",Pricing!M44&lt;&gt;""),Pricing!M44,UPPER(IF(Drawing!$F$2=13,Drawing!D17,IF(Drawing!$Y$2=13,Drawing!W17,IF(Drawing!$F$25=13,Drawing!D40,IF(Drawing!$Y$25=13,Drawing!W40,IF(Drawing!$F$48=13,Drawing!D63,IF(Drawing!$Y$48=13,Drawing!W63,""))))))))</f>
        <v/>
      </c>
      <c r="N48" s="1252" t="str">
        <f>IF(AND(Pricing!D53="Yes",Pricing!N44&lt;&gt;""),Pricing!N44,UPPER(IF(Drawing!$F$2=13,Drawing!D19,IF(Drawing!$Y$2=13,Drawing!W19,IF(Drawing!$F$25=13,Drawing!D42,IF(Drawing!$Y$25=13,Drawing!W42,IF(Drawing!$F$48=13,Drawing!D65,IF(Drawing!$Y$48=13,Drawing!W65,""))))))))</f>
        <v/>
      </c>
      <c r="O48" s="1283" t="str">
        <f>UPPER(IF(AND(Drawing!$F$2=13,Drawing!B21="Midrail"),Drawing!D21,IF(AND(Drawing!$Y$2=13,Drawing!U21="Midrail"),Drawing!W21,IF(AND(Drawing!$F$25=13,Drawing!B44="Midrail"),Drawing!D44,IF(AND(Drawing!$Y$25=13,Drawing!U44="Midrail"),Drawing!W44,IF(AND(Drawing!$F$48=13,Drawing!B67="Midrail"),Drawing!D67,IF(AND(Drawing!$Y$48=13,Drawing!U67="Midrail"),Drawing!W67,"")))))))</f>
        <v/>
      </c>
      <c r="P48" s="1254" t="str">
        <f>UPPER(IF(AND(Drawing!$F$2=13,Drawing!B21="Split"),Drawing!D21,IF(AND(Drawing!$Y$2=13,Drawing!U21="Split"),Drawing!W21,IF(AND(Drawing!$F$25=13,Drawing!B44="Split"),Drawing!D44,IF(AND(Drawing!$Y$25=13,Drawing!U44="Split"),Drawing!W44,IF(AND(Drawing!$F$48=13,Drawing!B67="Split"),Drawing!D67,IF(AND(Drawing!$Y$48=13,Drawing!U67="Split"),Drawing!W67,"")))))))</f>
        <v/>
      </c>
      <c r="Q48" s="1275"/>
      <c r="R48" s="213" t="s">
        <v>292</v>
      </c>
      <c r="S48" s="185" t="str">
        <f>UPPER(IF(Drawing!$F$2=13,Drawing!AW5,IF(Drawing!$Y$2=13,Drawing!AC17,IF(Drawing!$F$25=13,Drawing!J40,IF(Drawing!$Y$25=13,Drawing!AC40,IF(Drawing!$F$48=13,Drawing!J63,IF(Drawing!$Y$48=13,Drawing!AC63,IF(Pricing!R44="","",Pricing!R44))))))))</f>
        <v/>
      </c>
      <c r="T48" s="185" t="str">
        <f>UPPER(IF(Drawing!$F$2=13,Drawing!AX5,IF(Drawing!$Y$2=13,Drawing!AD17,IF(Drawing!$F$25=13,Drawing!K40,IF(Drawing!$Y$25=13,Drawing!AD40,IF(Drawing!$F$48=13,Drawing!K63,IF(Drawing!$Y$48=13,Drawing!AD63,IF(Pricing!S44="","",Pricing!S44))))))))</f>
        <v/>
      </c>
      <c r="U48" s="185" t="str">
        <f>UPPER(IF(Drawing!$F$2=13,Drawing!AY5,IF(Drawing!$Y$2=13,Drawing!AE17,IF(Drawing!$F$25=13,Drawing!L40,IF(Drawing!$Y$25=13,Drawing!AE40,IF(Drawing!$F$48=13,Drawing!L63,IF(Drawing!$Y$48=13,Drawing!AE63,IF(Pricing!T44="","",Pricing!T44))))))))</f>
        <v/>
      </c>
      <c r="V48" s="185" t="str">
        <f>UPPER(IF(Drawing!$F$2=13,Drawing!AZ5,IF(Drawing!$Y$2=13,Drawing!AF17,IF(Drawing!$F$25=13,Drawing!M40,IF(Drawing!$Y$25=13,Drawing!AF40,IF(Drawing!$F$48=13,Drawing!M63,IF(Drawing!$Y$48=13,Drawing!AF63,IF(Pricing!U44="","",Pricing!U44))))))))</f>
        <v/>
      </c>
      <c r="W48" s="185" t="str">
        <f>UPPER(IF(Drawing!$F$2=13,Drawing!BA5,IF(Drawing!$Y$2=13,Drawing!AG17,IF(Drawing!$F$25=13,Drawing!N40,IF(Drawing!$Y$25=13,Drawing!AG40,IF(Drawing!$F$48=13,Drawing!N63,IF(Drawing!$Y$48=13,Drawing!AG63,IF(Pricing!V44="","",Pricing!V44))))))))</f>
        <v/>
      </c>
      <c r="X48" s="185" t="str">
        <f>UPPER(IF(Drawing!$F$2=13,Drawing!BB5,IF(Drawing!$Y$2=13,Drawing!AH17,IF(Drawing!$F$25=13,Drawing!O40,IF(Drawing!$Y$25=13,Drawing!AH40,IF(Drawing!$F$48=13,Drawing!O63,IF(Drawing!$Y$48=13,Drawing!AH63,IF(Pricing!W44="","",Pricing!W44))))))))</f>
        <v/>
      </c>
      <c r="Y48" s="185" t="str">
        <f>UPPER(IF(Drawing!$F$2=13,Drawing!BC5,IF(Drawing!$Y$2=13,Drawing!AI17,IF(Drawing!$F$25=13,Drawing!P40,IF(Drawing!$Y$25=13,Drawing!AI40,IF(Drawing!$F$48=13,Drawing!P63,IF(Drawing!$Y$48=13,Drawing!AI63,IF(Pricing!X44="","",Pricing!X44))))))))</f>
        <v/>
      </c>
      <c r="Z48" s="185" t="str">
        <f>UPPER(IF(Drawing!$F$2=13,Drawing!BD5,IF(Drawing!$Y$2=13,Drawing!AJ17,IF(Drawing!$F$25=13,Drawing!Q40,IF(Drawing!$Y$25=13,Drawing!AJ40,IF(Drawing!$F$48=13,Drawing!Q63,IF(Drawing!$Y$48=13,Drawing!AJ63,IF(Pricing!Y44="","",Pricing!Y44))))))))</f>
        <v/>
      </c>
      <c r="AA48" s="185" t="str">
        <f>UPPER(IF(Drawing!$F$2=13,Drawing!BE5,IF(Drawing!$Y$2=13,Drawing!AK17,IF(Drawing!$F$25=13,Drawing!R40,IF(Drawing!$Y$25=13,Drawing!AK40,IF(Drawing!$F$48=13,Drawing!R63,IF(Drawing!$Y$48=13,Drawing!AK63,IF(Pricing!Z44="","",Pricing!Z44))))))))</f>
        <v/>
      </c>
      <c r="AB48" s="185" t="str">
        <f>UPPER(IF(Drawing!$F$2=13,Drawing!BF5,IF(Drawing!$Y$2=13,Drawing!AL17,IF(Drawing!$F$25=13,Drawing!S40,IF(Drawing!$Y$25=13,Drawing!AL40,IF(Drawing!$F$48=13,Drawing!S63,IF(Drawing!$Y$48=13,Drawing!AL63,IF(Pricing!AA44="","",Pricing!AA44))))))))</f>
        <v/>
      </c>
      <c r="AC48" s="185" t="str">
        <f>UPPER(IF(Drawing!$F$2=13,Drawing!BG5,IF(Drawing!$Y$2=13,Drawing!AM17,IF(Drawing!$F$25=13,Drawing!T40,IF(Drawing!$Y$25=13,Drawing!AM40,IF(Drawing!$F$48=13,Drawing!T63,IF(Drawing!$Y$48=13,Drawing!AM63,IF(Pricing!AB44="","",Pricing!AB44))))))))</f>
        <v/>
      </c>
      <c r="AD48" s="215" t="str">
        <f>IF(Pricing!AE44="Quoted","Q","")</f>
        <v/>
      </c>
      <c r="AE48" s="492" t="s">
        <v>30</v>
      </c>
      <c r="AF48" s="14">
        <f>COUNTIF(S48:AC48,"(T)")</f>
        <v>0</v>
      </c>
      <c r="AG48" s="14" t="b">
        <f>OR(COUNTIF(S48:AC48,"*(B)*"),COUNTIF(S48:AC48,"*(CB)*"))</f>
        <v>0</v>
      </c>
      <c r="AH48" s="503" t="s">
        <v>290</v>
      </c>
      <c r="AI48" s="499" t="s">
        <v>291</v>
      </c>
    </row>
    <row r="49" spans="2:35">
      <c r="B49" s="774"/>
      <c r="C49" s="10" t="str">
        <f>IF(Pricing!C45="","",Pricing!C45)</f>
        <v/>
      </c>
      <c r="D49" s="1248"/>
      <c r="E49" s="1248"/>
      <c r="F49" s="683" t="str">
        <f>IF(AND(D48="Shape",E48="Capri"),"Select Raked / Radius",IF(AND(E48="Bermuda",F48="Custom Colour"),"Not Black",IF(AND(E48="Cuba",F48="Custom Colour"),"Solid Colours Only",IF(AND(E48="Java",F48="Custom Colour"),"Solid (no Black)",IF(D48="S/Shade","Note Shade Colour",IF(Pricing!F45="","",Pricing!F45))))))</f>
        <v/>
      </c>
      <c r="G49" s="682"/>
      <c r="H49" s="1252"/>
      <c r="I49" s="1255"/>
      <c r="J49" s="1276"/>
      <c r="K49" s="1252"/>
      <c r="L49" s="1280"/>
      <c r="M49" s="1252"/>
      <c r="N49" s="1252"/>
      <c r="O49" s="1283"/>
      <c r="P49" s="1255"/>
      <c r="Q49" s="1276"/>
      <c r="R49" s="213" t="s">
        <v>293</v>
      </c>
      <c r="S49" s="322" t="str">
        <f>UPPER(IF(Drawing!$F$2=13,Drawing!J18,IF(Drawing!$Y$2=13,Drawing!AC18,IF(Drawing!$F$25=13,Drawing!J40,IF(Drawing!$Y$25=13,Drawing!AC41,IF(Drawing!$F$48=13,Drawing!J63,IF(Drawing!$Y$48=13,Drawing!AC63,"")))))))</f>
        <v/>
      </c>
      <c r="T49" s="322" t="str">
        <f>UPPER(IF(Drawing!$F$2=13,Drawing!K18,IF(Drawing!$Y$2=13,Drawing!AD18,IF(Drawing!$F$25=13,Drawing!K40,IF(Drawing!$Y$25=13,Drawing!AD41,IF(Drawing!$F$48=13,Drawing!K63,IF(Drawing!$Y$48=13,Drawing!AD63,"")))))))</f>
        <v/>
      </c>
      <c r="U49" s="322" t="str">
        <f>UPPER(IF(Drawing!$F$2=13,Drawing!L18,IF(Drawing!$Y$2=13,Drawing!AE18,IF(Drawing!$F$25=13,Drawing!L40,IF(Drawing!$Y$25=13,Drawing!AE41,IF(Drawing!$F$48=13,Drawing!L63,IF(Drawing!$Y$48=13,Drawing!AE63,"")))))))</f>
        <v/>
      </c>
      <c r="V49" s="322" t="str">
        <f>UPPER(IF(Drawing!$F$2=13,Drawing!M18,IF(Drawing!$Y$2=13,Drawing!AF18,IF(Drawing!$F$25=13,Drawing!M40,IF(Drawing!$Y$25=13,Drawing!AF41,IF(Drawing!$F$48=13,Drawing!M63,IF(Drawing!$Y$48=13,Drawing!AF63,"")))))))</f>
        <v/>
      </c>
      <c r="W49" s="322" t="str">
        <f>UPPER(IF(Drawing!$F$2=13,Drawing!N18,IF(Drawing!$Y$2=13,Drawing!AG18,IF(Drawing!$F$25=13,Drawing!N40,IF(Drawing!$Y$25=13,Drawing!AG41,IF(Drawing!$F$48=13,Drawing!N63,IF(Drawing!$Y$48=13,Drawing!AG63,"")))))))</f>
        <v/>
      </c>
      <c r="X49" s="322" t="str">
        <f>UPPER(IF(Drawing!$F$2=13,Drawing!O18,IF(Drawing!$Y$2=13,Drawing!AH18,IF(Drawing!$F$25=13,Drawing!O40,IF(Drawing!$Y$25=13,Drawing!AH41,IF(Drawing!$F$48=13,Drawing!O63,IF(Drawing!$Y$48=13,Drawing!AH63,"")))))))</f>
        <v/>
      </c>
      <c r="Y49" s="322" t="str">
        <f>UPPER(IF(Drawing!$F$2=13,Drawing!P18,IF(Drawing!$Y$2=13,Drawing!AI18,IF(Drawing!$F$25=13,Drawing!P40,IF(Drawing!$Y$25=13,Drawing!AI41,IF(Drawing!$F$48=13,Drawing!P63,IF(Drawing!$Y$48=13,Drawing!AI63,"")))))))</f>
        <v/>
      </c>
      <c r="Z49" s="322" t="str">
        <f>UPPER(IF(Drawing!$F$2=13,Drawing!Q18,IF(Drawing!$Y$2=13,Drawing!AJ18,IF(Drawing!$F$25=13,Drawing!Q40,IF(Drawing!$Y$25=13,Drawing!AJ41,IF(Drawing!$F$48=13,Drawing!Q63,IF(Drawing!$Y$48=13,Drawing!AJ63,"")))))))</f>
        <v/>
      </c>
      <c r="AA49" s="322" t="str">
        <f>UPPER(IF(Drawing!$F$2=13,Drawing!R18,IF(Drawing!$Y$2=13,Drawing!AK18,IF(Drawing!$F$25=13,Drawing!R40,IF(Drawing!$Y$25=13,Drawing!AK41,IF(Drawing!$F$48=13,Drawing!R63,IF(Drawing!$Y$48=13,Drawing!AK63,"")))))))</f>
        <v/>
      </c>
      <c r="AB49" s="322" t="str">
        <f>UPPER(IF(Drawing!$F$2=13,Drawing!S18,IF(Drawing!$Y$2=13,Drawing!AL18,IF(Drawing!$F$25=13,Drawing!S40,IF(Drawing!$Y$25=13,Drawing!AL41,IF(Drawing!$F$48=13,Drawing!S63,IF(Drawing!$Y$48=13,Drawing!AL63,"")))))))</f>
        <v/>
      </c>
      <c r="AC49" s="11" t="s">
        <v>28</v>
      </c>
      <c r="AD49" s="322" t="s">
        <v>294</v>
      </c>
      <c r="AE49" s="1268">
        <f>IF(ISERROR(M48*N48/1000000),,M48*N48/1000000)</f>
        <v>0</v>
      </c>
      <c r="AH49" s="1235" t="s">
        <v>47</v>
      </c>
      <c r="AI49" s="1257" t="s">
        <v>47</v>
      </c>
    </row>
    <row r="50" spans="2:35" ht="15" thickBot="1">
      <c r="B50" s="774"/>
      <c r="C50" s="187" t="str">
        <f>IF(Pricing!C46="","",Pricing!C46)</f>
        <v/>
      </c>
      <c r="D50" s="1249"/>
      <c r="E50" s="1249"/>
      <c r="F50" s="216" t="s">
        <v>31</v>
      </c>
      <c r="G50" s="12" t="str">
        <f>IF(Pricing!G46="","",Pricing!G46)</f>
        <v/>
      </c>
      <c r="H50" s="1253"/>
      <c r="I50" s="1256"/>
      <c r="J50" s="1305"/>
      <c r="K50" s="1253"/>
      <c r="L50" s="1281"/>
      <c r="M50" s="1253"/>
      <c r="N50" s="1253"/>
      <c r="O50" s="535" t="s">
        <v>77</v>
      </c>
      <c r="P50" s="1256"/>
      <c r="Q50" s="24" t="s">
        <v>77</v>
      </c>
      <c r="R50" s="24" t="s">
        <v>295</v>
      </c>
      <c r="S50" s="1241" t="str">
        <f>IF(Pricing!R46="","",Pricing!R46)</f>
        <v/>
      </c>
      <c r="T50" s="1242"/>
      <c r="U50" s="1242"/>
      <c r="V50" s="1242"/>
      <c r="W50" s="1242"/>
      <c r="X50" s="1242"/>
      <c r="Y50" s="1242"/>
      <c r="Z50" s="1242"/>
      <c r="AA50" s="1242"/>
      <c r="AB50" s="1242"/>
      <c r="AC50" s="1358"/>
      <c r="AD50" s="203"/>
      <c r="AE50" s="1269"/>
      <c r="AH50" s="1236"/>
      <c r="AI50" s="1258"/>
    </row>
    <row r="51" spans="2:35" ht="14.45" customHeight="1">
      <c r="B51" s="774">
        <v>14</v>
      </c>
      <c r="C51" s="464" t="str">
        <f>IF(Pricing!C47="","",Pricing!C47)</f>
        <v/>
      </c>
      <c r="D51" s="1232" t="str">
        <f>IF(Pricing!D47="","",Pricing!D47)</f>
        <v/>
      </c>
      <c r="E51" s="1232" t="str">
        <f>IF(Pricing!E47="","",Pricing!E47)</f>
        <v/>
      </c>
      <c r="F51" s="1354" t="str">
        <f>IF(Pricing!F47="","",Pricing!F47)</f>
        <v/>
      </c>
      <c r="G51" s="1355"/>
      <c r="H51" s="742" t="str">
        <f>IF(Pricing!H47="","",Pricing!H47)</f>
        <v/>
      </c>
      <c r="I51" s="1231" t="str">
        <f>IF(Pricing!I47="","",Pricing!I47)</f>
        <v/>
      </c>
      <c r="J51" s="461">
        <v>0</v>
      </c>
      <c r="K51" s="742"/>
      <c r="L51" s="1292" t="str">
        <f>IF(Pricing!J47="","",Pricing!J47)</f>
        <v/>
      </c>
      <c r="M51" s="742" t="str">
        <f>IF(AND(Pricing!D53="Yes",Pricing!M47&lt;&gt;""),Pricing!M47,UPPER(IF(Drawing!$F$2=14,Drawing!D17,IF(Drawing!$Y$2=14,Drawing!W17,IF(Drawing!$F$25=14,Drawing!D40,IF(Drawing!$Y$25=14,Drawing!W40,IF(Drawing!$F$48=14,Drawing!D63,IF(Drawing!$Y$48=14,Drawing!W63,""))))))))</f>
        <v/>
      </c>
      <c r="N51" s="742" t="str">
        <f>IF(AND(Pricing!D53="Yes",Pricing!N47&lt;&gt;""),Pricing!N47,UPPER(IF(Drawing!$F$2=14,Drawing!D19,IF(Drawing!$Y$2=14,Drawing!W19,IF(Drawing!$F$25=14,Drawing!D42,IF(Drawing!$Y$25=14,Drawing!W42,IF(Drawing!$F$48=14,Drawing!D65,IF(Drawing!$Y$48=14,Drawing!W65,""))))))))</f>
        <v/>
      </c>
      <c r="O51" s="762" t="str">
        <f>UPPER(IF(AND(Drawing!$F$2=14,Drawing!B21="Midrail"),Drawing!D21,IF(AND(Drawing!$Y$2=14,Drawing!U21="Midrail"),Drawing!W21,IF(AND(Drawing!$F$25=14,Drawing!B44="Midrail"),Drawing!D44,IF(AND(Drawing!$Y$25=14,Drawing!U44="Midrail"),Drawing!W44,IF(AND(Drawing!$F$48=14,Drawing!B67="Midrail"),Drawing!D67,IF(AND(Drawing!$Y$48=14,Drawing!U67="Midrail"),Drawing!W67,"")))))))</f>
        <v/>
      </c>
      <c r="P51" s="1231" t="str">
        <f>UPPER(IF(AND(Drawing!$F$2=14,Drawing!B21="Split"),Drawing!D21,IF(AND(Drawing!$Y$2=14,Drawing!U21="Split"),Drawing!W21,IF(AND(Drawing!$F$25=14,Drawing!B44="Split"),Drawing!D44,IF(AND(Drawing!$Y$25=14,Drawing!U44="Split"),Drawing!W44,IF(AND(Drawing!$F$48=14,Drawing!B67="Split"),Drawing!D67,IF(AND(Drawing!$Y$48=14,Drawing!U67="Split"),Drawing!W67,"")))))))</f>
        <v/>
      </c>
      <c r="Q51" s="1272"/>
      <c r="R51" s="208" t="s">
        <v>292</v>
      </c>
      <c r="S51" s="462" t="str">
        <f>UPPER(IF(Drawing!$F$2=14,Drawing!AW5,IF(Drawing!$Y$2=14,Drawing!AC17,IF(Drawing!$F$25=14,Drawing!J40,IF(Drawing!$Y$25=14,Drawing!AC40,IF(Drawing!$F$48=14,Drawing!J63,IF(Drawing!$Y$48=14,Drawing!AC63,IF(Pricing!R47="","",Pricing!R47))))))))</f>
        <v/>
      </c>
      <c r="T51" s="462" t="str">
        <f>UPPER(IF(Drawing!$F$2=14,Drawing!AX5,IF(Drawing!$Y$2=14,Drawing!AD17,IF(Drawing!$F$25=14,Drawing!K40,IF(Drawing!$Y$25=14,Drawing!AD40,IF(Drawing!$F$48=14,Drawing!K63,IF(Drawing!$Y$48=14,Drawing!AD63,IF(Pricing!S47="","",Pricing!S47))))))))</f>
        <v/>
      </c>
      <c r="U51" s="462" t="str">
        <f>UPPER(IF(Drawing!$F$2=14,Drawing!AY5,IF(Drawing!$Y$2=14,Drawing!AE17,IF(Drawing!$F$25=14,Drawing!L40,IF(Drawing!$Y$25=14,Drawing!AE40,IF(Drawing!$F$48=14,Drawing!L63,IF(Drawing!$Y$48=14,Drawing!AE63,IF(Pricing!T47="","",Pricing!T47))))))))</f>
        <v/>
      </c>
      <c r="V51" s="462" t="str">
        <f>UPPER(IF(Drawing!$F$2=14,Drawing!AZ5,IF(Drawing!$Y$2=14,Drawing!AF17,IF(Drawing!$F$25=14,Drawing!M40,IF(Drawing!$Y$25=14,Drawing!AF40,IF(Drawing!$F$48=14,Drawing!M63,IF(Drawing!$Y$48=14,Drawing!AF63,IF(Pricing!U47="","",Pricing!U47))))))))</f>
        <v/>
      </c>
      <c r="W51" s="462" t="str">
        <f>UPPER(IF(Drawing!$F$2=14,Drawing!BA5,IF(Drawing!$Y$2=14,Drawing!AG17,IF(Drawing!$F$25=14,Drawing!N40,IF(Drawing!$Y$25=14,Drawing!AG40,IF(Drawing!$F$48=14,Drawing!N63,IF(Drawing!$Y$48=14,Drawing!AG63,IF(Pricing!V47="","",Pricing!V47))))))))</f>
        <v/>
      </c>
      <c r="X51" s="462" t="str">
        <f>UPPER(IF(Drawing!$F$2=14,Drawing!BB5,IF(Drawing!$Y$2=14,Drawing!AH17,IF(Drawing!$F$25=14,Drawing!O40,IF(Drawing!$Y$25=14,Drawing!AH40,IF(Drawing!$F$48=14,Drawing!O63,IF(Drawing!$Y$48=14,Drawing!AH63,IF(Pricing!W47="","",Pricing!W47))))))))</f>
        <v/>
      </c>
      <c r="Y51" s="462" t="str">
        <f>UPPER(IF(Drawing!$F$2=14,Drawing!BC5,IF(Drawing!$Y$2=14,Drawing!AI17,IF(Drawing!$F$25=14,Drawing!P40,IF(Drawing!$Y$25=14,Drawing!AI40,IF(Drawing!$F$48=14,Drawing!P63,IF(Drawing!$Y$48=14,Drawing!AI63,IF(Pricing!X47="","",Pricing!X47))))))))</f>
        <v/>
      </c>
      <c r="Z51" s="462" t="str">
        <f>UPPER(IF(Drawing!$F$2=14,Drawing!BD5,IF(Drawing!$Y$2=14,Drawing!AJ17,IF(Drawing!$F$25=14,Drawing!Q40,IF(Drawing!$Y$25=14,Drawing!AJ40,IF(Drawing!$F$48=14,Drawing!Q63,IF(Drawing!$Y$48=14,Drawing!AJ63,IF(Pricing!Y47="","",Pricing!Y47))))))))</f>
        <v/>
      </c>
      <c r="AA51" s="462" t="str">
        <f>UPPER(IF(Drawing!$F$2=14,Drawing!BE5,IF(Drawing!$Y$2=14,Drawing!AK17,IF(Drawing!$F$25=14,Drawing!R40,IF(Drawing!$Y$25=14,Drawing!AK40,IF(Drawing!$F$48=14,Drawing!R63,IF(Drawing!$Y$48=14,Drawing!AK63,IF(Pricing!Z47="","",Pricing!Z47))))))))</f>
        <v/>
      </c>
      <c r="AB51" s="462" t="str">
        <f>UPPER(IF(Drawing!$F$2=14,Drawing!BF5,IF(Drawing!$Y$2=14,Drawing!AL17,IF(Drawing!$F$25=14,Drawing!S40,IF(Drawing!$Y$25=14,Drawing!AL40,IF(Drawing!$F$48=14,Drawing!S63,IF(Drawing!$Y$48=14,Drawing!AL63,IF(Pricing!AA47="","",Pricing!AA47))))))))</f>
        <v/>
      </c>
      <c r="AC51" s="462" t="str">
        <f>UPPER(IF(Drawing!$F$2=14,Drawing!BG5,IF(Drawing!$Y$2=14,Drawing!AM17,IF(Drawing!$F$25=14,Drawing!T40,IF(Drawing!$Y$25=14,Drawing!AM40,IF(Drawing!$F$48=14,Drawing!T63,IF(Drawing!$Y$48=14,Drawing!AM63,IF(Pricing!AB47="","",Pricing!AB47))))))))</f>
        <v/>
      </c>
      <c r="AD51" s="463" t="str">
        <f>IF(Pricing!AE47="Quoted","Q","")</f>
        <v/>
      </c>
      <c r="AE51" s="491" t="s">
        <v>30</v>
      </c>
      <c r="AF51" s="14">
        <f>COUNTIF(S51:AC51,"(T)")</f>
        <v>0</v>
      </c>
      <c r="AG51" s="14" t="b">
        <f>OR(COUNTIF(S51:AC51,"*(B)*"),COUNTIF(S51:AC51,"*(CB)*"))</f>
        <v>0</v>
      </c>
      <c r="AH51" s="502" t="s">
        <v>290</v>
      </c>
      <c r="AI51" s="498" t="s">
        <v>291</v>
      </c>
    </row>
    <row r="52" spans="2:35">
      <c r="B52" s="774"/>
      <c r="C52" s="464" t="str">
        <f>IF(Pricing!C48="","",Pricing!C48)</f>
        <v/>
      </c>
      <c r="D52" s="1341"/>
      <c r="E52" s="1341"/>
      <c r="F52" s="745" t="str">
        <f>IF(AND(D51="Shape",E51="Capri"),"Select Raked / Radius",IF(AND(E51="Bermuda",F51="Custom Colour"),"Not Black",IF(AND(E51="Cuba",F51="Custom Colour"),"Solid Colours Only",IF(AND(E51="Java",F51="Custom Colour"),"Solid (no Black)",IF(D51="S/Shade","Note Shade Colour",IF(Pricing!F48="","",Pricing!F48))))))</f>
        <v/>
      </c>
      <c r="G52" s="744"/>
      <c r="H52" s="742"/>
      <c r="I52" s="762"/>
      <c r="J52" s="1273"/>
      <c r="K52" s="742"/>
      <c r="L52" s="1293"/>
      <c r="M52" s="742"/>
      <c r="N52" s="742"/>
      <c r="O52" s="762"/>
      <c r="P52" s="762"/>
      <c r="Q52" s="1273"/>
      <c r="R52" s="208" t="s">
        <v>293</v>
      </c>
      <c r="S52" s="465" t="str">
        <f>UPPER(IF(Drawing!$F$2=14,Drawing!J18,IF(Drawing!$Y$2=14,Drawing!AC18,IF(Drawing!$F$25=14,Drawing!J40,IF(Drawing!$Y$25=14,Drawing!AC41,IF(Drawing!$F$48=14,Drawing!J63,IF(Drawing!$Y$48=14,Drawing!AC63,"")))))))</f>
        <v/>
      </c>
      <c r="T52" s="465" t="str">
        <f>UPPER(IF(Drawing!$F$2=14,Drawing!K18,IF(Drawing!$Y$2=14,Drawing!AD18,IF(Drawing!$F$25=14,Drawing!K40,IF(Drawing!$Y$25=14,Drawing!AD41,IF(Drawing!$F$48=14,Drawing!K63,IF(Drawing!$Y$48=14,Drawing!AD63,"")))))))</f>
        <v/>
      </c>
      <c r="U52" s="465" t="str">
        <f>UPPER(IF(Drawing!$F$2=14,Drawing!L18,IF(Drawing!$Y$2=14,Drawing!AE18,IF(Drawing!$F$25=14,Drawing!L40,IF(Drawing!$Y$25=14,Drawing!AE41,IF(Drawing!$F$48=14,Drawing!L63,IF(Drawing!$Y$48=14,Drawing!AE63,"")))))))</f>
        <v/>
      </c>
      <c r="V52" s="465" t="str">
        <f>UPPER(IF(Drawing!$F$2=14,Drawing!M18,IF(Drawing!$Y$2=14,Drawing!AF18,IF(Drawing!$F$25=14,Drawing!M40,IF(Drawing!$Y$25=14,Drawing!AF41,IF(Drawing!$F$48=14,Drawing!M63,IF(Drawing!$Y$48=14,Drawing!AF63,"")))))))</f>
        <v/>
      </c>
      <c r="W52" s="465" t="str">
        <f>UPPER(IF(Drawing!$F$2=14,Drawing!N18,IF(Drawing!$Y$2=14,Drawing!AG18,IF(Drawing!$F$25=14,Drawing!N40,IF(Drawing!$Y$25=14,Drawing!AG41,IF(Drawing!$F$48=14,Drawing!N63,IF(Drawing!$Y$48=14,Drawing!AG63,"")))))))</f>
        <v/>
      </c>
      <c r="X52" s="465" t="str">
        <f>UPPER(IF(Drawing!$F$2=14,Drawing!O18,IF(Drawing!$Y$2=14,Drawing!AH18,IF(Drawing!$F$25=14,Drawing!O40,IF(Drawing!$Y$25=14,Drawing!AH41,IF(Drawing!$F$48=14,Drawing!O63,IF(Drawing!$Y$48=14,Drawing!AH63,"")))))))</f>
        <v/>
      </c>
      <c r="Y52" s="465" t="str">
        <f>UPPER(IF(Drawing!$F$2=14,Drawing!P18,IF(Drawing!$Y$2=14,Drawing!AI18,IF(Drawing!$F$25=14,Drawing!P40,IF(Drawing!$Y$25=14,Drawing!AI41,IF(Drawing!$F$48=14,Drawing!P63,IF(Drawing!$Y$48=14,Drawing!AI63,"")))))))</f>
        <v/>
      </c>
      <c r="Z52" s="465" t="str">
        <f>UPPER(IF(Drawing!$F$2=14,Drawing!Q18,IF(Drawing!$Y$2=14,Drawing!AJ18,IF(Drawing!$F$25=14,Drawing!Q40,IF(Drawing!$Y$25=14,Drawing!AJ41,IF(Drawing!$F$48=14,Drawing!Q63,IF(Drawing!$Y$48=14,Drawing!AJ63,"")))))))</f>
        <v/>
      </c>
      <c r="AA52" s="465" t="str">
        <f>UPPER(IF(Drawing!$F$2=14,Drawing!R18,IF(Drawing!$Y$2=14,Drawing!AK18,IF(Drawing!$F$25=14,Drawing!R40,IF(Drawing!$Y$25=14,Drawing!AK41,IF(Drawing!$F$48=14,Drawing!R63,IF(Drawing!$Y$48=14,Drawing!AK63,"")))))))</f>
        <v/>
      </c>
      <c r="AB52" s="465" t="str">
        <f>UPPER(IF(Drawing!$F$2=14,Drawing!S18,IF(Drawing!$Y$2=14,Drawing!AL18,IF(Drawing!$F$25=14,Drawing!S40,IF(Drawing!$Y$25=14,Drawing!AL41,IF(Drawing!$F$48=14,Drawing!S63,IF(Drawing!$Y$48=14,Drawing!AL63,"")))))))</f>
        <v/>
      </c>
      <c r="AC52" s="228" t="s">
        <v>28</v>
      </c>
      <c r="AD52" s="465" t="s">
        <v>294</v>
      </c>
      <c r="AE52" s="1270">
        <f>IF(ISERROR(M51*N51/1000000),,M51*N51/1000000)</f>
        <v>0</v>
      </c>
      <c r="AH52" s="1233" t="s">
        <v>47</v>
      </c>
      <c r="AI52" s="1259" t="s">
        <v>47</v>
      </c>
    </row>
    <row r="53" spans="2:35" ht="15" thickBot="1">
      <c r="B53" s="774"/>
      <c r="C53" s="470" t="str">
        <f>IF(Pricing!C49="","",Pricing!C49)</f>
        <v/>
      </c>
      <c r="D53" s="1342"/>
      <c r="E53" s="1342"/>
      <c r="F53" s="473" t="s">
        <v>31</v>
      </c>
      <c r="G53" s="467" t="str">
        <f>IF(Pricing!G49="","",Pricing!G49)</f>
        <v/>
      </c>
      <c r="H53" s="743"/>
      <c r="I53" s="763"/>
      <c r="J53" s="1285"/>
      <c r="K53" s="743"/>
      <c r="L53" s="1294"/>
      <c r="M53" s="743"/>
      <c r="N53" s="743"/>
      <c r="O53" s="534" t="s">
        <v>77</v>
      </c>
      <c r="P53" s="763"/>
      <c r="Q53" s="468" t="s">
        <v>77</v>
      </c>
      <c r="R53" s="468" t="s">
        <v>295</v>
      </c>
      <c r="S53" s="1351" t="str">
        <f>IF(Pricing!R49="","",Pricing!R49)</f>
        <v/>
      </c>
      <c r="T53" s="1352"/>
      <c r="U53" s="1352"/>
      <c r="V53" s="1352"/>
      <c r="W53" s="1352"/>
      <c r="X53" s="1352"/>
      <c r="Y53" s="1352"/>
      <c r="Z53" s="1352"/>
      <c r="AA53" s="1352"/>
      <c r="AB53" s="1352"/>
      <c r="AC53" s="1353"/>
      <c r="AD53" s="469"/>
      <c r="AE53" s="1271"/>
      <c r="AH53" s="1234"/>
      <c r="AI53" s="1260"/>
    </row>
    <row r="54" spans="2:35" ht="14.45" customHeight="1">
      <c r="B54" s="774">
        <v>15</v>
      </c>
      <c r="C54" s="10" t="str">
        <f>IF(Pricing!C50="","",Pricing!C50)</f>
        <v/>
      </c>
      <c r="D54" s="1255" t="str">
        <f>IF(Pricing!D50="","",Pricing!D50)</f>
        <v/>
      </c>
      <c r="E54" s="1254" t="str">
        <f>IF(Pricing!E50="","",Pricing!E50)</f>
        <v/>
      </c>
      <c r="F54" s="1356" t="str">
        <f>IF(Pricing!F50="","",Pricing!F50)</f>
        <v/>
      </c>
      <c r="G54" s="1357"/>
      <c r="H54" s="1364" t="str">
        <f>IF(Pricing!H50="","",Pricing!H50)</f>
        <v/>
      </c>
      <c r="I54" s="1254" t="str">
        <f>IF(Pricing!I50="","",Pricing!I50)</f>
        <v/>
      </c>
      <c r="J54" s="493">
        <v>0</v>
      </c>
      <c r="K54" s="1364"/>
      <c r="L54" s="1295" t="str">
        <f>IF(Pricing!J50="","",Pricing!J50)</f>
        <v/>
      </c>
      <c r="M54" s="1364" t="str">
        <f>IF(AND(Pricing!D53="Yes",Pricing!M50&lt;&gt;""),Pricing!M50,UPPER(IF(Drawing!$F$2=15,Drawing!D17,IF(Drawing!$Y$2=15,Drawing!W17,IF(Drawing!$F$25=15,Drawing!D40,IF(Drawing!$Y$25=15,Drawing!W40,IF(Drawing!$F$48=15,Drawing!D63,IF(Drawing!$Y$48=15,Drawing!W63,""))))))))</f>
        <v/>
      </c>
      <c r="N54" s="1364" t="str">
        <f>IF(AND(Pricing!D53="Yes",Pricing!N50&lt;&gt;""),Pricing!N50,UPPER(IF(Drawing!$F$2=15,Drawing!D19,IF(Drawing!$Y$2=15,Drawing!W19,IF(Drawing!$F$25=15,Drawing!D42,IF(Drawing!$Y$25=15,Drawing!W42,IF(Drawing!$F$48=15,Drawing!D65,IF(Drawing!$Y$48=15,Drawing!W65,""))))))))</f>
        <v/>
      </c>
      <c r="O54" s="1283" t="str">
        <f>UPPER(IF(AND(Drawing!$F$2=15,Drawing!B21="Midrail"),Drawing!D21,IF(AND(Drawing!$Y$2=15,Drawing!U21="Midrail"),Drawing!W21,IF(AND(Drawing!$F$25=15,Drawing!B44="Midrail"),Drawing!D44,IF(AND(Drawing!$Y$25=15,Drawing!U44="Midrail"),Drawing!W44,IF(AND(Drawing!$F$48=15,Drawing!B67="Midrail"),Drawing!D67,IF(AND(Drawing!$Y$48=15,Drawing!U67="Midrail"),Drawing!W67,"")))))))</f>
        <v/>
      </c>
      <c r="P54" s="1254" t="str">
        <f>UPPER(IF(AND(Drawing!$F$2=15,Drawing!B21="Split"),Drawing!D21,IF(AND(Drawing!$Y$2=15,Drawing!U21="Split"),Drawing!W21,IF(AND(Drawing!$F$25=15,Drawing!B44="Split"),Drawing!D44,IF(AND(Drawing!$Y$25=15,Drawing!U44="Split"),Drawing!W44,IF(AND(Drawing!$F$48=15,Drawing!B67="Split"),Drawing!D67,IF(AND(Drawing!$Y$48=15,Drawing!U67="Split"),Drawing!W67,"")))))))</f>
        <v/>
      </c>
      <c r="Q54" s="1365"/>
      <c r="R54" s="493" t="s">
        <v>292</v>
      </c>
      <c r="S54" s="185" t="str">
        <f>UPPER(IF(Drawing!$F$2=15,Drawing!AW5,IF(Drawing!$Y$2=15,Drawing!AC17,IF(Drawing!$F$25=15,Drawing!J40,IF(Drawing!$Y$25=15,Drawing!AC40,IF(Drawing!$F$48=15,Drawing!J63,IF(Drawing!$Y$48=15,Drawing!AC63,IF(Pricing!R50="","",Pricing!R50))))))))</f>
        <v/>
      </c>
      <c r="T54" s="185" t="str">
        <f>UPPER(IF(Drawing!$F$2=15,Drawing!AX5,IF(Drawing!$Y$2=15,Drawing!AD17,IF(Drawing!$F$25=15,Drawing!K40,IF(Drawing!$Y$25=15,Drawing!AD40,IF(Drawing!$F$48=15,Drawing!K63,IF(Drawing!$Y$48=15,Drawing!AD63,IF(Pricing!S50="","",Pricing!S50))))))))</f>
        <v/>
      </c>
      <c r="U54" s="185" t="str">
        <f>UPPER(IF(Drawing!$F$2=15,Drawing!AY5,IF(Drawing!$Y$2=15,Drawing!AE17,IF(Drawing!$F$25=15,Drawing!L40,IF(Drawing!$Y$25=15,Drawing!AE40,IF(Drawing!$F$48=15,Drawing!L63,IF(Drawing!$Y$48=15,Drawing!AE63,IF(Pricing!T50="","",Pricing!T50))))))))</f>
        <v/>
      </c>
      <c r="V54" s="185" t="str">
        <f>UPPER(IF(Drawing!$F$2=15,Drawing!AZ5,IF(Drawing!$Y$2=15,Drawing!AF17,IF(Drawing!$F$25=15,Drawing!M40,IF(Drawing!$Y$25=15,Drawing!AF40,IF(Drawing!$F$48=15,Drawing!M63,IF(Drawing!$Y$48=15,Drawing!AF63,IF(Pricing!U50="","",Pricing!U50))))))))</f>
        <v/>
      </c>
      <c r="W54" s="185" t="str">
        <f>UPPER(IF(Drawing!$F$2=15,Drawing!BA5,IF(Drawing!$Y$2=15,Drawing!AG17,IF(Drawing!$F$25=15,Drawing!N40,IF(Drawing!$Y$25=15,Drawing!AG40,IF(Drawing!$F$48=15,Drawing!N63,IF(Drawing!$Y$48=15,Drawing!AG63,IF(Pricing!V50="","",Pricing!V50))))))))</f>
        <v/>
      </c>
      <c r="X54" s="185" t="str">
        <f>UPPER(IF(Drawing!$F$2=15,Drawing!BB5,IF(Drawing!$Y$2=15,Drawing!AH17,IF(Drawing!$F$25=15,Drawing!O40,IF(Drawing!$Y$25=15,Drawing!AH40,IF(Drawing!$F$48=15,Drawing!O63,IF(Drawing!$Y$48=15,Drawing!AH63,IF(Pricing!W50="","",Pricing!W50))))))))</f>
        <v/>
      </c>
      <c r="Y54" s="185" t="str">
        <f>UPPER(IF(Drawing!$F$2=15,Drawing!BC5,IF(Drawing!$Y$2=15,Drawing!AI17,IF(Drawing!$F$25=15,Drawing!P40,IF(Drawing!$Y$25=15,Drawing!AI40,IF(Drawing!$F$48=15,Drawing!P63,IF(Drawing!$Y$48=15,Drawing!AI63,IF(Pricing!X50="","",Pricing!X50))))))))</f>
        <v/>
      </c>
      <c r="Z54" s="185" t="str">
        <f>UPPER(IF(Drawing!$F$2=15,Drawing!BD5,IF(Drawing!$Y$2=15,Drawing!AJ17,IF(Drawing!$F$25=15,Drawing!Q40,IF(Drawing!$Y$25=15,Drawing!AJ40,IF(Drawing!$F$48=15,Drawing!Q63,IF(Drawing!$Y$48=15,Drawing!AJ63,IF(Pricing!Y50="","",Pricing!Y50))))))))</f>
        <v/>
      </c>
      <c r="AA54" s="185" t="str">
        <f>UPPER(IF(Drawing!$F$2=15,Drawing!BE5,IF(Drawing!$Y$2=15,Drawing!AK17,IF(Drawing!$F$25=15,Drawing!R40,IF(Drawing!$Y$25=15,Drawing!AK40,IF(Drawing!$F$48=15,Drawing!R63,IF(Drawing!$Y$48=15,Drawing!AK63,IF(Pricing!Z50="","",Pricing!Z50))))))))</f>
        <v/>
      </c>
      <c r="AB54" s="185" t="str">
        <f>UPPER(IF(Drawing!$F$2=15,Drawing!BF5,IF(Drawing!$Y$2=15,Drawing!AL17,IF(Drawing!$F$25=15,Drawing!S40,IF(Drawing!$Y$25=15,Drawing!AL40,IF(Drawing!$F$48=15,Drawing!S63,IF(Drawing!$Y$48=15,Drawing!AL63,IF(Pricing!AA50="","",Pricing!AA50))))))))</f>
        <v/>
      </c>
      <c r="AC54" s="185" t="str">
        <f>UPPER(IF(Drawing!$F$2=15,Drawing!BG5,IF(Drawing!$Y$2=15,Drawing!AM17,IF(Drawing!$F$25=15,Drawing!T40,IF(Drawing!$Y$25=15,Drawing!AM40,IF(Drawing!$F$48=15,Drawing!T63,IF(Drawing!$Y$48=15,Drawing!AM63,IF(Pricing!AB50="","",Pricing!AB50))))))))</f>
        <v/>
      </c>
      <c r="AD54" s="215" t="str">
        <f>IF(Pricing!AE50="Quoted","Q","")</f>
        <v/>
      </c>
      <c r="AE54" s="494" t="s">
        <v>30</v>
      </c>
      <c r="AF54" s="14">
        <f>COUNTIF(S54:AC54,"(T)")</f>
        <v>0</v>
      </c>
      <c r="AG54" s="14" t="b">
        <f>OR(COUNTIF(S54:AC54,"*(B)*"),COUNTIF(S54:AC54,"*(CB)*"))</f>
        <v>0</v>
      </c>
      <c r="AH54" s="503" t="s">
        <v>290</v>
      </c>
      <c r="AI54" s="499" t="s">
        <v>291</v>
      </c>
    </row>
    <row r="55" spans="2:35">
      <c r="B55" s="774"/>
      <c r="C55" s="10" t="str">
        <f>IF(Pricing!C51="","",Pricing!C51)</f>
        <v/>
      </c>
      <c r="D55" s="1255"/>
      <c r="E55" s="1255"/>
      <c r="F55" s="683" t="str">
        <f>IF(AND(D54="Shape",E54="Capri"),"Select Raked / Radius",IF(AND(E54="Bermuda",F54="Custom Colour"),"Not Black",IF(AND(E54="Cuba",F54="Custom Colour"),"Solid Colours Only",IF(AND(E54="Java",F54="Custom Colour"),"Solid (no Black)",IF(D54="S/Shade","Note Shade Colour",IF(Pricing!F51="","",Pricing!F51))))))</f>
        <v/>
      </c>
      <c r="G55" s="682"/>
      <c r="H55" s="1252"/>
      <c r="I55" s="1255"/>
      <c r="J55" s="1276"/>
      <c r="K55" s="1252"/>
      <c r="L55" s="1280"/>
      <c r="M55" s="1252"/>
      <c r="N55" s="1252"/>
      <c r="O55" s="1283"/>
      <c r="P55" s="1255"/>
      <c r="Q55" s="1276"/>
      <c r="R55" s="213" t="s">
        <v>293</v>
      </c>
      <c r="S55" s="322" t="str">
        <f>UPPER(IF(Drawing!$F$2=15,Drawing!J18,IF(Drawing!$Y$2=15,Drawing!AC18,IF(Drawing!$F$25=15,Drawing!J40,IF(Drawing!$Y$25=15,Drawing!AC41,IF(Drawing!$F$48=15,Drawing!J63,IF(Drawing!$Y$48=15,Drawing!AC63,"")))))))</f>
        <v/>
      </c>
      <c r="T55" s="322" t="str">
        <f>UPPER(IF(Drawing!$F$2=15,Drawing!K18,IF(Drawing!$Y$2=15,Drawing!AD18,IF(Drawing!$F$25=15,Drawing!K40,IF(Drawing!$Y$25=15,Drawing!AD41,IF(Drawing!$F$48=15,Drawing!K63,IF(Drawing!$Y$48=15,Drawing!AD63,"")))))))</f>
        <v/>
      </c>
      <c r="U55" s="322" t="str">
        <f>UPPER(IF(Drawing!$F$2=15,Drawing!L18,IF(Drawing!$Y$2=15,Drawing!AE18,IF(Drawing!$F$25=15,Drawing!L40,IF(Drawing!$Y$25=15,Drawing!AE41,IF(Drawing!$F$48=15,Drawing!L63,IF(Drawing!$Y$48=15,Drawing!AE63,"")))))))</f>
        <v/>
      </c>
      <c r="V55" s="322" t="str">
        <f>UPPER(IF(Drawing!$F$2=15,Drawing!M18,IF(Drawing!$Y$2=15,Drawing!AF18,IF(Drawing!$F$25=15,Drawing!M40,IF(Drawing!$Y$25=15,Drawing!AF41,IF(Drawing!$F$48=15,Drawing!M63,IF(Drawing!$Y$48=15,Drawing!AF63,"")))))))</f>
        <v/>
      </c>
      <c r="W55" s="322" t="str">
        <f>UPPER(IF(Drawing!$F$2=15,Drawing!N18,IF(Drawing!$Y$2=15,Drawing!AG18,IF(Drawing!$F$25=15,Drawing!N40,IF(Drawing!$Y$25=15,Drawing!AG41,IF(Drawing!$F$48=15,Drawing!N63,IF(Drawing!$Y$48=15,Drawing!AG63,"")))))))</f>
        <v/>
      </c>
      <c r="X55" s="322" t="str">
        <f>UPPER(IF(Drawing!$F$2=15,Drawing!O18,IF(Drawing!$Y$2=15,Drawing!AH18,IF(Drawing!$F$25=15,Drawing!O40,IF(Drawing!$Y$25=15,Drawing!AH41,IF(Drawing!$F$48=15,Drawing!O63,IF(Drawing!$Y$48=15,Drawing!AH63,"")))))))</f>
        <v/>
      </c>
      <c r="Y55" s="322" t="str">
        <f>UPPER(IF(Drawing!$F$2=15,Drawing!P18,IF(Drawing!$Y$2=15,Drawing!AI18,IF(Drawing!$F$25=15,Drawing!P40,IF(Drawing!$Y$25=15,Drawing!AI41,IF(Drawing!$F$48=15,Drawing!P63,IF(Drawing!$Y$48=15,Drawing!AI63,"")))))))</f>
        <v/>
      </c>
      <c r="Z55" s="322" t="str">
        <f>UPPER(IF(Drawing!$F$2=15,Drawing!Q18,IF(Drawing!$Y$2=15,Drawing!AJ18,IF(Drawing!$F$25=15,Drawing!Q40,IF(Drawing!$Y$25=15,Drawing!AJ41,IF(Drawing!$F$48=15,Drawing!Q63,IF(Drawing!$Y$48=15,Drawing!AJ63,"")))))))</f>
        <v/>
      </c>
      <c r="AA55" s="322" t="str">
        <f>UPPER(IF(Drawing!$F$2=15,Drawing!R18,IF(Drawing!$Y$2=15,Drawing!AK18,IF(Drawing!$F$25=15,Drawing!R40,IF(Drawing!$Y$25=15,Drawing!AK41,IF(Drawing!$F$48=15,Drawing!R63,IF(Drawing!$Y$48=15,Drawing!AK63,"")))))))</f>
        <v/>
      </c>
      <c r="AB55" s="322" t="str">
        <f>UPPER(IF(Drawing!$F$2=15,Drawing!S18,IF(Drawing!$Y$2=15,Drawing!AL18,IF(Drawing!$F$25=15,Drawing!S40,IF(Drawing!$Y$25=15,Drawing!AL41,IF(Drawing!$F$48=15,Drawing!S63,IF(Drawing!$Y$48=15,Drawing!AL63,"")))))))</f>
        <v/>
      </c>
      <c r="AC55" s="11" t="s">
        <v>28</v>
      </c>
      <c r="AD55" s="322" t="s">
        <v>294</v>
      </c>
      <c r="AE55" s="1268">
        <f>IF(ISERROR(M54*N54/1000000),,M54*N54/1000000)</f>
        <v>0</v>
      </c>
      <c r="AH55" s="1235" t="s">
        <v>47</v>
      </c>
      <c r="AI55" s="1257" t="s">
        <v>47</v>
      </c>
    </row>
    <row r="56" spans="2:35" ht="15" thickBot="1">
      <c r="B56" s="774"/>
      <c r="C56" s="10" t="str">
        <f>IF(Pricing!C52="","",Pricing!C52)</f>
        <v/>
      </c>
      <c r="D56" s="1256"/>
      <c r="E56" s="1256"/>
      <c r="F56" s="216" t="s">
        <v>31</v>
      </c>
      <c r="G56" s="495" t="str">
        <f>IF(Pricing!G52="","",Pricing!G52)</f>
        <v/>
      </c>
      <c r="H56" s="1253"/>
      <c r="I56" s="1256"/>
      <c r="J56" s="1305"/>
      <c r="K56" s="1253"/>
      <c r="L56" s="1281"/>
      <c r="M56" s="1253"/>
      <c r="N56" s="1253"/>
      <c r="O56" s="535" t="s">
        <v>77</v>
      </c>
      <c r="P56" s="1256"/>
      <c r="Q56" s="24" t="s">
        <v>77</v>
      </c>
      <c r="R56" s="24" t="s">
        <v>295</v>
      </c>
      <c r="S56" s="1241" t="str">
        <f>IF(Pricing!R52="","",Pricing!R52)</f>
        <v/>
      </c>
      <c r="T56" s="1242"/>
      <c r="U56" s="1242"/>
      <c r="V56" s="1242"/>
      <c r="W56" s="1242"/>
      <c r="X56" s="1242"/>
      <c r="Y56" s="1242"/>
      <c r="Z56" s="1242"/>
      <c r="AA56" s="1242"/>
      <c r="AB56" s="1242"/>
      <c r="AC56" s="1358"/>
      <c r="AD56" s="203"/>
      <c r="AE56" s="1269"/>
      <c r="AH56" s="1236"/>
      <c r="AI56" s="1258"/>
    </row>
    <row r="57" spans="2:35">
      <c r="B57" s="1361" t="s">
        <v>117</v>
      </c>
      <c r="C57" s="800"/>
      <c r="D57" s="801"/>
      <c r="E57" s="1237" t="str">
        <f>IF(Pricing!D77="","",Pricing!D77)</f>
        <v/>
      </c>
      <c r="F57" s="1238"/>
      <c r="G57" s="1238"/>
      <c r="H57" s="1238"/>
      <c r="I57" s="1238"/>
      <c r="J57" s="1238"/>
      <c r="K57" s="1238"/>
      <c r="L57" s="1238"/>
      <c r="M57" s="1238"/>
      <c r="N57" s="1238"/>
      <c r="O57" s="1238"/>
      <c r="P57" s="1238"/>
      <c r="Q57" s="1238"/>
      <c r="R57" s="1238"/>
      <c r="S57" s="1238"/>
      <c r="T57" s="1238"/>
      <c r="U57" s="1238"/>
      <c r="V57" s="1238"/>
      <c r="W57" s="1238"/>
      <c r="X57" s="1238"/>
      <c r="Y57" s="1238"/>
      <c r="Z57" s="1238"/>
      <c r="AA57" s="1238"/>
      <c r="AB57" s="1238"/>
      <c r="AC57" s="1238"/>
      <c r="AD57" s="1238"/>
      <c r="AE57" s="1238"/>
      <c r="AF57" s="1239"/>
      <c r="AG57" s="1239"/>
      <c r="AH57" s="1240"/>
    </row>
    <row r="58" spans="2:35">
      <c r="B58" s="1362"/>
      <c r="C58" s="803"/>
      <c r="D58" s="804"/>
      <c r="E58" s="1237"/>
      <c r="F58" s="1238"/>
      <c r="G58" s="1238"/>
      <c r="H58" s="1238"/>
      <c r="I58" s="1238"/>
      <c r="J58" s="1238"/>
      <c r="K58" s="1238"/>
      <c r="L58" s="1238"/>
      <c r="M58" s="1238"/>
      <c r="N58" s="1238"/>
      <c r="O58" s="1238"/>
      <c r="P58" s="1238"/>
      <c r="Q58" s="1238"/>
      <c r="R58" s="1238"/>
      <c r="S58" s="1238"/>
      <c r="T58" s="1238"/>
      <c r="U58" s="1238"/>
      <c r="V58" s="1238"/>
      <c r="W58" s="1238"/>
      <c r="X58" s="1238"/>
      <c r="Y58" s="1238"/>
      <c r="Z58" s="1238"/>
      <c r="AA58" s="1238"/>
      <c r="AB58" s="1238"/>
      <c r="AC58" s="1238"/>
      <c r="AD58" s="1238"/>
      <c r="AE58" s="1238"/>
      <c r="AF58" s="1238"/>
      <c r="AG58" s="1238"/>
      <c r="AH58" s="1240"/>
    </row>
    <row r="59" spans="2:35" ht="15" thickBot="1">
      <c r="B59" s="1363"/>
      <c r="C59" s="806"/>
      <c r="D59" s="807"/>
      <c r="E59" s="1241"/>
      <c r="F59" s="1242"/>
      <c r="G59" s="1242"/>
      <c r="H59" s="1242"/>
      <c r="I59" s="1242"/>
      <c r="J59" s="1242"/>
      <c r="K59" s="1242"/>
      <c r="L59" s="1242"/>
      <c r="M59" s="1242"/>
      <c r="N59" s="1242"/>
      <c r="O59" s="1242"/>
      <c r="P59" s="1242"/>
      <c r="Q59" s="1242"/>
      <c r="R59" s="1242"/>
      <c r="S59" s="1242"/>
      <c r="T59" s="1242"/>
      <c r="U59" s="1242"/>
      <c r="V59" s="1242"/>
      <c r="W59" s="1242"/>
      <c r="X59" s="1242"/>
      <c r="Y59" s="1242"/>
      <c r="Z59" s="1242"/>
      <c r="AA59" s="1242"/>
      <c r="AB59" s="1242"/>
      <c r="AC59" s="1242"/>
      <c r="AD59" s="1242"/>
      <c r="AE59" s="1242"/>
      <c r="AF59" s="1242"/>
      <c r="AG59" s="1242"/>
      <c r="AH59" s="1243"/>
    </row>
    <row r="60" spans="2:35" ht="15" thickBot="1">
      <c r="B60" s="1244"/>
      <c r="C60" s="1245"/>
      <c r="D60" s="1245"/>
      <c r="E60" s="1245"/>
      <c r="F60" s="1245"/>
      <c r="G60" s="1245"/>
      <c r="H60" s="1245"/>
      <c r="I60" s="1245"/>
      <c r="J60" s="1245"/>
      <c r="K60" s="1245"/>
      <c r="L60" s="1245"/>
      <c r="M60" s="1245"/>
      <c r="N60" s="1245"/>
      <c r="O60" s="1245"/>
      <c r="P60" s="1245"/>
      <c r="Q60" s="1245"/>
      <c r="R60" s="1245"/>
      <c r="S60" s="1245"/>
      <c r="T60" s="1245"/>
      <c r="U60" s="1245"/>
      <c r="V60" s="1245"/>
      <c r="W60" s="1245"/>
      <c r="X60" s="1245"/>
      <c r="Y60" s="1245"/>
      <c r="Z60" s="1245"/>
      <c r="AA60" s="1245"/>
      <c r="AB60" s="1245"/>
      <c r="AC60" s="1245"/>
      <c r="AD60" s="1245"/>
      <c r="AE60" s="1245"/>
      <c r="AF60" s="1245"/>
      <c r="AG60" s="1245"/>
      <c r="AH60" s="1246"/>
    </row>
    <row r="61" spans="2:35" ht="15" thickTop="1"/>
  </sheetData>
  <dataConsolidate/>
  <mergeCells count="314">
    <mergeCell ref="M3:N3"/>
    <mergeCell ref="U6:X7"/>
    <mergeCell ref="AE49:AE50"/>
    <mergeCell ref="B51:B53"/>
    <mergeCell ref="O54:O55"/>
    <mergeCell ref="O12:O13"/>
    <mergeCell ref="O18:O19"/>
    <mergeCell ref="O21:O22"/>
    <mergeCell ref="O24:O25"/>
    <mergeCell ref="O27:O28"/>
    <mergeCell ref="O30:O31"/>
    <mergeCell ref="O33:O34"/>
    <mergeCell ref="O36:O37"/>
    <mergeCell ref="AA8:AB9"/>
    <mergeCell ref="AC8:AD9"/>
    <mergeCell ref="AE55:AE56"/>
    <mergeCell ref="S56:AC56"/>
    <mergeCell ref="D51:D53"/>
    <mergeCell ref="E51:E53"/>
    <mergeCell ref="F51:G51"/>
    <mergeCell ref="H51:H53"/>
    <mergeCell ref="I51:I53"/>
    <mergeCell ref="K51:K53"/>
    <mergeCell ref="L51:L53"/>
    <mergeCell ref="B57:D59"/>
    <mergeCell ref="M54:M56"/>
    <mergeCell ref="N54:N56"/>
    <mergeCell ref="Q54:Q55"/>
    <mergeCell ref="F55:G55"/>
    <mergeCell ref="J55:J56"/>
    <mergeCell ref="B54:B56"/>
    <mergeCell ref="D54:D56"/>
    <mergeCell ref="E54:E56"/>
    <mergeCell ref="F54:G54"/>
    <mergeCell ref="H54:H56"/>
    <mergeCell ref="I54:I56"/>
    <mergeCell ref="K54:K56"/>
    <mergeCell ref="L54:L56"/>
    <mergeCell ref="P54:P56"/>
    <mergeCell ref="AE43:AE44"/>
    <mergeCell ref="S44:AC44"/>
    <mergeCell ref="N42:N44"/>
    <mergeCell ref="Q42:Q43"/>
    <mergeCell ref="P42:P44"/>
    <mergeCell ref="O42:O43"/>
    <mergeCell ref="AE46:AE47"/>
    <mergeCell ref="S47:AC47"/>
    <mergeCell ref="N45:N47"/>
    <mergeCell ref="Q45:Q46"/>
    <mergeCell ref="O45:O46"/>
    <mergeCell ref="B48:B50"/>
    <mergeCell ref="D48:D50"/>
    <mergeCell ref="E48:E50"/>
    <mergeCell ref="F48:G48"/>
    <mergeCell ref="H48:H50"/>
    <mergeCell ref="I48:I50"/>
    <mergeCell ref="AE52:AE53"/>
    <mergeCell ref="S53:AC53"/>
    <mergeCell ref="N51:N53"/>
    <mergeCell ref="Q51:Q52"/>
    <mergeCell ref="P48:P50"/>
    <mergeCell ref="P51:P53"/>
    <mergeCell ref="O51:O52"/>
    <mergeCell ref="S50:AC50"/>
    <mergeCell ref="N48:N50"/>
    <mergeCell ref="Q48:Q49"/>
    <mergeCell ref="O48:O49"/>
    <mergeCell ref="M48:M50"/>
    <mergeCell ref="F49:G49"/>
    <mergeCell ref="J49:J50"/>
    <mergeCell ref="K48:K50"/>
    <mergeCell ref="L48:L50"/>
    <mergeCell ref="AE37:AE38"/>
    <mergeCell ref="S38:AC38"/>
    <mergeCell ref="N36:N38"/>
    <mergeCell ref="Q36:Q37"/>
    <mergeCell ref="AE40:AE41"/>
    <mergeCell ref="S41:AC41"/>
    <mergeCell ref="N39:N41"/>
    <mergeCell ref="Q39:Q40"/>
    <mergeCell ref="P36:P38"/>
    <mergeCell ref="P39:P41"/>
    <mergeCell ref="O39:O40"/>
    <mergeCell ref="M39:M41"/>
    <mergeCell ref="F40:G40"/>
    <mergeCell ref="J40:J41"/>
    <mergeCell ref="M45:M47"/>
    <mergeCell ref="F46:G46"/>
    <mergeCell ref="J46:J47"/>
    <mergeCell ref="B45:B47"/>
    <mergeCell ref="D45:D47"/>
    <mergeCell ref="E45:E47"/>
    <mergeCell ref="F45:G45"/>
    <mergeCell ref="H45:H47"/>
    <mergeCell ref="M42:M44"/>
    <mergeCell ref="F43:G43"/>
    <mergeCell ref="J43:J44"/>
    <mergeCell ref="F42:G42"/>
    <mergeCell ref="H42:H44"/>
    <mergeCell ref="I42:I44"/>
    <mergeCell ref="B42:B44"/>
    <mergeCell ref="D42:D44"/>
    <mergeCell ref="E42:E44"/>
    <mergeCell ref="B36:B38"/>
    <mergeCell ref="D36:D38"/>
    <mergeCell ref="E36:E38"/>
    <mergeCell ref="F36:G36"/>
    <mergeCell ref="H36:H38"/>
    <mergeCell ref="I36:I38"/>
    <mergeCell ref="K36:K38"/>
    <mergeCell ref="L36:L38"/>
    <mergeCell ref="B39:B41"/>
    <mergeCell ref="D39:D41"/>
    <mergeCell ref="E39:E41"/>
    <mergeCell ref="F39:G39"/>
    <mergeCell ref="H39:H41"/>
    <mergeCell ref="I39:I41"/>
    <mergeCell ref="K39:K41"/>
    <mergeCell ref="L39:L41"/>
    <mergeCell ref="M33:M35"/>
    <mergeCell ref="F34:G34"/>
    <mergeCell ref="J34:J35"/>
    <mergeCell ref="M36:M38"/>
    <mergeCell ref="F37:G37"/>
    <mergeCell ref="J37:J38"/>
    <mergeCell ref="AE31:AE32"/>
    <mergeCell ref="S32:AC32"/>
    <mergeCell ref="B33:B35"/>
    <mergeCell ref="D33:D35"/>
    <mergeCell ref="E33:E35"/>
    <mergeCell ref="F33:G33"/>
    <mergeCell ref="H33:H35"/>
    <mergeCell ref="I33:I35"/>
    <mergeCell ref="K33:K35"/>
    <mergeCell ref="L33:L35"/>
    <mergeCell ref="M30:M32"/>
    <mergeCell ref="N30:N32"/>
    <mergeCell ref="Q30:Q31"/>
    <mergeCell ref="F31:G31"/>
    <mergeCell ref="J31:J32"/>
    <mergeCell ref="AE34:AE35"/>
    <mergeCell ref="S35:AC35"/>
    <mergeCell ref="N33:N35"/>
    <mergeCell ref="Q33:Q34"/>
    <mergeCell ref="P30:P32"/>
    <mergeCell ref="P33:P35"/>
    <mergeCell ref="AE28:AE29"/>
    <mergeCell ref="S29:AC29"/>
    <mergeCell ref="N27:N29"/>
    <mergeCell ref="Q27:Q28"/>
    <mergeCell ref="P27:P29"/>
    <mergeCell ref="B24:B26"/>
    <mergeCell ref="D24:D26"/>
    <mergeCell ref="E24:E26"/>
    <mergeCell ref="B30:B32"/>
    <mergeCell ref="D30:D32"/>
    <mergeCell ref="E30:E32"/>
    <mergeCell ref="F30:G30"/>
    <mergeCell ref="H30:H32"/>
    <mergeCell ref="I30:I32"/>
    <mergeCell ref="F25:G25"/>
    <mergeCell ref="K30:K32"/>
    <mergeCell ref="L30:L32"/>
    <mergeCell ref="M27:M29"/>
    <mergeCell ref="F28:G28"/>
    <mergeCell ref="J28:J29"/>
    <mergeCell ref="B27:B29"/>
    <mergeCell ref="D27:D29"/>
    <mergeCell ref="E27:E29"/>
    <mergeCell ref="F27:G27"/>
    <mergeCell ref="H27:H29"/>
    <mergeCell ref="J25:J26"/>
    <mergeCell ref="F24:G24"/>
    <mergeCell ref="H24:H26"/>
    <mergeCell ref="I24:I26"/>
    <mergeCell ref="AE19:AE20"/>
    <mergeCell ref="S20:AC20"/>
    <mergeCell ref="N18:N20"/>
    <mergeCell ref="Q18:Q19"/>
    <mergeCell ref="AE22:AE23"/>
    <mergeCell ref="S23:AC23"/>
    <mergeCell ref="N21:N23"/>
    <mergeCell ref="Q21:Q22"/>
    <mergeCell ref="P18:P20"/>
    <mergeCell ref="L18:L20"/>
    <mergeCell ref="B21:B23"/>
    <mergeCell ref="D21:D23"/>
    <mergeCell ref="E21:E23"/>
    <mergeCell ref="F21:G21"/>
    <mergeCell ref="H21:H23"/>
    <mergeCell ref="I21:I23"/>
    <mergeCell ref="K21:K23"/>
    <mergeCell ref="L21:L23"/>
    <mergeCell ref="M21:M23"/>
    <mergeCell ref="F22:G22"/>
    <mergeCell ref="J22:J23"/>
    <mergeCell ref="F16:G16"/>
    <mergeCell ref="J16:J17"/>
    <mergeCell ref="M18:M20"/>
    <mergeCell ref="F19:G19"/>
    <mergeCell ref="J19:J20"/>
    <mergeCell ref="B15:B17"/>
    <mergeCell ref="D15:D17"/>
    <mergeCell ref="E15:E17"/>
    <mergeCell ref="F15:G15"/>
    <mergeCell ref="H15:H17"/>
    <mergeCell ref="I15:I17"/>
    <mergeCell ref="K15:K17"/>
    <mergeCell ref="L15:L17"/>
    <mergeCell ref="F13:G13"/>
    <mergeCell ref="J13:J14"/>
    <mergeCell ref="Y6:Z7"/>
    <mergeCell ref="B6:C9"/>
    <mergeCell ref="E6:H7"/>
    <mergeCell ref="J6:L7"/>
    <mergeCell ref="M6:N7"/>
    <mergeCell ref="O6:Q7"/>
    <mergeCell ref="R6:T7"/>
    <mergeCell ref="J8:L9"/>
    <mergeCell ref="M8:N8"/>
    <mergeCell ref="O8:Q8"/>
    <mergeCell ref="R8:T9"/>
    <mergeCell ref="F11:G11"/>
    <mergeCell ref="R11:AC11"/>
    <mergeCell ref="B12:B14"/>
    <mergeCell ref="D12:D14"/>
    <mergeCell ref="E12:E14"/>
    <mergeCell ref="F12:G12"/>
    <mergeCell ref="H12:H14"/>
    <mergeCell ref="I12:I14"/>
    <mergeCell ref="K12:K14"/>
    <mergeCell ref="AA6:AB7"/>
    <mergeCell ref="AC6:AD7"/>
    <mergeCell ref="L12:L14"/>
    <mergeCell ref="P12:P14"/>
    <mergeCell ref="M51:M53"/>
    <mergeCell ref="F52:G52"/>
    <mergeCell ref="J52:J53"/>
    <mergeCell ref="G9:H9"/>
    <mergeCell ref="Y8:Z9"/>
    <mergeCell ref="I27:I29"/>
    <mergeCell ref="K27:K29"/>
    <mergeCell ref="L27:L29"/>
    <mergeCell ref="K24:K26"/>
    <mergeCell ref="L24:L26"/>
    <mergeCell ref="I45:I47"/>
    <mergeCell ref="K45:K47"/>
    <mergeCell ref="L45:L47"/>
    <mergeCell ref="K42:K44"/>
    <mergeCell ref="L42:L44"/>
    <mergeCell ref="P45:P47"/>
    <mergeCell ref="U8:V9"/>
    <mergeCell ref="M9:N9"/>
    <mergeCell ref="O9:Q9"/>
    <mergeCell ref="S14:AC14"/>
    <mergeCell ref="N12:N14"/>
    <mergeCell ref="M12:M14"/>
    <mergeCell ref="AI40:AI41"/>
    <mergeCell ref="AI43:AI44"/>
    <mergeCell ref="AI46:AI47"/>
    <mergeCell ref="AI49:AI50"/>
    <mergeCell ref="AI52:AI53"/>
    <mergeCell ref="AI55:AI56"/>
    <mergeCell ref="AH13:AH14"/>
    <mergeCell ref="AH37:AH38"/>
    <mergeCell ref="E8:F9"/>
    <mergeCell ref="W8:X9"/>
    <mergeCell ref="AE13:AE14"/>
    <mergeCell ref="AE16:AE17"/>
    <mergeCell ref="N15:N17"/>
    <mergeCell ref="Q15:Q16"/>
    <mergeCell ref="P15:P17"/>
    <mergeCell ref="AE25:AE26"/>
    <mergeCell ref="S26:AC26"/>
    <mergeCell ref="N24:N26"/>
    <mergeCell ref="Q24:Q25"/>
    <mergeCell ref="P21:P23"/>
    <mergeCell ref="P24:P26"/>
    <mergeCell ref="M24:M26"/>
    <mergeCell ref="Q12:Q13"/>
    <mergeCell ref="S17:AC17"/>
    <mergeCell ref="AI13:AI14"/>
    <mergeCell ref="AI16:AI17"/>
    <mergeCell ref="AI19:AI20"/>
    <mergeCell ref="AI22:AI23"/>
    <mergeCell ref="AI25:AI26"/>
    <mergeCell ref="AI28:AI29"/>
    <mergeCell ref="AI31:AI32"/>
    <mergeCell ref="AI34:AI35"/>
    <mergeCell ref="AI37:AI38"/>
    <mergeCell ref="O15:O16"/>
    <mergeCell ref="AH40:AH41"/>
    <mergeCell ref="AH43:AH44"/>
    <mergeCell ref="AH46:AH47"/>
    <mergeCell ref="AH49:AH50"/>
    <mergeCell ref="AH52:AH53"/>
    <mergeCell ref="AH55:AH56"/>
    <mergeCell ref="E57:AH59"/>
    <mergeCell ref="B60:AH60"/>
    <mergeCell ref="AH16:AH17"/>
    <mergeCell ref="AH19:AH20"/>
    <mergeCell ref="AH22:AH23"/>
    <mergeCell ref="AH25:AH26"/>
    <mergeCell ref="AH28:AH29"/>
    <mergeCell ref="AH31:AH32"/>
    <mergeCell ref="AH34:AH35"/>
    <mergeCell ref="B18:B20"/>
    <mergeCell ref="D18:D20"/>
    <mergeCell ref="E18:E20"/>
    <mergeCell ref="F18:G18"/>
    <mergeCell ref="H18:H20"/>
    <mergeCell ref="I18:I20"/>
    <mergeCell ref="K18:K20"/>
    <mergeCell ref="M15:M17"/>
  </mergeCells>
  <conditionalFormatting sqref="C27">
    <cfRule type="expression" dxfId="791" priority="274">
      <formula>$AD$27="Q"</formula>
    </cfRule>
  </conditionalFormatting>
  <conditionalFormatting sqref="C16:N16 C17:AE17 C15:AE15 P16:AE16">
    <cfRule type="expression" dxfId="790" priority="816">
      <formula>$AD$15="Q"</formula>
    </cfRule>
  </conditionalFormatting>
  <conditionalFormatting sqref="C22:N22 C23:AE23 C21:AE21 P22:AE22">
    <cfRule type="expression" dxfId="789" priority="818">
      <formula>$AD$21="Q"</formula>
    </cfRule>
  </conditionalFormatting>
  <conditionalFormatting sqref="C25:N25 C26:AE26 C24:AE24 P25:AE25">
    <cfRule type="expression" dxfId="788" priority="815">
      <formula>$AD$24="Q"</formula>
    </cfRule>
  </conditionalFormatting>
  <conditionalFormatting sqref="C31:N31 C32:AE32 C30:AE30 P31:AE31">
    <cfRule type="expression" dxfId="787" priority="814">
      <formula>$AD$30="Q"</formula>
    </cfRule>
  </conditionalFormatting>
  <conditionalFormatting sqref="C18:AE18 C19:N19 C20:AE20 P19:AE19">
    <cfRule type="expression" dxfId="786" priority="671">
      <formula>$AD$18="Q"</formula>
    </cfRule>
  </conditionalFormatting>
  <conditionalFormatting sqref="C27:AE27 P28:AE28 C28:N28 C29:AE29">
    <cfRule type="expression" dxfId="785" priority="121">
      <formula>$AD$27="Q"</formula>
    </cfRule>
  </conditionalFormatting>
  <conditionalFormatting sqref="C35:AE35 C33:AE33 C34:N34 P34:AE34">
    <cfRule type="expression" dxfId="784" priority="432">
      <formula>$AD$33="Q"</formula>
    </cfRule>
  </conditionalFormatting>
  <conditionalFormatting sqref="C38:AE38 C36:AE36 C37:N37 P37:AE37">
    <cfRule type="expression" dxfId="783" priority="431">
      <formula>$AD$36="Q"</formula>
    </cfRule>
  </conditionalFormatting>
  <conditionalFormatting sqref="C44:AE44 C42:AE42 C43:N43 P43:AE43">
    <cfRule type="expression" dxfId="782" priority="429">
      <formula>$AD$42="Q"</formula>
    </cfRule>
  </conditionalFormatting>
  <conditionalFormatting sqref="C47:AE47 C45:AE45 C46:N46 P46:AE46">
    <cfRule type="expression" dxfId="781" priority="428">
      <formula>$AD$45="Q"</formula>
    </cfRule>
  </conditionalFormatting>
  <conditionalFormatting sqref="C50:AE50 C48:AE48 C49:N49 P49:AE49">
    <cfRule type="expression" dxfId="780" priority="427">
      <formula>$AD$48="Q"</formula>
    </cfRule>
  </conditionalFormatting>
  <conditionalFormatting sqref="C53:AE53 C51:AE51 C52:N52 P52:AE52">
    <cfRule type="expression" dxfId="779" priority="426">
      <formula>$AD$51="Q"</formula>
    </cfRule>
  </conditionalFormatting>
  <conditionalFormatting sqref="C56:AE56 C54:AE54 C55:N55 P55:AE55">
    <cfRule type="expression" dxfId="778" priority="425">
      <formula>$AD$54="Q"</formula>
    </cfRule>
  </conditionalFormatting>
  <conditionalFormatting sqref="C12:AI14">
    <cfRule type="expression" dxfId="777" priority="424">
      <formula>$AD$12="Q"</formula>
    </cfRule>
  </conditionalFormatting>
  <conditionalFormatting sqref="D12:D56">
    <cfRule type="expression" dxfId="776" priority="224">
      <formula>$D12="Tracked"</formula>
    </cfRule>
  </conditionalFormatting>
  <conditionalFormatting sqref="E12:E56">
    <cfRule type="expression" dxfId="775" priority="102">
      <formula>$E12="Aruba"</formula>
    </cfRule>
    <cfRule type="expression" dxfId="774" priority="101">
      <formula>$E12="Hampton"</formula>
    </cfRule>
    <cfRule type="expression" dxfId="773" priority="97">
      <formula>$E12="Bermuda"</formula>
    </cfRule>
    <cfRule type="expression" dxfId="772" priority="98">
      <formula>$E12="Cuba"</formula>
    </cfRule>
    <cfRule type="expression" dxfId="771" priority="99">
      <formula>$E12="Java"</formula>
    </cfRule>
    <cfRule type="expression" dxfId="770" priority="100">
      <formula>$E12="Fiji"</formula>
    </cfRule>
    <cfRule type="expression" dxfId="769" priority="96">
      <formula>$E12="Antigua"</formula>
    </cfRule>
  </conditionalFormatting>
  <conditionalFormatting sqref="I12:I56">
    <cfRule type="expression" dxfId="768" priority="221">
      <formula>OR(AND($D12&lt;&gt;"Tracked",I12="M Track"),AND($D12&lt;&gt;"Tracked",$I12="Track and Board"),AND($D12&lt;&gt;"Tracked",$I12="Top Track Only"))</formula>
    </cfRule>
    <cfRule type="expression" dxfId="767" priority="220">
      <formula>OR(AND($D12="Tracked",I12&lt;&gt;"M Track"),AND($D12="Tracked",$I12&lt;&gt;"Track and Board"),AND($D12="Tracked",$I12&lt;&gt;"Top Track Only"))</formula>
    </cfRule>
    <cfRule type="expression" dxfId="766" priority="217">
      <formula>AND($D12&lt;&gt;"S/Shade",$I12="FFrame")</formula>
    </cfRule>
    <cfRule type="expression" dxfId="765" priority="219">
      <formula>OR(AND($D12="Tracked",I12="M Track"),AND($D12="Tracked",$I12="Track and Board"),AND($D12="Tracked",$I12="Top Track Only"))</formula>
    </cfRule>
    <cfRule type="expression" dxfId="764" priority="218">
      <formula>AND($D12="S/Shade",$I12&lt;&gt;"FFrame")</formula>
    </cfRule>
  </conditionalFormatting>
  <conditionalFormatting sqref="J13:J14">
    <cfRule type="expression" dxfId="763" priority="15">
      <formula>AND(J12=4,I12="Z Frame",$J$13="")</formula>
    </cfRule>
  </conditionalFormatting>
  <conditionalFormatting sqref="J16:J17">
    <cfRule type="expression" dxfId="762" priority="808">
      <formula>$J15&gt;=4</formula>
    </cfRule>
    <cfRule type="expression" dxfId="761" priority="14">
      <formula>AND(J15=4,I15="Z Frame",$J$16="")</formula>
    </cfRule>
  </conditionalFormatting>
  <conditionalFormatting sqref="J19:J20">
    <cfRule type="expression" dxfId="760" priority="788">
      <formula>$J18&gt;=4</formula>
    </cfRule>
    <cfRule type="expression" dxfId="759" priority="13">
      <formula>AND(J18=4,I18="Z Frame",$J$19="")</formula>
    </cfRule>
  </conditionalFormatting>
  <conditionalFormatting sqref="J22:J23">
    <cfRule type="expression" dxfId="758" priority="768">
      <formula>$J21&gt;=4</formula>
    </cfRule>
    <cfRule type="expression" dxfId="757" priority="12">
      <formula>AND(J21=4,I21="Z Frame",$J$22="")</formula>
    </cfRule>
  </conditionalFormatting>
  <conditionalFormatting sqref="J25:J26">
    <cfRule type="expression" dxfId="756" priority="748">
      <formula>$J24&gt;=4</formula>
    </cfRule>
    <cfRule type="expression" dxfId="755" priority="11">
      <formula>AND(J24=4,I24="Z Frame",$J$25="")</formula>
    </cfRule>
  </conditionalFormatting>
  <conditionalFormatting sqref="J28:J29">
    <cfRule type="expression" dxfId="754" priority="10">
      <formula>AND(J27=4,I27="Z Frame",$J$28="")</formula>
    </cfRule>
    <cfRule type="expression" dxfId="753" priority="728">
      <formula>$J27&gt;=4</formula>
    </cfRule>
  </conditionalFormatting>
  <conditionalFormatting sqref="J31:J32">
    <cfRule type="expression" dxfId="752" priority="9">
      <formula>AND(J30=4,I30="Z Frame",$J$31="")</formula>
    </cfRule>
    <cfRule type="expression" dxfId="751" priority="708">
      <formula>$J30&gt;=4</formula>
    </cfRule>
  </conditionalFormatting>
  <conditionalFormatting sqref="J34:J35 J13:J14">
    <cfRule type="expression" dxfId="750" priority="836">
      <formula>$J12&gt;=4</formula>
    </cfRule>
  </conditionalFormatting>
  <conditionalFormatting sqref="J34:J35">
    <cfRule type="expression" dxfId="749" priority="8">
      <formula>AND(J33=4,I33="Z Frame",$J$34="")</formula>
    </cfRule>
  </conditionalFormatting>
  <conditionalFormatting sqref="J37:J38">
    <cfRule type="expression" dxfId="748" priority="657">
      <formula>$J36&gt;=4</formula>
    </cfRule>
    <cfRule type="expression" dxfId="747" priority="7">
      <formula>AND(J36=4,I36="Z Frame",$J$37="")</formula>
    </cfRule>
  </conditionalFormatting>
  <conditionalFormatting sqref="J40:J41">
    <cfRule type="expression" dxfId="746" priority="623">
      <formula>$J39&gt;=4</formula>
    </cfRule>
    <cfRule type="expression" dxfId="745" priority="6">
      <formula>AND(J39=4,I39="Z Frame",$J$40="")</formula>
    </cfRule>
  </conditionalFormatting>
  <conditionalFormatting sqref="J43:J44">
    <cfRule type="expression" dxfId="744" priority="589">
      <formula>$J42&gt;=4</formula>
    </cfRule>
    <cfRule type="expression" dxfId="743" priority="5">
      <formula>AND(J42=4,I42="Z Frame",$J$43="")</formula>
    </cfRule>
  </conditionalFormatting>
  <conditionalFormatting sqref="J46:J47">
    <cfRule type="expression" dxfId="742" priority="555">
      <formula>$J45&gt;=4</formula>
    </cfRule>
    <cfRule type="expression" dxfId="741" priority="4">
      <formula>AND(J45=4,I45="Z Frame",$J$46="")</formula>
    </cfRule>
  </conditionalFormatting>
  <conditionalFormatting sqref="J49:J50">
    <cfRule type="expression" dxfId="740" priority="3">
      <formula>AND(J48=4,I48="Z Frame",$J$49="")</formula>
    </cfRule>
    <cfRule type="expression" dxfId="739" priority="521">
      <formula>$J48&gt;=4</formula>
    </cfRule>
  </conditionalFormatting>
  <conditionalFormatting sqref="J52:J53">
    <cfRule type="expression" dxfId="738" priority="2">
      <formula>AND(J51=4,I51="Z Frame",$J$52="")</formula>
    </cfRule>
    <cfRule type="expression" dxfId="737" priority="487">
      <formula>$J51&gt;=4</formula>
    </cfRule>
  </conditionalFormatting>
  <conditionalFormatting sqref="J55:J56">
    <cfRule type="expression" dxfId="736" priority="1">
      <formula>AND(J54=4,I54="Z Frame",$J$55="")</formula>
    </cfRule>
    <cfRule type="expression" dxfId="735" priority="453">
      <formula>$J54&gt;=4</formula>
    </cfRule>
  </conditionalFormatting>
  <conditionalFormatting sqref="L12:L56">
    <cfRule type="expression" dxfId="734" priority="447">
      <formula>AND($H12="63mm",$N12-$O12&lt;290)</formula>
    </cfRule>
    <cfRule type="expression" dxfId="733" priority="448">
      <formula>AND($H12="76mm",$N$12-$O$12&lt;370)</formula>
    </cfRule>
    <cfRule type="expression" dxfId="732" priority="446">
      <formula>AND($H12="89mm",$N12-$O12&lt;370)</formula>
    </cfRule>
  </conditionalFormatting>
  <conditionalFormatting sqref="M12">
    <cfRule type="expression" dxfId="731" priority="791">
      <formula>AND($E15="Antigua",$H15="47mm",$M12&gt;644,$AB$11="R")</formula>
    </cfRule>
    <cfRule type="expression" dxfId="730" priority="792">
      <formula>AND($E15="Antigua",$H15="47mm",$M15&gt;644,$AB$15="L")</formula>
    </cfRule>
    <cfRule type="expression" dxfId="729" priority="169">
      <formula>AND(D12="Tier on Tier",VALUE(M12)&gt;1219)</formula>
    </cfRule>
    <cfRule type="expression" dxfId="728" priority="845">
      <formula>AND($E15="Antigua",$H15="47mm",$M15&gt;644,$AG$15="R")</formula>
    </cfRule>
    <cfRule type="expression" dxfId="727" priority="253">
      <formula>AND($E12="Antigua",$H12="47mm",$M12&gt;644,$AB$12="R")</formula>
    </cfRule>
    <cfRule type="expression" dxfId="726" priority="847">
      <formula>AND($E15="Antigua",$H15&lt;&gt;"47mm",$M15&gt;794,$AG15="L")</formula>
    </cfRule>
    <cfRule type="expression" dxfId="725" priority="254">
      <formula>AND($E12="Antigua",$H12="47mm",$M12&gt;644,$AB$12="L")</formula>
    </cfRule>
    <cfRule type="expression" dxfId="724" priority="258">
      <formula>AND($E12="Antigua",$H12="47mm",$M12&gt;644,$AG$12="R")</formula>
    </cfRule>
    <cfRule type="expression" dxfId="723" priority="259">
      <formula>AND($E12="Antigua",$H12&lt;&gt;"47mm",$M12&gt;794,$AG12="L")</formula>
    </cfRule>
    <cfRule type="expression" dxfId="722" priority="810">
      <formula>AND($E15="Antigua",$H15="47mm",$M15&gt;644,$AB$15="R")</formula>
    </cfRule>
  </conditionalFormatting>
  <conditionalFormatting sqref="M15">
    <cfRule type="expression" dxfId="721" priority="168">
      <formula>AND(D15="Tier on Tier",VALUE(M15)&gt;1219)</formula>
    </cfRule>
  </conditionalFormatting>
  <conditionalFormatting sqref="M18">
    <cfRule type="expression" dxfId="720" priority="167">
      <formula>AND(D18="Tier on Tier",VALUE(M18)&gt;1219)</formula>
    </cfRule>
  </conditionalFormatting>
  <conditionalFormatting sqref="M18:M21">
    <cfRule type="expression" dxfId="719" priority="751">
      <formula>AND($E18="Antigua",$H18="47mm",$M18&gt;644,$AB$11="R")</formula>
    </cfRule>
    <cfRule type="expression" dxfId="718" priority="752">
      <formula>AND($E18="Antigua",$H18="47mm",$M18&gt;644,$AB$11="L")</formula>
    </cfRule>
  </conditionalFormatting>
  <conditionalFormatting sqref="M21">
    <cfRule type="expression" dxfId="717" priority="877">
      <formula>AND($E21="Antigua",$H21="47mm",$M21&gt;644,$AG$11="R")</formula>
    </cfRule>
    <cfRule type="expression" dxfId="716" priority="166">
      <formula>AND(D21="Tier on Tier",VALUE(M21)&gt;1219)</formula>
    </cfRule>
  </conditionalFormatting>
  <conditionalFormatting sqref="M24">
    <cfRule type="expression" dxfId="715" priority="731">
      <formula>AND($E24="Antigua",$H24="47mm",$M24&gt;644,$AB$11="R")</formula>
    </cfRule>
    <cfRule type="expression" dxfId="714" priority="732">
      <formula>AND($E24="Antigua",$H24="47mm",$M24&gt;644,$AB$11="L")</formula>
    </cfRule>
    <cfRule type="expression" dxfId="713" priority="165">
      <formula>AND(D24="Tier on Tier",VALUE(M24)&gt;1219)</formula>
    </cfRule>
  </conditionalFormatting>
  <conditionalFormatting sqref="M27">
    <cfRule type="expression" dxfId="712" priority="164">
      <formula>AND(D27="Tier on Tier",VALUE(M27)&gt;1219)</formula>
    </cfRule>
    <cfRule type="expression" dxfId="711" priority="711">
      <formula>AND($E27="Antigua",$H27="47mm",$M27&gt;644,$AB$11="R")</formula>
    </cfRule>
    <cfRule type="expression" dxfId="710" priority="712">
      <formula>AND($E27="Antigua",$H27="47mm",$M27&gt;644,$AB$11="L")</formula>
    </cfRule>
  </conditionalFormatting>
  <conditionalFormatting sqref="M29">
    <cfRule type="expression" dxfId="709" priority="841">
      <formula>AND($E29="Antigua",$H29="47mm",$M29&gt;644,$X$11="R")</formula>
    </cfRule>
    <cfRule type="expression" dxfId="708" priority="842">
      <formula>AND($E29="Antigua",$H29&lt;&gt;"47mm",$M29&gt;794,$X28="L")</formula>
    </cfRule>
  </conditionalFormatting>
  <conditionalFormatting sqref="M30">
    <cfRule type="expression" dxfId="707" priority="846">
      <formula>AND($E30="Antigua",$H30="47mm",$M30&gt;644,$AG$11="R")</formula>
    </cfRule>
    <cfRule type="expression" dxfId="706" priority="692">
      <formula>AND($E30="Antigua",$H30="47mm",$M30&gt;644,$AB$11="L")</formula>
    </cfRule>
    <cfRule type="expression" dxfId="705" priority="691">
      <formula>AND($E30="Antigua",$H30="47mm",$M30&gt;644,$AB$11="R")</formula>
    </cfRule>
    <cfRule type="expression" dxfId="704" priority="163">
      <formula>AND(D30="Tier on Tier",VALUE(M30)&gt;1219)</formula>
    </cfRule>
  </conditionalFormatting>
  <conditionalFormatting sqref="M30:M32">
    <cfRule type="expression" dxfId="703" priority="848">
      <formula>AND($E30="Bermuda",$H30="47mm",$M30&gt;654,$AG$11="R")</formula>
    </cfRule>
    <cfRule type="expression" dxfId="702" priority="854">
      <formula>AND($E30="Bermuda",$H30="47mm",$M30&gt;654,$AG$11="L")</formula>
    </cfRule>
  </conditionalFormatting>
  <conditionalFormatting sqref="M33">
    <cfRule type="expression" dxfId="701" priority="672">
      <formula>AND($E33="Antigua",$H33="47mm",$M33&gt;644,$AB$11="R")</formula>
    </cfRule>
    <cfRule type="expression" dxfId="700" priority="673">
      <formula>AND($E33="Antigua",$H33="47mm",$M33&gt;644,$AB$11="L")</formula>
    </cfRule>
    <cfRule type="expression" dxfId="699" priority="162">
      <formula>AND(D33="Tier on Tier",VALUE(M33)&gt;1219)</formula>
    </cfRule>
  </conditionalFormatting>
  <conditionalFormatting sqref="M36">
    <cfRule type="expression" dxfId="698" priority="637">
      <formula>AND($E36="Antigua",$H36="47mm",$M36&gt;644,$AB$11="R")</formula>
    </cfRule>
    <cfRule type="expression" dxfId="697" priority="161">
      <formula>AND(D36="Tier on Tier",VALUE(M36)&gt;1219)</formula>
    </cfRule>
    <cfRule type="expression" dxfId="696" priority="658">
      <formula>AND($E36="Antigua",$H36="47mm",$M36&gt;644,$X$11="R")</formula>
    </cfRule>
    <cfRule type="expression" dxfId="695" priority="659">
      <formula>AND($E36="Antigua",$H36="47mm",$M36&gt;644,$AG$11="R")</formula>
    </cfRule>
    <cfRule type="expression" dxfId="694" priority="660">
      <formula>AND($E36="Bermuda",$H36="47mm",$M36&gt;654,$AG$11="R")</formula>
    </cfRule>
    <cfRule type="expression" dxfId="693" priority="638">
      <formula>AND($E36="Antigua",$H36="47mm",$M36&gt;644,$AB$11="L")</formula>
    </cfRule>
    <cfRule type="expression" dxfId="692" priority="662">
      <formula>AND($E36="Bermuda",$H36="47mm",$M36&gt;654,$AG$11="L")</formula>
    </cfRule>
  </conditionalFormatting>
  <conditionalFormatting sqref="M39">
    <cfRule type="expression" dxfId="691" priority="624">
      <formula>AND($E39="Antigua",$H39="47mm",$M39&gt;644,$X$11="R")</formula>
    </cfRule>
    <cfRule type="expression" dxfId="690" priority="625">
      <formula>AND($E39="Antigua",$H39="47mm",$M39&gt;644,$AG$11="R")</formula>
    </cfRule>
    <cfRule type="expression" dxfId="689" priority="626">
      <formula>AND($E39="Bermuda",$H39="47mm",$M39&gt;654,$AG$11="R")</formula>
    </cfRule>
    <cfRule type="expression" dxfId="688" priority="628">
      <formula>AND($E39="Bermuda",$H39="47mm",$M39&gt;654,$AG$11="L")</formula>
    </cfRule>
    <cfRule type="expression" dxfId="687" priority="603">
      <formula>AND($E39="Antigua",$H39="47mm",$M39&gt;644,$AB$11="R")</formula>
    </cfRule>
    <cfRule type="expression" dxfId="686" priority="604">
      <formula>AND($E39="Antigua",$H39="47mm",$M39&gt;644,$AB$11="L")</formula>
    </cfRule>
    <cfRule type="expression" dxfId="685" priority="160">
      <formula>AND(D39="Tier on Tier",VALUE(M39)&gt;1219)</formula>
    </cfRule>
  </conditionalFormatting>
  <conditionalFormatting sqref="M42">
    <cfRule type="expression" dxfId="684" priority="591">
      <formula>AND($E42="Antigua",$H42="47mm",$M42&gt;644,$AG$11="R")</formula>
    </cfRule>
    <cfRule type="expression" dxfId="683" priority="590">
      <formula>AND($E42="Antigua",$H42="47mm",$M42&gt;644,$X$11="R")</formula>
    </cfRule>
    <cfRule type="expression" dxfId="682" priority="570">
      <formula>AND($E42="Antigua",$H42="47mm",$M42&gt;644,$AB$11="L")</formula>
    </cfRule>
    <cfRule type="expression" dxfId="681" priority="569">
      <formula>AND($E42="Antigua",$H42="47mm",$M42&gt;644,$AB$11="R")</formula>
    </cfRule>
    <cfRule type="expression" dxfId="680" priority="594">
      <formula>AND($E42="Bermuda",$H42="47mm",$M42&gt;654,$AG$11="L")</formula>
    </cfRule>
    <cfRule type="expression" dxfId="679" priority="592">
      <formula>AND($E42="Bermuda",$H42="47mm",$M42&gt;654,$AG$11="R")</formula>
    </cfRule>
    <cfRule type="expression" dxfId="678" priority="159">
      <formula>AND(D42="Tier on Tier",VALUE(M42)&gt;1219)</formula>
    </cfRule>
  </conditionalFormatting>
  <conditionalFormatting sqref="M45">
    <cfRule type="expression" dxfId="677" priority="558">
      <formula>AND($E45="Bermuda",$H45="47mm",$M45&gt;654,$AG$11="R")</formula>
    </cfRule>
    <cfRule type="expression" dxfId="676" priority="560">
      <formula>AND($E45="Bermuda",$H45="47mm",$M45&gt;654,$AG$11="L")</formula>
    </cfRule>
    <cfRule type="expression" dxfId="675" priority="536">
      <formula>AND($E45="Antigua",$H45="47mm",$M45&gt;644,$AB$11="L")</formula>
    </cfRule>
    <cfRule type="expression" dxfId="674" priority="556">
      <formula>AND($E45="Antigua",$H45="47mm",$M45&gt;644,$X$11="R")</formula>
    </cfRule>
    <cfRule type="expression" dxfId="673" priority="158">
      <formula>AND(D45="Tier on Tier",VALUE(M45)&gt;1219)</formula>
    </cfRule>
    <cfRule type="expression" dxfId="672" priority="557">
      <formula>AND($E45="Antigua",$H45="47mm",$M45&gt;644,$AG$11="R")</formula>
    </cfRule>
    <cfRule type="expression" dxfId="671" priority="535">
      <formula>AND($E45="Antigua",$H45="47mm",$M45&gt;644,$AB$11="R")</formula>
    </cfRule>
  </conditionalFormatting>
  <conditionalFormatting sqref="M48">
    <cfRule type="expression" dxfId="670" priority="526">
      <formula>AND($E48="Bermuda",$H48="47mm",$M48&gt;654,$AG$11="L")</formula>
    </cfRule>
    <cfRule type="expression" dxfId="669" priority="524">
      <formula>AND($E48="Bermuda",$H48="47mm",$M48&gt;654,$AG$11="R")</formula>
    </cfRule>
    <cfRule type="expression" dxfId="668" priority="523">
      <formula>AND($E48="Antigua",$H48="47mm",$M48&gt;644,$AG$11="R")</formula>
    </cfRule>
    <cfRule type="expression" dxfId="667" priority="522">
      <formula>AND($E48="Antigua",$H48="47mm",$M48&gt;644,$X$11="R")</formula>
    </cfRule>
    <cfRule type="expression" dxfId="666" priority="502">
      <formula>AND($E48="Antigua",$H48="47mm",$M48&gt;644,$AB$11="L")</formula>
    </cfRule>
    <cfRule type="expression" dxfId="665" priority="501">
      <formula>AND($E48="Antigua",$H48="47mm",$M48&gt;644,$AB$11="R")</formula>
    </cfRule>
    <cfRule type="expression" dxfId="664" priority="157">
      <formula>AND(D48="Tier on Tier",VALUE(M48)&gt;1219)</formula>
    </cfRule>
  </conditionalFormatting>
  <conditionalFormatting sqref="M51">
    <cfRule type="expression" dxfId="663" priority="488">
      <formula>AND($E51="Antigua",$H51="47mm",$M51&gt;644,$X$11="R")</formula>
    </cfRule>
    <cfRule type="expression" dxfId="662" priority="489">
      <formula>AND($E51="Antigua",$H51="47mm",$M51&gt;644,$AG$11="R")</formula>
    </cfRule>
    <cfRule type="expression" dxfId="661" priority="490">
      <formula>AND($E51="Bermuda",$H51="47mm",$M51&gt;654,$AG$11="R")</formula>
    </cfRule>
    <cfRule type="expression" dxfId="660" priority="492">
      <formula>AND($E51="Bermuda",$H51="47mm",$M51&gt;654,$AG$11="L")</formula>
    </cfRule>
    <cfRule type="expression" dxfId="659" priority="156">
      <formula>AND(D51="Tier on Tier",VALUE(M51)&gt;1219)</formula>
    </cfRule>
    <cfRule type="expression" dxfId="658" priority="467">
      <formula>AND($E51="Antigua",$H51="47mm",$M51&gt;644,$AB$11="R")</formula>
    </cfRule>
    <cfRule type="expression" dxfId="657" priority="468">
      <formula>AND($E51="Antigua",$H51="47mm",$M51&gt;644,$AB$11="L")</formula>
    </cfRule>
  </conditionalFormatting>
  <conditionalFormatting sqref="M54">
    <cfRule type="expression" dxfId="656" priority="434">
      <formula>AND($E54="Antigua",$H54="47mm",$M54&gt;644,$AB$11="L")</formula>
    </cfRule>
    <cfRule type="expression" dxfId="655" priority="433">
      <formula>AND($E54="Antigua",$H54="47mm",$M54&gt;644,$AB$11="R")</formula>
    </cfRule>
    <cfRule type="expression" dxfId="654" priority="454">
      <formula>AND($E54="Antigua",$H54="47mm",$M54&gt;644,$X$11="R")</formula>
    </cfRule>
    <cfRule type="expression" dxfId="653" priority="155">
      <formula>AND(D54="Tier on Tier",VALUE(M54)&gt;1219)</formula>
    </cfRule>
    <cfRule type="expression" dxfId="652" priority="455">
      <formula>AND($E54="Antigua",$H54="47mm",$M54&gt;644,$AG$11="R")</formula>
    </cfRule>
    <cfRule type="expression" dxfId="651" priority="456">
      <formula>AND($E54="Bermuda",$H54="47mm",$M54&gt;654,$AG$11="R")</formula>
    </cfRule>
    <cfRule type="expression" dxfId="650" priority="458">
      <formula>AND($E54="Bermuda",$H54="47mm",$M54&gt;654,$AG$11="L")</formula>
    </cfRule>
  </conditionalFormatting>
  <conditionalFormatting sqref="N12:N56">
    <cfRule type="expression" dxfId="649" priority="438">
      <formula>AND($N12&gt;3657,$E12="Java")</formula>
    </cfRule>
    <cfRule type="expression" dxfId="648" priority="439">
      <formula>AND($N15&gt;3000,$E15="Fiji")</formula>
    </cfRule>
  </conditionalFormatting>
  <conditionalFormatting sqref="N15">
    <cfRule type="expression" dxfId="647" priority="795">
      <formula>AND($N18&gt;3657,$E18="Cuba")</formula>
    </cfRule>
    <cfRule type="expression" dxfId="646" priority="794">
      <formula>AND($N18&gt;3657,$E18="Bermuda")</formula>
    </cfRule>
    <cfRule type="expression" dxfId="645" priority="793">
      <formula>AND($N18&gt;3657,$E18="Antigua")</formula>
    </cfRule>
  </conditionalFormatting>
  <conditionalFormatting sqref="N18:N56">
    <cfRule type="expression" dxfId="644" priority="437">
      <formula>AND($N18&gt;3657,$E18="Cuba")</formula>
    </cfRule>
    <cfRule type="expression" dxfId="643" priority="436">
      <formula>AND($N18&gt;3657,$E18="Bermuda")</formula>
    </cfRule>
    <cfRule type="expression" dxfId="642" priority="435">
      <formula>AND($N18&gt;3657,$E18="Antigua")</formula>
    </cfRule>
  </conditionalFormatting>
  <conditionalFormatting sqref="O15">
    <cfRule type="expression" dxfId="641" priority="267">
      <formula>AND($N$12&gt;1981,$E15="Cuba",$O$12 ="")</formula>
    </cfRule>
    <cfRule type="expression" dxfId="640" priority="266">
      <formula>AND($N$12&gt;1828,$E15="Java",$O$12 ="")</formula>
    </cfRule>
    <cfRule type="expression" dxfId="639" priority="265">
      <formula>AND($N15&gt;1981,$E15="Fiji",$O$12 ="")</formula>
    </cfRule>
    <cfRule type="expression" dxfId="638" priority="264">
      <formula>AND($N$12&gt;2133,$E15="Samoa",$O$12 ="")</formula>
    </cfRule>
    <cfRule type="expression" dxfId="637" priority="198">
      <formula>AND(VALUE(N15)&gt;1372,P15="")</formula>
    </cfRule>
    <cfRule type="expression" dxfId="636" priority="269">
      <formula>AND($N$12&gt;1879,$E15="Antigua",$O$12 ="")</formula>
    </cfRule>
    <cfRule type="expression" dxfId="635" priority="268">
      <formula>AND($N$12&gt;1981,$E15="Bermuda",$O$12 ="")</formula>
    </cfRule>
  </conditionalFormatting>
  <conditionalFormatting sqref="O18">
    <cfRule type="expression" dxfId="634" priority="782">
      <formula>AND($N$12&gt;1981,$E18="Cuba",$O$12 ="")</formula>
    </cfRule>
    <cfRule type="expression" dxfId="633" priority="780">
      <formula>AND($N18&gt;1981,$E18="Fiji",$O$12 ="")</formula>
    </cfRule>
    <cfRule type="expression" dxfId="632" priority="779">
      <formula>AND($N$12&gt;2133,$E18="Samoa",$O$12 ="")</formula>
    </cfRule>
    <cfRule type="expression" dxfId="631" priority="781">
      <formula>AND($N$12&gt;1828,$E18="Java",$O$12 ="")</formula>
    </cfRule>
    <cfRule type="expression" dxfId="630" priority="197">
      <formula>AND(VALUE(N18)&gt;1372,P18="")</formula>
    </cfRule>
    <cfRule type="expression" dxfId="629" priority="787">
      <formula>AND($N$12&gt;1879,$E18="Antigua",$O$12 ="")</formula>
    </cfRule>
    <cfRule type="expression" dxfId="628" priority="783">
      <formula>AND($N$12&gt;1981,$E18="Bermuda",$O$12 ="")</formula>
    </cfRule>
  </conditionalFormatting>
  <conditionalFormatting sqref="O21">
    <cfRule type="expression" dxfId="627" priority="760">
      <formula>AND($N21&gt;1981,$E21="Fiji",$O$12 ="")</formula>
    </cfRule>
    <cfRule type="expression" dxfId="626" priority="767">
      <formula>AND($N$12&gt;1879,$E21="Antigua",$O$12 ="")</formula>
    </cfRule>
    <cfRule type="expression" dxfId="625" priority="763">
      <formula>AND($N$12&gt;1981,$E21="Bermuda",$O$12 ="")</formula>
    </cfRule>
    <cfRule type="expression" dxfId="624" priority="762">
      <formula>AND($N$12&gt;1981,$E21="Cuba",$O$12 ="")</formula>
    </cfRule>
    <cfRule type="expression" dxfId="623" priority="761">
      <formula>AND($N$12&gt;1828,$E21="Java",$O$12 ="")</formula>
    </cfRule>
    <cfRule type="expression" dxfId="622" priority="196">
      <formula>AND(VALUE(N21)&gt;1372,P21="")</formula>
    </cfRule>
    <cfRule type="expression" dxfId="621" priority="759">
      <formula>AND($N$12&gt;2133,$E21="Samoa",$O$12 ="")</formula>
    </cfRule>
  </conditionalFormatting>
  <conditionalFormatting sqref="O24">
    <cfRule type="expression" dxfId="620" priority="747">
      <formula>AND($N$12&gt;1879,$E24="Antigua",$O$12 ="")</formula>
    </cfRule>
    <cfRule type="expression" dxfId="619" priority="195">
      <formula>AND(VALUE(N24)&gt;1372,P24="")</formula>
    </cfRule>
    <cfRule type="expression" dxfId="618" priority="743">
      <formula>AND($N$12&gt;1981,$E24="Bermuda",$O$12 ="")</formula>
    </cfRule>
    <cfRule type="expression" dxfId="617" priority="739">
      <formula>AND($N$12&gt;2133,$E24="Samoa",$O$12 ="")</formula>
    </cfRule>
    <cfRule type="expression" dxfId="616" priority="742">
      <formula>AND($N$12&gt;1981,$E24="Cuba",$O$12 ="")</formula>
    </cfRule>
    <cfRule type="expression" dxfId="615" priority="741">
      <formula>AND($N$12&gt;1828,$E24="Java",$O$12 ="")</formula>
    </cfRule>
    <cfRule type="expression" dxfId="614" priority="740">
      <formula>AND($N24&gt;1981,$E24="Fiji",$O$12 ="")</formula>
    </cfRule>
  </conditionalFormatting>
  <conditionalFormatting sqref="O27">
    <cfRule type="expression" dxfId="613" priority="194">
      <formula>AND(VALUE(N27)&gt;1372,P27="")</formula>
    </cfRule>
    <cfRule type="expression" dxfId="612" priority="722">
      <formula>AND($N$12&gt;1981,$E27="Cuba",$O$12 ="")</formula>
    </cfRule>
    <cfRule type="expression" dxfId="611" priority="723">
      <formula>AND($N$12&gt;1981,$E27="Bermuda",$O$12 ="")</formula>
    </cfRule>
    <cfRule type="expression" dxfId="610" priority="721">
      <formula>AND($N$12&gt;1828,$E27="Java",$O$12 ="")</formula>
    </cfRule>
    <cfRule type="expression" dxfId="609" priority="720">
      <formula>AND($N27&gt;1981,$E27="Fiji",$O$12 ="")</formula>
    </cfRule>
    <cfRule type="expression" dxfId="608" priority="719">
      <formula>AND($N$12&gt;2133,$E27="Samoa",$O$12 ="")</formula>
    </cfRule>
    <cfRule type="expression" dxfId="607" priority="727">
      <formula>AND($N$12&gt;1879,$E27="Antigua",$O$12 ="")</formula>
    </cfRule>
  </conditionalFormatting>
  <conditionalFormatting sqref="O30">
    <cfRule type="expression" dxfId="606" priority="701">
      <formula>AND($N$12&gt;1828,$E30="Java",$O$12 ="")</formula>
    </cfRule>
    <cfRule type="expression" dxfId="605" priority="700">
      <formula>AND($N30&gt;1981,$E30="Fiji",$O$12 ="")</formula>
    </cfRule>
    <cfRule type="expression" dxfId="604" priority="699">
      <formula>AND($N$12&gt;2133,$E30="Samoa",$O$12 ="")</formula>
    </cfRule>
    <cfRule type="expression" dxfId="603" priority="703">
      <formula>AND($N$12&gt;1981,$E30="Bermuda",$O$12 ="")</formula>
    </cfRule>
    <cfRule type="expression" dxfId="602" priority="193">
      <formula>AND(VALUE(N30)&gt;1372,P30="")</formula>
    </cfRule>
    <cfRule type="expression" dxfId="601" priority="707">
      <formula>AND($N$12&gt;1879,$E30="Antigua",$O$12 ="")</formula>
    </cfRule>
    <cfRule type="expression" dxfId="600" priority="702">
      <formula>AND($N$12&gt;1981,$E30="Cuba",$O$12 ="")</formula>
    </cfRule>
  </conditionalFormatting>
  <conditionalFormatting sqref="O33">
    <cfRule type="expression" dxfId="599" priority="682">
      <formula>AND($N$12&gt;1828,$E33="Java",$O$12 ="")</formula>
    </cfRule>
    <cfRule type="expression" dxfId="598" priority="681">
      <formula>AND($N33&gt;1981,$E33="Fiji",$O$12 ="")</formula>
    </cfRule>
    <cfRule type="expression" dxfId="597" priority="680">
      <formula>AND($N$12&gt;2133,$E33="Samoa",$O$12 ="")</formula>
    </cfRule>
    <cfRule type="expression" dxfId="596" priority="688">
      <formula>AND($N$12&gt;1879,$E33="Antigua",$O$12 ="")</formula>
    </cfRule>
    <cfRule type="expression" dxfId="595" priority="684">
      <formula>AND($N$12&gt;1981,$E33="Bermuda",$O$12 ="")</formula>
    </cfRule>
    <cfRule type="expression" dxfId="594" priority="683">
      <formula>AND($N$12&gt;1981,$E33="Cuba",$O$12 ="")</formula>
    </cfRule>
    <cfRule type="expression" dxfId="593" priority="192">
      <formula>AND(VALUE(N33)&gt;1372,P33="")</formula>
    </cfRule>
  </conditionalFormatting>
  <conditionalFormatting sqref="O36">
    <cfRule type="expression" dxfId="592" priority="191">
      <formula>AND(VALUE(N36)&gt;1372,P36="")</formula>
    </cfRule>
    <cfRule type="expression" dxfId="591" priority="653">
      <formula>AND($N$12&gt;1879,$E36="Antigua",$O$12 ="")</formula>
    </cfRule>
    <cfRule type="expression" dxfId="590" priority="649">
      <formula>AND($N$12&gt;1981,$E36="Bermuda",$O$12 ="")</formula>
    </cfRule>
    <cfRule type="expression" dxfId="589" priority="648">
      <formula>AND($N$12&gt;1981,$E36="Cuba",$O$12 ="")</formula>
    </cfRule>
    <cfRule type="expression" dxfId="588" priority="647">
      <formula>AND($N$12&gt;1828,$E36="Java",$O$12 ="")</formula>
    </cfRule>
    <cfRule type="expression" dxfId="587" priority="646">
      <formula>AND($N36&gt;1981,$E36="Fiji",$O$12 ="")</formula>
    </cfRule>
    <cfRule type="expression" dxfId="586" priority="645">
      <formula>AND($N$12&gt;2133,$E36="Samoa",$O$12 ="")</formula>
    </cfRule>
  </conditionalFormatting>
  <conditionalFormatting sqref="O39">
    <cfRule type="expression" dxfId="585" priority="190">
      <formula>AND(VALUE(N39)&gt;1372,P39="")</formula>
    </cfRule>
    <cfRule type="expression" dxfId="584" priority="612">
      <formula>AND($N39&gt;1981,$E39="Fiji",$O$12 ="")</formula>
    </cfRule>
    <cfRule type="expression" dxfId="583" priority="613">
      <formula>AND($N$12&gt;1828,$E39="Java",$O$12 ="")</formula>
    </cfRule>
    <cfRule type="expression" dxfId="582" priority="614">
      <formula>AND($N$12&gt;1981,$E39="Cuba",$O$12 ="")</formula>
    </cfRule>
    <cfRule type="expression" dxfId="581" priority="611">
      <formula>AND($N$12&gt;2133,$E39="Samoa",$O$12 ="")</formula>
    </cfRule>
    <cfRule type="expression" dxfId="580" priority="619">
      <formula>AND($N$12&gt;1879,$E39="Antigua",$O$12 ="")</formula>
    </cfRule>
    <cfRule type="expression" dxfId="579" priority="615">
      <formula>AND($N$12&gt;1981,$E39="Bermuda",$O$12 ="")</formula>
    </cfRule>
  </conditionalFormatting>
  <conditionalFormatting sqref="O42">
    <cfRule type="expression" dxfId="578" priority="580">
      <formula>AND($N$12&gt;1981,$E42="Cuba",$O$12 ="")</formula>
    </cfRule>
    <cfRule type="expression" dxfId="577" priority="581">
      <formula>AND($N$12&gt;1981,$E42="Bermuda",$O$12 ="")</formula>
    </cfRule>
    <cfRule type="expression" dxfId="576" priority="585">
      <formula>AND($N$12&gt;1879,$E42="Antigua",$O$12 ="")</formula>
    </cfRule>
    <cfRule type="expression" dxfId="575" priority="189">
      <formula>AND(VALUE(N42)&gt;1372,P42="")</formula>
    </cfRule>
    <cfRule type="expression" dxfId="574" priority="577">
      <formula>AND($N$12&gt;2133,$E42="Samoa",$O$12 ="")</formula>
    </cfRule>
    <cfRule type="expression" dxfId="573" priority="578">
      <formula>AND($N42&gt;1981,$E42="Fiji",$O$12 ="")</formula>
    </cfRule>
    <cfRule type="expression" dxfId="572" priority="579">
      <formula>AND($N$12&gt;1828,$E42="Java",$O$12 ="")</formula>
    </cfRule>
  </conditionalFormatting>
  <conditionalFormatting sqref="O45">
    <cfRule type="expression" dxfId="571" priority="546">
      <formula>AND($N$12&gt;1981,$E45="Cuba",$O$12 ="")</formula>
    </cfRule>
    <cfRule type="expression" dxfId="570" priority="551">
      <formula>AND($N$12&gt;1879,$E45="Antigua",$O$12 ="")</formula>
    </cfRule>
    <cfRule type="expression" dxfId="569" priority="547">
      <formula>AND($N$12&gt;1981,$E45="Bermuda",$O$12 ="")</formula>
    </cfRule>
    <cfRule type="expression" dxfId="568" priority="188">
      <formula>AND(VALUE(N45)&gt;1372,P45="")</formula>
    </cfRule>
    <cfRule type="expression" dxfId="567" priority="543">
      <formula>AND($N$12&gt;2133,$E45="Samoa",$O$12 ="")</formula>
    </cfRule>
    <cfRule type="expression" dxfId="566" priority="545">
      <formula>AND($N$12&gt;1828,$E45="Java",$O$12 ="")</formula>
    </cfRule>
    <cfRule type="expression" dxfId="565" priority="544">
      <formula>AND($N45&gt;1981,$E45="Fiji",$O$12 ="")</formula>
    </cfRule>
  </conditionalFormatting>
  <conditionalFormatting sqref="O48">
    <cfRule type="expression" dxfId="564" priority="511">
      <formula>AND($N$12&gt;1828,$E48="Java",$O$12 ="")</formula>
    </cfRule>
    <cfRule type="expression" dxfId="563" priority="513">
      <formula>AND($N$12&gt;1981,$E48="Bermuda",$O$12 ="")</formula>
    </cfRule>
    <cfRule type="expression" dxfId="562" priority="510">
      <formula>AND($N48&gt;1981,$E48="Fiji",$O$12 ="")</formula>
    </cfRule>
    <cfRule type="expression" dxfId="561" priority="187">
      <formula>AND(VALUE(N48)&gt;1372,P48="")</formula>
    </cfRule>
    <cfRule type="expression" dxfId="560" priority="509">
      <formula>AND($N$12&gt;2133,$E48="Samoa",$O$12 ="")</formula>
    </cfRule>
    <cfRule type="expression" dxfId="559" priority="517">
      <formula>AND($N$12&gt;1879,$E48="Antigua",$O$12 ="")</formula>
    </cfRule>
    <cfRule type="expression" dxfId="558" priority="512">
      <formula>AND($N$12&gt;1981,$E48="Cuba",$O$12 ="")</formula>
    </cfRule>
  </conditionalFormatting>
  <conditionalFormatting sqref="O51">
    <cfRule type="expression" dxfId="557" priority="479">
      <formula>AND($N$12&gt;1981,$E51="Bermuda",$O$12 ="")</formula>
    </cfRule>
    <cfRule type="expression" dxfId="556" priority="483">
      <formula>AND($N$12&gt;1879,$E51="Antigua",$O$12 ="")</formula>
    </cfRule>
    <cfRule type="expression" dxfId="555" priority="475">
      <formula>AND($N$12&gt;2133,$E51="Samoa",$O$12 ="")</formula>
    </cfRule>
    <cfRule type="expression" dxfId="554" priority="477">
      <formula>AND($N$12&gt;1828,$E51="Java",$O$12 ="")</formula>
    </cfRule>
    <cfRule type="expression" dxfId="553" priority="476">
      <formula>AND($N51&gt;1981,$E51="Fiji",$O$12 ="")</formula>
    </cfRule>
    <cfRule type="expression" dxfId="552" priority="478">
      <formula>AND($N$12&gt;1981,$E51="Cuba",$O$12 ="")</formula>
    </cfRule>
    <cfRule type="expression" dxfId="551" priority="186">
      <formula>AND(VALUE(N51)&gt;1372,P51="")</formula>
    </cfRule>
  </conditionalFormatting>
  <conditionalFormatting sqref="O54">
    <cfRule type="expression" dxfId="550" priority="442">
      <formula>AND($N54&gt;1981,$E54="Fiji",$O$54="")</formula>
    </cfRule>
    <cfRule type="expression" dxfId="549" priority="185">
      <formula>AND(VALUE(N54)&gt;1372,P54="")</formula>
    </cfRule>
    <cfRule type="expression" dxfId="548" priority="449">
      <formula>AND($N$54&gt;1879,$E54="Antigua",$O$54 ="")</formula>
    </cfRule>
    <cfRule type="expression" dxfId="547" priority="445">
      <formula>AND($N$54&gt;1981,$E54="Bermuda",$O$54 ="")</formula>
    </cfRule>
  </conditionalFormatting>
  <conditionalFormatting sqref="O12:P12">
    <cfRule type="expression" dxfId="546" priority="199">
      <formula>AND(VALUE(N12)&gt;1372,P12="")</formula>
    </cfRule>
  </conditionalFormatting>
  <conditionalFormatting sqref="O54:P54">
    <cfRule type="expression" dxfId="545" priority="236">
      <formula>AND($N$54&gt;1981,$E54="Cuba",$O$54 ="")</formula>
    </cfRule>
    <cfRule type="expression" dxfId="544" priority="235">
      <formula>AND($N$54&gt;1828,$E54="Java",$O$54 ="")</formula>
    </cfRule>
    <cfRule type="expression" dxfId="543" priority="233">
      <formula>AND($N$54&gt;2133,$E54="Samoa",$O$54 ="")</formula>
    </cfRule>
  </conditionalFormatting>
  <conditionalFormatting sqref="P12">
    <cfRule type="expression" dxfId="542" priority="226">
      <formula>AND($N$12&gt;2133,$E12="Samoa",$O$12 ="")</formula>
    </cfRule>
    <cfRule type="expression" dxfId="541" priority="230">
      <formula>AND($N$12&gt;1981,$E12="Bermuda",$O$12 ="")</formula>
    </cfRule>
    <cfRule type="expression" dxfId="540" priority="231">
      <formula>AND(VALUE($N$12)&gt;1879,$E12="Antigua",$O$12 ="")</formula>
    </cfRule>
    <cfRule type="expression" dxfId="539" priority="184">
      <formula>AND(VALUE(N12)&gt;1372,O12="")</formula>
    </cfRule>
    <cfRule type="expression" dxfId="538" priority="227">
      <formula>AND($N12&gt;1981,$E12="Fiji",$O$12 ="")</formula>
    </cfRule>
    <cfRule type="expression" dxfId="537" priority="228">
      <formula>AND($N$12&gt;1828,$E12="Java",$O$12 ="")</formula>
    </cfRule>
    <cfRule type="expression" dxfId="536" priority="229">
      <formula>AND($N$12&gt;1981,$E12="Cuba",$O$12 ="")</formula>
    </cfRule>
  </conditionalFormatting>
  <conditionalFormatting sqref="P15">
    <cfRule type="expression" dxfId="535" priority="245">
      <formula>AND(VALUE($N$15)&gt;1879,$E15="Antigua",$O$15 ="")</formula>
    </cfRule>
    <cfRule type="expression" dxfId="534" priority="243">
      <formula>AND($N$15&gt;1981,$E15="Cuba",$O$15 ="")</formula>
    </cfRule>
    <cfRule type="expression" dxfId="533" priority="242">
      <formula>AND($N$15&gt;1828,$E15="Java",$O$15 ="")</formula>
    </cfRule>
    <cfRule type="expression" dxfId="532" priority="241">
      <formula>AND($N15&gt;1981,$E15="Fiji",$O$15 ="")</formula>
    </cfRule>
    <cfRule type="expression" dxfId="531" priority="240">
      <formula>AND($N$15&gt;2133,$E18="Samoa",$O$15 ="")</formula>
    </cfRule>
    <cfRule type="expression" dxfId="530" priority="244">
      <formula>AND($N$15&gt;1981,$E18="Bermuda",$O$15 ="")</formula>
    </cfRule>
    <cfRule type="expression" dxfId="529" priority="183">
      <formula>AND(VALUE(N15)&gt;1372,O15="")</formula>
    </cfRule>
  </conditionalFormatting>
  <conditionalFormatting sqref="P18">
    <cfRule type="expression" dxfId="528" priority="182">
      <formula>AND(VALUE(N18)&gt;1372,O18="")</formula>
    </cfRule>
  </conditionalFormatting>
  <conditionalFormatting sqref="P21">
    <cfRule type="expression" dxfId="527" priority="181">
      <formula>AND(VALUE(N21)&gt;1372,O21="")</formula>
    </cfRule>
  </conditionalFormatting>
  <conditionalFormatting sqref="P24">
    <cfRule type="expression" dxfId="526" priority="180">
      <formula>AND(VALUE(N24)&gt;1372,O24="")</formula>
    </cfRule>
  </conditionalFormatting>
  <conditionalFormatting sqref="P27:P30">
    <cfRule type="expression" dxfId="525" priority="178">
      <formula>AND(VALUE(N27)&gt;1372,O27="")</formula>
    </cfRule>
  </conditionalFormatting>
  <conditionalFormatting sqref="P33">
    <cfRule type="expression" dxfId="524" priority="177">
      <formula>AND(VALUE(N33)&gt;1372,O33="")</formula>
    </cfRule>
  </conditionalFormatting>
  <conditionalFormatting sqref="P36">
    <cfRule type="expression" dxfId="523" priority="176">
      <formula>AND(VALUE(N36)&gt;1372,O36="")</formula>
    </cfRule>
  </conditionalFormatting>
  <conditionalFormatting sqref="P39">
    <cfRule type="expression" dxfId="522" priority="175">
      <formula>AND(VALUE(N39)&gt;1372,O39="")</formula>
    </cfRule>
  </conditionalFormatting>
  <conditionalFormatting sqref="P42">
    <cfRule type="expression" dxfId="521" priority="174">
      <formula>AND(VALUE(N42)&gt;1372,O42="")</formula>
    </cfRule>
  </conditionalFormatting>
  <conditionalFormatting sqref="P45">
    <cfRule type="expression" dxfId="520" priority="173">
      <formula>AND(VALUE(N45)&gt;1372,O45="")</formula>
    </cfRule>
  </conditionalFormatting>
  <conditionalFormatting sqref="P48">
    <cfRule type="expression" dxfId="519" priority="172">
      <formula>AND(VALUE(N48)&gt;1372,O48="")</formula>
    </cfRule>
  </conditionalFormatting>
  <conditionalFormatting sqref="P51">
    <cfRule type="expression" dxfId="518" priority="171">
      <formula>AND(VALUE(N51)&gt;1372,O51="")</formula>
    </cfRule>
  </conditionalFormatting>
  <conditionalFormatting sqref="P54">
    <cfRule type="expression" dxfId="517" priority="234">
      <formula>AND($N54&gt;1981,$E54="Fiji",$O$54 ="")</formula>
    </cfRule>
    <cfRule type="expression" dxfId="516" priority="237">
      <formula>AND($N$54&gt;1981,$E54="Bermuda",$O$54 ="")</formula>
    </cfRule>
    <cfRule type="expression" dxfId="515" priority="238">
      <formula>AND(VALUE($N$54)&gt;1879,$E54="Antigua",$O$54 ="")</formula>
    </cfRule>
    <cfRule type="expression" dxfId="514" priority="170">
      <formula>AND(VALUE(N54)&gt;1372,O54="")</formula>
    </cfRule>
  </conditionalFormatting>
  <conditionalFormatting sqref="P40:AE40 C39:AE39 C40:N40 C41:AE41">
    <cfRule type="expression" dxfId="513" priority="143">
      <formula>$AD$39="Q"</formula>
    </cfRule>
  </conditionalFormatting>
  <conditionalFormatting sqref="Q14">
    <cfRule type="expression" dxfId="512" priority="214">
      <formula>$Q$12&lt;&gt;""</formula>
    </cfRule>
  </conditionalFormatting>
  <conditionalFormatting sqref="Q17">
    <cfRule type="expression" dxfId="511" priority="213">
      <formula>$Q$15&lt;&gt;""</formula>
    </cfRule>
  </conditionalFormatting>
  <conditionalFormatting sqref="Q20">
    <cfRule type="expression" dxfId="510" priority="212">
      <formula>$Q$18</formula>
    </cfRule>
  </conditionalFormatting>
  <conditionalFormatting sqref="Q23">
    <cfRule type="expression" dxfId="509" priority="211">
      <formula>$Q$21&lt;&gt;""</formula>
    </cfRule>
  </conditionalFormatting>
  <conditionalFormatting sqref="Q26">
    <cfRule type="expression" dxfId="508" priority="210">
      <formula>$Q$24&lt;&gt;""</formula>
    </cfRule>
  </conditionalFormatting>
  <conditionalFormatting sqref="Q29">
    <cfRule type="expression" dxfId="507" priority="209">
      <formula>$Q$27&lt;&gt;""</formula>
    </cfRule>
  </conditionalFormatting>
  <conditionalFormatting sqref="Q32">
    <cfRule type="expression" dxfId="506" priority="208">
      <formula>$Q$30&lt;&gt;""</formula>
    </cfRule>
  </conditionalFormatting>
  <conditionalFormatting sqref="Q35">
    <cfRule type="expression" dxfId="505" priority="207">
      <formula>$Q$33&lt;&gt;""</formula>
    </cfRule>
  </conditionalFormatting>
  <conditionalFormatting sqref="Q38">
    <cfRule type="expression" dxfId="504" priority="206">
      <formula>$Q$36&lt;&gt;""</formula>
    </cfRule>
  </conditionalFormatting>
  <conditionalFormatting sqref="Q41">
    <cfRule type="expression" dxfId="503" priority="205">
      <formula>$Q$39&lt;&gt;""</formula>
    </cfRule>
  </conditionalFormatting>
  <conditionalFormatting sqref="Q44">
    <cfRule type="expression" dxfId="502" priority="204">
      <formula>$Q$42&lt;&gt;""</formula>
    </cfRule>
  </conditionalFormatting>
  <conditionalFormatting sqref="Q47">
    <cfRule type="expression" dxfId="501" priority="203">
      <formula>$Q$45&lt;&gt;""</formula>
    </cfRule>
  </conditionalFormatting>
  <conditionalFormatting sqref="Q50">
    <cfRule type="expression" dxfId="500" priority="202">
      <formula>$Q$48&lt;&gt;""</formula>
    </cfRule>
  </conditionalFormatting>
  <conditionalFormatting sqref="Q53">
    <cfRule type="expression" dxfId="499" priority="201">
      <formula>$Q$51&lt;&gt;""</formula>
    </cfRule>
  </conditionalFormatting>
  <conditionalFormatting sqref="Q56">
    <cfRule type="expression" dxfId="498" priority="200">
      <formula>$Q$54&lt;&gt;""</formula>
    </cfRule>
  </conditionalFormatting>
  <conditionalFormatting sqref="S13:AB13">
    <cfRule type="expression" dxfId="497" priority="136">
      <formula>AND(ISNUMBER(SEARCH("(",S12)),S13="")</formula>
    </cfRule>
  </conditionalFormatting>
  <conditionalFormatting sqref="S16:AB16">
    <cfRule type="expression" dxfId="496" priority="135">
      <formula>AND(ISNUMBER(SEARCH("(",S15)),S16="")</formula>
    </cfRule>
  </conditionalFormatting>
  <conditionalFormatting sqref="S19:AB19">
    <cfRule type="expression" dxfId="495" priority="134">
      <formula>AND(ISNUMBER(SEARCH("(",S18)),S19="")</formula>
    </cfRule>
  </conditionalFormatting>
  <conditionalFormatting sqref="S22:AB22">
    <cfRule type="expression" dxfId="494" priority="133">
      <formula>AND(ISNUMBER(SEARCH("(",S21)),S22="")</formula>
    </cfRule>
  </conditionalFormatting>
  <conditionalFormatting sqref="S25:AB25">
    <cfRule type="expression" dxfId="493" priority="132">
      <formula>AND(ISNUMBER(SEARCH("(",S24)),S25="")</formula>
    </cfRule>
  </conditionalFormatting>
  <conditionalFormatting sqref="S28:AB28">
    <cfRule type="expression" dxfId="492" priority="131">
      <formula>AND(ISNUMBER(SEARCH("(",S27)),S28="")</formula>
    </cfRule>
  </conditionalFormatting>
  <conditionalFormatting sqref="S31:AB31">
    <cfRule type="expression" dxfId="491" priority="130">
      <formula>AND(ISNUMBER(SEARCH("(",S30)),S31="")</formula>
    </cfRule>
  </conditionalFormatting>
  <conditionalFormatting sqref="S34:AB34">
    <cfRule type="expression" dxfId="490" priority="129">
      <formula>AND(ISNUMBER(SEARCH("(",S33)),S34="")</formula>
    </cfRule>
  </conditionalFormatting>
  <conditionalFormatting sqref="S37:AB37">
    <cfRule type="expression" dxfId="489" priority="128">
      <formula>AND(ISNUMBER(SEARCH("(",S36)),S37="")</formula>
    </cfRule>
  </conditionalFormatting>
  <conditionalFormatting sqref="S40:AB40">
    <cfRule type="expression" dxfId="488" priority="127">
      <formula>AND(ISNUMBER(SEARCH("(",S39)),$S$40="")</formula>
    </cfRule>
  </conditionalFormatting>
  <conditionalFormatting sqref="S43:AB43">
    <cfRule type="expression" dxfId="487" priority="126">
      <formula>AND(ISNUMBER(SEARCH("(",S42)),S43="")</formula>
    </cfRule>
  </conditionalFormatting>
  <conditionalFormatting sqref="S46:AB46">
    <cfRule type="expression" dxfId="486" priority="125">
      <formula>AND(ISNUMBER(SEARCH("(",S45)),S46="")</formula>
    </cfRule>
  </conditionalFormatting>
  <conditionalFormatting sqref="S49:AB49">
    <cfRule type="expression" dxfId="485" priority="124">
      <formula>AND(ISNUMBER(SEARCH("(",S48)),S49="")</formula>
    </cfRule>
  </conditionalFormatting>
  <conditionalFormatting sqref="S52:AB52">
    <cfRule type="expression" dxfId="484" priority="123">
      <formula>AND(ISNUMBER(SEARCH("(",S51)),S52="")</formula>
    </cfRule>
  </conditionalFormatting>
  <conditionalFormatting sqref="S55:AB55">
    <cfRule type="expression" dxfId="483" priority="122">
      <formula>AND(ISNUMBER(SEARCH("(",S54)),S55="")</formula>
    </cfRule>
  </conditionalFormatting>
  <conditionalFormatting sqref="S26:AC26">
    <cfRule type="cellIs" dxfId="482" priority="262" operator="greaterThan">
      <formula>""""""</formula>
    </cfRule>
  </conditionalFormatting>
  <conditionalFormatting sqref="AC1:AC56 AC61:AC1048576">
    <cfRule type="containsText" dxfId="481" priority="215" operator="containsText" text="LOR">
      <formula>NOT(ISERROR(SEARCH("LOR",AC1)))</formula>
    </cfRule>
  </conditionalFormatting>
  <conditionalFormatting sqref="AE9">
    <cfRule type="expression" dxfId="480" priority="273">
      <formula>OR((AE9-AE7)&lt;=-0.05,(AE9-AE7)&gt;=0.05)</formula>
    </cfRule>
  </conditionalFormatting>
  <dataValidations count="71">
    <dataValidation type="list" allowBlank="1" showInputMessage="1" sqref="AD15 AD18 AD21 AD27 AD30 AD33 AD36 AD39 AD42 AD45 AD48 AD51 AD54" xr:uid="{33FE0209-6A0B-4BAB-A4BA-450AF5DB058A}">
      <formula1>"Q"</formula1>
    </dataValidation>
    <dataValidation type="list" allowBlank="1" showInputMessage="1" sqref="F15:G15 F12:G12" xr:uid="{82017E4F-D34D-4F12-AC73-771A29CB862C}">
      <formula1>IF(E12="Aruba Express",ArubaExpress,IF(E12="Antigua",Barbados,INDIRECT(E12)))</formula1>
    </dataValidation>
    <dataValidation type="list" allowBlank="1" showInputMessage="1" sqref="D12:D56" xr:uid="{BD311E8B-CFD7-4C98-BABB-59F2DBB6CAA7}">
      <formula1>Shuttype</formula1>
    </dataValidation>
    <dataValidation type="list" allowBlank="1" showInputMessage="1" sqref="H12:H56" xr:uid="{4668DA88-419A-4577-83A9-6FF90C27F039}">
      <formula1>IF(E12="Antigua",Barbados,INDIRECT(E12 &amp; "L"))</formula1>
    </dataValidation>
    <dataValidation type="list" allowBlank="1" showInputMessage="1" sqref="AD24" xr:uid="{A8867EE6-6721-48B5-840A-79028D39AA48}">
      <formula1>"Q,"""""</formula1>
    </dataValidation>
    <dataValidation type="list" allowBlank="1" showInputMessage="1" sqref="AD12" xr:uid="{E6E248B9-FC87-42D1-940B-53DABBAD5A45}">
      <formula1>"Q, "" """</formula1>
    </dataValidation>
    <dataValidation type="list" allowBlank="1" showInputMessage="1" sqref="J12 J21 J30 J15 J18 J27 J24 J33 J36 J39 J42 J45 J48 J51 J54" xr:uid="{52A89117-0CEB-4838-B2C2-8E9D539630D2}">
      <formula1>"1,2,3,4,5"</formula1>
    </dataValidation>
    <dataValidation type="list" allowBlank="1" showInputMessage="1" showErrorMessage="1" sqref="W8" xr:uid="{8D6DE7E2-EC56-4DA9-8786-8DAA93910EB7}">
      <formula1>Surveyors</formula1>
    </dataValidation>
    <dataValidation type="list" allowBlank="1" showInputMessage="1" sqref="J55:J56 J13:J14 J16:J17 J19:J20 J22:J23 J25:J26 J28:J29 J31:J32 J34:J35 J37:J38 J43:J44 J40:J41 J46:J47 J49:J50 J52:J53" xr:uid="{9442E82C-E096-4BA3-9485-3CCD416CCF48}">
      <formula1>Sides</formula1>
    </dataValidation>
    <dataValidation type="list" allowBlank="1" showInputMessage="1" showErrorMessage="1" sqref="AC13 AC28 AC31 AC55 AC19 AC22 AC25 AC34 AC37 AC40 AC43 AC46 AC49 AC52 AC16" xr:uid="{CCDFF681-708A-47A2-AA3F-06F8B7B11BC1}">
      <formula1>"LOR, ROL"</formula1>
    </dataValidation>
    <dataValidation type="list" allowBlank="1" showInputMessage="1" showErrorMessage="1" sqref="G56 G17 G20 G23 G26 G29 G32 G35 G38 G41 G44 G47 G53" xr:uid="{41192733-2E09-4F3C-B381-E85702648BA7}">
      <formula1>IF(E15="Aruba Express",ArubaEH,IF(E15="Antigua",Barbados,INDIRECT(E15 &amp; "H")))</formula1>
    </dataValidation>
    <dataValidation type="list" allowBlank="1" showInputMessage="1" showErrorMessage="1" sqref="O9:Q9" xr:uid="{D13A4B8B-0346-4EBD-BBBE-BA288B0CD0BC}">
      <formula1>"Please Select,1,2,3,4"</formula1>
    </dataValidation>
    <dataValidation type="list" allowBlank="1" showInputMessage="1" showErrorMessage="1" sqref="Q14 Q17 Q20 Q23 Q26 Q29 Q32 Q35 Q38 Q41 Q44 Q47 Q50 Q53 Q56" xr:uid="{A310CE92-45F2-4BE3-BD21-DAD87BA57461}">
      <formula1>IF($D12="Tier on Tier",HorizontalPost,MRail2)</formula1>
    </dataValidation>
    <dataValidation type="list" allowBlank="1" showInputMessage="1" sqref="K12:K56" xr:uid="{7516A68C-953E-43C4-B055-7D7CBA978573}">
      <formula1>Style</formula1>
    </dataValidation>
    <dataValidation type="list" allowBlank="1" showInputMessage="1" showErrorMessage="1" sqref="F54:G54 F51:G51 F48:G48 F21:G21 F24:G24 F27:G27 F30:G30 F33:G33 F36:G36 F39:G39 F42:G42 F45:G45 F18:G18" xr:uid="{8838DA1E-908F-491F-8FBA-FC9D3DAFC091}">
      <formula1>IF(E18="Aruba Express",ArubaExpress,IF(E18="Antigua",Barbados,INDIRECT(E18)))</formula1>
    </dataValidation>
    <dataValidation type="list" allowBlank="1" showInputMessage="1" sqref="C55 C19 C22 C25:C26 C28:C29 C31:C32 C34:C35 C37:C38 C40:C41 C43 C46 C49 C52 C13 C16" xr:uid="{4BFB10E6-6921-479B-B38C-67EA0319C5DE}">
      <formula1>RoomLoc</formula1>
    </dataValidation>
    <dataValidation type="list" allowBlank="1" showInputMessage="1" sqref="C54 C15 C51 C18 C21 C12 C27 C30 C33 C36 C39 C42 C48 C45 C24" xr:uid="{B13E9DD2-21D1-482C-8E2C-2C704E9C5D8D}">
      <formula1>rooms</formula1>
    </dataValidation>
    <dataValidation type="list" allowBlank="1" showInputMessage="1" sqref="E54:E56" xr:uid="{011DBE14-02E8-4443-807D-B76DC5D6B155}">
      <formula1>IF(OR($D$54="Shape",$D$54="French Door Cutout"),Shapes,Materials)</formula1>
    </dataValidation>
    <dataValidation type="list" allowBlank="1" showInputMessage="1" sqref="C14 C17 C56 C20 C23 C50 C53 C47 C44" xr:uid="{2435A238-92E8-4368-9B20-A0C9DF26679A}">
      <formula1>"Left, Centre, Right"</formula1>
    </dataValidation>
    <dataValidation type="list" allowBlank="1" showInputMessage="1" sqref="G14" xr:uid="{D9633426-4EEF-47CF-A5BA-DC9737DF02F1}">
      <formula1>IF(E12="Aruba Express",ArubaEH,IF(E12="Antigua",Barbados,INDIRECT(E12 &amp; "H")))</formula1>
    </dataValidation>
    <dataValidation type="list" allowBlank="1" showInputMessage="1" sqref="I12:I14" xr:uid="{BADBF588-DEE4-46D3-8268-314DA228428A}">
      <formula1>IF($D$12="Tracked",TFrame,IF($D$12="S/Shade",SSFrame,Frame))</formula1>
    </dataValidation>
    <dataValidation type="list" allowBlank="1" showInputMessage="1" sqref="I15:I17" xr:uid="{D127BA2E-3CCD-4CBF-B99F-4191EF14A95C}">
      <formula1>IF($D$15="Tracked",TFrame,IF($D$15="S/Shade",SSFrame,Frame))</formula1>
    </dataValidation>
    <dataValidation type="list" allowBlank="1" showInputMessage="1" sqref="I18:I20" xr:uid="{7B431E05-E125-42C2-8F83-D80A3A56EC64}">
      <formula1>IF($D$18="Tracked",TFrame,IF($D$18="S/Shade",SSFrame,Frame))</formula1>
    </dataValidation>
    <dataValidation type="list" allowBlank="1" showInputMessage="1" sqref="I21:I23" xr:uid="{B3A2106B-76C0-4DDE-AD73-B41C7954182A}">
      <formula1>IF($D$21="Tracked",TFrame,IF($D$21="S/Shade",SSFrame,Frame))</formula1>
    </dataValidation>
    <dataValidation type="list" allowBlank="1" showInputMessage="1" sqref="I24:I26" xr:uid="{7AC92DC5-3512-4301-AC45-AB38799C1584}">
      <formula1>IF($D$24="Tracked",TFrame,IF($D$24="S/Shade",SSFrame,Frame))</formula1>
    </dataValidation>
    <dataValidation type="list" allowBlank="1" showInputMessage="1" sqref="I27:I29" xr:uid="{9520CA13-46A2-4B2B-8DC1-289E8B8CFD2D}">
      <formula1>IF($D$27="Tracked",TFrame,IF($D$27="S/Shade",SSFrame,Frame))</formula1>
    </dataValidation>
    <dataValidation type="list" allowBlank="1" showInputMessage="1" sqref="I30:I32" xr:uid="{18015057-8534-4451-A2EF-BBFE5864CCA5}">
      <formula1>IF($D$30="Tracked",TFrame,IF($D$30="S/Shade",SSFrame,Frame))</formula1>
    </dataValidation>
    <dataValidation type="list" allowBlank="1" showInputMessage="1" sqref="I33:I35" xr:uid="{46BE3CBB-D2B5-4FB0-91C0-B52F6DD3E30E}">
      <formula1>IF($D$33="Tracked",TFrame,IF($D$33="S/Shade",SSFrame,Frame))</formula1>
    </dataValidation>
    <dataValidation type="list" allowBlank="1" showInputMessage="1" sqref="I36:I38" xr:uid="{AEA4832F-8FC9-4490-BDCE-8AEF699BD46E}">
      <formula1>IF($D$36="Tracked",TFrame,IF($D$36="S/Shade",SSFrame,Frame))</formula1>
    </dataValidation>
    <dataValidation type="list" allowBlank="1" showInputMessage="1" sqref="I39:I41" xr:uid="{05219BED-496B-41B8-A2BF-51F555C0D9EC}">
      <formula1>IF($D$39="Tracked",TFrame,IF($D$39="S/Shade",SSFrame,Frame))</formula1>
    </dataValidation>
    <dataValidation type="list" allowBlank="1" showInputMessage="1" sqref="I42:I44" xr:uid="{61EAC4F1-C7F8-4D8E-9626-00DAEDE61DEE}">
      <formula1>IF($D$42="Tracked",TFrame,IF($D$42="S/Shade",SSFrame,Frame))</formula1>
    </dataValidation>
    <dataValidation type="list" allowBlank="1" showInputMessage="1" sqref="I45:I47" xr:uid="{EAF3BF47-142E-428E-A6E3-0FE4C3F68671}">
      <formula1>IF($D$45="Tracked",TFrame,IF($D$45="S/Shade",SSFrame,Frame))</formula1>
    </dataValidation>
    <dataValidation type="list" allowBlank="1" showInputMessage="1" sqref="I48:I50" xr:uid="{A92FC6B4-FFEA-4C68-906E-5AE6116E3C88}">
      <formula1>IF($D$48="Tracked",TFrame,IF($D$48="S/Shade",SSFrame,Frame))</formula1>
    </dataValidation>
    <dataValidation type="list" allowBlank="1" showInputMessage="1" sqref="I51:I53" xr:uid="{A91DD53D-424D-4DF8-B5A4-F51EF4ADB710}">
      <formula1>IF($D$51="Tracked",TFrame,IF($D$51="S/Shade",SSFrame,Frame))</formula1>
    </dataValidation>
    <dataValidation type="list" allowBlank="1" showInputMessage="1" sqref="I54:I56" xr:uid="{7FFCBDE1-A620-4423-93CA-C70F1F798C05}">
      <formula1>IF($D$54="Tracked",TFrame,IF($D$54="S/Shade",SSFrame,Frame))</formula1>
    </dataValidation>
    <dataValidation type="list" allowBlank="1" showInputMessage="1" sqref="E12:E14" xr:uid="{7F8DB598-983C-41E5-9BD1-CA1C29232343}">
      <formula1>IF(OR($D$12="Shape",$D$12="French Door Cutout"),Shapes,Materials)</formula1>
    </dataValidation>
    <dataValidation type="list" allowBlank="1" showInputMessage="1" sqref="E15:E17" xr:uid="{FBC0355F-BC9A-4DDA-AC2F-E14E4FE9721B}">
      <formula1>IF(OR($D$15="Shape",$D$15="French Door Cutout"),Shapes,Materials)</formula1>
    </dataValidation>
    <dataValidation type="list" allowBlank="1" showInputMessage="1" sqref="E18:E20" xr:uid="{AF542309-31FF-46B7-997D-63871BAC08ED}">
      <formula1>IF(OR($D$18="Shape",$D$18="French Door Cutout"),Shapes,Materials)</formula1>
    </dataValidation>
    <dataValidation type="list" allowBlank="1" showInputMessage="1" sqref="E21:E23" xr:uid="{D2EBE50E-D2BA-451D-BD26-F12736EC6C7D}">
      <formula1>IF(OR($D$21="Shape",$D$21="French Door Cutout"),Shapes,Materials)</formula1>
    </dataValidation>
    <dataValidation type="list" allowBlank="1" showInputMessage="1" sqref="E24:E26" xr:uid="{A941B231-A0ED-404A-BB8F-79A93F345340}">
      <formula1>IF(OR($D$24="Shape",$D$24="French Door Cutout"),Shapes,Materials)</formula1>
    </dataValidation>
    <dataValidation type="list" allowBlank="1" showInputMessage="1" sqref="E27:E29" xr:uid="{E719F0FB-A10B-4B6A-9B76-73DA43BBB599}">
      <formula1>IF(OR($D$27="Shape",$D$27="French Door Cutout"),Shapes,Materials)</formula1>
    </dataValidation>
    <dataValidation type="list" allowBlank="1" showInputMessage="1" sqref="E30:E32" xr:uid="{601EF00B-016B-42EE-896D-EB0BBA772C96}">
      <formula1>IF(OR($D$30="Shape",$D$30="French Door Cutout"),Shapes,Materials)</formula1>
    </dataValidation>
    <dataValidation type="list" allowBlank="1" showInputMessage="1" sqref="E33:E35" xr:uid="{E86130B8-4963-474F-BFA3-75540C202749}">
      <formula1>IF(OR($D$33="Shape",$D$33="French Door Cutout"),Shapes,Materials)</formula1>
    </dataValidation>
    <dataValidation type="list" allowBlank="1" showInputMessage="1" sqref="E36:E38" xr:uid="{14C073CB-8A64-438A-87F8-6528D26EAF79}">
      <formula1>IF(OR($D$36="Shape",$D$36="French Door Cutout"),Shapes,Materials)</formula1>
    </dataValidation>
    <dataValidation type="list" allowBlank="1" showInputMessage="1" sqref="E39:E41" xr:uid="{7B7966ED-42F1-4AC1-AF52-459EAECBBED0}">
      <formula1>IF(OR($D$39="Shape",$D$39="French Door Cutout"),Shapes,Materials)</formula1>
    </dataValidation>
    <dataValidation type="list" allowBlank="1" showInputMessage="1" sqref="E42:E44" xr:uid="{C2C7CE1E-81C2-4F7B-8457-71BE742FCADD}">
      <formula1>IF(OR($D$42="Shape",$D$42="French Door Cutout"),Shapes,Materials)</formula1>
    </dataValidation>
    <dataValidation type="list" allowBlank="1" showInputMessage="1" sqref="E45:E47" xr:uid="{37401C09-DC4A-42EB-81AA-985EFF7FA472}">
      <formula1>IF(OR($D$45="Shape",$D$45="French Door Cutout"),Shapes,Materials)</formula1>
    </dataValidation>
    <dataValidation type="list" allowBlank="1" showInputMessage="1" sqref="E48:E50" xr:uid="{C7C8C738-0D46-4796-A687-8F6C9D52FC8B}">
      <formula1>IF(OR($D$48="Shape",$D$48="French Door Cutout"),Shapes,Materials)</formula1>
    </dataValidation>
    <dataValidation type="list" allowBlank="1" showInputMessage="1" sqref="E51:E53" xr:uid="{2CEC976F-067C-48F9-B102-69FFEFB23275}">
      <formula1>IF(OR($D$51="Shape",$D$51="French Door Cutout"),Shapes,Materials)</formula1>
    </dataValidation>
    <dataValidation type="list" allowBlank="1" showInputMessage="1" showErrorMessage="1" sqref="G50" xr:uid="{DB9ACC0A-80C9-4EE5-AEA6-6CE773104B26}">
      <formula1>IF(E50="Aruba Express",ArubaEH,INDIRECT(E50 &amp; "H"))</formula1>
    </dataValidation>
    <dataValidation type="list" allowBlank="1" showInputMessage="1" sqref="F13:G13 F52:G52 F16:G16 F19:G19 F22:G22 F25:G25 F28:G28 F31:G31 F34:G34 F37:G37 F40:G40 F43:G43 F46:G46 F49:G49 F55:G55" xr:uid="{34BC4041-808B-4772-B094-510F965B5401}">
      <formula1>"Raked, Radius"</formula1>
    </dataValidation>
    <dataValidation type="list" allowBlank="1" showInputMessage="1" sqref="S12:AC12" xr:uid="{F9326808-D5C2-4CE2-8921-789A8A9D909D}">
      <formula1>IF($E$12="Aruba",ArubaConfig,Config1)</formula1>
    </dataValidation>
    <dataValidation type="list" allowBlank="1" showInputMessage="1" sqref="S15:AC15" xr:uid="{61314408-E3C0-43AF-BA0A-A03EEE2879D3}">
      <formula1>IF($E$15="Aruba",ArubaConfig,Config1)</formula1>
    </dataValidation>
    <dataValidation type="list" allowBlank="1" showInputMessage="1" sqref="S18:AC18" xr:uid="{245A0FB5-1AFA-41AB-9322-3196C758D2C3}">
      <formula1>IF($E$18="Aruba",ArubaConfig,Config1)</formula1>
    </dataValidation>
    <dataValidation type="list" allowBlank="1" showInputMessage="1" sqref="S21:AC21" xr:uid="{A259B1DA-722C-4EA0-8E76-B366FCBFAAE7}">
      <formula1>IF($E$21="Aruba",ArubaConfig,Config1)</formula1>
    </dataValidation>
    <dataValidation type="list" allowBlank="1" showInputMessage="1" sqref="S24:AC24" xr:uid="{3723B4C0-F9C6-4BA7-8DE8-2C333311FC39}">
      <formula1>IF($E$24="Aruba",ArubaConfig,Config1)</formula1>
    </dataValidation>
    <dataValidation type="list" allowBlank="1" showInputMessage="1" sqref="S27:AC27" xr:uid="{9CB7C5DF-DBE9-4E96-BB32-423044E90CAE}">
      <formula1>IF($E$27="Aruba",ArubaConfig,Config1)</formula1>
    </dataValidation>
    <dataValidation type="list" allowBlank="1" showInputMessage="1" sqref="S30:AC30" xr:uid="{42A917BC-6168-41E7-93E5-6B175D51D450}">
      <formula1>IF($E$30="Aruba",ArubaConfig,Config1)</formula1>
    </dataValidation>
    <dataValidation type="list" allowBlank="1" showInputMessage="1" sqref="S33:AC33" xr:uid="{95F19809-345B-463C-89AA-A26E484B0E41}">
      <formula1>IF($E$33="Aruba",ArubaConfig,Config1)</formula1>
    </dataValidation>
    <dataValidation type="list" allowBlank="1" showInputMessage="1" sqref="S36:AC36" xr:uid="{5CAC9D4F-B764-455F-8AA0-20CB30E29F35}">
      <formula1>IF($E$36="Aruba",ArubaConfig,Config1)</formula1>
    </dataValidation>
    <dataValidation type="list" allowBlank="1" showInputMessage="1" sqref="S39:AC39" xr:uid="{E6089958-FB9D-4209-AF44-8D0F1C61AFCE}">
      <formula1>IF($E$39="Aruba",ArubaConfig,Config1)</formula1>
    </dataValidation>
    <dataValidation type="list" allowBlank="1" showInputMessage="1" sqref="S42:AC42" xr:uid="{CA5F8DDD-4BAF-4044-9943-DF872CE8E6D1}">
      <formula1>IF($E$42="Aruba",ArubaConfig,Config1)</formula1>
    </dataValidation>
    <dataValidation type="list" allowBlank="1" showInputMessage="1" sqref="S45:AC45" xr:uid="{C1A7DC63-3896-47DD-A4D7-13CBF6A5AA8D}">
      <formula1>IF($E$45="Aruba",ArubaConfig,Config1)</formula1>
    </dataValidation>
    <dataValidation type="list" allowBlank="1" showInputMessage="1" sqref="S48:AC48" xr:uid="{1413E168-C432-43C4-A247-B6C85B521C39}">
      <formula1>IF($E$48="Aruba",ArubaConfig,Config1)</formula1>
    </dataValidation>
    <dataValidation type="list" allowBlank="1" showInputMessage="1" sqref="S51:AC51" xr:uid="{6FE6B50E-AB66-40B9-8A5D-A08BE3F0435F}">
      <formula1>IF($E$51="Aruba",ArubaConfig,Config1)</formula1>
    </dataValidation>
    <dataValidation type="list" allowBlank="1" showInputMessage="1" sqref="S54:AC54" xr:uid="{C5CB7D7A-49D7-4C28-AF35-3F2F30941934}">
      <formula1>IF($E$54="Aruba",ArubaConfig,Config1)</formula1>
    </dataValidation>
    <dataValidation type="list" allowBlank="1" showInputMessage="1" showErrorMessage="1" sqref="AH16:AH17 AH19:AH20 AH22:AH23 AH25:AH26 AH28:AH29 AH31:AH32 AH34:AH35 AH37:AH38 AH40:AH41 AH43:AH44 AH46:AH47 AH49:AH50 AH52:AH53 AH55:AH56 AH13:AH14" xr:uid="{5B756CDA-44AF-4A2E-B3C8-C2135FBF5C56}">
      <formula1>"Please Select, No, Yes"</formula1>
    </dataValidation>
    <dataValidation type="list" allowBlank="1" showInputMessage="1" showErrorMessage="1" sqref="AI13:AI14 AI16:AI17 AI19:AI20 AI22:AI23 AI25:AI26 AI28:AI29 AI31:AI32 AI34:AI35 AI37:AI38 AI40:AI41 AI43:AI44 AI46:AI47 AI49:AI50 AI52:AI53 AI55:AI56" xr:uid="{FFFD63B3-A75D-42B5-960D-7594A518E97F}">
      <formula1>"Please Select,0, 1,2,3,4,5"</formula1>
    </dataValidation>
    <dataValidation type="list" allowBlank="1" showInputMessage="1" showErrorMessage="1" sqref="O14" xr:uid="{C3914E43-2554-4747-9F60-87B5CF9439D2}">
      <formula1>"Select,Up,Down,Exact"</formula1>
    </dataValidation>
    <dataValidation type="list" allowBlank="1" showInputMessage="1" showErrorMessage="1" sqref="O17 O20 O23 O26 O29 O32 O35 O38 O41 O44 O47 O50 O53 O56" xr:uid="{AE7309A2-C0DD-4D4D-9AEB-D9193046FEE3}">
      <formula1>"Select,UP,Down,Exact"</formula1>
    </dataValidation>
    <dataValidation type="list" allowBlank="1" showInputMessage="1" showErrorMessage="1" sqref="M3:N3" xr:uid="{55CEB6C8-6ED1-4C3E-8A12-051BFC914862}">
      <formula1>" ,S-Craft, Lifetime, P-Craft"</formula1>
    </dataValidation>
  </dataValidations>
  <pageMargins left="0.7" right="0.7" top="0.75" bottom="0.75" header="0.3" footer="0.3"/>
  <pageSetup paperSize="9" scale="58" orientation="landscape" horizontalDpi="300" verticalDpi="300" r:id="rId1"/>
  <drawing r:id="rId2"/>
  <extLst>
    <ext xmlns:x14="http://schemas.microsoft.com/office/spreadsheetml/2009/9/main" uri="{78C0D931-6437-407d-A8EE-F0AAD7539E65}">
      <x14:conditionalFormattings>
        <x14:conditionalFormatting xmlns:xm="http://schemas.microsoft.com/office/excel/2006/main">
          <x14:cfRule type="expression" priority="423" id="{A84E8D38-E30F-4524-870A-DD260D400F2F}">
            <xm:f>$C$12&lt;&gt;Pricing!$C$8</xm:f>
            <x14:dxf>
              <font>
                <color theme="5"/>
              </font>
              <fill>
                <patternFill>
                  <bgColor theme="7" tint="0.59996337778862885"/>
                </patternFill>
              </fill>
            </x14:dxf>
          </x14:cfRule>
          <xm:sqref>C12</xm:sqref>
        </x14:conditionalFormatting>
        <x14:conditionalFormatting xmlns:xm="http://schemas.microsoft.com/office/excel/2006/main">
          <x14:cfRule type="expression" priority="261" id="{D7005FB1-D5ED-4853-AA27-865A5BC7E456}">
            <xm:f>$C$13&lt;&gt;Pricing!$C9</xm:f>
            <x14:dxf>
              <font>
                <color theme="5"/>
              </font>
              <fill>
                <patternFill>
                  <bgColor theme="7" tint="0.59996337778862885"/>
                </patternFill>
              </fill>
            </x14:dxf>
          </x14:cfRule>
          <xm:sqref>C13</xm:sqref>
        </x14:conditionalFormatting>
        <x14:conditionalFormatting xmlns:xm="http://schemas.microsoft.com/office/excel/2006/main">
          <x14:cfRule type="expression" priority="421" id="{39F681EF-0861-4E99-B041-1A1F3FB04FB9}">
            <xm:f>$C$14&lt;&gt;Pricing!$C10</xm:f>
            <x14:dxf>
              <font>
                <color theme="5"/>
              </font>
              <fill>
                <patternFill>
                  <bgColor theme="7" tint="0.59996337778862885"/>
                </patternFill>
              </fill>
            </x14:dxf>
          </x14:cfRule>
          <xm:sqref>C14</xm:sqref>
        </x14:conditionalFormatting>
        <x14:conditionalFormatting xmlns:xm="http://schemas.microsoft.com/office/excel/2006/main">
          <x14:cfRule type="expression" priority="405" id="{0EF8717C-46FE-462C-A76C-C91CC9AFF5C2}">
            <xm:f>$C$15&lt;&gt;Pricing!$C$11</xm:f>
            <x14:dxf>
              <font>
                <color theme="5"/>
              </font>
              <fill>
                <patternFill>
                  <bgColor theme="7" tint="0.59996337778862885"/>
                </patternFill>
              </fill>
            </x14:dxf>
          </x14:cfRule>
          <xm:sqref>C15</xm:sqref>
        </x14:conditionalFormatting>
        <x14:conditionalFormatting xmlns:xm="http://schemas.microsoft.com/office/excel/2006/main">
          <x14:cfRule type="expression" priority="406" id="{8A48B596-B587-4BF7-9518-0000B48FAC89}">
            <xm:f>$C$16&lt;&gt;Pricing!$C$12</xm:f>
            <x14:dxf>
              <font>
                <color theme="5"/>
              </font>
              <fill>
                <patternFill>
                  <bgColor theme="7" tint="0.59996337778862885"/>
                </patternFill>
              </fill>
            </x14:dxf>
          </x14:cfRule>
          <xm:sqref>C16</xm:sqref>
        </x14:conditionalFormatting>
        <x14:conditionalFormatting xmlns:xm="http://schemas.microsoft.com/office/excel/2006/main">
          <x14:cfRule type="expression" priority="420" id="{0E9DE7D7-A76A-40CA-AE56-E6BEEC4595D9}">
            <xm:f>$C$17&lt;&gt;Pricing!$C$13</xm:f>
            <x14:dxf>
              <font>
                <color theme="5"/>
              </font>
              <fill>
                <patternFill>
                  <bgColor theme="7" tint="0.59996337778862885"/>
                </patternFill>
              </fill>
            </x14:dxf>
          </x14:cfRule>
          <xm:sqref>C17</xm:sqref>
        </x14:conditionalFormatting>
        <x14:conditionalFormatting xmlns:xm="http://schemas.microsoft.com/office/excel/2006/main">
          <x14:cfRule type="expression" priority="404" id="{C072EDAA-4131-4660-A708-FA8F21FED002}">
            <xm:f>$C$18&lt;&gt;Pricing!$C$14</xm:f>
            <x14:dxf>
              <font>
                <color theme="5"/>
              </font>
              <fill>
                <patternFill>
                  <bgColor theme="7" tint="0.59996337778862885"/>
                </patternFill>
              </fill>
            </x14:dxf>
          </x14:cfRule>
          <xm:sqref>C18</xm:sqref>
        </x14:conditionalFormatting>
        <x14:conditionalFormatting xmlns:xm="http://schemas.microsoft.com/office/excel/2006/main">
          <x14:cfRule type="expression" priority="403" id="{A388E597-458D-4E5A-BD76-9F294BE27F07}">
            <xm:f>$C$19&lt;&gt;Pricing!$C$15</xm:f>
            <x14:dxf>
              <font>
                <color theme="5"/>
              </font>
              <fill>
                <patternFill>
                  <bgColor theme="7" tint="0.59996337778862885"/>
                </patternFill>
              </fill>
            </x14:dxf>
          </x14:cfRule>
          <xm:sqref>C19</xm:sqref>
        </x14:conditionalFormatting>
        <x14:conditionalFormatting xmlns:xm="http://schemas.microsoft.com/office/excel/2006/main">
          <x14:cfRule type="expression" priority="419" id="{F48BEBE4-3B95-412E-9679-446E24CEB49B}">
            <xm:f>$C$20&lt;&gt;Pricing!$C$16</xm:f>
            <x14:dxf>
              <font>
                <color theme="5"/>
              </font>
              <fill>
                <patternFill>
                  <bgColor theme="7" tint="0.59996337778862885"/>
                </patternFill>
              </fill>
            </x14:dxf>
          </x14:cfRule>
          <xm:sqref>C20</xm:sqref>
        </x14:conditionalFormatting>
        <x14:conditionalFormatting xmlns:xm="http://schemas.microsoft.com/office/excel/2006/main">
          <x14:cfRule type="expression" priority="402" id="{FE20B26E-858E-4D32-A349-12D3A86FB10C}">
            <xm:f>$C$21&lt;&gt;Pricing!$C$17</xm:f>
            <x14:dxf>
              <font>
                <color theme="5"/>
              </font>
              <fill>
                <patternFill>
                  <bgColor theme="7" tint="0.59996337778862885"/>
                </patternFill>
              </fill>
            </x14:dxf>
          </x14:cfRule>
          <xm:sqref>C21</xm:sqref>
        </x14:conditionalFormatting>
        <x14:conditionalFormatting xmlns:xm="http://schemas.microsoft.com/office/excel/2006/main">
          <x14:cfRule type="expression" priority="401" id="{AE923154-FDBC-40E0-A5F6-CEC1A3369BC6}">
            <xm:f>$C$22&lt;&gt;Pricing!$C$18</xm:f>
            <x14:dxf>
              <font>
                <color theme="5"/>
              </font>
              <fill>
                <patternFill>
                  <bgColor theme="7" tint="0.59996337778862885"/>
                </patternFill>
              </fill>
            </x14:dxf>
          </x14:cfRule>
          <xm:sqref>C22</xm:sqref>
        </x14:conditionalFormatting>
        <x14:conditionalFormatting xmlns:xm="http://schemas.microsoft.com/office/excel/2006/main">
          <x14:cfRule type="expression" priority="418" id="{99A0328F-2F33-4A6B-8247-DEDCC5EA3A48}">
            <xm:f>$C$23&lt;&gt;Pricing!$C$19</xm:f>
            <x14:dxf>
              <font>
                <color theme="5"/>
              </font>
              <fill>
                <patternFill>
                  <bgColor theme="7" tint="0.59996337778862885"/>
                </patternFill>
              </fill>
            </x14:dxf>
          </x14:cfRule>
          <xm:sqref>C23</xm:sqref>
        </x14:conditionalFormatting>
        <x14:conditionalFormatting xmlns:xm="http://schemas.microsoft.com/office/excel/2006/main">
          <x14:cfRule type="expression" priority="400" id="{E8510432-DDEE-468E-BC4A-4D4D8B135288}">
            <xm:f>$C$24&lt;&gt;Pricing!$C$20</xm:f>
            <x14:dxf>
              <font>
                <color theme="5"/>
              </font>
              <fill>
                <patternFill>
                  <bgColor theme="7" tint="0.59996337778862885"/>
                </patternFill>
              </fill>
            </x14:dxf>
          </x14:cfRule>
          <xm:sqref>C24</xm:sqref>
        </x14:conditionalFormatting>
        <x14:conditionalFormatting xmlns:xm="http://schemas.microsoft.com/office/excel/2006/main">
          <x14:cfRule type="expression" priority="399" id="{1F179138-1A0E-4B21-B7E0-EF1EA84458CE}">
            <xm:f>$C$25&lt;&gt;Pricing!$C$21</xm:f>
            <x14:dxf>
              <font>
                <color theme="5"/>
              </font>
              <fill>
                <patternFill>
                  <bgColor theme="7" tint="0.59996337778862885"/>
                </patternFill>
              </fill>
            </x14:dxf>
          </x14:cfRule>
          <xm:sqref>C25</xm:sqref>
        </x14:conditionalFormatting>
        <x14:conditionalFormatting xmlns:xm="http://schemas.microsoft.com/office/excel/2006/main">
          <x14:cfRule type="expression" priority="417" id="{762D8CF2-0CF1-4CDD-B40D-6A69F5A4155A}">
            <xm:f>$C$26&lt;&gt;Pricing!$C$22</xm:f>
            <x14:dxf>
              <font>
                <color theme="5"/>
              </font>
              <fill>
                <patternFill>
                  <bgColor theme="7" tint="0.59996337778862885"/>
                </patternFill>
              </fill>
            </x14:dxf>
          </x14:cfRule>
          <xm:sqref>C26</xm:sqref>
        </x14:conditionalFormatting>
        <x14:conditionalFormatting xmlns:xm="http://schemas.microsoft.com/office/excel/2006/main">
          <x14:cfRule type="expression" priority="398" id="{ABEBE3EA-6766-4CAC-B436-00C84691F0FF}">
            <xm:f>$C$27&lt;&gt;Pricing!$C$23</xm:f>
            <x14:dxf>
              <font>
                <color theme="5"/>
              </font>
              <fill>
                <patternFill>
                  <bgColor theme="7" tint="0.59996337778862885"/>
                </patternFill>
              </fill>
            </x14:dxf>
          </x14:cfRule>
          <xm:sqref>C27</xm:sqref>
        </x14:conditionalFormatting>
        <x14:conditionalFormatting xmlns:xm="http://schemas.microsoft.com/office/excel/2006/main">
          <x14:cfRule type="expression" priority="397" id="{2C4E91D6-3D78-4A07-B078-4D0A4C45C728}">
            <xm:f>$C$28&lt;&gt;Pricing!$C$24</xm:f>
            <x14:dxf>
              <font>
                <color theme="5"/>
              </font>
              <fill>
                <patternFill>
                  <bgColor theme="7" tint="0.59996337778862885"/>
                </patternFill>
              </fill>
            </x14:dxf>
          </x14:cfRule>
          <xm:sqref>C28</xm:sqref>
        </x14:conditionalFormatting>
        <x14:conditionalFormatting xmlns:xm="http://schemas.microsoft.com/office/excel/2006/main">
          <x14:cfRule type="expression" priority="416" id="{73ABD93E-EAFC-43C9-8CB0-6A8BBA5D14FC}">
            <xm:f>$C$29&lt;&gt;Pricing!$C$25</xm:f>
            <x14:dxf>
              <font>
                <color theme="5"/>
              </font>
              <fill>
                <patternFill>
                  <bgColor theme="7" tint="0.59996337778862885"/>
                </patternFill>
              </fill>
            </x14:dxf>
          </x14:cfRule>
          <xm:sqref>C29</xm:sqref>
        </x14:conditionalFormatting>
        <x14:conditionalFormatting xmlns:xm="http://schemas.microsoft.com/office/excel/2006/main">
          <x14:cfRule type="expression" priority="396" id="{E5E9CA95-1D59-40AF-9BD9-B827B71DF7A9}">
            <xm:f>$C$30&lt;&gt;Pricing!$C$26</xm:f>
            <x14:dxf>
              <font>
                <color theme="5"/>
              </font>
              <fill>
                <patternFill>
                  <bgColor theme="7" tint="0.59996337778862885"/>
                </patternFill>
              </fill>
            </x14:dxf>
          </x14:cfRule>
          <xm:sqref>C30</xm:sqref>
        </x14:conditionalFormatting>
        <x14:conditionalFormatting xmlns:xm="http://schemas.microsoft.com/office/excel/2006/main">
          <x14:cfRule type="expression" priority="394" id="{5328211A-CA46-41AB-9930-7A6E0D433249}">
            <xm:f>$C$31&lt;&gt;Pricing!$C$27</xm:f>
            <x14:dxf>
              <font>
                <color theme="5"/>
              </font>
              <fill>
                <patternFill>
                  <bgColor theme="7" tint="0.59996337778862885"/>
                </patternFill>
              </fill>
            </x14:dxf>
          </x14:cfRule>
          <xm:sqref>C31</xm:sqref>
        </x14:conditionalFormatting>
        <x14:conditionalFormatting xmlns:xm="http://schemas.microsoft.com/office/excel/2006/main">
          <x14:cfRule type="expression" priority="415" id="{61D4C69E-C0A2-458C-B9DA-E7E89FCE2FEC}">
            <xm:f>$C$32&lt;&gt;Pricing!$C$28</xm:f>
            <x14:dxf>
              <font>
                <color theme="5"/>
              </font>
              <fill>
                <patternFill>
                  <bgColor theme="7" tint="0.59996337778862885"/>
                </patternFill>
              </fill>
            </x14:dxf>
          </x14:cfRule>
          <xm:sqref>C32</xm:sqref>
        </x14:conditionalFormatting>
        <x14:conditionalFormatting xmlns:xm="http://schemas.microsoft.com/office/excel/2006/main">
          <x14:cfRule type="expression" priority="393" id="{4873EEDC-2044-4FE1-AEF9-4601A75290E8}">
            <xm:f>$C$33&lt;&gt;Pricing!$C$29</xm:f>
            <x14:dxf>
              <font>
                <color theme="5"/>
              </font>
              <fill>
                <patternFill>
                  <bgColor theme="7" tint="0.59996337778862885"/>
                </patternFill>
              </fill>
            </x14:dxf>
          </x14:cfRule>
          <xm:sqref>C33</xm:sqref>
        </x14:conditionalFormatting>
        <x14:conditionalFormatting xmlns:xm="http://schemas.microsoft.com/office/excel/2006/main">
          <x14:cfRule type="expression" priority="392" id="{BA53EE30-1DC2-43EA-8C4F-870D8EF95507}">
            <xm:f>$C$34&lt;&gt;Pricing!$C$30</xm:f>
            <x14:dxf>
              <font>
                <color theme="5"/>
              </font>
              <fill>
                <patternFill>
                  <bgColor theme="7" tint="0.59996337778862885"/>
                </patternFill>
              </fill>
            </x14:dxf>
          </x14:cfRule>
          <xm:sqref>C34</xm:sqref>
        </x14:conditionalFormatting>
        <x14:conditionalFormatting xmlns:xm="http://schemas.microsoft.com/office/excel/2006/main">
          <x14:cfRule type="expression" priority="414" id="{7E935AC9-936B-4430-9793-D741DD5AF23F}">
            <xm:f>$C$35&lt;&gt;Pricing!$C$31</xm:f>
            <x14:dxf>
              <font>
                <color theme="5"/>
              </font>
              <fill>
                <patternFill>
                  <bgColor theme="7" tint="0.59996337778862885"/>
                </patternFill>
              </fill>
            </x14:dxf>
          </x14:cfRule>
          <xm:sqref>C35</xm:sqref>
        </x14:conditionalFormatting>
        <x14:conditionalFormatting xmlns:xm="http://schemas.microsoft.com/office/excel/2006/main">
          <x14:cfRule type="expression" priority="391" id="{ADB0D424-8B7A-4220-9610-2F3C5D9358DC}">
            <xm:f>$C$36&lt;&gt;Pricing!$C$32</xm:f>
            <x14:dxf>
              <font>
                <color theme="5"/>
              </font>
              <fill>
                <patternFill>
                  <bgColor theme="7" tint="0.59996337778862885"/>
                </patternFill>
              </fill>
            </x14:dxf>
          </x14:cfRule>
          <xm:sqref>C36</xm:sqref>
        </x14:conditionalFormatting>
        <x14:conditionalFormatting xmlns:xm="http://schemas.microsoft.com/office/excel/2006/main">
          <x14:cfRule type="expression" priority="390" id="{A5717F31-D36A-4D49-BD22-507873125B5C}">
            <xm:f>$C$37&lt;&gt;Pricing!$C$33</xm:f>
            <x14:dxf>
              <font>
                <color theme="5"/>
              </font>
              <fill>
                <patternFill>
                  <bgColor theme="7" tint="0.59996337778862885"/>
                </patternFill>
              </fill>
            </x14:dxf>
          </x14:cfRule>
          <xm:sqref>C37</xm:sqref>
        </x14:conditionalFormatting>
        <x14:conditionalFormatting xmlns:xm="http://schemas.microsoft.com/office/excel/2006/main">
          <x14:cfRule type="expression" priority="413" id="{186FBEAC-19EC-4B68-AD68-0F39B80D8AD9}">
            <xm:f>$C$38&lt;&gt;Pricing!$C$34</xm:f>
            <x14:dxf>
              <font>
                <color theme="5"/>
              </font>
              <fill>
                <patternFill>
                  <bgColor theme="7" tint="0.59996337778862885"/>
                </patternFill>
              </fill>
            </x14:dxf>
          </x14:cfRule>
          <xm:sqref>C38</xm:sqref>
        </x14:conditionalFormatting>
        <x14:conditionalFormatting xmlns:xm="http://schemas.microsoft.com/office/excel/2006/main">
          <x14:cfRule type="expression" priority="389" id="{CB78998C-F0A1-4218-A606-0D3093AC2667}">
            <xm:f>$C$39&lt;&gt;Pricing!$C$35</xm:f>
            <x14:dxf>
              <font>
                <color theme="5"/>
              </font>
              <fill>
                <patternFill>
                  <bgColor theme="7" tint="0.59996337778862885"/>
                </patternFill>
              </fill>
            </x14:dxf>
          </x14:cfRule>
          <xm:sqref>C39</xm:sqref>
        </x14:conditionalFormatting>
        <x14:conditionalFormatting xmlns:xm="http://schemas.microsoft.com/office/excel/2006/main">
          <x14:cfRule type="expression" priority="387" id="{9D143606-47E9-4F24-AF4C-ED2F017E78B1}">
            <xm:f>$C$40&lt;&gt;Pricing!$C$36</xm:f>
            <x14:dxf>
              <font>
                <color theme="5"/>
              </font>
              <fill>
                <patternFill>
                  <bgColor theme="7" tint="0.59996337778862885"/>
                </patternFill>
              </fill>
            </x14:dxf>
          </x14:cfRule>
          <xm:sqref>C40</xm:sqref>
        </x14:conditionalFormatting>
        <x14:conditionalFormatting xmlns:xm="http://schemas.microsoft.com/office/excel/2006/main">
          <x14:cfRule type="expression" priority="412" id="{0D6304EA-ECC7-4DB6-A122-949C140D44D4}">
            <xm:f>$C$41&lt;&gt;Pricing!$C$37</xm:f>
            <x14:dxf>
              <font>
                <color theme="5"/>
              </font>
              <fill>
                <patternFill>
                  <bgColor theme="7" tint="0.59996337778862885"/>
                </patternFill>
              </fill>
            </x14:dxf>
          </x14:cfRule>
          <xm:sqref>C41</xm:sqref>
        </x14:conditionalFormatting>
        <x14:conditionalFormatting xmlns:xm="http://schemas.microsoft.com/office/excel/2006/main">
          <x14:cfRule type="expression" priority="386" id="{F834669E-D791-44BC-95B4-B9A0CC54ECDC}">
            <xm:f>$C$42&lt;&gt;Pricing!$C$38</xm:f>
            <x14:dxf>
              <font>
                <color theme="5"/>
              </font>
              <fill>
                <patternFill>
                  <bgColor theme="7" tint="0.59996337778862885"/>
                </patternFill>
              </fill>
            </x14:dxf>
          </x14:cfRule>
          <xm:sqref>C42</xm:sqref>
        </x14:conditionalFormatting>
        <x14:conditionalFormatting xmlns:xm="http://schemas.microsoft.com/office/excel/2006/main">
          <x14:cfRule type="expression" priority="385" id="{783A0720-7BDF-44D5-BA53-BF5C0409E86F}">
            <xm:f>$C$43&lt;&gt;Pricing!$C$39</xm:f>
            <x14:dxf>
              <font>
                <color theme="5"/>
              </font>
              <fill>
                <patternFill>
                  <bgColor theme="7" tint="0.59996337778862885"/>
                </patternFill>
              </fill>
            </x14:dxf>
          </x14:cfRule>
          <xm:sqref>C43</xm:sqref>
        </x14:conditionalFormatting>
        <x14:conditionalFormatting xmlns:xm="http://schemas.microsoft.com/office/excel/2006/main">
          <x14:cfRule type="expression" priority="411" id="{DECEEFF2-C120-4E3F-8FEB-62116F2F280B}">
            <xm:f>$C$44&lt;&gt;Pricing!$C$40</xm:f>
            <x14:dxf>
              <font>
                <color theme="5"/>
              </font>
              <fill>
                <patternFill>
                  <bgColor theme="7" tint="0.59996337778862885"/>
                </patternFill>
              </fill>
            </x14:dxf>
          </x14:cfRule>
          <xm:sqref>C44</xm:sqref>
        </x14:conditionalFormatting>
        <x14:conditionalFormatting xmlns:xm="http://schemas.microsoft.com/office/excel/2006/main">
          <x14:cfRule type="expression" priority="384" id="{209727EB-FACA-498B-9853-D5726FCFC742}">
            <xm:f>$C$45&lt;&gt;Pricing!$C$41</xm:f>
            <x14:dxf>
              <font>
                <color theme="5"/>
              </font>
              <fill>
                <patternFill>
                  <bgColor theme="7" tint="0.59996337778862885"/>
                </patternFill>
              </fill>
            </x14:dxf>
          </x14:cfRule>
          <xm:sqref>C45</xm:sqref>
        </x14:conditionalFormatting>
        <x14:conditionalFormatting xmlns:xm="http://schemas.microsoft.com/office/excel/2006/main">
          <x14:cfRule type="expression" priority="383" id="{A9A9292A-62E2-4634-AEC7-66B902598F64}">
            <xm:f>$C$46&lt;&gt;Pricing!$C$42</xm:f>
            <x14:dxf>
              <font>
                <color theme="5"/>
              </font>
              <fill>
                <patternFill>
                  <bgColor theme="7" tint="0.59996337778862885"/>
                </patternFill>
              </fill>
            </x14:dxf>
          </x14:cfRule>
          <xm:sqref>C46</xm:sqref>
        </x14:conditionalFormatting>
        <x14:conditionalFormatting xmlns:xm="http://schemas.microsoft.com/office/excel/2006/main">
          <x14:cfRule type="expression" priority="410" id="{09FA11DC-77AC-4FB2-B33C-664C79092647}">
            <xm:f>$C$47&lt;&gt;Pricing!$C$43</xm:f>
            <x14:dxf>
              <font>
                <color theme="5"/>
              </font>
              <fill>
                <patternFill>
                  <bgColor theme="7" tint="0.59996337778862885"/>
                </patternFill>
              </fill>
            </x14:dxf>
          </x14:cfRule>
          <xm:sqref>C47</xm:sqref>
        </x14:conditionalFormatting>
        <x14:conditionalFormatting xmlns:xm="http://schemas.microsoft.com/office/excel/2006/main">
          <x14:cfRule type="expression" priority="382" id="{5ABA23DD-7221-44C6-B33F-3DC0FF11565D}">
            <xm:f>$C$48&lt;&gt;Pricing!$C$44</xm:f>
            <x14:dxf>
              <font>
                <color theme="5"/>
              </font>
              <fill>
                <patternFill>
                  <bgColor theme="7" tint="0.59996337778862885"/>
                </patternFill>
              </fill>
            </x14:dxf>
          </x14:cfRule>
          <xm:sqref>C48</xm:sqref>
        </x14:conditionalFormatting>
        <x14:conditionalFormatting xmlns:xm="http://schemas.microsoft.com/office/excel/2006/main">
          <x14:cfRule type="expression" priority="381" id="{B874EAFF-0D0B-42E6-8779-A760A1851FB0}">
            <xm:f>$C$49&lt;&gt;Pricing!$C$45</xm:f>
            <x14:dxf>
              <font>
                <color theme="5"/>
              </font>
              <fill>
                <patternFill>
                  <bgColor theme="7" tint="0.59996337778862885"/>
                </patternFill>
              </fill>
            </x14:dxf>
          </x14:cfRule>
          <xm:sqref>C49</xm:sqref>
        </x14:conditionalFormatting>
        <x14:conditionalFormatting xmlns:xm="http://schemas.microsoft.com/office/excel/2006/main">
          <x14:cfRule type="expression" priority="408" id="{A6992DE1-FD89-43C9-A79B-CB2D4D67C297}">
            <xm:f>$C$50&lt;&gt;Pricing!$C$46</xm:f>
            <x14:dxf>
              <font>
                <color theme="5"/>
              </font>
              <fill>
                <patternFill>
                  <bgColor theme="7" tint="0.59996337778862885"/>
                </patternFill>
              </fill>
            </x14:dxf>
          </x14:cfRule>
          <xm:sqref>C50</xm:sqref>
        </x14:conditionalFormatting>
        <x14:conditionalFormatting xmlns:xm="http://schemas.microsoft.com/office/excel/2006/main">
          <x14:cfRule type="expression" priority="380" id="{D4866EC9-F162-4A14-A0AC-F0C6239D2550}">
            <xm:f>$C$51&lt;&gt;Pricing!$C$47</xm:f>
            <x14:dxf>
              <font>
                <color theme="5"/>
              </font>
              <fill>
                <patternFill>
                  <bgColor theme="7" tint="0.59996337778862885"/>
                </patternFill>
              </fill>
            </x14:dxf>
          </x14:cfRule>
          <xm:sqref>C51</xm:sqref>
        </x14:conditionalFormatting>
        <x14:conditionalFormatting xmlns:xm="http://schemas.microsoft.com/office/excel/2006/main">
          <x14:cfRule type="expression" priority="379" id="{6780D84F-0DFF-4063-A184-BF81FA0ECDF7}">
            <xm:f>$C$52&lt;&gt;Pricing!$C$48</xm:f>
            <x14:dxf>
              <font>
                <color theme="5"/>
              </font>
              <fill>
                <patternFill>
                  <bgColor theme="7" tint="0.59996337778862885"/>
                </patternFill>
              </fill>
            </x14:dxf>
          </x14:cfRule>
          <xm:sqref>C52</xm:sqref>
        </x14:conditionalFormatting>
        <x14:conditionalFormatting xmlns:xm="http://schemas.microsoft.com/office/excel/2006/main">
          <x14:cfRule type="expression" priority="409" id="{527CB8A0-81A6-4D8D-8918-96662CB79801}">
            <xm:f>$C$53&lt;&gt;Pricing!$C$49</xm:f>
            <x14:dxf>
              <font>
                <color theme="5"/>
              </font>
              <fill>
                <patternFill>
                  <bgColor theme="7" tint="0.59996337778862885"/>
                </patternFill>
              </fill>
            </x14:dxf>
          </x14:cfRule>
          <xm:sqref>C53</xm:sqref>
        </x14:conditionalFormatting>
        <x14:conditionalFormatting xmlns:xm="http://schemas.microsoft.com/office/excel/2006/main">
          <x14:cfRule type="expression" priority="377" id="{C35853EE-F847-46C6-87AF-8F1BADB80640}">
            <xm:f>$C$54&lt;&gt;Pricing!$C$50</xm:f>
            <x14:dxf>
              <font>
                <color theme="5"/>
              </font>
              <fill>
                <patternFill>
                  <bgColor theme="7" tint="0.59996337778862885"/>
                </patternFill>
              </fill>
            </x14:dxf>
          </x14:cfRule>
          <xm:sqref>C54</xm:sqref>
        </x14:conditionalFormatting>
        <x14:conditionalFormatting xmlns:xm="http://schemas.microsoft.com/office/excel/2006/main">
          <x14:cfRule type="expression" priority="376" id="{F333D11D-74DF-4A2C-8249-AE0864F00160}">
            <xm:f>$C$55&lt;&gt;Pricing!$C$51</xm:f>
            <x14:dxf>
              <font>
                <color theme="5"/>
              </font>
              <fill>
                <patternFill>
                  <bgColor theme="7" tint="0.59996337778862885"/>
                </patternFill>
              </fill>
            </x14:dxf>
          </x14:cfRule>
          <xm:sqref>C55</xm:sqref>
        </x14:conditionalFormatting>
        <x14:conditionalFormatting xmlns:xm="http://schemas.microsoft.com/office/excel/2006/main">
          <x14:cfRule type="expression" priority="407" id="{7F7C7DDD-BC49-494C-A9F3-5940F9A264F0}">
            <xm:f>$C$56&lt;&gt;Pricing!$C$52</xm:f>
            <x14:dxf>
              <font>
                <color theme="5"/>
              </font>
              <fill>
                <patternFill>
                  <bgColor theme="7" tint="0.59996337778862885"/>
                </patternFill>
              </fill>
            </x14:dxf>
          </x14:cfRule>
          <xm:sqref>C56</xm:sqref>
        </x14:conditionalFormatting>
        <x14:conditionalFormatting xmlns:xm="http://schemas.microsoft.com/office/excel/2006/main">
          <x14:cfRule type="expression" priority="373" id="{A79B6B45-2890-49FD-913C-970751BC469D}">
            <xm:f>$D$18&lt;&gt;Pricing!$D$14</xm:f>
            <x14:dxf>
              <font>
                <color theme="5"/>
              </font>
              <fill>
                <patternFill>
                  <bgColor theme="7" tint="0.59996337778862885"/>
                </patternFill>
              </fill>
            </x14:dxf>
          </x14:cfRule>
          <xm:sqref>D18:D20</xm:sqref>
        </x14:conditionalFormatting>
        <x14:conditionalFormatting xmlns:xm="http://schemas.microsoft.com/office/excel/2006/main">
          <x14:cfRule type="expression" priority="372" id="{DFCCAE3A-E8E3-4AB0-8F4A-FC7FA36F9A2E}">
            <xm:f>$D$21&lt;&gt;Pricing!$D$17</xm:f>
            <x14:dxf>
              <font>
                <color theme="5"/>
              </font>
              <fill>
                <patternFill>
                  <bgColor theme="7" tint="0.59996337778862885"/>
                </patternFill>
              </fill>
            </x14:dxf>
          </x14:cfRule>
          <xm:sqref>D21:D23</xm:sqref>
        </x14:conditionalFormatting>
        <x14:conditionalFormatting xmlns:xm="http://schemas.microsoft.com/office/excel/2006/main">
          <x14:cfRule type="expression" priority="46" id="{634A12D1-0764-41FF-8CB1-5178B089CFEB}">
            <xm:f>$D$24&lt;&gt;Pricing!$D$20</xm:f>
            <x14:dxf>
              <font>
                <color theme="5"/>
              </font>
              <fill>
                <patternFill>
                  <bgColor theme="7" tint="0.59996337778862885"/>
                </patternFill>
              </fill>
            </x14:dxf>
          </x14:cfRule>
          <xm:sqref>D24:D26</xm:sqref>
        </x14:conditionalFormatting>
        <x14:conditionalFormatting xmlns:xm="http://schemas.microsoft.com/office/excel/2006/main">
          <x14:cfRule type="expression" priority="370" id="{D500E46B-7627-463B-BB14-FF86129CFAF2}">
            <xm:f>$D$27&lt;&gt;Pricing!$D$23</xm:f>
            <x14:dxf>
              <font>
                <color theme="5"/>
              </font>
              <fill>
                <patternFill>
                  <bgColor theme="7" tint="0.59996337778862885"/>
                </patternFill>
              </fill>
            </x14:dxf>
          </x14:cfRule>
          <xm:sqref>D27:D29</xm:sqref>
        </x14:conditionalFormatting>
        <x14:conditionalFormatting xmlns:xm="http://schemas.microsoft.com/office/excel/2006/main">
          <x14:cfRule type="expression" priority="369" id="{60698B85-A98F-4C19-91F2-FE4F526143F8}">
            <xm:f>$D$30&lt;&gt;Pricing!$D$26</xm:f>
            <x14:dxf>
              <font>
                <color theme="5"/>
              </font>
              <fill>
                <patternFill>
                  <bgColor theme="7" tint="0.59996337778862885"/>
                </patternFill>
              </fill>
            </x14:dxf>
          </x14:cfRule>
          <xm:sqref>D30:D32</xm:sqref>
        </x14:conditionalFormatting>
        <x14:conditionalFormatting xmlns:xm="http://schemas.microsoft.com/office/excel/2006/main">
          <x14:cfRule type="expression" priority="368" id="{8D70337A-B336-411A-92BC-476FA76E8B61}">
            <xm:f>$D$33&lt;&gt;Pricing!$D$29</xm:f>
            <x14:dxf>
              <font>
                <color theme="5"/>
              </font>
              <fill>
                <patternFill>
                  <bgColor theme="7" tint="0.59996337778862885"/>
                </patternFill>
              </fill>
            </x14:dxf>
          </x14:cfRule>
          <xm:sqref>D33:D35</xm:sqref>
        </x14:conditionalFormatting>
        <x14:conditionalFormatting xmlns:xm="http://schemas.microsoft.com/office/excel/2006/main">
          <x14:cfRule type="expression" priority="367" id="{2539131B-E2E9-414E-9950-3512B90F4017}">
            <xm:f>$D$36&lt;&gt;Pricing!$D$32</xm:f>
            <x14:dxf>
              <font>
                <color theme="5"/>
              </font>
              <fill>
                <patternFill>
                  <bgColor theme="7" tint="0.59996337778862885"/>
                </patternFill>
              </fill>
            </x14:dxf>
          </x14:cfRule>
          <xm:sqref>D36:D38</xm:sqref>
        </x14:conditionalFormatting>
        <x14:conditionalFormatting xmlns:xm="http://schemas.microsoft.com/office/excel/2006/main">
          <x14:cfRule type="expression" priority="366" id="{3423981E-BD0E-47F6-AB85-B5CDE68E31D6}">
            <xm:f>$D$39&lt;&gt;Pricing!$D$35</xm:f>
            <x14:dxf>
              <font>
                <color theme="5"/>
              </font>
              <fill>
                <patternFill>
                  <bgColor theme="7" tint="0.59996337778862885"/>
                </patternFill>
              </fill>
            </x14:dxf>
          </x14:cfRule>
          <xm:sqref>D39:D41</xm:sqref>
        </x14:conditionalFormatting>
        <x14:conditionalFormatting xmlns:xm="http://schemas.microsoft.com/office/excel/2006/main">
          <x14:cfRule type="expression" priority="365" id="{5944592A-4459-4A82-8099-287A2D037F21}">
            <xm:f>$D$42:$D$44&lt;&gt;Pricing!$D$38</xm:f>
            <x14:dxf>
              <font>
                <color theme="5"/>
              </font>
              <fill>
                <patternFill>
                  <bgColor theme="7" tint="0.59996337778862885"/>
                </patternFill>
              </fill>
            </x14:dxf>
          </x14:cfRule>
          <xm:sqref>D42:D44</xm:sqref>
        </x14:conditionalFormatting>
        <x14:conditionalFormatting xmlns:xm="http://schemas.microsoft.com/office/excel/2006/main">
          <x14:cfRule type="expression" priority="364" id="{694E7EE7-E2B9-4A2D-B122-5FD20E08878F}">
            <xm:f>$D$45&lt;&gt;Pricing!$D$41</xm:f>
            <x14:dxf>
              <font>
                <color theme="5"/>
              </font>
              <fill>
                <patternFill>
                  <bgColor theme="7" tint="0.59996337778862885"/>
                </patternFill>
              </fill>
            </x14:dxf>
          </x14:cfRule>
          <xm:sqref>D45:D47</xm:sqref>
        </x14:conditionalFormatting>
        <x14:conditionalFormatting xmlns:xm="http://schemas.microsoft.com/office/excel/2006/main">
          <x14:cfRule type="expression" priority="363" id="{C5CFEACA-8146-4730-8211-9EDB4EE8756C}">
            <xm:f>$D$48&lt;&gt;Pricing!$D$44</xm:f>
            <x14:dxf>
              <font>
                <color theme="5"/>
              </font>
              <fill>
                <patternFill>
                  <bgColor theme="7" tint="0.59996337778862885"/>
                </patternFill>
              </fill>
            </x14:dxf>
          </x14:cfRule>
          <xm:sqref>D48:D50</xm:sqref>
        </x14:conditionalFormatting>
        <x14:conditionalFormatting xmlns:xm="http://schemas.microsoft.com/office/excel/2006/main">
          <x14:cfRule type="expression" priority="362" id="{2317BE45-DF11-41C8-B98D-0AB937E55741}">
            <xm:f>$D$51&lt;&gt;Pricing!$D$47</xm:f>
            <x14:dxf>
              <font>
                <color theme="5"/>
              </font>
              <fill>
                <patternFill>
                  <bgColor theme="7" tint="0.59996337778862885"/>
                </patternFill>
              </fill>
            </x14:dxf>
          </x14:cfRule>
          <xm:sqref>D51:D53</xm:sqref>
        </x14:conditionalFormatting>
        <x14:conditionalFormatting xmlns:xm="http://schemas.microsoft.com/office/excel/2006/main">
          <x14:cfRule type="expression" priority="361" id="{D5CDD245-775E-4C1F-B618-3C10883F3C8E}">
            <xm:f>$D$54&lt;&gt;Pricing!$D$50</xm:f>
            <x14:dxf>
              <font>
                <color theme="5"/>
              </font>
              <fill>
                <patternFill>
                  <bgColor theme="7" tint="0.59996337778862885"/>
                </patternFill>
              </fill>
            </x14:dxf>
          </x14:cfRule>
          <xm:sqref>D54:D56</xm:sqref>
        </x14:conditionalFormatting>
        <x14:conditionalFormatting xmlns:xm="http://schemas.microsoft.com/office/excel/2006/main">
          <x14:cfRule type="expression" priority="67" id="{74CA67C0-B729-42D9-90A7-878D724B0EBD}">
            <xm:f>$E$12&lt;&gt;Pricing!$E$8</xm:f>
            <x14:dxf>
              <font>
                <color theme="5"/>
              </font>
              <fill>
                <patternFill>
                  <bgColor theme="7" tint="0.59996337778862885"/>
                </patternFill>
              </fill>
            </x14:dxf>
          </x14:cfRule>
          <xm:sqref>E12</xm:sqref>
        </x14:conditionalFormatting>
        <x14:conditionalFormatting xmlns:xm="http://schemas.microsoft.com/office/excel/2006/main">
          <x14:cfRule type="expression" priority="66" id="{BF065CDE-588D-42E3-A149-ABF655A70DF2}">
            <xm:f>$E$15&lt;&gt;Pricing!$E$11</xm:f>
            <x14:dxf>
              <font>
                <color theme="5"/>
              </font>
              <fill>
                <patternFill>
                  <bgColor theme="7" tint="0.59996337778862885"/>
                </patternFill>
              </fill>
            </x14:dxf>
          </x14:cfRule>
          <xm:sqref>E15</xm:sqref>
        </x14:conditionalFormatting>
        <x14:conditionalFormatting xmlns:xm="http://schemas.microsoft.com/office/excel/2006/main">
          <x14:cfRule type="expression" priority="358" id="{D58FE8B3-57BC-4345-8A92-CA3853772A1B}">
            <xm:f>$E$18&lt;&gt;Pricing!$E$14</xm:f>
            <x14:dxf>
              <font>
                <color theme="5"/>
              </font>
              <fill>
                <patternFill>
                  <bgColor theme="7" tint="0.59996337778862885"/>
                </patternFill>
              </fill>
            </x14:dxf>
          </x14:cfRule>
          <xm:sqref>E18</xm:sqref>
        </x14:conditionalFormatting>
        <x14:conditionalFormatting xmlns:xm="http://schemas.microsoft.com/office/excel/2006/main">
          <x14:cfRule type="expression" priority="357" id="{331BDEE4-BE82-4944-85C4-8C100D6539E5}">
            <xm:f>$E$21&lt;&gt;Pricing!$E$17</xm:f>
            <x14:dxf>
              <font>
                <color theme="5"/>
              </font>
              <fill>
                <patternFill>
                  <bgColor theme="7" tint="0.59996337778862885"/>
                </patternFill>
              </fill>
            </x14:dxf>
          </x14:cfRule>
          <xm:sqref>E21</xm:sqref>
        </x14:conditionalFormatting>
        <x14:conditionalFormatting xmlns:xm="http://schemas.microsoft.com/office/excel/2006/main">
          <x14:cfRule type="expression" priority="65" id="{361507BB-191E-4229-B7E8-D7A2B5EA582B}">
            <xm:f>$E$24&lt;&gt;Pricing!$E$20</xm:f>
            <x14:dxf>
              <font>
                <color theme="5"/>
              </font>
              <fill>
                <patternFill>
                  <bgColor theme="7" tint="0.59996337778862885"/>
                </patternFill>
              </fill>
            </x14:dxf>
          </x14:cfRule>
          <xm:sqref>E24</xm:sqref>
        </x14:conditionalFormatting>
        <x14:conditionalFormatting xmlns:xm="http://schemas.microsoft.com/office/excel/2006/main">
          <x14:cfRule type="expression" priority="354" id="{3CA3437D-F24E-4845-A1CA-176389BFA2B3}">
            <xm:f>$E$27&lt;&gt;Pricing!$E$23</xm:f>
            <x14:dxf>
              <font>
                <color theme="5"/>
              </font>
              <fill>
                <patternFill>
                  <bgColor theme="7" tint="0.59996337778862885"/>
                </patternFill>
              </fill>
            </x14:dxf>
          </x14:cfRule>
          <xm:sqref>E27:E29</xm:sqref>
        </x14:conditionalFormatting>
        <x14:conditionalFormatting xmlns:xm="http://schemas.microsoft.com/office/excel/2006/main">
          <x14:cfRule type="expression" priority="353" id="{7B166CED-69D3-4E69-948C-8161DA7B2B52}">
            <xm:f>$E$30&lt;&gt;Pricing!$E$26</xm:f>
            <x14:dxf>
              <font>
                <color theme="5"/>
              </font>
              <fill>
                <patternFill>
                  <bgColor theme="7" tint="0.59996337778862885"/>
                </patternFill>
              </fill>
            </x14:dxf>
          </x14:cfRule>
          <xm:sqref>E30:E32</xm:sqref>
        </x14:conditionalFormatting>
        <x14:conditionalFormatting xmlns:xm="http://schemas.microsoft.com/office/excel/2006/main">
          <x14:cfRule type="expression" priority="352" id="{5D629F3E-2F99-4151-9DCA-E79194205853}">
            <xm:f>$E$33&lt;&gt;Pricing!$E$29</xm:f>
            <x14:dxf>
              <font>
                <color theme="5"/>
              </font>
              <fill>
                <patternFill>
                  <bgColor theme="7" tint="0.59996337778862885"/>
                </patternFill>
              </fill>
            </x14:dxf>
          </x14:cfRule>
          <xm:sqref>E33:E35</xm:sqref>
        </x14:conditionalFormatting>
        <x14:conditionalFormatting xmlns:xm="http://schemas.microsoft.com/office/excel/2006/main">
          <x14:cfRule type="expression" priority="351" id="{8F357B47-3537-45B2-8F8B-18C4BE6E17AD}">
            <xm:f>$E$36&lt;&gt;Pricing!$E$32</xm:f>
            <x14:dxf>
              <font>
                <color theme="5"/>
              </font>
              <fill>
                <patternFill>
                  <bgColor theme="7" tint="0.59996337778862885"/>
                </patternFill>
              </fill>
            </x14:dxf>
          </x14:cfRule>
          <xm:sqref>E36:E38</xm:sqref>
        </x14:conditionalFormatting>
        <x14:conditionalFormatting xmlns:xm="http://schemas.microsoft.com/office/excel/2006/main">
          <x14:cfRule type="expression" priority="350" id="{2504D56E-971D-4AC1-B4AC-C6249812C45B}">
            <xm:f>$E$39&lt;&gt;Pricing!$E$35</xm:f>
            <x14:dxf>
              <font>
                <color theme="5"/>
              </font>
              <fill>
                <patternFill>
                  <bgColor theme="7" tint="0.59996337778862885"/>
                </patternFill>
              </fill>
            </x14:dxf>
          </x14:cfRule>
          <xm:sqref>E39:E41</xm:sqref>
        </x14:conditionalFormatting>
        <x14:conditionalFormatting xmlns:xm="http://schemas.microsoft.com/office/excel/2006/main">
          <x14:cfRule type="expression" priority="349" id="{7DB7E9C6-EA8E-42C9-AE10-46A4C61257D0}">
            <xm:f>$E$42&lt;&gt;Pricing!$E$38</xm:f>
            <x14:dxf>
              <font>
                <color theme="5"/>
              </font>
              <fill>
                <patternFill>
                  <bgColor theme="7" tint="0.59996337778862885"/>
                </patternFill>
              </fill>
            </x14:dxf>
          </x14:cfRule>
          <xm:sqref>E42:E44</xm:sqref>
        </x14:conditionalFormatting>
        <x14:conditionalFormatting xmlns:xm="http://schemas.microsoft.com/office/excel/2006/main">
          <x14:cfRule type="expression" priority="348" id="{CF2A895F-B4AD-48BC-8478-C5D093FEC435}">
            <xm:f>$E$45&lt;&gt;Pricing!$E$41</xm:f>
            <x14:dxf>
              <font>
                <color theme="5"/>
              </font>
              <fill>
                <patternFill>
                  <bgColor theme="7" tint="0.59996337778862885"/>
                </patternFill>
              </fill>
            </x14:dxf>
          </x14:cfRule>
          <xm:sqref>E45:E47</xm:sqref>
        </x14:conditionalFormatting>
        <x14:conditionalFormatting xmlns:xm="http://schemas.microsoft.com/office/excel/2006/main">
          <x14:cfRule type="expression" priority="347" id="{473DDC12-4FED-452A-A4B8-06203DAB5450}">
            <xm:f>$E$48&lt;&gt;Pricing!$E$44</xm:f>
            <x14:dxf>
              <font>
                <color theme="5"/>
              </font>
              <fill>
                <patternFill>
                  <bgColor theme="7" tint="0.59996337778862885"/>
                </patternFill>
              </fill>
            </x14:dxf>
          </x14:cfRule>
          <xm:sqref>E48:E50</xm:sqref>
        </x14:conditionalFormatting>
        <x14:conditionalFormatting xmlns:xm="http://schemas.microsoft.com/office/excel/2006/main">
          <x14:cfRule type="expression" priority="345" id="{F2B1B795-E44B-4E92-9099-CE74532AA930}">
            <xm:f>$E$51&lt;&gt;Pricing!$E$47</xm:f>
            <x14:dxf>
              <font>
                <color theme="5"/>
              </font>
              <fill>
                <patternFill>
                  <bgColor theme="7" tint="0.59996337778862885"/>
                </patternFill>
              </fill>
            </x14:dxf>
          </x14:cfRule>
          <xm:sqref>E51:E53</xm:sqref>
        </x14:conditionalFormatting>
        <x14:conditionalFormatting xmlns:xm="http://schemas.microsoft.com/office/excel/2006/main">
          <x14:cfRule type="expression" priority="344" id="{4AFEF432-9052-4A7D-95B1-544ED3DBC500}">
            <xm:f>$E$54&lt;&gt;Pricing!$E$50</xm:f>
            <x14:dxf>
              <font>
                <color theme="5"/>
              </font>
              <fill>
                <patternFill>
                  <bgColor theme="7" tint="0.59996337778862885"/>
                </patternFill>
              </fill>
            </x14:dxf>
          </x14:cfRule>
          <xm:sqref>E54:E56</xm:sqref>
        </x14:conditionalFormatting>
        <x14:conditionalFormatting xmlns:xm="http://schemas.microsoft.com/office/excel/2006/main">
          <x14:cfRule type="expression" priority="341" id="{D5252F1B-EA55-4C36-9C0C-D30927E82E25}">
            <xm:f>$F$12&lt;&gt;Pricing!$F$8</xm:f>
            <x14:dxf>
              <font>
                <color theme="5"/>
              </font>
              <fill>
                <patternFill>
                  <bgColor theme="7" tint="0.59996337778862885"/>
                </patternFill>
              </fill>
            </x14:dxf>
          </x14:cfRule>
          <xm:sqref>F12:G12</xm:sqref>
        </x14:conditionalFormatting>
        <x14:conditionalFormatting xmlns:xm="http://schemas.microsoft.com/office/excel/2006/main">
          <x14:cfRule type="expression" priority="340" id="{C0DBAD90-F16D-48EE-9CBC-0E6FDE1BB050}">
            <xm:f>$F$13&lt;&gt;Pricing!$F$9</xm:f>
            <x14:dxf>
              <font>
                <color theme="5"/>
              </font>
              <fill>
                <patternFill>
                  <bgColor theme="7" tint="0.59996337778862885"/>
                </patternFill>
              </fill>
            </x14:dxf>
          </x14:cfRule>
          <xm:sqref>F13:G13</xm:sqref>
        </x14:conditionalFormatting>
        <x14:conditionalFormatting xmlns:xm="http://schemas.microsoft.com/office/excel/2006/main">
          <x14:cfRule type="expression" priority="338" id="{AD115903-AF2E-43ED-92F3-4DEBAC5D954B}">
            <xm:f>$F$15&lt;&gt;Pricing!$F$11</xm:f>
            <x14:dxf>
              <font>
                <color theme="5"/>
              </font>
              <fill>
                <patternFill>
                  <bgColor theme="7" tint="0.59996337778862885"/>
                </patternFill>
              </fill>
            </x14:dxf>
          </x14:cfRule>
          <xm:sqref>F15:G15</xm:sqref>
        </x14:conditionalFormatting>
        <x14:conditionalFormatting xmlns:xm="http://schemas.microsoft.com/office/excel/2006/main">
          <x14:cfRule type="expression" priority="94" id="{AFE4A31E-8AD1-488F-B6A5-D902CA0B922F}">
            <xm:f>$F$16&lt;&gt;Pricing!$F$9</xm:f>
            <x14:dxf>
              <font>
                <color theme="5"/>
              </font>
              <fill>
                <patternFill>
                  <bgColor theme="7" tint="0.59996337778862885"/>
                </patternFill>
              </fill>
            </x14:dxf>
          </x14:cfRule>
          <xm:sqref>F16:G16</xm:sqref>
        </x14:conditionalFormatting>
        <x14:conditionalFormatting xmlns:xm="http://schemas.microsoft.com/office/excel/2006/main">
          <x14:cfRule type="expression" priority="335" id="{463B9679-06E4-4B29-ACBA-46E91BD5734D}">
            <xm:f>$F$18&lt;&gt;Pricing!$F$14</xm:f>
            <x14:dxf>
              <font>
                <color theme="5"/>
              </font>
              <fill>
                <patternFill>
                  <bgColor theme="7" tint="0.59996337778862885"/>
                </patternFill>
              </fill>
            </x14:dxf>
          </x14:cfRule>
          <xm:sqref>F18:G18</xm:sqref>
        </x14:conditionalFormatting>
        <x14:conditionalFormatting xmlns:xm="http://schemas.microsoft.com/office/excel/2006/main">
          <x14:cfRule type="expression" priority="92" id="{C3E71443-D25A-4F0C-B6FD-589002C0112A}">
            <xm:f>$F$19&lt;&gt;Pricing!$F$9</xm:f>
            <x14:dxf>
              <font>
                <color theme="5"/>
              </font>
              <fill>
                <patternFill>
                  <bgColor theme="7" tint="0.59996337778862885"/>
                </patternFill>
              </fill>
            </x14:dxf>
          </x14:cfRule>
          <xm:sqref>F19:G19</xm:sqref>
        </x14:conditionalFormatting>
        <x14:conditionalFormatting xmlns:xm="http://schemas.microsoft.com/office/excel/2006/main">
          <x14:cfRule type="expression" priority="331" id="{2E18F051-A0A3-4666-AF34-A7664487F069}">
            <xm:f>$F$21&lt;&gt;Pricing!$F$17</xm:f>
            <x14:dxf>
              <font>
                <color theme="5"/>
              </font>
              <fill>
                <patternFill>
                  <bgColor theme="7" tint="0.59996337778862885"/>
                </patternFill>
              </fill>
            </x14:dxf>
          </x14:cfRule>
          <xm:sqref>F21:G21</xm:sqref>
        </x14:conditionalFormatting>
        <x14:conditionalFormatting xmlns:xm="http://schemas.microsoft.com/office/excel/2006/main">
          <x14:cfRule type="expression" priority="90" id="{2AFFBE35-A5D0-4572-84BC-45669341E14C}">
            <xm:f>$F$22&lt;&gt;Pricing!$F$9</xm:f>
            <x14:dxf>
              <font>
                <color theme="5"/>
              </font>
              <fill>
                <patternFill>
                  <bgColor theme="7" tint="0.59996337778862885"/>
                </patternFill>
              </fill>
            </x14:dxf>
          </x14:cfRule>
          <xm:sqref>F22:G22</xm:sqref>
        </x14:conditionalFormatting>
        <x14:conditionalFormatting xmlns:xm="http://schemas.microsoft.com/office/excel/2006/main">
          <x14:cfRule type="expression" priority="328" id="{61C26554-DFB0-4CFB-BAA6-1F96996B9060}">
            <xm:f>$F$24&lt;&gt;Pricing!$F$20</xm:f>
            <x14:dxf>
              <font>
                <color theme="5"/>
              </font>
              <fill>
                <patternFill>
                  <bgColor theme="7" tint="0.59996337778862885"/>
                </patternFill>
              </fill>
            </x14:dxf>
          </x14:cfRule>
          <xm:sqref>F24:G24</xm:sqref>
        </x14:conditionalFormatting>
        <x14:conditionalFormatting xmlns:xm="http://schemas.microsoft.com/office/excel/2006/main">
          <x14:cfRule type="expression" priority="88" id="{42B1C218-08F3-4603-99DA-B977EEF8845D}">
            <xm:f>$F$25&lt;&gt;Pricing!$F$9</xm:f>
            <x14:dxf>
              <font>
                <color theme="5"/>
              </font>
              <fill>
                <patternFill>
                  <bgColor theme="7" tint="0.59996337778862885"/>
                </patternFill>
              </fill>
            </x14:dxf>
          </x14:cfRule>
          <xm:sqref>F25:G25</xm:sqref>
        </x14:conditionalFormatting>
        <x14:conditionalFormatting xmlns:xm="http://schemas.microsoft.com/office/excel/2006/main">
          <x14:cfRule type="expression" priority="325" id="{0149D033-B91D-4D69-92A1-E80331AA637D}">
            <xm:f>$F$27&lt;&gt;Pricing!$F$23</xm:f>
            <x14:dxf>
              <font>
                <color theme="5"/>
              </font>
              <fill>
                <patternFill>
                  <bgColor theme="7" tint="0.59996337778862885"/>
                </patternFill>
              </fill>
            </x14:dxf>
          </x14:cfRule>
          <xm:sqref>F27:G27</xm:sqref>
        </x14:conditionalFormatting>
        <x14:conditionalFormatting xmlns:xm="http://schemas.microsoft.com/office/excel/2006/main">
          <x14:cfRule type="expression" priority="86" id="{B51665A9-DC17-442A-8F94-CECADEF0F7DE}">
            <xm:f>$F$28&lt;&gt;Pricing!$F$9</xm:f>
            <x14:dxf>
              <font>
                <color theme="5"/>
              </font>
              <fill>
                <patternFill>
                  <bgColor theme="7" tint="0.59996337778862885"/>
                </patternFill>
              </fill>
            </x14:dxf>
          </x14:cfRule>
          <xm:sqref>F28:G28</xm:sqref>
        </x14:conditionalFormatting>
        <x14:conditionalFormatting xmlns:xm="http://schemas.microsoft.com/office/excel/2006/main">
          <x14:cfRule type="expression" priority="322" id="{09B1BC9D-B178-4212-8C18-DC71A69A63D4}">
            <xm:f>$F$30&lt;&gt;Pricing!$F$26</xm:f>
            <x14:dxf>
              <font>
                <color theme="5"/>
              </font>
              <fill>
                <patternFill>
                  <bgColor theme="7" tint="0.59996337778862885"/>
                </patternFill>
              </fill>
            </x14:dxf>
          </x14:cfRule>
          <xm:sqref>F30:G30</xm:sqref>
        </x14:conditionalFormatting>
        <x14:conditionalFormatting xmlns:xm="http://schemas.microsoft.com/office/excel/2006/main">
          <x14:cfRule type="expression" priority="84" id="{2F4BB0E0-2A88-4669-9EC1-CB95DA431E7D}">
            <xm:f>$F$31&lt;&gt;Pricing!$F$9</xm:f>
            <x14:dxf>
              <font>
                <color theme="5"/>
              </font>
              <fill>
                <patternFill>
                  <bgColor theme="7" tint="0.59996337778862885"/>
                </patternFill>
              </fill>
            </x14:dxf>
          </x14:cfRule>
          <xm:sqref>F31:G31</xm:sqref>
        </x14:conditionalFormatting>
        <x14:conditionalFormatting xmlns:xm="http://schemas.microsoft.com/office/excel/2006/main">
          <x14:cfRule type="expression" priority="62" id="{407EBC8C-B738-4E1E-92F5-3FFDBA42E7E9}">
            <xm:f>$F$33&lt;&gt;Pricing!$F$29</xm:f>
            <x14:dxf>
              <font>
                <color theme="5"/>
              </font>
              <fill>
                <patternFill>
                  <bgColor theme="7" tint="0.59996337778862885"/>
                </patternFill>
              </fill>
            </x14:dxf>
          </x14:cfRule>
          <xm:sqref>F33:G33</xm:sqref>
        </x14:conditionalFormatting>
        <x14:conditionalFormatting xmlns:xm="http://schemas.microsoft.com/office/excel/2006/main">
          <x14:cfRule type="expression" priority="82" id="{58F650C2-A50A-4491-B854-7114215D3EE6}">
            <xm:f>$F$34&lt;&gt;Pricing!$F$9</xm:f>
            <x14:dxf>
              <font>
                <color theme="5"/>
              </font>
              <fill>
                <patternFill>
                  <bgColor theme="7" tint="0.59996337778862885"/>
                </patternFill>
              </fill>
            </x14:dxf>
          </x14:cfRule>
          <xm:sqref>F34:G34</xm:sqref>
        </x14:conditionalFormatting>
        <x14:conditionalFormatting xmlns:xm="http://schemas.microsoft.com/office/excel/2006/main">
          <x14:cfRule type="expression" priority="60" id="{B6E45BBB-56A2-4379-8CB1-8F54C630C323}">
            <xm:f>$F$36&lt;&gt;Pricing!$F$32</xm:f>
            <x14:dxf>
              <font>
                <color theme="5"/>
              </font>
              <fill>
                <patternFill>
                  <bgColor theme="7" tint="0.59996337778862885"/>
                </patternFill>
              </fill>
            </x14:dxf>
          </x14:cfRule>
          <xm:sqref>F36:G36</xm:sqref>
        </x14:conditionalFormatting>
        <x14:conditionalFormatting xmlns:xm="http://schemas.microsoft.com/office/excel/2006/main">
          <x14:cfRule type="expression" priority="80" id="{969BE429-60DB-4430-8377-857DFA95A822}">
            <xm:f>$F$37&lt;&gt;Pricing!$F$9</xm:f>
            <x14:dxf>
              <font>
                <color theme="5"/>
              </font>
              <fill>
                <patternFill>
                  <bgColor theme="7" tint="0.59996337778862885"/>
                </patternFill>
              </fill>
            </x14:dxf>
          </x14:cfRule>
          <xm:sqref>F37:G37</xm:sqref>
        </x14:conditionalFormatting>
        <x14:conditionalFormatting xmlns:xm="http://schemas.microsoft.com/office/excel/2006/main">
          <x14:cfRule type="expression" priority="58" id="{7FC04F03-5004-4D81-87AE-DD9AB44ADFA2}">
            <xm:f>$F$39&lt;&gt;Pricing!$F$35</xm:f>
            <x14:dxf>
              <font>
                <color theme="5"/>
              </font>
              <fill>
                <patternFill>
                  <bgColor theme="7" tint="0.59996337778862885"/>
                </patternFill>
              </fill>
            </x14:dxf>
          </x14:cfRule>
          <xm:sqref>F39:G39</xm:sqref>
        </x14:conditionalFormatting>
        <x14:conditionalFormatting xmlns:xm="http://schemas.microsoft.com/office/excel/2006/main">
          <x14:cfRule type="expression" priority="78" id="{BA6D99BE-81F8-478F-A334-0AEE8FAC76B9}">
            <xm:f>$F$13&lt;&gt;Pricing!$F$9</xm:f>
            <x14:dxf>
              <font>
                <color theme="5"/>
              </font>
              <fill>
                <patternFill>
                  <bgColor theme="7" tint="0.59996337778862885"/>
                </patternFill>
              </fill>
            </x14:dxf>
          </x14:cfRule>
          <xm:sqref>F40:G40</xm:sqref>
        </x14:conditionalFormatting>
        <x14:conditionalFormatting xmlns:xm="http://schemas.microsoft.com/office/excel/2006/main">
          <x14:cfRule type="expression" priority="56" id="{284595D7-6D5E-495F-A9DB-D1B79564AA65}">
            <xm:f>$F$42&lt;&gt;Pricing!$F$38</xm:f>
            <x14:dxf>
              <font>
                <color theme="5"/>
              </font>
              <fill>
                <patternFill>
                  <bgColor theme="7" tint="0.59996337778862885"/>
                </patternFill>
              </fill>
            </x14:dxf>
          </x14:cfRule>
          <xm:sqref>F42:G42</xm:sqref>
        </x14:conditionalFormatting>
        <x14:conditionalFormatting xmlns:xm="http://schemas.microsoft.com/office/excel/2006/main">
          <x14:cfRule type="expression" priority="76" id="{3C9B6B55-2C8C-47D4-BCA6-0F72F7603AAB}">
            <xm:f>$F$43&lt;&gt;Pricing!$F$9</xm:f>
            <x14:dxf>
              <font>
                <color theme="5"/>
              </font>
              <fill>
                <patternFill>
                  <bgColor theme="7" tint="0.59996337778862885"/>
                </patternFill>
              </fill>
            </x14:dxf>
          </x14:cfRule>
          <xm:sqref>F43:G43</xm:sqref>
        </x14:conditionalFormatting>
        <x14:conditionalFormatting xmlns:xm="http://schemas.microsoft.com/office/excel/2006/main">
          <x14:cfRule type="expression" priority="54" id="{578962B4-98B2-4C0D-9785-4361BB2086EE}">
            <xm:f>$F$45&lt;&gt;Pricing!$F$41</xm:f>
            <x14:dxf>
              <font>
                <color theme="7" tint="0.59996337778862885"/>
              </font>
              <fill>
                <patternFill>
                  <bgColor theme="7" tint="0.59996337778862885"/>
                </patternFill>
              </fill>
            </x14:dxf>
          </x14:cfRule>
          <xm:sqref>F45:G45</xm:sqref>
        </x14:conditionalFormatting>
        <x14:conditionalFormatting xmlns:xm="http://schemas.microsoft.com/office/excel/2006/main">
          <x14:cfRule type="expression" priority="74" id="{26A7ED48-83B3-42EA-824D-6DB83020CD2B}">
            <xm:f>$F$46&lt;&gt;Pricing!$F$9</xm:f>
            <x14:dxf>
              <font>
                <color theme="5"/>
              </font>
              <fill>
                <patternFill>
                  <bgColor theme="7" tint="0.59996337778862885"/>
                </patternFill>
              </fill>
            </x14:dxf>
          </x14:cfRule>
          <xm:sqref>F46:G46</xm:sqref>
        </x14:conditionalFormatting>
        <x14:conditionalFormatting xmlns:xm="http://schemas.microsoft.com/office/excel/2006/main">
          <x14:cfRule type="expression" priority="52" id="{CEB820EE-9162-4FAE-A94C-C7C807135E64}">
            <xm:f>$F$48&lt;&gt;Pricing!$F$44</xm:f>
            <x14:dxf>
              <font>
                <color theme="5"/>
              </font>
              <fill>
                <patternFill>
                  <bgColor theme="7" tint="0.59996337778862885"/>
                </patternFill>
              </fill>
            </x14:dxf>
          </x14:cfRule>
          <xm:sqref>F48:G48</xm:sqref>
        </x14:conditionalFormatting>
        <x14:conditionalFormatting xmlns:xm="http://schemas.microsoft.com/office/excel/2006/main">
          <x14:cfRule type="expression" priority="72" id="{93B68630-0F45-447C-9015-C0F18068DC1C}">
            <xm:f>$F$49&lt;&gt;Pricing!$F$9</xm:f>
            <x14:dxf>
              <font>
                <color theme="5"/>
              </font>
              <fill>
                <patternFill>
                  <bgColor theme="7" tint="0.59996337778862885"/>
                </patternFill>
              </fill>
            </x14:dxf>
          </x14:cfRule>
          <xm:sqref>F49:G49</xm:sqref>
        </x14:conditionalFormatting>
        <x14:conditionalFormatting xmlns:xm="http://schemas.microsoft.com/office/excel/2006/main">
          <x14:cfRule type="expression" priority="50" id="{0B50AC59-0CAF-4276-81D8-B679BE967809}">
            <xm:f>$F$51&lt;&gt;Pricing!$F$47</xm:f>
            <x14:dxf>
              <font>
                <color theme="5"/>
              </font>
              <fill>
                <patternFill>
                  <bgColor theme="7" tint="0.59996337778862885"/>
                </patternFill>
              </fill>
            </x14:dxf>
          </x14:cfRule>
          <xm:sqref>F51:G51</xm:sqref>
        </x14:conditionalFormatting>
        <x14:conditionalFormatting xmlns:xm="http://schemas.microsoft.com/office/excel/2006/main">
          <x14:cfRule type="expression" priority="70" id="{007EB1BD-69C8-41B5-9826-3B7333E7EDE6}">
            <xm:f>$F$52&lt;&gt;Pricing!$F$9</xm:f>
            <x14:dxf>
              <font>
                <color theme="5"/>
              </font>
              <fill>
                <patternFill>
                  <bgColor theme="7" tint="0.59996337778862885"/>
                </patternFill>
              </fill>
            </x14:dxf>
          </x14:cfRule>
          <xm:sqref>F52:G52</xm:sqref>
        </x14:conditionalFormatting>
        <x14:conditionalFormatting xmlns:xm="http://schemas.microsoft.com/office/excel/2006/main">
          <x14:cfRule type="expression" priority="48" id="{7C991531-5ECC-4C91-B570-403F477F1F61}">
            <xm:f>$F$54&lt;&gt;Pricing!$F$50</xm:f>
            <x14:dxf>
              <font>
                <color theme="5"/>
              </font>
              <fill>
                <patternFill>
                  <bgColor theme="7" tint="0.59996337778862885"/>
                </patternFill>
              </fill>
            </x14:dxf>
          </x14:cfRule>
          <xm:sqref>F54:G54</xm:sqref>
        </x14:conditionalFormatting>
        <x14:conditionalFormatting xmlns:xm="http://schemas.microsoft.com/office/excel/2006/main">
          <x14:cfRule type="expression" priority="68" id="{0F475FE7-6526-434D-B89C-0A3FC97FDADF}">
            <xm:f>$F$55&lt;&gt;Pricing!$F$9</xm:f>
            <x14:dxf>
              <font>
                <color theme="5"/>
              </font>
              <fill>
                <patternFill>
                  <bgColor theme="7" tint="0.59996337778862885"/>
                </patternFill>
              </fill>
            </x14:dxf>
          </x14:cfRule>
          <xm:sqref>F55:G55</xm:sqref>
        </x14:conditionalFormatting>
        <x14:conditionalFormatting xmlns:xm="http://schemas.microsoft.com/office/excel/2006/main">
          <x14:cfRule type="expression" priority="339" id="{7F2DC94D-3768-4A44-9161-3BA3CB58A213}">
            <xm:f>$G$14&lt;&gt;Pricing!$G$10</xm:f>
            <x14:dxf>
              <font>
                <color theme="5"/>
              </font>
              <fill>
                <patternFill>
                  <bgColor theme="7" tint="0.59996337778862885"/>
                </patternFill>
              </fill>
            </x14:dxf>
          </x14:cfRule>
          <xm:sqref>G14</xm:sqref>
        </x14:conditionalFormatting>
        <x14:conditionalFormatting xmlns:xm="http://schemas.microsoft.com/office/excel/2006/main">
          <x14:cfRule type="expression" priority="336" id="{427B4FA5-D273-4542-BA7A-601BC0DDCC23}">
            <xm:f>$G$17&lt;&gt;Pricing!$G$13</xm:f>
            <x14:dxf>
              <font>
                <color theme="5"/>
              </font>
              <fill>
                <patternFill>
                  <bgColor theme="7" tint="0.59996337778862885"/>
                </patternFill>
              </fill>
            </x14:dxf>
          </x14:cfRule>
          <xm:sqref>G17</xm:sqref>
        </x14:conditionalFormatting>
        <x14:conditionalFormatting xmlns:xm="http://schemas.microsoft.com/office/excel/2006/main">
          <x14:cfRule type="expression" priority="332" id="{84B78545-7611-4A89-874B-1E7D71B63699}">
            <xm:f>$G$20&lt;&gt;Pricing!$G$16</xm:f>
            <x14:dxf>
              <font>
                <color theme="5"/>
              </font>
              <fill>
                <patternFill>
                  <bgColor theme="7" tint="0.59996337778862885"/>
                </patternFill>
              </fill>
            </x14:dxf>
          </x14:cfRule>
          <xm:sqref>G20</xm:sqref>
        </x14:conditionalFormatting>
        <x14:conditionalFormatting xmlns:xm="http://schemas.microsoft.com/office/excel/2006/main">
          <x14:cfRule type="expression" priority="329" id="{325E5525-E06C-4E57-9A8F-E24B021F6985}">
            <xm:f>$G$23&lt;&gt;Pricing!$G$19</xm:f>
            <x14:dxf>
              <font>
                <color theme="5"/>
              </font>
              <fill>
                <patternFill>
                  <bgColor theme="7" tint="0.59996337778862885"/>
                </patternFill>
              </fill>
            </x14:dxf>
          </x14:cfRule>
          <xm:sqref>G23</xm:sqref>
        </x14:conditionalFormatting>
        <x14:conditionalFormatting xmlns:xm="http://schemas.microsoft.com/office/excel/2006/main">
          <x14:cfRule type="expression" priority="326" id="{F8F10BDD-20F5-427B-AB6C-506F988A7D5B}">
            <xm:f>$G$26&lt;&gt;Pricing!$G$22</xm:f>
            <x14:dxf>
              <font>
                <color theme="5"/>
              </font>
              <fill>
                <patternFill>
                  <bgColor theme="7" tint="0.59996337778862885"/>
                </patternFill>
              </fill>
            </x14:dxf>
          </x14:cfRule>
          <xm:sqref>G26</xm:sqref>
        </x14:conditionalFormatting>
        <x14:conditionalFormatting xmlns:xm="http://schemas.microsoft.com/office/excel/2006/main">
          <x14:cfRule type="expression" priority="323" id="{F1A3302E-071D-485C-86EE-B42601EF6282}">
            <xm:f>$G$29&lt;&gt;Pricing!$G$25</xm:f>
            <x14:dxf>
              <font>
                <color theme="5"/>
              </font>
              <fill>
                <patternFill>
                  <bgColor theme="7" tint="0.59996337778862885"/>
                </patternFill>
              </fill>
            </x14:dxf>
          </x14:cfRule>
          <xm:sqref>G29</xm:sqref>
        </x14:conditionalFormatting>
        <x14:conditionalFormatting xmlns:xm="http://schemas.microsoft.com/office/excel/2006/main">
          <x14:cfRule type="expression" priority="320" id="{20CF34AA-9AA4-4839-B3BE-846FE1074A9F}">
            <xm:f>$G$32&lt;&gt;Pricing!$G$28</xm:f>
            <x14:dxf>
              <font>
                <color theme="5"/>
              </font>
              <fill>
                <patternFill>
                  <bgColor theme="7" tint="0.59996337778862885"/>
                </patternFill>
              </fill>
            </x14:dxf>
          </x14:cfRule>
          <xm:sqref>G32</xm:sqref>
        </x14:conditionalFormatting>
        <x14:conditionalFormatting xmlns:xm="http://schemas.microsoft.com/office/excel/2006/main">
          <x14:cfRule type="expression" priority="61" id="{B5D113F3-D143-4B9F-95F4-BFD3EFA231F5}">
            <xm:f>$G$35&lt;&gt;Pricing!$G$31</xm:f>
            <x14:dxf>
              <font>
                <color theme="5"/>
              </font>
              <fill>
                <patternFill>
                  <bgColor theme="7" tint="0.59996337778862885"/>
                </patternFill>
              </fill>
            </x14:dxf>
          </x14:cfRule>
          <xm:sqref>G35</xm:sqref>
        </x14:conditionalFormatting>
        <x14:conditionalFormatting xmlns:xm="http://schemas.microsoft.com/office/excel/2006/main">
          <x14:cfRule type="expression" priority="59" id="{AD3AEC8F-A8D9-4082-A85E-A5BDC8AFDAA2}">
            <xm:f>$G$38&lt;&gt;Pricing!$G$34</xm:f>
            <x14:dxf>
              <font>
                <color theme="5"/>
              </font>
              <fill>
                <patternFill>
                  <bgColor theme="7" tint="0.59996337778862885"/>
                </patternFill>
              </fill>
            </x14:dxf>
          </x14:cfRule>
          <xm:sqref>G38</xm:sqref>
        </x14:conditionalFormatting>
        <x14:conditionalFormatting xmlns:xm="http://schemas.microsoft.com/office/excel/2006/main">
          <x14:cfRule type="expression" priority="57" id="{D1C79857-4421-4E4F-93AA-B93F47AD4A38}">
            <xm:f>$G$41&lt;&gt;Pricing!$G$37</xm:f>
            <x14:dxf>
              <font>
                <color theme="5"/>
              </font>
              <fill>
                <patternFill>
                  <bgColor theme="7" tint="0.59996337778862885"/>
                </patternFill>
              </fill>
            </x14:dxf>
          </x14:cfRule>
          <xm:sqref>G41</xm:sqref>
        </x14:conditionalFormatting>
        <x14:conditionalFormatting xmlns:xm="http://schemas.microsoft.com/office/excel/2006/main">
          <x14:cfRule type="expression" priority="55" id="{0B64F00F-366E-4BF7-A974-40AA4D985218}">
            <xm:f>$G$44&lt;&gt;Pricing!$G$40</xm:f>
            <x14:dxf>
              <font>
                <color theme="5"/>
              </font>
              <fill>
                <patternFill>
                  <bgColor theme="7" tint="0.59996337778862885"/>
                </patternFill>
              </fill>
            </x14:dxf>
          </x14:cfRule>
          <xm:sqref>G44</xm:sqref>
        </x14:conditionalFormatting>
        <x14:conditionalFormatting xmlns:xm="http://schemas.microsoft.com/office/excel/2006/main">
          <x14:cfRule type="expression" priority="53" id="{C02664B2-B36D-4265-909F-7A1A9DF27907}">
            <xm:f>$G$47&lt;&gt;Pricing!$G$43</xm:f>
            <x14:dxf>
              <font>
                <color theme="5"/>
              </font>
              <fill>
                <patternFill>
                  <bgColor theme="7" tint="0.59996337778862885"/>
                </patternFill>
              </fill>
            </x14:dxf>
          </x14:cfRule>
          <xm:sqref>G47</xm:sqref>
        </x14:conditionalFormatting>
        <x14:conditionalFormatting xmlns:xm="http://schemas.microsoft.com/office/excel/2006/main">
          <x14:cfRule type="expression" priority="51" id="{93E0B3C2-764C-4583-8477-3CA542AF53D6}">
            <xm:f>$G$50&lt;&gt;Pricing!$G$46</xm:f>
            <x14:dxf>
              <font>
                <color theme="5"/>
              </font>
              <fill>
                <patternFill>
                  <bgColor theme="7" tint="0.59996337778862885"/>
                </patternFill>
              </fill>
            </x14:dxf>
          </x14:cfRule>
          <xm:sqref>G50</xm:sqref>
        </x14:conditionalFormatting>
        <x14:conditionalFormatting xmlns:xm="http://schemas.microsoft.com/office/excel/2006/main">
          <x14:cfRule type="expression" priority="49" id="{C723C224-CBA0-4678-B707-1FD6232DE8B2}">
            <xm:f>$G$53&lt;&gt;Pricing!$G$49</xm:f>
            <x14:dxf>
              <font>
                <color theme="5"/>
              </font>
              <fill>
                <patternFill>
                  <bgColor theme="7" tint="0.59996337778862885"/>
                </patternFill>
              </fill>
            </x14:dxf>
          </x14:cfRule>
          <xm:sqref>G53</xm:sqref>
        </x14:conditionalFormatting>
        <x14:conditionalFormatting xmlns:xm="http://schemas.microsoft.com/office/excel/2006/main">
          <x14:cfRule type="expression" priority="47" id="{FF9672DF-A26C-4121-80F4-F4124ED03EB7}">
            <xm:f>$G$56&lt;&gt;Pricing!$G$52</xm:f>
            <x14:dxf>
              <font>
                <color theme="5"/>
              </font>
              <fill>
                <patternFill>
                  <bgColor theme="7" tint="0.59996337778862885"/>
                </patternFill>
              </fill>
            </x14:dxf>
          </x14:cfRule>
          <xm:sqref>G56</xm:sqref>
        </x14:conditionalFormatting>
        <x14:conditionalFormatting xmlns:xm="http://schemas.microsoft.com/office/excel/2006/main">
          <x14:cfRule type="expression" priority="317" id="{A121958B-C7CF-44EA-9DF7-7A33BCA0AE18}">
            <xm:f>$H$12&lt;&gt;Pricing!$H$8</xm:f>
            <x14:dxf>
              <font>
                <color theme="5"/>
              </font>
              <fill>
                <patternFill>
                  <bgColor theme="7" tint="0.59996337778862885"/>
                </patternFill>
              </fill>
            </x14:dxf>
          </x14:cfRule>
          <xm:sqref>H12</xm:sqref>
        </x14:conditionalFormatting>
        <x14:conditionalFormatting xmlns:xm="http://schemas.microsoft.com/office/excel/2006/main">
          <x14:cfRule type="expression" priority="64" id="{7B082CE8-A552-4678-A107-7167A42B9F6B}">
            <xm:f>$H$15&lt;&gt;Pricing!$H$11</xm:f>
            <x14:dxf>
              <font>
                <color theme="5"/>
              </font>
              <fill>
                <patternFill>
                  <bgColor theme="7" tint="0.59996337778862885"/>
                </patternFill>
              </fill>
            </x14:dxf>
          </x14:cfRule>
          <xm:sqref>H15:H17</xm:sqref>
        </x14:conditionalFormatting>
        <x14:conditionalFormatting xmlns:xm="http://schemas.microsoft.com/office/excel/2006/main">
          <x14:cfRule type="expression" priority="63" id="{5DB25DC0-E4B3-41BF-A717-9D5E330CF429}">
            <xm:f>$H$18&lt;&gt;Pricing!$H$14</xm:f>
            <x14:dxf>
              <font>
                <color theme="5"/>
              </font>
              <fill>
                <patternFill>
                  <bgColor theme="7" tint="0.59996337778862885"/>
                </patternFill>
              </fill>
            </x14:dxf>
          </x14:cfRule>
          <xm:sqref>H18:H20</xm:sqref>
        </x14:conditionalFormatting>
        <x14:conditionalFormatting xmlns:xm="http://schemas.microsoft.com/office/excel/2006/main">
          <x14:cfRule type="expression" priority="316" id="{5A25A55F-7754-4343-80D0-BDC4256E490C}">
            <xm:f>$H$21&lt;&gt;Pricing!$H$17</xm:f>
            <x14:dxf>
              <font>
                <color theme="5"/>
              </font>
              <fill>
                <patternFill>
                  <bgColor theme="7" tint="0.59996337778862885"/>
                </patternFill>
              </fill>
            </x14:dxf>
          </x14:cfRule>
          <xm:sqref>H21:H23</xm:sqref>
        </x14:conditionalFormatting>
        <x14:conditionalFormatting xmlns:xm="http://schemas.microsoft.com/office/excel/2006/main">
          <x14:cfRule type="expression" priority="315" id="{81B212DE-6E52-4F48-887F-2E565D648B0E}">
            <xm:f>$H$24&lt;&gt;Pricing!$H$20</xm:f>
            <x14:dxf>
              <font>
                <color theme="5"/>
              </font>
              <fill>
                <patternFill>
                  <bgColor theme="7" tint="0.59996337778862885"/>
                </patternFill>
              </fill>
            </x14:dxf>
          </x14:cfRule>
          <xm:sqref>H24:H26</xm:sqref>
        </x14:conditionalFormatting>
        <x14:conditionalFormatting xmlns:xm="http://schemas.microsoft.com/office/excel/2006/main">
          <x14:cfRule type="expression" priority="314" id="{C05D7341-6B05-496D-88DA-E71CECA4B050}">
            <xm:f>$H$27&lt;&gt;Pricing!$H$23</xm:f>
            <x14:dxf>
              <font>
                <color theme="5"/>
              </font>
              <fill>
                <patternFill>
                  <bgColor theme="7" tint="0.59996337778862885"/>
                </patternFill>
              </fill>
            </x14:dxf>
          </x14:cfRule>
          <xm:sqref>H27</xm:sqref>
        </x14:conditionalFormatting>
        <x14:conditionalFormatting xmlns:xm="http://schemas.microsoft.com/office/excel/2006/main">
          <x14:cfRule type="expression" priority="45" id="{DD7A8042-7834-47E2-81EB-28D118236631}">
            <xm:f>$H$30&lt;&gt;Pricing!$H$26</xm:f>
            <x14:dxf>
              <font>
                <color theme="5"/>
              </font>
              <fill>
                <patternFill>
                  <bgColor theme="7" tint="0.59996337778862885"/>
                </patternFill>
              </fill>
            </x14:dxf>
          </x14:cfRule>
          <xm:sqref>H30:H32</xm:sqref>
        </x14:conditionalFormatting>
        <x14:conditionalFormatting xmlns:xm="http://schemas.microsoft.com/office/excel/2006/main">
          <x14:cfRule type="expression" priority="312" id="{1DD80CC7-591F-4EDF-9F48-E51A2F1DB4FE}">
            <xm:f>$H$33&lt;&gt;Pricing!$H$29</xm:f>
            <x14:dxf>
              <font>
                <color theme="5"/>
              </font>
              <fill>
                <patternFill>
                  <bgColor theme="7" tint="0.59996337778862885"/>
                </patternFill>
              </fill>
            </x14:dxf>
          </x14:cfRule>
          <xm:sqref>H33:H35</xm:sqref>
        </x14:conditionalFormatting>
        <x14:conditionalFormatting xmlns:xm="http://schemas.microsoft.com/office/excel/2006/main">
          <x14:cfRule type="expression" priority="311" id="{F163460D-8EBA-4F49-A716-8DC5AAF1AD34}">
            <xm:f>$H$36&lt;&gt;Pricing!$H$32</xm:f>
            <x14:dxf>
              <font>
                <color theme="5"/>
              </font>
              <fill>
                <patternFill>
                  <bgColor theme="7" tint="0.59996337778862885"/>
                </patternFill>
              </fill>
            </x14:dxf>
          </x14:cfRule>
          <xm:sqref>H36:H38</xm:sqref>
        </x14:conditionalFormatting>
        <x14:conditionalFormatting xmlns:xm="http://schemas.microsoft.com/office/excel/2006/main">
          <x14:cfRule type="expression" priority="310" id="{88C6A7A8-3507-4ECB-AAEC-15834B8F675B}">
            <xm:f>$H$39&lt;&gt;Pricing!$H$35</xm:f>
            <x14:dxf>
              <font>
                <color theme="5"/>
              </font>
              <fill>
                <patternFill>
                  <bgColor theme="7" tint="0.59996337778862885"/>
                </patternFill>
              </fill>
            </x14:dxf>
          </x14:cfRule>
          <xm:sqref>H39:H41</xm:sqref>
        </x14:conditionalFormatting>
        <x14:conditionalFormatting xmlns:xm="http://schemas.microsoft.com/office/excel/2006/main">
          <x14:cfRule type="expression" priority="309" id="{790DDBA2-A7EF-4505-8AC4-601175CA7744}">
            <xm:f>$H$42&lt;&gt;Pricing!$H$38</xm:f>
            <x14:dxf>
              <font>
                <color theme="5"/>
              </font>
              <fill>
                <patternFill>
                  <bgColor theme="7" tint="0.59996337778862885"/>
                </patternFill>
              </fill>
            </x14:dxf>
          </x14:cfRule>
          <xm:sqref>H42:H44</xm:sqref>
        </x14:conditionalFormatting>
        <x14:conditionalFormatting xmlns:xm="http://schemas.microsoft.com/office/excel/2006/main">
          <x14:cfRule type="expression" priority="308" id="{7CADF51A-574B-4570-AB4F-CC795314D70D}">
            <xm:f>$H$45&lt;&gt;Pricing!$H$41</xm:f>
            <x14:dxf>
              <font>
                <color theme="5"/>
              </font>
              <fill>
                <patternFill>
                  <bgColor theme="7" tint="0.59996337778862885"/>
                </patternFill>
              </fill>
            </x14:dxf>
          </x14:cfRule>
          <xm:sqref>H45:H47</xm:sqref>
        </x14:conditionalFormatting>
        <x14:conditionalFormatting xmlns:xm="http://schemas.microsoft.com/office/excel/2006/main">
          <x14:cfRule type="expression" priority="307" id="{FD32880B-3725-435E-BA9B-45B514F9BDBB}">
            <xm:f>$H$48&lt;&gt;Pricing!$H$44</xm:f>
            <x14:dxf>
              <font>
                <color theme="5"/>
              </font>
              <fill>
                <patternFill>
                  <bgColor theme="7" tint="0.59996337778862885"/>
                </patternFill>
              </fill>
            </x14:dxf>
          </x14:cfRule>
          <xm:sqref>H48:H50</xm:sqref>
        </x14:conditionalFormatting>
        <x14:conditionalFormatting xmlns:xm="http://schemas.microsoft.com/office/excel/2006/main">
          <x14:cfRule type="expression" priority="306" id="{01322818-2D1C-4ECB-A949-70F3EC3A2C9C}">
            <xm:f>$H$51&lt;&gt;Pricing!$H$47</xm:f>
            <x14:dxf>
              <font>
                <color theme="5"/>
              </font>
              <fill>
                <patternFill>
                  <bgColor theme="7" tint="0.59996337778862885"/>
                </patternFill>
              </fill>
            </x14:dxf>
          </x14:cfRule>
          <xm:sqref>H51:H53</xm:sqref>
        </x14:conditionalFormatting>
        <x14:conditionalFormatting xmlns:xm="http://schemas.microsoft.com/office/excel/2006/main">
          <x14:cfRule type="expression" priority="305" id="{3F0E6F51-A243-4207-A813-E87F820465B0}">
            <xm:f>$H$54&lt;&gt;Pricing!$H$50</xm:f>
            <x14:dxf>
              <font>
                <color theme="5"/>
              </font>
              <fill>
                <patternFill>
                  <bgColor theme="7" tint="0.59996337778862885"/>
                </patternFill>
              </fill>
            </x14:dxf>
          </x14:cfRule>
          <xm:sqref>H54:H56</xm:sqref>
        </x14:conditionalFormatting>
        <x14:conditionalFormatting xmlns:xm="http://schemas.microsoft.com/office/excel/2006/main">
          <x14:cfRule type="expression" priority="154" id="{77A59365-8DAF-49AB-8D87-6B110DDF5882}">
            <xm:f>$I12&lt;&gt;Pricing!$I8</xm:f>
            <x14:dxf>
              <font>
                <color theme="5"/>
              </font>
              <fill>
                <patternFill>
                  <bgColor theme="7" tint="0.59996337778862885"/>
                </patternFill>
              </fill>
            </x14:dxf>
          </x14:cfRule>
          <xm:sqref>I12:I14</xm:sqref>
        </x14:conditionalFormatting>
        <x14:conditionalFormatting xmlns:xm="http://schemas.microsoft.com/office/excel/2006/main">
          <x14:cfRule type="expression" priority="153" id="{BDD27BCA-6D85-4837-AB34-CBE1CED3BD63}">
            <xm:f>$I$15&lt;&gt;Pricing!$I$11</xm:f>
            <x14:dxf>
              <font>
                <color theme="5"/>
              </font>
              <fill>
                <patternFill>
                  <bgColor theme="7" tint="0.59996337778862885"/>
                </patternFill>
              </fill>
            </x14:dxf>
          </x14:cfRule>
          <xm:sqref>I15:I17</xm:sqref>
        </x14:conditionalFormatting>
        <x14:conditionalFormatting xmlns:xm="http://schemas.microsoft.com/office/excel/2006/main">
          <x14:cfRule type="expression" priority="152" id="{36D24E4E-F646-456A-8F37-BAA86F0D1337}">
            <xm:f>$I$18&lt;&gt;Pricing!$I$14</xm:f>
            <x14:dxf>
              <font>
                <color theme="5"/>
              </font>
              <fill>
                <patternFill>
                  <bgColor theme="7" tint="0.59996337778862885"/>
                </patternFill>
              </fill>
            </x14:dxf>
          </x14:cfRule>
          <xm:sqref>I18:I20</xm:sqref>
        </x14:conditionalFormatting>
        <x14:conditionalFormatting xmlns:xm="http://schemas.microsoft.com/office/excel/2006/main">
          <x14:cfRule type="expression" priority="151" id="{62EAFC59-9D08-4DAF-BFEA-865ABB76E6DC}">
            <xm:f>$I$21&lt;&gt;Pricing!$I$17</xm:f>
            <x14:dxf>
              <font>
                <color theme="5"/>
              </font>
              <fill>
                <patternFill>
                  <bgColor theme="7" tint="0.59996337778862885"/>
                </patternFill>
              </fill>
            </x14:dxf>
          </x14:cfRule>
          <xm:sqref>I21:I23</xm:sqref>
        </x14:conditionalFormatting>
        <x14:conditionalFormatting xmlns:xm="http://schemas.microsoft.com/office/excel/2006/main">
          <x14:cfRule type="expression" priority="150" id="{78611E30-E707-44AD-A77E-A54E3961D264}">
            <xm:f>$I$24&lt;&gt;Pricing!$I$20</xm:f>
            <x14:dxf>
              <font>
                <color theme="5"/>
              </font>
              <fill>
                <patternFill>
                  <bgColor theme="7" tint="0.59996337778862885"/>
                </patternFill>
              </fill>
            </x14:dxf>
          </x14:cfRule>
          <xm:sqref>I24:I26</xm:sqref>
        </x14:conditionalFormatting>
        <x14:conditionalFormatting xmlns:xm="http://schemas.microsoft.com/office/excel/2006/main">
          <x14:cfRule type="expression" priority="149" id="{521BD997-0D70-4D80-9FA0-EF26AFEAF042}">
            <xm:f>$I$27&lt;&gt;Pricing!$I$23</xm:f>
            <x14:dxf>
              <font>
                <color theme="5"/>
              </font>
              <fill>
                <patternFill>
                  <bgColor theme="7" tint="0.59996337778862885"/>
                </patternFill>
              </fill>
            </x14:dxf>
          </x14:cfRule>
          <xm:sqref>I27:I29</xm:sqref>
        </x14:conditionalFormatting>
        <x14:conditionalFormatting xmlns:xm="http://schemas.microsoft.com/office/excel/2006/main">
          <x14:cfRule type="expression" priority="148" id="{AB78900F-D3AB-49C4-90CA-6D2AAE08D003}">
            <xm:f>$I$30&lt;&gt;Pricing!$I$26</xm:f>
            <x14:dxf>
              <font>
                <color theme="5"/>
              </font>
              <fill>
                <patternFill>
                  <bgColor theme="7" tint="0.59996337778862885"/>
                </patternFill>
              </fill>
            </x14:dxf>
          </x14:cfRule>
          <xm:sqref>I30:I32</xm:sqref>
        </x14:conditionalFormatting>
        <x14:conditionalFormatting xmlns:xm="http://schemas.microsoft.com/office/excel/2006/main">
          <x14:cfRule type="expression" priority="147" id="{90B7CCD6-8FD8-4DAD-BC1D-FDA8697E6022}">
            <xm:f>$I$33&lt;&gt;Pricing!$I$29</xm:f>
            <x14:dxf>
              <font>
                <color theme="5"/>
              </font>
              <fill>
                <patternFill>
                  <bgColor theme="7" tint="0.59996337778862885"/>
                </patternFill>
              </fill>
            </x14:dxf>
          </x14:cfRule>
          <xm:sqref>I33:I35</xm:sqref>
        </x14:conditionalFormatting>
        <x14:conditionalFormatting xmlns:xm="http://schemas.microsoft.com/office/excel/2006/main">
          <x14:cfRule type="expression" priority="145" id="{684B2397-17EF-4505-AD6A-B333C1FC1512}">
            <xm:f>$I$36&lt;&gt;Pricing!$I$32</xm:f>
            <x14:dxf>
              <font>
                <color theme="5"/>
              </font>
              <fill>
                <patternFill>
                  <bgColor theme="7" tint="0.59996337778862885"/>
                </patternFill>
              </fill>
            </x14:dxf>
          </x14:cfRule>
          <xm:sqref>I36:I38</xm:sqref>
        </x14:conditionalFormatting>
        <x14:conditionalFormatting xmlns:xm="http://schemas.microsoft.com/office/excel/2006/main">
          <x14:cfRule type="expression" priority="144" id="{06B90956-FE65-4BAC-BAD8-2B1393A160C4}">
            <xm:f>$I$39&lt;&gt;Pricing!$I$35</xm:f>
            <x14:dxf>
              <font>
                <color theme="5"/>
              </font>
              <fill>
                <patternFill>
                  <bgColor theme="7" tint="0.59996337778862885"/>
                </patternFill>
              </fill>
            </x14:dxf>
          </x14:cfRule>
          <xm:sqref>I39:I41</xm:sqref>
        </x14:conditionalFormatting>
        <x14:conditionalFormatting xmlns:xm="http://schemas.microsoft.com/office/excel/2006/main">
          <x14:cfRule type="expression" priority="142" id="{6EC671F7-9FFA-4791-8853-A752E354FB4E}">
            <xm:f>$I$42&lt;&gt;Pricing!$I$38</xm:f>
            <x14:dxf>
              <font>
                <color theme="5"/>
              </font>
              <fill>
                <patternFill>
                  <bgColor theme="7" tint="0.59996337778862885"/>
                </patternFill>
              </fill>
            </x14:dxf>
          </x14:cfRule>
          <xm:sqref>I42:I44</xm:sqref>
        </x14:conditionalFormatting>
        <x14:conditionalFormatting xmlns:xm="http://schemas.microsoft.com/office/excel/2006/main">
          <x14:cfRule type="expression" priority="141" id="{C24F7B6B-C3FA-4CDC-A8DD-C248AD55D9B5}">
            <xm:f>$I$45&lt;&gt;Pricing!$I$41</xm:f>
            <x14:dxf>
              <font>
                <color theme="5"/>
              </font>
              <fill>
                <patternFill>
                  <bgColor theme="7" tint="0.59996337778862885"/>
                </patternFill>
              </fill>
            </x14:dxf>
          </x14:cfRule>
          <xm:sqref>I45:I47</xm:sqref>
        </x14:conditionalFormatting>
        <x14:conditionalFormatting xmlns:xm="http://schemas.microsoft.com/office/excel/2006/main">
          <x14:cfRule type="expression" priority="140" id="{46398BD2-9D97-4071-82A7-2E172F66371E}">
            <xm:f>$I$48&lt;&gt;Pricing!$I$44</xm:f>
            <x14:dxf>
              <font>
                <color theme="5"/>
              </font>
              <fill>
                <patternFill>
                  <bgColor theme="7" tint="0.59996337778862885"/>
                </patternFill>
              </fill>
            </x14:dxf>
          </x14:cfRule>
          <xm:sqref>I48:I50</xm:sqref>
        </x14:conditionalFormatting>
        <x14:conditionalFormatting xmlns:xm="http://schemas.microsoft.com/office/excel/2006/main">
          <x14:cfRule type="expression" priority="139" id="{EAA29EAE-4B0F-4B6B-9179-F057806194F7}">
            <xm:f>$I$51&lt;&gt;Pricing!$I$47</xm:f>
            <x14:dxf>
              <font>
                <color theme="5"/>
              </font>
              <fill>
                <patternFill>
                  <bgColor theme="7" tint="0.59996337778862885"/>
                </patternFill>
              </fill>
            </x14:dxf>
          </x14:cfRule>
          <xm:sqref>I51:I53</xm:sqref>
        </x14:conditionalFormatting>
        <x14:conditionalFormatting xmlns:xm="http://schemas.microsoft.com/office/excel/2006/main">
          <x14:cfRule type="expression" priority="138" id="{4FF315EC-8865-402C-B07F-D6965B242287}">
            <xm:f>$I$54&lt;&gt;Pricing!$I$50</xm:f>
            <x14:dxf>
              <font>
                <color theme="5"/>
              </font>
              <fill>
                <patternFill>
                  <bgColor theme="7" tint="0.59996337778862885"/>
                </patternFill>
              </fill>
            </x14:dxf>
          </x14:cfRule>
          <xm:sqref>I54:I56</xm:sqref>
        </x14:conditionalFormatting>
        <x14:conditionalFormatting xmlns:xm="http://schemas.microsoft.com/office/excel/2006/main">
          <x14:cfRule type="expression" priority="283" id="{8660DC10-0B35-4BF4-B4E5-1C3AFFEBC8EA}">
            <xm:f>$L12&lt;&gt;Pricing!$J8</xm:f>
            <x14:dxf>
              <font>
                <color theme="5"/>
              </font>
              <fill>
                <patternFill>
                  <bgColor theme="7" tint="0.59996337778862885"/>
                </patternFill>
              </fill>
            </x14:dxf>
          </x14:cfRule>
          <xm:sqref>L12:L32</xm:sqref>
        </x14:conditionalFormatting>
        <x14:conditionalFormatting xmlns:xm="http://schemas.microsoft.com/office/excel/2006/main">
          <x14:cfRule type="expression" priority="282" id="{400167A3-5E9A-4759-960D-7BF2CC12D8EF}">
            <xm:f>$L$33&lt;&gt;Pricing!$J$29</xm:f>
            <x14:dxf>
              <font>
                <color theme="5"/>
              </font>
              <fill>
                <patternFill>
                  <bgColor theme="7" tint="0.59996337778862885"/>
                </patternFill>
              </fill>
            </x14:dxf>
          </x14:cfRule>
          <xm:sqref>L33:L35</xm:sqref>
        </x14:conditionalFormatting>
        <x14:conditionalFormatting xmlns:xm="http://schemas.microsoft.com/office/excel/2006/main">
          <x14:cfRule type="expression" priority="281" id="{6E75DCEF-E748-455A-8E0F-9EFBC9F27C1C}">
            <xm:f>$L$36&lt;&gt;Pricing!$J$32</xm:f>
            <x14:dxf>
              <font>
                <color theme="5"/>
              </font>
              <fill>
                <patternFill>
                  <bgColor theme="7" tint="0.59996337778862885"/>
                </patternFill>
              </fill>
            </x14:dxf>
          </x14:cfRule>
          <xm:sqref>L36:L38</xm:sqref>
        </x14:conditionalFormatting>
        <x14:conditionalFormatting xmlns:xm="http://schemas.microsoft.com/office/excel/2006/main">
          <x14:cfRule type="expression" priority="280" id="{C3E4091E-9971-4DB5-8F71-6AC028A8F1C9}">
            <xm:f>$L$39&lt;&gt;Pricing!$J$35</xm:f>
            <x14:dxf>
              <font>
                <color theme="5"/>
              </font>
              <fill>
                <patternFill>
                  <bgColor theme="7" tint="0.59996337778862885"/>
                </patternFill>
              </fill>
            </x14:dxf>
          </x14:cfRule>
          <xm:sqref>L39:L41</xm:sqref>
        </x14:conditionalFormatting>
        <x14:conditionalFormatting xmlns:xm="http://schemas.microsoft.com/office/excel/2006/main">
          <x14:cfRule type="expression" priority="279" id="{49F630ED-3ACA-4A6E-B868-B700AEF4ABD7}">
            <xm:f>$L$42&lt;&gt;Pricing!$J$38</xm:f>
            <x14:dxf>
              <font>
                <color theme="5"/>
              </font>
              <fill>
                <patternFill>
                  <bgColor theme="7" tint="0.59996337778862885"/>
                </patternFill>
              </fill>
            </x14:dxf>
          </x14:cfRule>
          <xm:sqref>L42:L44</xm:sqref>
        </x14:conditionalFormatting>
        <x14:conditionalFormatting xmlns:xm="http://schemas.microsoft.com/office/excel/2006/main">
          <x14:cfRule type="expression" priority="278" id="{C388AF0D-A910-4881-BC99-EA1F014BDDA5}">
            <xm:f>$L$45&lt;&gt;Pricing!$J$41</xm:f>
            <x14:dxf>
              <font>
                <color theme="5"/>
              </font>
              <fill>
                <patternFill>
                  <bgColor theme="7" tint="0.59996337778862885"/>
                </patternFill>
              </fill>
            </x14:dxf>
          </x14:cfRule>
          <xm:sqref>L45:L47</xm:sqref>
        </x14:conditionalFormatting>
        <x14:conditionalFormatting xmlns:xm="http://schemas.microsoft.com/office/excel/2006/main">
          <x14:cfRule type="expression" priority="277" id="{95112C4E-4EC5-4C44-87F0-D369C6F157F7}">
            <xm:f>$L$48&lt;&gt;Pricing!$J$44</xm:f>
            <x14:dxf>
              <font>
                <color theme="5"/>
              </font>
              <fill>
                <patternFill>
                  <bgColor theme="7" tint="0.59996337778862885"/>
                </patternFill>
              </fill>
            </x14:dxf>
          </x14:cfRule>
          <xm:sqref>L48:L50</xm:sqref>
        </x14:conditionalFormatting>
        <x14:conditionalFormatting xmlns:xm="http://schemas.microsoft.com/office/excel/2006/main">
          <x14:cfRule type="expression" priority="276" id="{C9EA7A92-79CA-4ED6-A61E-2F177E19CF89}">
            <xm:f>$L$51&lt;&gt;Pricing!$J$47</xm:f>
            <x14:dxf>
              <font>
                <color theme="5"/>
              </font>
              <fill>
                <patternFill>
                  <bgColor theme="7" tint="0.59996337778862885"/>
                </patternFill>
              </fill>
            </x14:dxf>
          </x14:cfRule>
          <xm:sqref>L51:L53</xm:sqref>
        </x14:conditionalFormatting>
        <x14:conditionalFormatting xmlns:xm="http://schemas.microsoft.com/office/excel/2006/main">
          <x14:cfRule type="expression" priority="275" id="{8FF9F1BF-7E2B-425C-BD2F-F10E78876EBB}">
            <xm:f>$L$54&lt;&gt;Pricing!$J$50</xm:f>
            <x14:dxf>
              <font>
                <color theme="5"/>
              </font>
              <fill>
                <patternFill>
                  <bgColor theme="7" tint="0.59996337778862885"/>
                </patternFill>
              </fill>
            </x14:dxf>
          </x14:cfRule>
          <xm:sqref>L54:L56</xm:sqref>
        </x14:conditionalFormatting>
        <x14:conditionalFormatting xmlns:xm="http://schemas.microsoft.com/office/excel/2006/main">
          <x14:cfRule type="expression" priority="44" id="{B870376B-787E-4D2D-8D29-59FE0966A0B8}">
            <xm:f>ABS(M12-Pricing!M8)/MAX(ABS(M12),ABS(Pricing!M8))&gt;Data!AB23</xm:f>
            <x14:dxf>
              <fill>
                <patternFill>
                  <bgColor rgb="FFFF0000"/>
                </patternFill>
              </fill>
            </x14:dxf>
          </x14:cfRule>
          <xm:sqref>M12</xm:sqref>
        </x14:conditionalFormatting>
        <x14:conditionalFormatting xmlns:xm="http://schemas.microsoft.com/office/excel/2006/main">
          <x14:cfRule type="expression" priority="29" id="{07F6B087-2F71-485C-9D19-C2E7646AC113}">
            <xm:f>ABS(M15-Pricing!M11)/MAX(ABS(M15),ABS(Pricing!M11))&gt;Data!AB23</xm:f>
            <x14:dxf>
              <fill>
                <patternFill>
                  <bgColor rgb="FFFF0000"/>
                </patternFill>
              </fill>
            </x14:dxf>
          </x14:cfRule>
          <xm:sqref>M15</xm:sqref>
        </x14:conditionalFormatting>
        <x14:conditionalFormatting xmlns:xm="http://schemas.microsoft.com/office/excel/2006/main">
          <x14:cfRule type="expression" priority="28" id="{125E3563-3589-40CB-9A65-768A0E425326}">
            <xm:f>ABS(M18-Pricing!M14)/MAX(ABS(M18),ABS(Pricing!M14))&gt;Data!AB23</xm:f>
            <x14:dxf>
              <fill>
                <patternFill>
                  <bgColor rgb="FFFF0000"/>
                </patternFill>
              </fill>
            </x14:dxf>
          </x14:cfRule>
          <xm:sqref>M18:M20</xm:sqref>
        </x14:conditionalFormatting>
        <x14:conditionalFormatting xmlns:xm="http://schemas.microsoft.com/office/excel/2006/main">
          <x14:cfRule type="expression" priority="27" id="{DD13DE6F-5487-4A12-B546-FEC94A12F316}">
            <xm:f>ABS(M21-Pricing!M17)/MAX(ABS(M21),ABS(Pricing!M17))&gt;Data!AB23</xm:f>
            <x14:dxf>
              <fill>
                <patternFill>
                  <bgColor rgb="FFFF0000"/>
                </patternFill>
              </fill>
            </x14:dxf>
          </x14:cfRule>
          <xm:sqref>M21</xm:sqref>
        </x14:conditionalFormatting>
        <x14:conditionalFormatting xmlns:xm="http://schemas.microsoft.com/office/excel/2006/main">
          <x14:cfRule type="expression" priority="26" id="{7BAE0EEE-B0B9-4B30-89B7-B8C3F5CBEE40}">
            <xm:f>ABS(M24-Pricing!M20)/MAX(ABS(M24),ABS(Pricing!M20))&gt;Data!AB23</xm:f>
            <x14:dxf>
              <fill>
                <patternFill>
                  <bgColor rgb="FFFF0000"/>
                </patternFill>
              </fill>
            </x14:dxf>
          </x14:cfRule>
          <xm:sqref>M24</xm:sqref>
        </x14:conditionalFormatting>
        <x14:conditionalFormatting xmlns:xm="http://schemas.microsoft.com/office/excel/2006/main">
          <x14:cfRule type="expression" priority="25" id="{5FE3A0CF-F223-4AC6-B0D1-A599E5535007}">
            <xm:f>ABS(M27-Pricing!M23)/MAX(ABS(M27),ABS(Pricing!M23))&gt;Data!AB23</xm:f>
            <x14:dxf>
              <fill>
                <patternFill>
                  <bgColor rgb="FFFF0000"/>
                </patternFill>
              </fill>
            </x14:dxf>
          </x14:cfRule>
          <xm:sqref>M27</xm:sqref>
        </x14:conditionalFormatting>
        <x14:conditionalFormatting xmlns:xm="http://schemas.microsoft.com/office/excel/2006/main">
          <x14:cfRule type="expression" priority="24" id="{3A3D7E98-6074-425A-BB68-0AE292C8D3F8}">
            <xm:f>ABS(M30-Pricing!M26)/MAX(ABS(M30),ABS(Pricing!M26))&gt;Data!AB23</xm:f>
            <x14:dxf>
              <fill>
                <patternFill>
                  <bgColor rgb="FFFF0000"/>
                </patternFill>
              </fill>
            </x14:dxf>
          </x14:cfRule>
          <xm:sqref>M30</xm:sqref>
        </x14:conditionalFormatting>
        <x14:conditionalFormatting xmlns:xm="http://schemas.microsoft.com/office/excel/2006/main">
          <x14:cfRule type="expression" priority="23" id="{30DA8D78-10DB-4551-A354-4461C17B23B8}">
            <xm:f>ABS(M33-Pricing!M29)/MAX(ABS(M33),ABS(Pricing!M29))&gt;Data!AB23</xm:f>
            <x14:dxf>
              <fill>
                <patternFill>
                  <bgColor rgb="FFFF0000"/>
                </patternFill>
              </fill>
            </x14:dxf>
          </x14:cfRule>
          <xm:sqref>M33</xm:sqref>
        </x14:conditionalFormatting>
        <x14:conditionalFormatting xmlns:xm="http://schemas.microsoft.com/office/excel/2006/main">
          <x14:cfRule type="expression" priority="22" id="{C6A0CE6C-58E2-4DCB-9AAE-9B74943F5209}">
            <xm:f>ABS(M36-Pricing!M32)/MAX(ABS(M36),ABS(Pricing!M32))&gt;Data!AB23</xm:f>
            <x14:dxf>
              <fill>
                <patternFill>
                  <bgColor rgb="FFFF0000"/>
                </patternFill>
              </fill>
            </x14:dxf>
          </x14:cfRule>
          <xm:sqref>M36</xm:sqref>
        </x14:conditionalFormatting>
        <x14:conditionalFormatting xmlns:xm="http://schemas.microsoft.com/office/excel/2006/main">
          <x14:cfRule type="expression" priority="21" id="{FF3C059B-417C-44B9-941F-0C17AC5BCC1C}">
            <xm:f>ABS(M39-Pricing!M35)/MAX(ABS(M39),ABS(Pricing!M35))&gt;Data!AB23</xm:f>
            <x14:dxf>
              <fill>
                <patternFill>
                  <bgColor rgb="FFFF0000"/>
                </patternFill>
              </fill>
            </x14:dxf>
          </x14:cfRule>
          <xm:sqref>M39</xm:sqref>
        </x14:conditionalFormatting>
        <x14:conditionalFormatting xmlns:xm="http://schemas.microsoft.com/office/excel/2006/main">
          <x14:cfRule type="expression" priority="20" id="{DAD396C0-44DA-4CBC-8D77-6A187D143CE7}">
            <xm:f>ABS(M42-Pricing!M38)/MAX(ABS(M41),ABS(Pricing!M38))&gt;Data!AB23</xm:f>
            <x14:dxf>
              <fill>
                <patternFill>
                  <bgColor rgb="FFFF0000"/>
                </patternFill>
              </fill>
            </x14:dxf>
          </x14:cfRule>
          <xm:sqref>M42</xm:sqref>
        </x14:conditionalFormatting>
        <x14:conditionalFormatting xmlns:xm="http://schemas.microsoft.com/office/excel/2006/main">
          <x14:cfRule type="expression" priority="19" id="{B509D577-390F-444D-A986-1D731F62530A}">
            <xm:f>ABS(M45-Pricing!M41)/MAX(ABS(M45),ABS(Pricing!M41))&gt;Data!AB23</xm:f>
            <x14:dxf>
              <fill>
                <patternFill>
                  <bgColor rgb="FFFF0000"/>
                </patternFill>
              </fill>
            </x14:dxf>
          </x14:cfRule>
          <xm:sqref>M45</xm:sqref>
        </x14:conditionalFormatting>
        <x14:conditionalFormatting xmlns:xm="http://schemas.microsoft.com/office/excel/2006/main">
          <x14:cfRule type="expression" priority="18" id="{D4AC9E26-BF54-4F12-9BCC-FB4612116947}">
            <xm:f>ABS(M48-Pricing!M44)/MAX(ABS(M48),ABS(Pricing!M44))&gt;Data!AB23</xm:f>
            <x14:dxf>
              <fill>
                <patternFill>
                  <bgColor rgb="FFFF0000"/>
                </patternFill>
              </fill>
            </x14:dxf>
          </x14:cfRule>
          <xm:sqref>M48</xm:sqref>
        </x14:conditionalFormatting>
        <x14:conditionalFormatting xmlns:xm="http://schemas.microsoft.com/office/excel/2006/main">
          <x14:cfRule type="expression" priority="17" id="{C349FD3A-C637-44AA-B661-0576A93A18AD}">
            <xm:f>ABS(M51-Pricing!M47)/MAX(ABS(M51),ABS(Pricing!M47))&gt;Data!AB23</xm:f>
            <x14:dxf>
              <fill>
                <patternFill>
                  <bgColor rgb="FFFF0000"/>
                </patternFill>
              </fill>
            </x14:dxf>
          </x14:cfRule>
          <xm:sqref>M51</xm:sqref>
        </x14:conditionalFormatting>
        <x14:conditionalFormatting xmlns:xm="http://schemas.microsoft.com/office/excel/2006/main">
          <x14:cfRule type="expression" priority="16" id="{5722B81B-B3CC-455D-B613-97A9C0EFDF1D}">
            <xm:f>ABS(M54-Pricing!M50)/MAX(ABS(M54),ABS(Pricing!M50))&gt;Data!AB23</xm:f>
            <x14:dxf>
              <fill>
                <patternFill>
                  <bgColor rgb="FFFF0000"/>
                </patternFill>
              </fill>
            </x14:dxf>
          </x14:cfRule>
          <xm:sqref>M54</xm:sqref>
        </x14:conditionalFormatting>
        <x14:conditionalFormatting xmlns:xm="http://schemas.microsoft.com/office/excel/2006/main">
          <x14:cfRule type="expression" priority="34" id="{C48D6E48-1549-4769-B722-4A346BE67E3C}">
            <xm:f>ABS(N12-Pricing!N8)/MAX(ABS(N12),ABS(Pricing!N8))&gt;Data!$AB$23</xm:f>
            <x14:dxf>
              <fill>
                <patternFill>
                  <bgColor rgb="FFFF0000"/>
                </patternFill>
              </fill>
            </x14:dxf>
          </x14:cfRule>
          <xm:sqref>N12:N56</xm:sqref>
        </x14:conditionalFormatting>
        <x14:conditionalFormatting xmlns:xm="http://schemas.microsoft.com/office/excel/2006/main">
          <x14:cfRule type="expression" priority="37" id="{19AEA9D2-54AF-4106-9C2E-031EE8965346}">
            <xm:f>ABS(N29-Pricing!N33)/MAX(ABS(N29),ABS(Pricing!N33))&gt;Data!$AB$23</xm:f>
            <x14:dxf>
              <fill>
                <patternFill>
                  <bgColor rgb="FFFF0000"/>
                </patternFill>
              </fill>
            </x14:dxf>
          </x14:cfRule>
          <xm:sqref>N33:N35</xm:sqref>
        </x14:conditionalFormatting>
        <x14:conditionalFormatting xmlns:xm="http://schemas.microsoft.com/office/excel/2006/main">
          <x14:cfRule type="expression" priority="225" id="{A3BEBF68-8AF7-4A4C-B4D5-F7B4E9CE6779}">
            <xm:f>IF(Pricing!Q76=0,"",IF(OR(Pricing!Q76&gt;=0.05,Pricing!Q76&lt;=0.05),"True",IF(Pricing!Q76=0,"","")))</xm:f>
            <x14:dxf>
              <fill>
                <patternFill>
                  <bgColor rgb="FFFF0000"/>
                </patternFill>
              </fill>
            </x14:dxf>
          </x14:cfRule>
          <xm:sqref>R8</xm:sqref>
        </x14:conditionalFormatting>
        <x14:conditionalFormatting xmlns:xm="http://schemas.microsoft.com/office/excel/2006/main">
          <x14:cfRule type="expression" priority="120" id="{2EEDEA15-01F6-42C5-96DA-ACCC3E4EA8B7}">
            <xm:f>S12&lt;&gt;Pricing!R8</xm:f>
            <x14:dxf>
              <font>
                <color theme="5"/>
              </font>
              <fill>
                <patternFill>
                  <bgColor theme="7" tint="0.59996337778862885"/>
                </patternFill>
              </fill>
            </x14:dxf>
          </x14:cfRule>
          <xm:sqref>S12:AC12 S15:AC15 S18:AC18 S21:AC21 S24:AC24 S27:AC27 S30:AC30 S33:AC33 S36:AC36 S39:AC39 S42:AC42 S45:AC45 S48:AC48 S51:AC51 S54:AC54</xm:sqref>
        </x14:conditionalFormatting>
        <x14:conditionalFormatting xmlns:xm="http://schemas.microsoft.com/office/excel/2006/main">
          <x14:cfRule type="expression" priority="119" id="{1AB9AE86-5032-432E-9D3A-13E7C2B8EFA1}">
            <xm:f>OR((AE13-Pricing!$AD$10)&lt;=-0.1,(AE13-Pricing!$AD$10)&gt;=0.1)</xm:f>
            <x14:dxf>
              <fill>
                <patternFill>
                  <bgColor rgb="FFFF0000"/>
                </patternFill>
              </fill>
            </x14:dxf>
          </x14:cfRule>
          <xm:sqref>AE13</xm:sqref>
        </x14:conditionalFormatting>
        <x14:conditionalFormatting xmlns:xm="http://schemas.microsoft.com/office/excel/2006/main">
          <x14:cfRule type="expression" priority="118" id="{B86CC19D-1EF9-4028-A365-CAEF010C8BCB}">
            <xm:f>OR((AE16-Pricing!$AD$13)&lt;=-0.1,(AE16-Pricing!$AD$13)&gt;=0.1)</xm:f>
            <x14:dxf>
              <fill>
                <patternFill>
                  <bgColor rgb="FFFF0000"/>
                </patternFill>
              </fill>
            </x14:dxf>
          </x14:cfRule>
          <xm:sqref>AE16</xm:sqref>
        </x14:conditionalFormatting>
        <x14:conditionalFormatting xmlns:xm="http://schemas.microsoft.com/office/excel/2006/main">
          <x14:cfRule type="expression" priority="117" id="{84AC456F-A836-47D3-9DF4-3050D182D205}">
            <xm:f>OR((AE19-Pricing!$AD$16)&lt;=-0.1,(AE19-Pricing!$AD$16)&gt;=0.1)</xm:f>
            <x14:dxf>
              <fill>
                <patternFill>
                  <bgColor rgb="FFFF0000"/>
                </patternFill>
              </fill>
            </x14:dxf>
          </x14:cfRule>
          <xm:sqref>AE19</xm:sqref>
        </x14:conditionalFormatting>
        <x14:conditionalFormatting xmlns:xm="http://schemas.microsoft.com/office/excel/2006/main">
          <x14:cfRule type="expression" priority="116" id="{431DA264-0BC4-4342-BA95-1A61F31D7723}">
            <xm:f>OR((AE22-Pricing!$AD$19)&lt;=-0.1,(AE22-Pricing!$AD$19)&gt;=0.1)</xm:f>
            <x14:dxf>
              <fill>
                <patternFill>
                  <bgColor rgb="FFFF0000"/>
                </patternFill>
              </fill>
            </x14:dxf>
          </x14:cfRule>
          <xm:sqref>AE22</xm:sqref>
        </x14:conditionalFormatting>
        <x14:conditionalFormatting xmlns:xm="http://schemas.microsoft.com/office/excel/2006/main">
          <x14:cfRule type="expression" priority="115" id="{B5B633A1-DFA7-485E-9E9F-876CE57F5A2C}">
            <xm:f>OR((AE25-Pricing!$AD$22)&lt;=-0.1,(AE25-Pricing!$AD$22)&gt;=0.1)</xm:f>
            <x14:dxf>
              <fill>
                <patternFill>
                  <bgColor rgb="FFFF0000"/>
                </patternFill>
              </fill>
            </x14:dxf>
          </x14:cfRule>
          <xm:sqref>AE25</xm:sqref>
        </x14:conditionalFormatting>
        <x14:conditionalFormatting xmlns:xm="http://schemas.microsoft.com/office/excel/2006/main">
          <x14:cfRule type="expression" priority="114" id="{ABD2F12B-B5C6-404D-BF45-12DBF05EDAB0}">
            <xm:f>OR((AE28-Pricing!$AD$25)&lt;=-0.1,(AE28-Pricing!$AD$25)&gt;=0.1)</xm:f>
            <x14:dxf>
              <fill>
                <patternFill>
                  <bgColor rgb="FFFF0000"/>
                </patternFill>
              </fill>
            </x14:dxf>
          </x14:cfRule>
          <xm:sqref>AE28</xm:sqref>
        </x14:conditionalFormatting>
        <x14:conditionalFormatting xmlns:xm="http://schemas.microsoft.com/office/excel/2006/main">
          <x14:cfRule type="expression" priority="113" id="{834ADEFE-CC8D-45E7-9EC0-F49D71713F66}">
            <xm:f>OR((AE31-Pricing!$AD$28)&lt;=-0.1,(AE31-Pricing!$AD$28)&gt;=0.1)</xm:f>
            <x14:dxf>
              <fill>
                <patternFill>
                  <bgColor rgb="FFFF0000"/>
                </patternFill>
              </fill>
            </x14:dxf>
          </x14:cfRule>
          <xm:sqref>AE31</xm:sqref>
        </x14:conditionalFormatting>
        <x14:conditionalFormatting xmlns:xm="http://schemas.microsoft.com/office/excel/2006/main">
          <x14:cfRule type="expression" priority="112" id="{7C7DBE3B-C391-4F3F-B1A9-16632812EE5E}">
            <xm:f>OR((AE34-Pricing!$AD$31)&lt;=-0.1,(AE34-Pricing!$AD$31)&gt;=0.1)</xm:f>
            <x14:dxf>
              <fill>
                <patternFill>
                  <bgColor rgb="FFFF0000"/>
                </patternFill>
              </fill>
            </x14:dxf>
          </x14:cfRule>
          <xm:sqref>AE34:AE35</xm:sqref>
        </x14:conditionalFormatting>
        <x14:conditionalFormatting xmlns:xm="http://schemas.microsoft.com/office/excel/2006/main">
          <x14:cfRule type="expression" priority="111" id="{2838D640-4946-4677-B8A3-9E1EA6E880C6}">
            <xm:f>OR((AE37-Pricing!$AD$34)&lt;=-0.1,(AE37-Pricing!$AD$34)&gt;=0.1)</xm:f>
            <x14:dxf>
              <fill>
                <patternFill>
                  <bgColor rgb="FFFF0000"/>
                </patternFill>
              </fill>
            </x14:dxf>
          </x14:cfRule>
          <xm:sqref>AE37</xm:sqref>
        </x14:conditionalFormatting>
        <x14:conditionalFormatting xmlns:xm="http://schemas.microsoft.com/office/excel/2006/main">
          <x14:cfRule type="expression" priority="110" id="{14CF2C92-4879-447E-9348-929E359CA12C}">
            <xm:f>OR((AE40-Pricing!$AD$37)&lt;=-0.1,(AE40-Pricing!$AD$37)&gt;=0.1)</xm:f>
            <x14:dxf>
              <fill>
                <patternFill>
                  <bgColor rgb="FFFF0000"/>
                </patternFill>
              </fill>
            </x14:dxf>
          </x14:cfRule>
          <xm:sqref>AE40</xm:sqref>
        </x14:conditionalFormatting>
        <x14:conditionalFormatting xmlns:xm="http://schemas.microsoft.com/office/excel/2006/main">
          <x14:cfRule type="expression" priority="109" id="{31037B11-B7BE-4E55-AD54-32E99CC07D35}">
            <xm:f>OR((AE43-Pricing!$AD$40)&lt;=-0.1,(AE43-Pricing!$AD$40)&gt;=0.1)</xm:f>
            <x14:dxf>
              <fill>
                <patternFill>
                  <bgColor rgb="FFFF0000"/>
                </patternFill>
              </fill>
            </x14:dxf>
          </x14:cfRule>
          <xm:sqref>AE43</xm:sqref>
        </x14:conditionalFormatting>
        <x14:conditionalFormatting xmlns:xm="http://schemas.microsoft.com/office/excel/2006/main">
          <x14:cfRule type="expression" priority="108" id="{5AFFB5EA-B7DA-4785-A99C-0FA29451D711}">
            <xm:f>OR((AE46-Pricing!$AD$43)&lt;=-0.1,(AE46-Pricing!$AD$43)&gt;=0.1)</xm:f>
            <x14:dxf>
              <fill>
                <patternFill>
                  <bgColor rgb="FFFF0000"/>
                </patternFill>
              </fill>
            </x14:dxf>
          </x14:cfRule>
          <xm:sqref>AE46</xm:sqref>
        </x14:conditionalFormatting>
        <x14:conditionalFormatting xmlns:xm="http://schemas.microsoft.com/office/excel/2006/main">
          <x14:cfRule type="expression" priority="107" id="{9028AD91-E236-4F60-B102-6A399C0C80FC}">
            <xm:f>OR((AE49-Pricing!$AD$46)&lt;=-0.1,(AE49-Pricing!$AD$46)&gt;=0.1)</xm:f>
            <x14:dxf>
              <fill>
                <patternFill>
                  <bgColor rgb="FFFF0000"/>
                </patternFill>
              </fill>
            </x14:dxf>
          </x14:cfRule>
          <xm:sqref>AE49</xm:sqref>
        </x14:conditionalFormatting>
        <x14:conditionalFormatting xmlns:xm="http://schemas.microsoft.com/office/excel/2006/main">
          <x14:cfRule type="expression" priority="106" id="{7B9543D9-77AD-4B99-9852-5371923F15B8}">
            <xm:f>OR((AE52-Pricing!$AD$49)&lt;=-0.1,(AE52-Pricing!$AD$49)&gt;=0.1)</xm:f>
            <x14:dxf>
              <fill>
                <patternFill>
                  <bgColor rgb="FFFF0000"/>
                </patternFill>
              </fill>
            </x14:dxf>
          </x14:cfRule>
          <xm:sqref>AE52</xm:sqref>
        </x14:conditionalFormatting>
        <x14:conditionalFormatting xmlns:xm="http://schemas.microsoft.com/office/excel/2006/main">
          <x14:cfRule type="expression" priority="105" id="{13531CF5-06BB-4DD3-8A23-4D2B438BCD8D}">
            <xm:f>OR((AE55-Pricing!$AD$52)&lt;=-0.1,(AE55-Pricing!$AD$52)&gt;=0.1)</xm:f>
            <x14:dxf>
              <fill>
                <patternFill>
                  <bgColor rgb="FFFF0000"/>
                </patternFill>
              </fill>
            </x14:dxf>
          </x14:cfRule>
          <xm:sqref>AE55</xm:sqref>
        </x14:conditionalFormatting>
      </x14:conditionalFormattings>
    </ext>
    <ext xmlns:x14="http://schemas.microsoft.com/office/spreadsheetml/2009/9/main" uri="{CCE6A557-97BC-4b89-ADB6-D9C93CAAB3DF}">
      <x14:dataValidations xmlns:xm="http://schemas.microsoft.com/office/excel/2006/main" count="15">
        <x14:dataValidation type="list" allowBlank="1" showInputMessage="1" xr:uid="{A287C2E5-47FA-4494-BC32-07C6781FD1B7}">
          <x14:formula1>
            <xm:f>IF(AND(Helper!B17=TRUE, Helper!C17=FALSE),HamptonTilt,IF(OR(E24="Aruba",E24="Aruba Express"),ArubaTilt,IF(E24="Tahiti",TahitiTilt,IF(E54="Maui",MauiTilt,IF(Helper!H35=TRUE,CapriTilt,TiltRod)))))</xm:f>
          </x14:formula1>
          <xm:sqref>L54:L56</xm:sqref>
        </x14:dataValidation>
        <x14:dataValidation type="list" allowBlank="1" showInputMessage="1" xr:uid="{44A8363A-859F-48D9-97A1-CE72ED2B960A}">
          <x14:formula1>
            <xm:f>IF(AND(Helper!B8=TRUE, Helper!C8=FALSE),HamptonTilt,IF(OR(E27="Aruba",E27="Aruba Express"),ArubaTilt,IF(E27="Tahiti",TahitiTilt,IF(E27="Maui",MauiTilt,IF(Helper!H26=TRUE,CapriTilt,TiltRod)))))</xm:f>
          </x14:formula1>
          <xm:sqref>L27:L29</xm:sqref>
        </x14:dataValidation>
        <x14:dataValidation type="list" allowBlank="1" showInputMessage="1" xr:uid="{447C312A-46B4-46C1-93B9-11AE6D0C1DB9}">
          <x14:formula1>
            <xm:f>IF(AND(Helper!B3=TRUE, Helper!C3=FALSE),HamptonTilt,IF(OR(E12="Aruba",E12="Aruba Express"),ArubaTilt,IF(E12="Tahiti",TahitiTilt,IF(E12="Maui",MauiTilt,IF(Helper!H21=TRUE,CapriTilt,TiltRod)))))</xm:f>
          </x14:formula1>
          <xm:sqref>L12:L14</xm:sqref>
        </x14:dataValidation>
        <x14:dataValidation type="list" allowBlank="1" showInputMessage="1" xr:uid="{B89385ED-D20B-44DD-ADAB-13A5C5F82B6C}">
          <x14:formula1>
            <xm:f>IF(AND(Helper!B4=TRUE, Helper!C4=FALSE),HamptonTilt,IF(OR(E15="Aruba",E15="Aruba Express"),ArubaTilt,IF(E15="Tahiti",TahitiTilt,IF(E15="Maui",MauiTilt,IF(Helper!H22=TRUE,CapriTilt,TiltRod)))))</xm:f>
          </x14:formula1>
          <xm:sqref>L15:L17</xm:sqref>
        </x14:dataValidation>
        <x14:dataValidation type="list" allowBlank="1" showInputMessage="1" xr:uid="{5794B324-CF2E-4EE7-9252-BF79562CF426}">
          <x14:formula1>
            <xm:f>IF(AND(Helper!B5=TRUE, Helper!C5=FALSE),HamptonTilt,IF(OR(E18="Aruba",E18="Aruba Express"),ArubaTilt,IF(E18="Tahiti",TahitiTilt,IF(E18="Maui",MauiTilt,IF(Helper!H23=TRUE,CapriTilt,TiltRod)))))</xm:f>
          </x14:formula1>
          <xm:sqref>L18:L20</xm:sqref>
        </x14:dataValidation>
        <x14:dataValidation type="list" allowBlank="1" showInputMessage="1" xr:uid="{17E38CF4-D215-4F23-9BCA-D69A718B653E}">
          <x14:formula1>
            <xm:f>IF(AND(Helper!B6=TRUE, Helper!C6=FALSE),HamptonTilt,IF(OR(E21="Aruba",E21="Aruba Express"),ArubaTilt,IF(E21="Tahiti",TahitiTilt,IF(E21="Maui",MauiTilt,IF(Helper!H24=TRUE,CapriTilt,TiltRod)))))</xm:f>
          </x14:formula1>
          <xm:sqref>L21:L23</xm:sqref>
        </x14:dataValidation>
        <x14:dataValidation type="list" allowBlank="1" showInputMessage="1" xr:uid="{22A96E6D-AD6E-4233-9DEB-1C1B63DFDC3E}">
          <x14:formula1>
            <xm:f>IF(AND(Helper!B7=TRUE, Helper!C7=FALSE),HamptonTilt,IF(OR(E24="Aruba",E24="Aruba Express"),ArubaTilt,IF(E24="Tahiti",TahitiTilt,IF(E24="Maui",MauiTilt,IF(Helper!H25=TRUE,CapriTilt,TiltRod)))))</xm:f>
          </x14:formula1>
          <xm:sqref>L24:L26</xm:sqref>
        </x14:dataValidation>
        <x14:dataValidation type="list" allowBlank="1" showInputMessage="1" xr:uid="{0F44E8F6-5C6C-4590-9D7C-2F24172AFC9C}">
          <x14:formula1>
            <xm:f>IF(AND(Helper!B9=TRUE, Helper!C9=FALSE),HamptonTilt,IF(OR(E24="Aruba",E24="Aruba Express"),ArubaTilt,IF(E24="Tahiti",TahitiTilt,IF(E30="Maui",MauiTilt,IF(Helper!H27=TRUE,CapriTilt,TiltRod)))))</xm:f>
          </x14:formula1>
          <xm:sqref>L30:L32</xm:sqref>
        </x14:dataValidation>
        <x14:dataValidation type="list" allowBlank="1" showInputMessage="1" xr:uid="{A05D6423-56F2-4FED-A42C-0305D941A3D2}">
          <x14:formula1>
            <xm:f>IF(AND(Helper!B10=TRUE, Helper!C10=FALSE),HamptonTilt,IF(OR(E24="Aruba",E24="Aruba Express"),ArubaTilt,IF(E24="Tahiti",TahitiTilt,IF(E33="Maui",MauiTilt,IF(Helper!H28=TRUE,CapriTilt,TiltRod)))))</xm:f>
          </x14:formula1>
          <xm:sqref>L33:L35</xm:sqref>
        </x14:dataValidation>
        <x14:dataValidation type="list" allowBlank="1" showInputMessage="1" xr:uid="{2462AA29-85B2-4348-BD17-4E65235BE323}">
          <x14:formula1>
            <xm:f>IF(AND(Helper!B11=TRUE, Helper!C11=FALSE),HamptonTilt,IF(OR(E24="Aruba",E24="Aruba Express"),ArubaTilt,IF(E24="Tahiti",TahitiTilt,IF(E36="Maui",MauiTilt,IF(Helper!H29=TRUE,CapriTilt,TiltRod)))))</xm:f>
          </x14:formula1>
          <xm:sqref>L36:L38</xm:sqref>
        </x14:dataValidation>
        <x14:dataValidation type="list" allowBlank="1" showInputMessage="1" xr:uid="{573454BF-723C-4890-A4D0-F9C6FFAB95B1}">
          <x14:formula1>
            <xm:f>IF(AND(Helper!B12=TRUE, Helper!C12=FALSE),HamptonTilt,IF(OR(E24="Aruba",E24="Aruba Express"),ArubaTilt,IF(E24="Tahiti",TahitiTilt,IF(E39="Maui",MauiTilt,IF(Helper!H30=TRUE,CapriTilt,TiltRod)))))</xm:f>
          </x14:formula1>
          <xm:sqref>L39:L41</xm:sqref>
        </x14:dataValidation>
        <x14:dataValidation type="list" allowBlank="1" showInputMessage="1" xr:uid="{FB32A5E7-5D28-4EFC-B9A1-BE4BAA0AB114}">
          <x14:formula1>
            <xm:f>IF(AND(Helper!B13=TRUE, Helper!C13=FALSE),HamptonTilt,IF(OR(E24="Aruba",E24="Aruba Express"),ArubaTilt,IF(E24="Tahiti",TahitiTilt,IF(E42="Maui",MauiTilt,IF(Helper!H31=TRUE,CapriTilt,TiltRod)))))</xm:f>
          </x14:formula1>
          <xm:sqref>L42:L44</xm:sqref>
        </x14:dataValidation>
        <x14:dataValidation type="list" allowBlank="1" showInputMessage="1" xr:uid="{6B326DA1-E55B-4344-8F5A-6597ED44F9BE}">
          <x14:formula1>
            <xm:f>IF(AND(Helper!B14=TRUE, Helper!C14=FALSE),HamptonTilt,IF(OR(E24="Aruba",E24="Aruba Express"),ArubaTilt,IF(E24="Tahiti",TahitiTilt,IF(E45="Maui",MauiTilt,IF(Helper!H32=TRUE,CapriTilt,TiltRod)))))</xm:f>
          </x14:formula1>
          <xm:sqref>L45:L47</xm:sqref>
        </x14:dataValidation>
        <x14:dataValidation type="list" allowBlank="1" showInputMessage="1" xr:uid="{17A886E3-EB31-4828-9EBE-229A46DB6FAD}">
          <x14:formula1>
            <xm:f>IF(AND(Helper!B15=TRUE, Helper!C15=FALSE),HamptonTilt,IF(OR(E24="Aruba",E24="Aruba Express"),ArubaTilt,IF(E24="Tahiti",TahitiTilt,IF(E48="Maui",MauiTilt,IF(Helper!H33=TRUE,CapriTilt,TiltRod)))))</xm:f>
          </x14:formula1>
          <xm:sqref>L48:L50</xm:sqref>
        </x14:dataValidation>
        <x14:dataValidation type="list" allowBlank="1" showInputMessage="1" xr:uid="{0DA2E4DA-0F52-444D-87A0-B82FE00D3F24}">
          <x14:formula1>
            <xm:f>IF(AND(Helper!B16=TRUE, Helper!C16=FALSE),HamptonTilt,IF(OR(E24="Aruba",E24="Aruba Express"),ArubaTilt,IF(E24="Tahiti",TahitiTilt,IF(E51="Maui",MauiTilt,IF(Helper!H34=TRUE,CapriTilt,TiltRod)))))</xm:f>
          </x14:formula1>
          <xm:sqref>L51:L53</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276706-EE7A-4479-B216-E74F0E1D06B5}">
  <sheetPr codeName="Sheet3"/>
  <dimension ref="B1:BJ93"/>
  <sheetViews>
    <sheetView zoomScaleNormal="100" workbookViewId="0">
      <selection activeCell="I11" sqref="I11"/>
    </sheetView>
  </sheetViews>
  <sheetFormatPr defaultRowHeight="14.45"/>
  <cols>
    <col min="1" max="1" width="2.42578125" customWidth="1"/>
    <col min="2" max="39" width="5.5703125" customWidth="1"/>
    <col min="44" max="44" width="5.140625" customWidth="1"/>
    <col min="45" max="45" width="12.28515625" customWidth="1"/>
    <col min="48" max="48" width="6.28515625" hidden="1" customWidth="1"/>
    <col min="49" max="59" width="5.7109375" hidden="1" customWidth="1"/>
    <col min="60" max="62" width="0" hidden="1" customWidth="1"/>
  </cols>
  <sheetData>
    <row r="1" spans="2:62" ht="6.95" customHeight="1" thickBot="1"/>
    <row r="2" spans="2:62" ht="15" thickTop="1">
      <c r="B2" s="1403">
        <v>1</v>
      </c>
      <c r="C2" s="1404"/>
      <c r="D2" s="1407" t="s">
        <v>296</v>
      </c>
      <c r="E2" s="1408"/>
      <c r="F2" s="1409" t="s">
        <v>77</v>
      </c>
      <c r="G2" s="1410"/>
      <c r="H2" s="1408" t="str">
        <f>IF(F2=1,'Survey Front'!C12&amp;" "&amp;'Survey Front'!C13&amp;" "&amp;'Survey Front'!C14,IF(F2=2,'Survey Front'!C15&amp;" "&amp;'Survey Front'!C16&amp;" "&amp;'Survey Front'!C17,IF(F2=3,'Survey Front'!C18&amp;" "&amp;'Survey Front'!C19&amp;" "&amp;'Survey Front'!C20,IF(F2=4,'Survey Front'!C21&amp;" "&amp;'Survey Front'!C22&amp;" "&amp;'Survey Front'!C23,IF(F2=5,'Survey Front'!C24&amp;" "&amp;'Survey Front'!C25&amp;" "&amp;'Survey Front'!C26,IF(F2=6,'Survey Front'!C27&amp;" "&amp;'Survey Front'!C28&amp;" "&amp;'Survey Front'!C29,IF(F2=7,'Survey Front'!C30&amp;" "&amp;'Survey Front'!C31&amp;" "&amp;'Survey Front'!C32,IF(F2=8,'Survey Front'!C33&amp;" "&amp;'Survey Front'!C34&amp;" "&amp;'Survey Front'!C35,IF(F2=9,'Survey Front'!C36&amp;" "&amp;'Survey Front'!C37&amp;" "&amp;'Survey Front'!C38,IF(F2=10,'Survey Front'!C39 &amp;" " &amp;'Survey Front'!C40 &amp; " " &amp; 'Survey Front'!C41,IF(F2=11,'Survey Front'!C42 &amp;" " &amp;'Survey Front'!C43 &amp; " " &amp; 'Survey Front'!C44,IF(F2=12,'Survey Front'!C45 &amp;" " &amp;'Survey Front'!C46 &amp; " " &amp; 'Survey Front'!C47,IF(F2=13,'Survey Front'!C48 &amp;" " &amp;'Survey Front'!C49 &amp; " " &amp; 'Survey Front'!C50,IF(F2=14,'Survey Front'!C51 &amp;" " &amp;'Survey Front'!C52 &amp; " " &amp; 'Survey Front'!C53,IF(F2=15,'Survey Front'!C54 &amp;" " &amp;'Survey Front'!C55 &amp; " " &amp; 'Survey Front'!C56,"")))))))))))))))</f>
        <v/>
      </c>
      <c r="I2" s="1408"/>
      <c r="J2" s="1408"/>
      <c r="K2" s="1408"/>
      <c r="L2" s="1408"/>
      <c r="M2" s="1408"/>
      <c r="N2" s="1408"/>
      <c r="O2" s="1408"/>
      <c r="P2" s="1413"/>
      <c r="Q2" s="1416" t="s">
        <v>297</v>
      </c>
      <c r="R2" s="1417"/>
      <c r="S2" s="1417"/>
      <c r="T2" s="1418"/>
      <c r="U2" s="1403">
        <v>2</v>
      </c>
      <c r="V2" s="1404"/>
      <c r="W2" s="1407" t="s">
        <v>296</v>
      </c>
      <c r="X2" s="1408"/>
      <c r="Y2" s="1409" t="s">
        <v>77</v>
      </c>
      <c r="Z2" s="1410"/>
      <c r="AA2" s="1408" t="str">
        <f>IF(Y2=1,'Survey Front'!C12&amp;" "&amp;'Survey Front'!C13&amp;" "&amp;'Survey Front'!C14,IF(Y2=2,'Survey Front'!C15&amp;" "&amp;'Survey Front'!C16&amp;" "&amp;'Survey Front'!C17,IF(Y2=3,'Survey Front'!C18&amp;" "&amp;'Survey Front'!C19&amp;" "&amp;'Survey Front'!C20,IF(Y2=4,'Survey Front'!C21&amp;" "&amp;'Survey Front'!C22&amp;" "&amp;'Survey Front'!C23,IF(Y2=5,'Survey Front'!C24&amp;" "&amp;'Survey Front'!C25&amp;" "&amp;'Survey Front'!C26,IF(Y2=6,'Survey Front'!C27&amp;" "&amp;'Survey Front'!C28&amp;" "&amp;'Survey Front'!C29,IF(Y2=7,'Survey Front'!C30&amp;" "&amp;'Survey Front'!C31&amp;" "&amp;'Survey Front'!C32,IF(Y2=8,'Survey Front'!C33&amp;" "&amp;'Survey Front'!C34&amp;" "&amp;'Survey Front'!C35,IF(Y2=9,'Survey Front'!C36&amp;" "&amp;'Survey Front'!C37&amp;" "&amp;'Survey Front'!C38,IF(Y2=10,'Survey Front'!C39 &amp;" " &amp;'Survey Front'!C40 &amp; " " &amp; 'Survey Front'!C41,IF(Y2=11,'Survey Front'!C42 &amp;" " &amp;'Survey Front'!C43 &amp; " " &amp; 'Survey Front'!C44,IF(Y2=12,'Survey Front'!C45 &amp;" " &amp;'Survey Front'!C46 &amp; " " &amp; 'Survey Front'!C47,IF(Y2=13,'Survey Front'!C48 &amp;" " &amp;'Survey Front'!C49 &amp; " " &amp; 'Survey Front'!C50,IF(Y2=14,'Survey Front'!C51 &amp;" " &amp;'Survey Front'!C52 &amp; " " &amp; 'Survey Front'!C53,IF(Y2=15,'Survey Front'!C54 &amp;" " &amp;'Survey Front'!C55 &amp; " " &amp; 'Survey Front'!C56,"")))))))))))))))</f>
        <v/>
      </c>
      <c r="AB2" s="1408"/>
      <c r="AC2" s="1408"/>
      <c r="AD2" s="1408"/>
      <c r="AE2" s="1408"/>
      <c r="AF2" s="1408"/>
      <c r="AG2" s="1408"/>
      <c r="AH2" s="1408"/>
      <c r="AI2" s="1413"/>
      <c r="AJ2" s="1423" t="s">
        <v>297</v>
      </c>
      <c r="AK2" s="1420"/>
      <c r="AL2" s="1420"/>
      <c r="AM2" s="1424"/>
      <c r="AN2" s="1419" t="s">
        <v>298</v>
      </c>
      <c r="AO2" s="1420"/>
      <c r="AP2" s="1420"/>
      <c r="AQ2" s="1420"/>
      <c r="AR2" s="193"/>
      <c r="AS2" s="194"/>
    </row>
    <row r="3" spans="2:62" ht="15" thickBot="1">
      <c r="B3" s="1405"/>
      <c r="C3" s="1406"/>
      <c r="D3" s="1397"/>
      <c r="E3" s="1398"/>
      <c r="F3" s="1411"/>
      <c r="G3" s="1412"/>
      <c r="H3" s="1395"/>
      <c r="I3" s="1395"/>
      <c r="J3" s="1395"/>
      <c r="K3" s="1395"/>
      <c r="L3" s="1395"/>
      <c r="M3" s="1395"/>
      <c r="N3" s="1395"/>
      <c r="O3" s="1395"/>
      <c r="P3" s="1414"/>
      <c r="Q3" s="1394" t="s">
        <v>77</v>
      </c>
      <c r="R3" s="1395"/>
      <c r="S3" s="1395"/>
      <c r="T3" s="1396"/>
      <c r="U3" s="1405"/>
      <c r="V3" s="1406"/>
      <c r="W3" s="1397"/>
      <c r="X3" s="1398"/>
      <c r="Y3" s="1411"/>
      <c r="Z3" s="1412"/>
      <c r="AA3" s="1395"/>
      <c r="AB3" s="1395"/>
      <c r="AC3" s="1395"/>
      <c r="AD3" s="1395"/>
      <c r="AE3" s="1395"/>
      <c r="AF3" s="1395"/>
      <c r="AG3" s="1395"/>
      <c r="AH3" s="1395"/>
      <c r="AI3" s="1414"/>
      <c r="AJ3" s="1394" t="s">
        <v>77</v>
      </c>
      <c r="AK3" s="1395"/>
      <c r="AL3" s="1395"/>
      <c r="AM3" s="1396"/>
      <c r="AN3" s="1421"/>
      <c r="AO3" s="1422"/>
      <c r="AP3" s="1422"/>
      <c r="AQ3" s="1422"/>
      <c r="AR3" s="195" t="s">
        <v>299</v>
      </c>
      <c r="AS3" s="196" t="s">
        <v>300</v>
      </c>
    </row>
    <row r="4" spans="2:62" ht="15" thickBot="1">
      <c r="B4" s="25"/>
      <c r="C4" s="14"/>
      <c r="D4" s="14"/>
      <c r="E4" s="1400"/>
      <c r="F4" s="1400"/>
      <c r="G4" s="1400"/>
      <c r="H4" s="1398"/>
      <c r="I4" s="1398"/>
      <c r="J4" s="1398"/>
      <c r="K4" s="1398"/>
      <c r="L4" s="1398"/>
      <c r="M4" s="1398"/>
      <c r="N4" s="1398"/>
      <c r="O4" s="1398"/>
      <c r="P4" s="1415"/>
      <c r="Q4" s="1397"/>
      <c r="R4" s="1398"/>
      <c r="S4" s="1398"/>
      <c r="T4" s="1399"/>
      <c r="U4" s="25"/>
      <c r="V4" s="14"/>
      <c r="W4" s="1400"/>
      <c r="X4" s="1400"/>
      <c r="Y4" s="1400"/>
      <c r="Z4" s="1400"/>
      <c r="AA4" s="1398"/>
      <c r="AB4" s="1398"/>
      <c r="AC4" s="1398"/>
      <c r="AD4" s="1398"/>
      <c r="AE4" s="1398"/>
      <c r="AF4" s="1398"/>
      <c r="AG4" s="1398"/>
      <c r="AH4" s="1398"/>
      <c r="AI4" s="1415"/>
      <c r="AJ4" s="1397"/>
      <c r="AK4" s="1398"/>
      <c r="AL4" s="1398"/>
      <c r="AM4" s="1399"/>
      <c r="AN4" s="1401">
        <v>1</v>
      </c>
      <c r="AO4" s="1381" t="s">
        <v>301</v>
      </c>
      <c r="AP4" s="1382"/>
      <c r="AQ4" s="197" t="s">
        <v>77</v>
      </c>
      <c r="AR4" s="182">
        <v>0</v>
      </c>
      <c r="AS4" s="183" t="s">
        <v>302</v>
      </c>
      <c r="BI4" s="4" t="s">
        <v>303</v>
      </c>
      <c r="BJ4" s="4" t="s">
        <v>304</v>
      </c>
    </row>
    <row r="5" spans="2:62" ht="22.5" customHeight="1" thickBot="1">
      <c r="B5" s="275"/>
      <c r="C5" s="26"/>
      <c r="D5" s="26"/>
      <c r="E5" s="26"/>
      <c r="F5" s="26"/>
      <c r="G5" s="26"/>
      <c r="H5" s="26"/>
      <c r="I5" s="26"/>
      <c r="J5" s="26"/>
      <c r="K5" s="26"/>
      <c r="L5" s="26"/>
      <c r="M5" s="26"/>
      <c r="N5" s="26"/>
      <c r="O5" s="26"/>
      <c r="P5" s="26"/>
      <c r="Q5" s="26"/>
      <c r="R5" s="26"/>
      <c r="S5" s="26"/>
      <c r="T5" s="276"/>
      <c r="U5" s="275"/>
      <c r="V5" s="26"/>
      <c r="W5" s="26"/>
      <c r="X5" s="26"/>
      <c r="Y5" s="26"/>
      <c r="Z5" s="26"/>
      <c r="AA5" s="26"/>
      <c r="AB5" s="26"/>
      <c r="AC5" s="26"/>
      <c r="AD5" s="26"/>
      <c r="AE5" s="26"/>
      <c r="AF5" s="26"/>
      <c r="AG5" s="26"/>
      <c r="AH5" s="26"/>
      <c r="AI5" s="26"/>
      <c r="AJ5" s="283"/>
      <c r="AK5" s="283"/>
      <c r="AL5" s="283"/>
      <c r="AM5" s="284"/>
      <c r="AN5" s="1402"/>
      <c r="AO5" s="180"/>
      <c r="AP5" s="181"/>
      <c r="AQ5" s="181"/>
      <c r="AR5" s="182">
        <v>0</v>
      </c>
      <c r="AS5" s="183" t="s">
        <v>302</v>
      </c>
      <c r="AV5" t="str">
        <f>F2</f>
        <v>Select</v>
      </c>
      <c r="AW5" s="27" t="str">
        <f>IF(IF($F$2=1,J17,IF($F$2=2,J17,IF($F$2=3,J17,IF($F$2=4,J17,IF($F$2=5,J17,IF($F$2=6,J17,IF($F$2=7,J17,IF($F$2=8,J17,IF($F$2=9,J17,IF($F$2=10,J17,IF($F$2=11,J17,IF($F$2=12,J17,IF($F$2=13,J17,IF($F$2=14,J17,IF($F$2=15,J17,)))))))))))))))=0,"",IF($F$2=1,J17,IF($F$2=2,J17,IF($F$2=3,J17,IF($F$2=4,J17,IF($F$2=5,J17,IF($F$2=6,J17,IF($F$2=7,J17,IF($F$2=8,J17,IF($F$2=9,J17,IF($F$2=10,J17,IF($F$2=11,J17,IF($F$2=12,J17,IF($F$2=13,J17,IF($F$2=14,J17,IF($F$2=15,J17,))))))))))))))))</f>
        <v/>
      </c>
      <c r="AX5" s="27" t="str">
        <f>IF(IF($F$2=1,K17,IF($F$2=2,K17,IF($F$2=3,K17,IF($F$2=4,K17,IF($F$2=5,K17,IF($F$2=6,K17,IF($F$2=7,K17,IF($F$2=8,K17,IF($F$2=9,K17,IF($F$2=10,K17,IF($F$2=11,K17,IF($F$2=12,K17,IF($F$2=13,K17,IF($F$2=14,K17,IF($F$2=15,K17,)))))))))))))))=0,"",IF($F$2=1,K17,IF($F$2=2,K17,IF($F$2=3,K17,IF($F$2=4,K17,IF($F$2=5,K17,IF($F$2=6,K17,IF($F$2=7,K17,IF($F$2=8,K17,IF($F$2=9,K17,IF($F$2=10,K17,IF($F$2=11,K17,IF($F$2=12,K17,IF($F$2=13,K17,IF($F$2=14,K17,IF($F$2=15,K17,))))))))))))))))</f>
        <v/>
      </c>
      <c r="AY5" s="27" t="str">
        <f>IF(IF($F$2=1,L17,IF($F$2=2,L17,IF($F$2=3,L17,IF($F$2=4,L17,IF($F$2=5,L17,IF($F$2=6,L17,IF($F$2=7,L17,IF($F$2=8,L17,IF($F$2=9,L17,IF($F$2=10,L17,IF($F$2=11,L17,IF($F$2=12,L17,IF($F$2=13,L17,IF($F$2=14,L17,IF($F$2=15,L17,"")))))))))))))))=0,"",IF($F$2=1,L17,IF($F$2=2,L17,IF($F$2=3,L17,IF($F$2=4,L17,IF($F$2=5,L17,IF($F$2=6,L17,IF($F$2=7,L17,IF($F$2=8,L17,IF($F$2=9,L17,IF($F$2=10,L17,IF($F$2=11,L17,IF($F$2=12,L17,IF($F$2=13,L17,IF($F$2=14,L17,IF($F$2=15,L17,""))))))))))))))))</f>
        <v/>
      </c>
      <c r="AZ5" s="27" t="str">
        <f t="shared" ref="AZ5:BG5" si="0">IF(IF($F$2=1,M17,IF($F$2=2,M17,IF($F$2=3,M17,IF($F$2=4,M17,IF($F$2=5,M17,IF($F$2=6,M17,IF($F$2=7,M17,IF($F$2=8,M17,IF($F$2=9,M17,IF($F$2=10,M17,IF($F$2=11,M17,IF($F$2=12,M17,IF($F$2=13,M17,IF($F$2=14,M17,IF($F$2=15,M17,)))))))))))))))=0,"",IF($F$2=1,M17,IF($F$2=2,M17,IF($F$2=3,M17,IF($F$2=4,M17,IF($F$2=5,M17,IF($F$2=6,M17,IF($F$2=7,M17,IF($F$2=8,M17,IF($F$2=9,M17,IF($F$2=10,M17,IF($F$2=11,M17,IF($F$2=12,M17,IF($F$2=13,M17,IF($F$2=14,M17,IF($F$2=15,M17,))))))))))))))))</f>
        <v/>
      </c>
      <c r="BA5" s="27" t="str">
        <f t="shared" si="0"/>
        <v/>
      </c>
      <c r="BB5" s="27" t="str">
        <f t="shared" si="0"/>
        <v/>
      </c>
      <c r="BC5" s="27" t="str">
        <f t="shared" si="0"/>
        <v/>
      </c>
      <c r="BD5" s="27" t="str">
        <f t="shared" si="0"/>
        <v/>
      </c>
      <c r="BE5" s="27" t="str">
        <f t="shared" si="0"/>
        <v/>
      </c>
      <c r="BF5" s="27" t="str">
        <f t="shared" si="0"/>
        <v/>
      </c>
      <c r="BG5" s="27" t="str">
        <f t="shared" si="0"/>
        <v/>
      </c>
      <c r="BI5" s="28">
        <f>SUMPRODUCT(LEN(AW5:BG5)-LEN(SUBSTITUTE(AW5:BG5,"L",""))+LEN(AW5:BG5)-LEN(SUBSTITUTE(AW5:BG5,"R","")))</f>
        <v>0</v>
      </c>
      <c r="BJ5" s="4">
        <f>SUMPRODUCT(LEN(AW5:BG5)-LEN(SUBSTITUTE(AW5:BG5,"(","")))</f>
        <v>0</v>
      </c>
    </row>
    <row r="6" spans="2:62" ht="22.5" customHeight="1" thickBot="1">
      <c r="B6" s="275"/>
      <c r="C6" s="26"/>
      <c r="D6" s="26"/>
      <c r="E6" s="26"/>
      <c r="F6" s="26"/>
      <c r="G6" s="26"/>
      <c r="H6" s="26"/>
      <c r="I6" s="26"/>
      <c r="J6" s="26"/>
      <c r="K6" s="26"/>
      <c r="L6" s="26"/>
      <c r="M6" s="26"/>
      <c r="N6" s="26"/>
      <c r="O6" s="26"/>
      <c r="P6" s="26"/>
      <c r="Q6" s="26"/>
      <c r="R6" s="26"/>
      <c r="S6" s="26"/>
      <c r="T6" s="276"/>
      <c r="U6" s="275"/>
      <c r="V6" s="26"/>
      <c r="W6" s="26"/>
      <c r="X6" s="26"/>
      <c r="Y6" s="26"/>
      <c r="Z6" s="26"/>
      <c r="AA6" s="26"/>
      <c r="AB6" s="26"/>
      <c r="AC6" s="26"/>
      <c r="AD6" s="26"/>
      <c r="AE6" s="26"/>
      <c r="AF6" s="26"/>
      <c r="AG6" s="26"/>
      <c r="AH6" s="26"/>
      <c r="AI6" s="26"/>
      <c r="AJ6" s="26"/>
      <c r="AK6" s="26"/>
      <c r="AL6" s="26"/>
      <c r="AM6" s="276"/>
      <c r="AN6" s="1383"/>
      <c r="AO6" s="1384"/>
      <c r="AP6" s="1384"/>
      <c r="AQ6" s="1385"/>
      <c r="AR6" s="182">
        <v>0</v>
      </c>
      <c r="AS6" s="183" t="s">
        <v>302</v>
      </c>
      <c r="AW6" s="29">
        <f>J18</f>
        <v>0</v>
      </c>
      <c r="AX6" s="29">
        <f t="shared" ref="AX6:BG6" si="1">K18</f>
        <v>0</v>
      </c>
      <c r="AY6" s="29">
        <f t="shared" si="1"/>
        <v>0</v>
      </c>
      <c r="AZ6" s="29">
        <f t="shared" si="1"/>
        <v>0</v>
      </c>
      <c r="BA6" s="29">
        <f t="shared" si="1"/>
        <v>0</v>
      </c>
      <c r="BB6" s="29">
        <f t="shared" si="1"/>
        <v>0</v>
      </c>
      <c r="BC6" s="29">
        <f t="shared" si="1"/>
        <v>0</v>
      </c>
      <c r="BD6" s="29">
        <f t="shared" si="1"/>
        <v>0</v>
      </c>
      <c r="BE6" s="29">
        <f>R18</f>
        <v>0</v>
      </c>
      <c r="BF6" s="29">
        <f t="shared" si="1"/>
        <v>0</v>
      </c>
      <c r="BG6" s="29">
        <f t="shared" si="1"/>
        <v>0</v>
      </c>
    </row>
    <row r="7" spans="2:62" ht="22.5" customHeight="1" thickBot="1">
      <c r="B7" s="275"/>
      <c r="C7" s="26"/>
      <c r="D7" s="26"/>
      <c r="E7" s="26"/>
      <c r="F7" s="26"/>
      <c r="G7" s="26"/>
      <c r="H7" s="26"/>
      <c r="I7" s="26"/>
      <c r="J7" s="26"/>
      <c r="K7" s="26"/>
      <c r="L7" s="26"/>
      <c r="M7" s="26"/>
      <c r="N7" s="26"/>
      <c r="O7" s="26"/>
      <c r="P7" s="26"/>
      <c r="Q7" s="26"/>
      <c r="R7" s="26"/>
      <c r="S7" s="26"/>
      <c r="T7" s="276"/>
      <c r="U7" s="275"/>
      <c r="V7" s="26"/>
      <c r="W7" s="26"/>
      <c r="X7" s="26"/>
      <c r="Y7" s="26"/>
      <c r="Z7" s="26"/>
      <c r="AA7" s="26"/>
      <c r="AB7" s="26"/>
      <c r="AC7" s="26"/>
      <c r="AD7" s="26"/>
      <c r="AE7" s="26"/>
      <c r="AF7" s="26"/>
      <c r="AG7" s="26"/>
      <c r="AH7" s="26"/>
      <c r="AI7" s="26"/>
      <c r="AJ7" s="26"/>
      <c r="AK7" s="26"/>
      <c r="AL7" s="26"/>
      <c r="AM7" s="276"/>
      <c r="AN7" s="1386"/>
      <c r="AO7" s="1387"/>
      <c r="AP7" s="1387"/>
      <c r="AQ7" s="1388"/>
      <c r="AR7" s="182">
        <v>0</v>
      </c>
      <c r="AS7" s="183" t="s">
        <v>302</v>
      </c>
      <c r="AW7" s="30">
        <f>IF(AW6&gt;0,AW6-(IF(AV6&gt;0,AV6,IF(AU6&gt;0,AU6,IF(AT6&gt;0,AT6,IF(AS6&gt;0,AS6,))))),0)</f>
        <v>0</v>
      </c>
      <c r="AX7" s="30">
        <f>IF(AX6&gt;0,AX6-(IF(AW6&gt;0,AW6,IF(AV6&gt;0,AV6,IF(AU6&gt;0,AU6,IF(AT6&gt;0,AT6,))))),0)</f>
        <v>0</v>
      </c>
      <c r="AY7" s="30">
        <f>IF(AY6&gt;0,AY6-(IF(AX6&gt;0,AX6,IF(AW6&gt;0,AW6,IF(AV6&gt;0,AV6,IF(AU6&gt;0,AU6,))))),0)</f>
        <v>0</v>
      </c>
      <c r="AZ7" s="30">
        <f>IF(AZ6&gt;0,AZ6-(IF(AY6&gt;0,AY6,IF(AX6&gt;0,AX6,IF(AW6&gt;0,AW6,IF(AV6&gt;0,AV6,))))),0)</f>
        <v>0</v>
      </c>
      <c r="BA7" s="30">
        <f>IF(BA6&gt;0,BA6-(IF(AZ6&gt;0,AZ6,IF(AY6&gt;0,AY6,IF(AX6&gt;0,AX6,IF(AW6&gt;0,AW6,))))),0)</f>
        <v>0</v>
      </c>
      <c r="BB7" s="30">
        <f>IF(BB6&gt;0,BB6 -(IF(BA6&gt;0,BA6,IF(AZ6&gt;0,AZ6,IF(AY6&gt;0,AY6,IF(AX6&gt;0,AX6,IF(AW6&gt;0,AW6)))))),0)</f>
        <v>0</v>
      </c>
      <c r="BC7" s="30">
        <f>IF(BC6&gt;0,BC6-(IF(BB6&gt;0,BB6,IF(BA6&gt;0,BA6,IF(AZ6&gt;0,AZ6,IF(AY6&gt;0,AY6,IF(AX6&gt;0,AX6,IF(AW6&gt;0,AW6,))))))),0)</f>
        <v>0</v>
      </c>
      <c r="BD7" s="30">
        <f>IF(BD6&gt;0,BD6-(IF(BC6&gt;0,BC6,IF(BB6&gt;0,BB6,IF(BA6&gt;0,BA6,IF(AZ6&gt;0,AZ6,IF(AY6&gt;0,AY6,IF(AX6&gt;0,AX6,))))))),0)</f>
        <v>0</v>
      </c>
      <c r="BE7" s="30">
        <f>IF(BE6&gt;0,BE6-(IF(BD6&gt;0,BD6,IF(BC6&gt;0,BC6,IF(BB6&gt;0,BB6,IF(BA6&gt;0,BA6,IF(AZ6&gt;0,AZ6,IF(AY6&gt;0,AY6,))))))),0)</f>
        <v>0</v>
      </c>
      <c r="BF7" s="30">
        <f>IF(BF6&gt;0,BF6-(IF(BE6&gt;0,BE6,IF(BD6&gt;0,BD6,IF(BC6&gt;0,BC6,IF(BB6&gt;0,BB6,IF(BA6&gt;0,BA6,IF(AZ6&gt;0,AZ6,))))))),0)</f>
        <v>0</v>
      </c>
      <c r="BG7" s="30">
        <f>IF(BG6&gt;0,BG6-(IF(BF6&gt;0,BF6,IF(BE6&gt;0,BE6,IF(BD6&gt;0,BD6,IF(BC6&gt;0,BC6,IF(BB6&gt;0,BB6,IF(BA6&gt;0,BA6,))))))),0)</f>
        <v>0</v>
      </c>
    </row>
    <row r="8" spans="2:62" ht="22.5" customHeight="1" thickBot="1">
      <c r="B8" s="275"/>
      <c r="C8" s="26"/>
      <c r="D8" s="26"/>
      <c r="E8" s="26"/>
      <c r="F8" s="26"/>
      <c r="G8" s="26"/>
      <c r="H8" s="26"/>
      <c r="I8" s="26"/>
      <c r="J8" s="26"/>
      <c r="K8" s="26"/>
      <c r="L8" s="26"/>
      <c r="M8" s="26"/>
      <c r="N8" s="26"/>
      <c r="O8" s="26"/>
      <c r="P8" s="26"/>
      <c r="Q8" s="26"/>
      <c r="R8" s="26"/>
      <c r="S8" s="26"/>
      <c r="T8" s="276"/>
      <c r="U8" s="275"/>
      <c r="V8" s="26"/>
      <c r="W8" s="26"/>
      <c r="X8" s="26"/>
      <c r="Y8" s="26"/>
      <c r="Z8" s="26"/>
      <c r="AA8" s="26"/>
      <c r="AB8" s="26"/>
      <c r="AC8" s="26"/>
      <c r="AD8" s="26"/>
      <c r="AE8" s="26"/>
      <c r="AF8" s="26"/>
      <c r="AG8" s="26"/>
      <c r="AH8" s="26"/>
      <c r="AI8" s="26"/>
      <c r="AJ8" s="26"/>
      <c r="AK8" s="26"/>
      <c r="AL8" s="26"/>
      <c r="AM8" s="276"/>
      <c r="AN8" s="1389"/>
      <c r="AO8" s="1390"/>
      <c r="AP8" s="1390"/>
      <c r="AQ8" s="1391"/>
      <c r="AR8" s="182">
        <v>0</v>
      </c>
      <c r="AS8" s="183" t="s">
        <v>302</v>
      </c>
    </row>
    <row r="9" spans="2:62" ht="22.5" customHeight="1" thickTop="1" thickBot="1">
      <c r="B9" s="275"/>
      <c r="C9" s="26"/>
      <c r="D9" s="26"/>
      <c r="E9" s="26"/>
      <c r="F9" s="26"/>
      <c r="G9" s="26"/>
      <c r="H9" s="26"/>
      <c r="I9" s="26"/>
      <c r="J9" s="26"/>
      <c r="K9" s="26"/>
      <c r="L9" s="26"/>
      <c r="M9" s="26"/>
      <c r="N9" s="26"/>
      <c r="O9" s="26"/>
      <c r="P9" s="26"/>
      <c r="Q9" s="26"/>
      <c r="R9" s="26"/>
      <c r="S9" s="26"/>
      <c r="T9" s="276"/>
      <c r="U9" s="275"/>
      <c r="V9" s="26"/>
      <c r="W9" s="26"/>
      <c r="X9" s="26"/>
      <c r="Y9" s="26"/>
      <c r="Z9" s="26"/>
      <c r="AA9" s="26"/>
      <c r="AB9" s="26"/>
      <c r="AC9" s="26"/>
      <c r="AD9" s="26"/>
      <c r="AE9" s="26"/>
      <c r="AF9" s="26"/>
      <c r="AG9" s="26"/>
      <c r="AH9" s="26"/>
      <c r="AI9" s="26"/>
      <c r="AJ9" s="26"/>
      <c r="AK9" s="26"/>
      <c r="AL9" s="26"/>
      <c r="AM9" s="276"/>
      <c r="AN9" s="1401">
        <v>2</v>
      </c>
      <c r="AO9" s="1381" t="s">
        <v>301</v>
      </c>
      <c r="AP9" s="1382"/>
      <c r="AQ9" s="198" t="s">
        <v>77</v>
      </c>
      <c r="AR9" s="182">
        <v>0</v>
      </c>
      <c r="AS9" s="183" t="s">
        <v>302</v>
      </c>
    </row>
    <row r="10" spans="2:62" ht="22.5" customHeight="1" thickBot="1">
      <c r="B10" s="275"/>
      <c r="C10" s="26"/>
      <c r="D10" s="26"/>
      <c r="E10" s="26"/>
      <c r="F10" s="26"/>
      <c r="G10" s="26"/>
      <c r="H10" s="26"/>
      <c r="I10" s="26"/>
      <c r="J10" s="26"/>
      <c r="K10" s="26"/>
      <c r="L10" s="26"/>
      <c r="M10" s="26"/>
      <c r="N10" s="26"/>
      <c r="O10" s="26"/>
      <c r="P10" s="26"/>
      <c r="Q10" s="26"/>
      <c r="R10" s="26"/>
      <c r="S10" s="26"/>
      <c r="T10" s="276"/>
      <c r="U10" s="275"/>
      <c r="V10" s="26"/>
      <c r="W10" s="26"/>
      <c r="X10" s="26"/>
      <c r="Y10" s="26"/>
      <c r="Z10" s="26"/>
      <c r="AA10" s="26"/>
      <c r="AB10" s="26"/>
      <c r="AC10" s="26"/>
      <c r="AD10" s="26"/>
      <c r="AE10" s="26"/>
      <c r="AF10" s="26"/>
      <c r="AG10" s="26"/>
      <c r="AH10" s="26"/>
      <c r="AI10" s="26"/>
      <c r="AJ10" s="26"/>
      <c r="AK10" s="26"/>
      <c r="AL10" s="26"/>
      <c r="AM10" s="276"/>
      <c r="AN10" s="1402"/>
      <c r="AO10" s="180"/>
      <c r="AP10" s="181"/>
      <c r="AQ10" s="181"/>
      <c r="AR10" s="182">
        <v>0</v>
      </c>
      <c r="AS10" s="183" t="s">
        <v>302</v>
      </c>
      <c r="AV10" t="str">
        <f>Y2</f>
        <v>Select</v>
      </c>
      <c r="AW10" s="27" t="str">
        <f t="shared" ref="AW10:BB10" si="2">IF(IF($Y$2=1,AC17,IF($Y$2=2,AC17,IF($Y$2=3,AC17,IF($Y$2=4,AC17,IF($Y$2=5,AC17,IF($Y$2=6,AC17,IF($Y$2=7,AC17,IF($Y$2=8,AC17,IF($Y$2=9,AC17,IF($Y$2=10,AC17,IF($Y$2=11,AC17,IF($Y$2=12,AC17,IF($Y$2=13,AC17,IF($Y$2=14,AC17,IF($Y$2=15,AC17,)))))))))))))))=0,"",IF($Y$2=1,AC17,IF($Y$2=2,AC17,IF($Y$2=3,AC17,IF($Y$2=4,AC17,IF($Y$2=5,AC17,IF($Y$2=6,AC17,IF($Y$2=7,AC17,IF($Y$2=8,AC17,IF($Y$2=9,AC17,IF($Y$2=10,AC17,IF($Y$2=11,AC17,IF($Y$2=12,AC17,IF($Y$2=13,AC17,IF($Y$2=14,AC17,IF($Y$2=15,AC17,))))))))))))))))</f>
        <v/>
      </c>
      <c r="AX10" s="27" t="str">
        <f t="shared" si="2"/>
        <v/>
      </c>
      <c r="AY10" s="27" t="str">
        <f t="shared" si="2"/>
        <v/>
      </c>
      <c r="AZ10" s="27" t="str">
        <f t="shared" si="2"/>
        <v/>
      </c>
      <c r="BA10" s="27" t="str">
        <f t="shared" si="2"/>
        <v/>
      </c>
      <c r="BB10" s="27" t="str">
        <f t="shared" si="2"/>
        <v/>
      </c>
      <c r="BC10" s="27">
        <f>IF($Y$2=1,AI17,IF($Y$2=2,AI17,IF($Y$2=3,AI17,IF($Y$2=4,AI17,IF($Y$2=5,AI17,IF($Y$2=6,AI17,IF($Y$2=7,AI17,IF($Y$2=8,AI17,IF($Y$2=9,AI17,IF($Y$2=10,AI17,IF($Y$2=11,AI17,IF($Y$2=12,AI17,IF($Y$2=13,AI17,IF($Y$2=14,AI17,IF($Y$2=15,AI17,)))))))))))))))</f>
        <v>0</v>
      </c>
      <c r="BD10" s="27">
        <f>IF($Y$2=1,AJ17,IF($Y$2=2,AJ17,IF($Y$2=3,AJ17,IF($Y$2=4,AJ17,IF($Y$2=5,AJ17,IF($Y$2=6,AJ17,IF($Y$2=7,AJ17,IF($Y$2=8,AJ17,IF($Y$2=9,AJ17,IF($Y$2=10,AJ17,IF($Y$2=11,AJ17,IF($Y$2=12,AJ17,IF($Y$2=13,AJ17,IF($Y$2=14,AJ17,IF($Y$2=15,AJ17,)))))))))))))))</f>
        <v>0</v>
      </c>
      <c r="BE10" s="27">
        <f>IF($Y$2=1,AK17,IF($Y$2=2,AK17,IF($Y$2=3,AK17,IF($Y$2=4,AK17,IF($Y$2=5,AK17,IF($Y$2=6,AK17,IF($Y$2=7,AK17,IF($Y$2=8,AK17,IF($Y$2=9,AK17,IF($Y$2=10,AK17,IF($Y$2=11,AK17,IF($Y$2=12,AK17,IF($Y$2=13,AK17,IF($Y$2=14,AK17,IF($Y$2=15,AK17,)))))))))))))))</f>
        <v>0</v>
      </c>
      <c r="BF10" s="27">
        <f>IF($Y$2=1,AL17,IF($Y$2=2,AL17,IF($Y$2=3,AL17,IF($Y$2=4,AL17,IF($Y$2=5,AL17,IF($Y$2=6,AL17,IF($Y$2=7,AL17,IF($Y$2=8,AL17,IF($Y$2=9,AL17,IF($Y$2=10,AL17,IF($Y$2=11,AL17,IF($Y$2=12,AL17,IF($Y$2=13,AL17,IF($Y$2=14,AL17,IF($Y$2=15,AL17,)))))))))))))))</f>
        <v>0</v>
      </c>
      <c r="BG10" s="27">
        <f>IF($Y$2=1,AM17,IF($Y$2=2,AM17,IF($Y$2=3,AM17,IF($Y$2=4,AM17,IF($Y$2=5,AM17,IF($Y$2=6,AM17,IF($Y$2=7,AM17,IF($Y$2=8,AM17,IF($Y$2=9,AM17,IF($Y$2=10,AM17,IF($Y$2=11,AM17,IF($Y$2=12,AM17,IF($Y$2=13,AM17,IF($Y$2=14,AM17,IF($Y$2=15,AM17,)))))))))))))))</f>
        <v>0</v>
      </c>
    </row>
    <row r="11" spans="2:62" ht="22.5" customHeight="1" thickBot="1">
      <c r="B11" s="275"/>
      <c r="C11" s="26"/>
      <c r="D11" s="26"/>
      <c r="E11" s="26"/>
      <c r="F11" s="26"/>
      <c r="G11" s="26"/>
      <c r="H11" s="26"/>
      <c r="I11" s="26"/>
      <c r="J11" s="26"/>
      <c r="K11" s="26"/>
      <c r="L11" s="26"/>
      <c r="M11" s="26"/>
      <c r="N11" s="26"/>
      <c r="O11" s="26"/>
      <c r="P11" s="26"/>
      <c r="Q11" s="26"/>
      <c r="R11" s="26"/>
      <c r="S11" s="26"/>
      <c r="T11" s="276"/>
      <c r="U11" s="275"/>
      <c r="V11" s="26"/>
      <c r="W11" s="26"/>
      <c r="X11" s="26"/>
      <c r="Y11" s="26"/>
      <c r="Z11" s="26"/>
      <c r="AA11" s="26"/>
      <c r="AB11" s="26"/>
      <c r="AC11" s="26"/>
      <c r="AD11" s="26"/>
      <c r="AE11" s="26"/>
      <c r="AF11" s="26"/>
      <c r="AG11" s="26"/>
      <c r="AH11" s="26"/>
      <c r="AI11" s="26"/>
      <c r="AJ11" s="26"/>
      <c r="AK11" s="26"/>
      <c r="AL11" s="26"/>
      <c r="AM11" s="276"/>
      <c r="AN11" s="1383"/>
      <c r="AO11" s="1384"/>
      <c r="AP11" s="1384"/>
      <c r="AQ11" s="1385"/>
      <c r="AR11" s="182">
        <v>0</v>
      </c>
      <c r="AS11" s="183" t="s">
        <v>302</v>
      </c>
      <c r="AW11" s="29">
        <f>AC18</f>
        <v>0</v>
      </c>
      <c r="AX11" s="29">
        <f t="shared" ref="AX11:BG11" si="3">AD18</f>
        <v>0</v>
      </c>
      <c r="AY11" s="29">
        <f t="shared" si="3"/>
        <v>0</v>
      </c>
      <c r="AZ11" s="29">
        <f t="shared" si="3"/>
        <v>0</v>
      </c>
      <c r="BA11" s="29">
        <f t="shared" si="3"/>
        <v>0</v>
      </c>
      <c r="BB11" s="29">
        <f t="shared" si="3"/>
        <v>0</v>
      </c>
      <c r="BC11" s="29">
        <f t="shared" si="3"/>
        <v>0</v>
      </c>
      <c r="BD11" s="29">
        <f t="shared" si="3"/>
        <v>0</v>
      </c>
      <c r="BE11" s="29">
        <f t="shared" si="3"/>
        <v>0</v>
      </c>
      <c r="BF11" s="29">
        <f t="shared" si="3"/>
        <v>0</v>
      </c>
      <c r="BG11" s="29">
        <f t="shared" si="3"/>
        <v>0</v>
      </c>
    </row>
    <row r="12" spans="2:62" ht="22.5" customHeight="1" thickBot="1">
      <c r="B12" s="275"/>
      <c r="C12" s="26"/>
      <c r="D12" s="26"/>
      <c r="E12" s="26"/>
      <c r="F12" s="26"/>
      <c r="G12" s="26"/>
      <c r="H12" s="26"/>
      <c r="I12" s="26"/>
      <c r="J12" s="26"/>
      <c r="K12" s="26"/>
      <c r="L12" s="26"/>
      <c r="M12" s="26"/>
      <c r="N12" s="26"/>
      <c r="O12" s="26"/>
      <c r="P12" s="26"/>
      <c r="Q12" s="26"/>
      <c r="R12" s="26"/>
      <c r="S12" s="26"/>
      <c r="T12" s="276"/>
      <c r="U12" s="275"/>
      <c r="V12" s="26"/>
      <c r="W12" s="26"/>
      <c r="X12" s="26"/>
      <c r="Y12" s="26"/>
      <c r="Z12" s="26"/>
      <c r="AA12" s="26"/>
      <c r="AB12" s="26"/>
      <c r="AC12" s="26"/>
      <c r="AD12" s="26"/>
      <c r="AE12" s="26"/>
      <c r="AF12" s="26"/>
      <c r="AG12" s="26"/>
      <c r="AH12" s="26"/>
      <c r="AI12" s="26"/>
      <c r="AJ12" s="26"/>
      <c r="AK12" s="26"/>
      <c r="AL12" s="26"/>
      <c r="AM12" s="276"/>
      <c r="AN12" s="1386"/>
      <c r="AO12" s="1387"/>
      <c r="AP12" s="1387"/>
      <c r="AQ12" s="1388"/>
      <c r="AR12" s="182">
        <v>0</v>
      </c>
      <c r="AS12" s="183" t="s">
        <v>302</v>
      </c>
      <c r="AW12" s="30">
        <f>IF(AW11&gt;0,AW11-(IF(AV11&gt;0,AV11,IF(AU11&gt;0,AU11,IF(AT11&gt;0,AT11,IF(AS11&gt;0,AS11,))))),0)</f>
        <v>0</v>
      </c>
      <c r="AX12" s="30">
        <f>IF(AX11&gt;0,AX11-(IF(AW11&gt;0,AW11,IF(AV11&gt;0,AV11,IF(AU11&gt;0,AU11,IF(AT11&gt;0,AT11,))))),0)</f>
        <v>0</v>
      </c>
      <c r="AY12" s="30">
        <f>IF(AY11&gt;0,AY11-(IF(AX11&gt;0,AX11,IF(AW11&gt;0,AW11,IF(AV11&gt;0,AV11,IF(AU11&gt;0,AU11,))))),0)</f>
        <v>0</v>
      </c>
      <c r="AZ12" s="30">
        <f>IF(AZ11&gt;0,AZ11-(IF(AY11&gt;0,AY11,IF(AX11&gt;0,AX11,IF(AW11&gt;0,AW11,IF(AV11&gt;0,AV11,))))),0)</f>
        <v>0</v>
      </c>
      <c r="BA12" s="30">
        <f>IF(BA11&gt;0,BA11-(IF(AZ11&gt;0,AZ11,IF(AY11&gt;0,AY11,IF(AX11&gt;0,AX11,IF(AW11&gt;0,AW11,))))),0)</f>
        <v>0</v>
      </c>
      <c r="BB12" s="30">
        <f>IF(BB11&gt;0,BB11 -(IF(BA11&gt;0,BA11,IF(AZ11&gt;0,AZ11,IF(AY11&gt;0,AY11,IF(AX11&gt;0,AX11,IF(AW11&gt;0,AW11)))))),0)</f>
        <v>0</v>
      </c>
      <c r="BC12" s="30">
        <f>IF(BC11&gt;0,BC11-(IF(BB11&gt;0,BB11,IF(BA11&gt;0,BA11,IF(AZ11&gt;0,AZ11,IF(AY11&gt;0,AY11,IF(AX11&gt;0,AX11,IF(AW11&gt;0,AW11,))))))),0)</f>
        <v>0</v>
      </c>
      <c r="BD12" s="30">
        <f>IF(BD11&gt;0,BD11-(IF(BC11&gt;0,BC11,IF(BB11&gt;0,BB11,IF(BA11&gt;0,BA11,IF(AZ11&gt;0,AZ11,IF(AY11&gt;0,AY11,IF(AX11&gt;0,AX11,))))))),0)</f>
        <v>0</v>
      </c>
      <c r="BE12" s="30">
        <f>IF(BE11&gt;0,BE11-(IF(BD11&gt;0,BD11,IF(BC11&gt;0,BC11,IF(BB11&gt;0,BB11,IF(BA11&gt;0,BA11,IF(AZ11&gt;0,AZ11,IF(AY11&gt;0,AY11,))))))),0)</f>
        <v>0</v>
      </c>
      <c r="BF12" s="30">
        <f>IF(BF11&gt;0,BF11-(IF(BE11&gt;0,BE11,IF(BD11&gt;0,BD11,IF(BC11&gt;0,BC11,IF(BB11&gt;0,BB11,IF(BA11&gt;0,BA11,IF(AZ11&gt;0,AZ11,))))))),0)</f>
        <v>0</v>
      </c>
      <c r="BG12" s="30">
        <f>IF(BG11&gt;0,BG11-(IF(BF11&gt;0,BF11,IF(BE11&gt;0,BE11,IF(BD11&gt;0,BD11,IF(BC11&gt;0,BC11,IF(BB11&gt;0,BB11,IF(BA11&gt;0,BA11,))))))),0)</f>
        <v>0</v>
      </c>
    </row>
    <row r="13" spans="2:62" ht="22.5" customHeight="1" thickBot="1">
      <c r="B13" s="275"/>
      <c r="C13" s="26"/>
      <c r="D13" s="26"/>
      <c r="E13" s="26"/>
      <c r="F13" s="26"/>
      <c r="G13" s="26"/>
      <c r="H13" s="26"/>
      <c r="I13" s="26"/>
      <c r="J13" s="26"/>
      <c r="K13" s="26"/>
      <c r="L13" s="26"/>
      <c r="M13" s="26"/>
      <c r="N13" s="26"/>
      <c r="O13" s="26"/>
      <c r="P13" s="26"/>
      <c r="Q13" s="26"/>
      <c r="R13" s="26"/>
      <c r="S13" s="26"/>
      <c r="T13" s="276"/>
      <c r="U13" s="275"/>
      <c r="V13" s="26"/>
      <c r="W13" s="26"/>
      <c r="X13" s="26"/>
      <c r="Y13" s="26"/>
      <c r="Z13" s="26"/>
      <c r="AA13" s="26"/>
      <c r="AB13" s="26"/>
      <c r="AC13" s="26"/>
      <c r="AD13" s="26"/>
      <c r="AE13" s="26"/>
      <c r="AF13" s="26"/>
      <c r="AG13" s="26"/>
      <c r="AH13" s="26"/>
      <c r="AI13" s="26"/>
      <c r="AJ13" s="26"/>
      <c r="AK13" s="26"/>
      <c r="AL13" s="26"/>
      <c r="AM13" s="276"/>
      <c r="AN13" s="1389"/>
      <c r="AO13" s="1390"/>
      <c r="AP13" s="1390"/>
      <c r="AQ13" s="1391"/>
      <c r="AR13" s="182">
        <v>0</v>
      </c>
      <c r="AS13" s="183" t="s">
        <v>302</v>
      </c>
    </row>
    <row r="14" spans="2:62" ht="22.5" customHeight="1" thickTop="1" thickBot="1">
      <c r="B14" s="275"/>
      <c r="C14" s="26"/>
      <c r="D14" s="26"/>
      <c r="E14" s="26"/>
      <c r="F14" s="26"/>
      <c r="G14" s="26"/>
      <c r="H14" s="26"/>
      <c r="I14" s="26"/>
      <c r="J14" s="26"/>
      <c r="K14" s="26"/>
      <c r="L14" s="26"/>
      <c r="M14" s="26"/>
      <c r="N14" s="26"/>
      <c r="O14" s="277"/>
      <c r="P14" s="277"/>
      <c r="Q14" s="277"/>
      <c r="R14" s="277"/>
      <c r="S14" s="277"/>
      <c r="T14" s="278"/>
      <c r="U14" s="275"/>
      <c r="V14" s="26"/>
      <c r="W14" s="26"/>
      <c r="X14" s="26"/>
      <c r="Y14" s="26"/>
      <c r="Z14" s="26"/>
      <c r="AA14" s="26"/>
      <c r="AB14" s="26"/>
      <c r="AC14" s="26"/>
      <c r="AD14" s="26"/>
      <c r="AE14" s="26"/>
      <c r="AF14" s="26"/>
      <c r="AG14" s="26"/>
      <c r="AH14" s="277"/>
      <c r="AI14" s="277"/>
      <c r="AJ14" s="277"/>
      <c r="AK14" s="277"/>
      <c r="AL14" s="277"/>
      <c r="AM14" s="278"/>
      <c r="AN14" s="1401">
        <v>3</v>
      </c>
      <c r="AO14" s="1381" t="s">
        <v>301</v>
      </c>
      <c r="AP14" s="1382"/>
      <c r="AQ14" s="198" t="s">
        <v>77</v>
      </c>
      <c r="AR14" s="182">
        <v>0</v>
      </c>
      <c r="AS14" s="183" t="s">
        <v>302</v>
      </c>
    </row>
    <row r="15" spans="2:62" ht="22.5" customHeight="1" thickBot="1">
      <c r="B15" s="275"/>
      <c r="C15" s="26"/>
      <c r="D15" s="26"/>
      <c r="E15" s="26"/>
      <c r="F15" s="26"/>
      <c r="G15" s="26"/>
      <c r="H15" s="26"/>
      <c r="I15" s="26"/>
      <c r="J15" s="26"/>
      <c r="K15" s="26"/>
      <c r="L15" s="26"/>
      <c r="M15" s="26"/>
      <c r="N15" s="279"/>
      <c r="O15" s="1434" t="s">
        <v>305</v>
      </c>
      <c r="P15" s="1435"/>
      <c r="Q15" s="1435"/>
      <c r="R15" s="1435"/>
      <c r="S15" s="1436"/>
      <c r="T15" s="280"/>
      <c r="U15" s="275"/>
      <c r="V15" s="26"/>
      <c r="W15" s="26"/>
      <c r="X15" s="26"/>
      <c r="Y15" s="26"/>
      <c r="Z15" s="26"/>
      <c r="AA15" s="26"/>
      <c r="AB15" s="26"/>
      <c r="AC15" s="26"/>
      <c r="AD15" s="26"/>
      <c r="AE15" s="26"/>
      <c r="AF15" s="26"/>
      <c r="AG15" s="279"/>
      <c r="AH15" s="1434" t="s">
        <v>305</v>
      </c>
      <c r="AI15" s="1435"/>
      <c r="AJ15" s="1435"/>
      <c r="AK15" s="1435"/>
      <c r="AL15" s="1436"/>
      <c r="AM15" s="280"/>
      <c r="AN15" s="1402"/>
      <c r="AO15" s="180"/>
      <c r="AP15" s="181"/>
      <c r="AQ15" s="181"/>
      <c r="AR15" s="182">
        <v>0</v>
      </c>
      <c r="AS15" s="183" t="s">
        <v>302</v>
      </c>
      <c r="AV15" t="str">
        <f>F25</f>
        <v>Select</v>
      </c>
      <c r="AW15" s="27">
        <f>IF($F$25=1,J40,IF($F$25=2,J40,IF($F$25=3,J40,IF($F$25=4,J40,IF($F$25=5,J40,IF($F$25=6,J40,IF($F$25=7,J40,IF($F$25=8,J40,IF($F$25=9,J40,IF($F$25=10,J40,IF($F$25=11,J40,IF($F$25=12,J40,IF($F$25=13,J40,IF($F$25=14,J40,IF($F$25=15,J40,)))))))))))))))</f>
        <v>0</v>
      </c>
      <c r="AX15" s="27">
        <f t="shared" ref="AX15:BG15" si="4">IF($F$25=1,K40,IF($F$25=2,K40,IF($F$25=3,K40,IF($F$25=4,K40,IF($F$25=5,K40,IF($F$25=6,K40,IF($F$25=7,K40,IF($F$25=8,K40,IF($F$25=9,K40,IF($F$25=10,K40,IF($F$25=11,K40,IF($F$25=12,K40,IF($F$25=13,K40,IF($F$25=14,K40,IF($F$25=15,K40,)))))))))))))))</f>
        <v>0</v>
      </c>
      <c r="AY15" s="27">
        <f t="shared" si="4"/>
        <v>0</v>
      </c>
      <c r="AZ15" s="27">
        <f t="shared" si="4"/>
        <v>0</v>
      </c>
      <c r="BA15" s="27">
        <f t="shared" si="4"/>
        <v>0</v>
      </c>
      <c r="BB15" s="27">
        <f t="shared" si="4"/>
        <v>0</v>
      </c>
      <c r="BC15" s="27">
        <f t="shared" si="4"/>
        <v>0</v>
      </c>
      <c r="BD15" s="27">
        <f t="shared" si="4"/>
        <v>0</v>
      </c>
      <c r="BE15" s="27">
        <f t="shared" si="4"/>
        <v>0</v>
      </c>
      <c r="BF15" s="27">
        <f t="shared" si="4"/>
        <v>0</v>
      </c>
      <c r="BG15" s="27">
        <f t="shared" si="4"/>
        <v>0</v>
      </c>
    </row>
    <row r="16" spans="2:62" ht="22.5" customHeight="1" thickBot="1">
      <c r="B16" s="275"/>
      <c r="C16" s="26"/>
      <c r="D16" s="26"/>
      <c r="E16" s="26"/>
      <c r="F16" s="26"/>
      <c r="G16" s="26"/>
      <c r="H16" s="277"/>
      <c r="I16" s="277"/>
      <c r="J16" s="277"/>
      <c r="K16" s="277"/>
      <c r="L16" s="277"/>
      <c r="M16" s="277"/>
      <c r="N16" s="281"/>
      <c r="O16" s="1437"/>
      <c r="P16" s="1438"/>
      <c r="Q16" s="1438"/>
      <c r="R16" s="1438"/>
      <c r="S16" s="1439"/>
      <c r="T16" s="282"/>
      <c r="U16" s="275"/>
      <c r="V16" s="26"/>
      <c r="W16" s="26"/>
      <c r="X16" s="26"/>
      <c r="Y16" s="26"/>
      <c r="Z16" s="26"/>
      <c r="AA16" s="277"/>
      <c r="AB16" s="277"/>
      <c r="AC16" s="277"/>
      <c r="AD16" s="277"/>
      <c r="AE16" s="277"/>
      <c r="AF16" s="277"/>
      <c r="AG16" s="281"/>
      <c r="AH16" s="1437"/>
      <c r="AI16" s="1438"/>
      <c r="AJ16" s="1438"/>
      <c r="AK16" s="1438"/>
      <c r="AL16" s="1439"/>
      <c r="AM16" s="282"/>
      <c r="AN16" s="1383"/>
      <c r="AO16" s="1384"/>
      <c r="AP16" s="1384"/>
      <c r="AQ16" s="1385"/>
      <c r="AR16" s="182">
        <v>0</v>
      </c>
      <c r="AS16" s="183" t="s">
        <v>302</v>
      </c>
      <c r="AW16" s="29">
        <f>J41</f>
        <v>0</v>
      </c>
      <c r="AX16" s="29">
        <f t="shared" ref="AX16:BG16" si="5">K41</f>
        <v>0</v>
      </c>
      <c r="AY16" s="29">
        <f t="shared" si="5"/>
        <v>0</v>
      </c>
      <c r="AZ16" s="29">
        <f t="shared" si="5"/>
        <v>0</v>
      </c>
      <c r="BA16" s="29">
        <f t="shared" si="5"/>
        <v>0</v>
      </c>
      <c r="BB16" s="29">
        <f t="shared" si="5"/>
        <v>0</v>
      </c>
      <c r="BC16" s="29">
        <f t="shared" si="5"/>
        <v>0</v>
      </c>
      <c r="BD16" s="29">
        <f t="shared" si="5"/>
        <v>0</v>
      </c>
      <c r="BE16" s="29">
        <f t="shared" si="5"/>
        <v>0</v>
      </c>
      <c r="BF16" s="29">
        <f t="shared" si="5"/>
        <v>0</v>
      </c>
      <c r="BG16" s="29">
        <f t="shared" si="5"/>
        <v>0</v>
      </c>
    </row>
    <row r="17" spans="2:59" ht="15" thickBot="1">
      <c r="B17" s="1425" t="s">
        <v>9</v>
      </c>
      <c r="C17" s="1426"/>
      <c r="D17" s="1428"/>
      <c r="E17" s="1429"/>
      <c r="F17" s="1429"/>
      <c r="G17" s="1426"/>
      <c r="H17" s="1430" t="s">
        <v>306</v>
      </c>
      <c r="I17" s="1431"/>
      <c r="J17" s="32"/>
      <c r="K17" s="32"/>
      <c r="L17" s="32"/>
      <c r="M17" s="32"/>
      <c r="N17" s="32"/>
      <c r="O17" s="32"/>
      <c r="P17" s="32"/>
      <c r="Q17" s="32"/>
      <c r="R17" s="32"/>
      <c r="S17" s="32"/>
      <c r="T17" s="33"/>
      <c r="U17" s="1429" t="s">
        <v>9</v>
      </c>
      <c r="V17" s="1426"/>
      <c r="W17" s="1428"/>
      <c r="X17" s="1429"/>
      <c r="Y17" s="1429"/>
      <c r="Z17" s="1426"/>
      <c r="AA17" s="1430" t="s">
        <v>306</v>
      </c>
      <c r="AB17" s="1431"/>
      <c r="AC17" s="32"/>
      <c r="AD17" s="32"/>
      <c r="AE17" s="32"/>
      <c r="AF17" s="32"/>
      <c r="AG17" s="32"/>
      <c r="AH17" s="32"/>
      <c r="AI17" s="32"/>
      <c r="AJ17" s="32"/>
      <c r="AK17" s="32"/>
      <c r="AL17" s="32"/>
      <c r="AM17" s="33"/>
      <c r="AN17" s="1386"/>
      <c r="AO17" s="1387"/>
      <c r="AP17" s="1387"/>
      <c r="AQ17" s="1388"/>
      <c r="AR17" s="182">
        <v>0</v>
      </c>
      <c r="AS17" s="183" t="s">
        <v>302</v>
      </c>
      <c r="AW17" s="30">
        <f>IF(AW16&gt;0,AW16-(IF(AV16&gt;0,AV16,IF(AU16&gt;0,AU16,IF(AT16&gt;0,AT16,IF(AS16&gt;0,AS16,))))),0)</f>
        <v>0</v>
      </c>
      <c r="AX17" s="30">
        <f>IF(AX16&gt;0,AX16-(IF(AW16&gt;0,AW16,IF(AV16&gt;0,AV16,IF(AU16&gt;0,AU16,IF(AT16&gt;0,AT16,))))),0)</f>
        <v>0</v>
      </c>
      <c r="AY17" s="30">
        <f>IF(AY16&gt;0,AY16-(IF(AX16&gt;0,AX16,IF(AW16&gt;0,AW16,IF(AV16&gt;0,AV16,IF(AU16&gt;0,AU16,))))),0)</f>
        <v>0</v>
      </c>
      <c r="AZ17" s="30">
        <f>IF(AZ16&gt;0,AZ16-(IF(AY16&gt;0,AY16,IF(AX16&gt;0,AX16,IF(AW16&gt;0,AW16,IF(AV16&gt;0,AV16,))))),0)</f>
        <v>0</v>
      </c>
      <c r="BA17" s="30">
        <f>IF(BA16&gt;0,BA16-(IF(AZ16&gt;0,AZ16,IF(AY16&gt;0,AY16,IF(AX16&gt;0,AX16,IF(AW16&gt;0,AW16,))))),0)</f>
        <v>0</v>
      </c>
      <c r="BB17" s="30">
        <f>IF(BB16&gt;0,BB16 -(IF(BA16&gt;0,BA16,IF(AZ16&gt;0,AZ16,IF(AY16&gt;0,AY16,IF(AX16&gt;0,AX16,IF(AW16&gt;0,AW16)))))),0)</f>
        <v>0</v>
      </c>
      <c r="BC17" s="30">
        <f>IF(BC16&gt;0,BC16-(IF(BB16&gt;0,BB16,IF(BA16&gt;0,BA16,IF(AZ16&gt;0,AZ16,IF(AY16&gt;0,AY16,IF(AX16&gt;0,AX16,IF(AW16&gt;0,AW16,))))))),0)</f>
        <v>0</v>
      </c>
      <c r="BD17" s="30">
        <f>IF(BD16&gt;0,BD16-(IF(BC16&gt;0,BC16,IF(BB16&gt;0,BB16,IF(BA16&gt;0,BA16,IF(AZ16&gt;0,AZ16,IF(AY16&gt;0,AY16,IF(AX16&gt;0,AX16,))))))),0)</f>
        <v>0</v>
      </c>
      <c r="BE17" s="30">
        <f>IF(BE16&gt;0,BE16-(IF(BD16&gt;0,BD16,IF(BC16&gt;0,BC16,IF(BB16&gt;0,BB16,IF(BA16&gt;0,BA16,IF(AZ16&gt;0,AZ16,IF(AY16&gt;0,AY16,))))))),0)</f>
        <v>0</v>
      </c>
      <c r="BF17" s="30">
        <f>IF(BF16&gt;0,BF16-(IF(BE16&gt;0,BE16,IF(BD16&gt;0,BD16,IF(BC16&gt;0,BC16,IF(BB16&gt;0,BB16,IF(BA16&gt;0,BA16,IF(AZ16&gt;0,AZ16,))))))),0)</f>
        <v>0</v>
      </c>
      <c r="BG17" s="30">
        <f>IF(BG16&gt;0,BG16-(IF(BF16&gt;0,BF16,IF(BE16&gt;0,BE16,IF(BD16&gt;0,BD16,IF(BC16&gt;0,BC16,IF(BB16&gt;0,BB16,IF(BA16&gt;0,BA16,))))))),0)</f>
        <v>0</v>
      </c>
    </row>
    <row r="18" spans="2:59" ht="15" thickBot="1">
      <c r="B18" s="1427"/>
      <c r="C18" s="1415"/>
      <c r="D18" s="1397"/>
      <c r="E18" s="1398"/>
      <c r="F18" s="1398"/>
      <c r="G18" s="1415"/>
      <c r="H18" s="1432"/>
      <c r="I18" s="1433"/>
      <c r="J18" s="31"/>
      <c r="K18" s="31"/>
      <c r="L18" s="31"/>
      <c r="M18" s="31"/>
      <c r="N18" s="31"/>
      <c r="O18" s="31"/>
      <c r="P18" s="31"/>
      <c r="Q18" s="31"/>
      <c r="R18" s="31"/>
      <c r="S18" s="31"/>
      <c r="T18" s="31"/>
      <c r="U18" s="1398"/>
      <c r="V18" s="1415"/>
      <c r="W18" s="1397"/>
      <c r="X18" s="1398"/>
      <c r="Y18" s="1398"/>
      <c r="Z18" s="1415"/>
      <c r="AA18" s="1432"/>
      <c r="AB18" s="1433"/>
      <c r="AC18" s="32"/>
      <c r="AD18" s="32"/>
      <c r="AE18" s="32"/>
      <c r="AF18" s="32"/>
      <c r="AG18" s="32"/>
      <c r="AH18" s="32"/>
      <c r="AI18" s="32"/>
      <c r="AJ18" s="32"/>
      <c r="AK18" s="32"/>
      <c r="AL18" s="32"/>
      <c r="AM18" s="33"/>
      <c r="AN18" s="1389"/>
      <c r="AO18" s="1390"/>
      <c r="AP18" s="1390"/>
      <c r="AQ18" s="1391"/>
      <c r="AR18" s="182">
        <v>0</v>
      </c>
      <c r="AS18" s="183" t="s">
        <v>302</v>
      </c>
    </row>
    <row r="19" spans="2:59" ht="15.6" thickTop="1" thickBot="1">
      <c r="B19" s="1425" t="s">
        <v>10</v>
      </c>
      <c r="C19" s="1426"/>
      <c r="D19" s="1428"/>
      <c r="E19" s="1429"/>
      <c r="F19" s="1429"/>
      <c r="G19" s="1426"/>
      <c r="H19" s="1447"/>
      <c r="I19" s="1448"/>
      <c r="J19" s="1448"/>
      <c r="K19" s="1448"/>
      <c r="L19" s="1448"/>
      <c r="M19" s="1448"/>
      <c r="N19" s="1448"/>
      <c r="O19" s="1448"/>
      <c r="P19" s="1448"/>
      <c r="Q19" s="1448"/>
      <c r="R19" s="1448"/>
      <c r="S19" s="1448"/>
      <c r="T19" s="1449"/>
      <c r="U19" s="1425" t="s">
        <v>10</v>
      </c>
      <c r="V19" s="1426"/>
      <c r="W19" s="1428"/>
      <c r="X19" s="1429"/>
      <c r="Y19" s="1429"/>
      <c r="Z19" s="1426"/>
      <c r="AA19" s="1453"/>
      <c r="AB19" s="1454"/>
      <c r="AC19" s="1454"/>
      <c r="AD19" s="1454"/>
      <c r="AE19" s="1454"/>
      <c r="AF19" s="1454"/>
      <c r="AG19" s="1454"/>
      <c r="AH19" s="1454"/>
      <c r="AI19" s="1454"/>
      <c r="AJ19" s="1454"/>
      <c r="AK19" s="1454"/>
      <c r="AL19" s="1454"/>
      <c r="AM19" s="1455"/>
      <c r="AN19" s="1401">
        <v>4</v>
      </c>
      <c r="AO19" s="1381" t="s">
        <v>301</v>
      </c>
      <c r="AP19" s="1382"/>
      <c r="AQ19" s="198" t="s">
        <v>77</v>
      </c>
      <c r="AR19" s="182">
        <v>0</v>
      </c>
      <c r="AS19" s="183" t="s">
        <v>302</v>
      </c>
    </row>
    <row r="20" spans="2:59" ht="15" thickBot="1">
      <c r="B20" s="1427"/>
      <c r="C20" s="1415"/>
      <c r="D20" s="1397"/>
      <c r="E20" s="1398"/>
      <c r="F20" s="1398"/>
      <c r="G20" s="1415"/>
      <c r="H20" s="1450"/>
      <c r="I20" s="1451"/>
      <c r="J20" s="1451"/>
      <c r="K20" s="1451"/>
      <c r="L20" s="1451"/>
      <c r="M20" s="1451"/>
      <c r="N20" s="1451"/>
      <c r="O20" s="1451"/>
      <c r="P20" s="1451"/>
      <c r="Q20" s="1451"/>
      <c r="R20" s="1451"/>
      <c r="S20" s="1451"/>
      <c r="T20" s="1452"/>
      <c r="U20" s="1427"/>
      <c r="V20" s="1415"/>
      <c r="W20" s="1397"/>
      <c r="X20" s="1398"/>
      <c r="Y20" s="1398"/>
      <c r="Z20" s="1415"/>
      <c r="AA20" s="1456"/>
      <c r="AB20" s="1457"/>
      <c r="AC20" s="1457"/>
      <c r="AD20" s="1457"/>
      <c r="AE20" s="1457"/>
      <c r="AF20" s="1457"/>
      <c r="AG20" s="1457"/>
      <c r="AH20" s="1457"/>
      <c r="AI20" s="1457"/>
      <c r="AJ20" s="1457"/>
      <c r="AK20" s="1457"/>
      <c r="AL20" s="1457"/>
      <c r="AM20" s="1458"/>
      <c r="AN20" s="1402"/>
      <c r="AO20" s="180"/>
      <c r="AP20" s="181"/>
      <c r="AQ20" s="181"/>
      <c r="AR20" s="182">
        <v>0</v>
      </c>
      <c r="AS20" s="183" t="s">
        <v>302</v>
      </c>
      <c r="AV20" t="str">
        <f>Y25</f>
        <v>Select</v>
      </c>
      <c r="AW20" s="27">
        <f>IF($Y$25=1,AC40,IF($Y$25=2,AC40,IF($Y$25=3,AC40,IF($Y$25=4,AC40,IF($Y$25=5,AC40,IF($Y$25=6,AC40,IF($Y$25=7,AC40,IF($Y$25=8,AC40,IF($Y$25=9,AC40,IF($Y$25=10,AC40,IF($Y$25=11,AC40,IF($Y$25=12,AC40,IF($Y$25=13,AC40,IF($Y$25=14,AC40,IF($Y$25=15,AC40,)))))))))))))))</f>
        <v>0</v>
      </c>
      <c r="AX20" s="27">
        <f t="shared" ref="AX20:BG20" si="6">IF($Y$25=1,AD40,IF($Y$25=2,AD40,IF($Y$25=3,AD40,IF($Y$25=4,AD40,IF($Y$25=5,AD40,IF($Y$25=6,AD40,IF($Y$25=7,AD40,IF($Y$25=8,AD40,IF($Y$25=9,AD40,IF($Y$25=10,AD40,IF($Y$25=11,AD40,IF($Y$25=12,AD40,IF($Y$25=13,AD40,IF($Y$25=14,AD40,IF($Y$25=15,AD40,)))))))))))))))</f>
        <v>0</v>
      </c>
      <c r="AY20" s="27">
        <f t="shared" si="6"/>
        <v>0</v>
      </c>
      <c r="AZ20" s="27">
        <f t="shared" si="6"/>
        <v>0</v>
      </c>
      <c r="BA20" s="27">
        <f t="shared" si="6"/>
        <v>0</v>
      </c>
      <c r="BB20" s="27">
        <f t="shared" si="6"/>
        <v>0</v>
      </c>
      <c r="BC20" s="27">
        <f t="shared" si="6"/>
        <v>0</v>
      </c>
      <c r="BD20" s="27">
        <f t="shared" si="6"/>
        <v>0</v>
      </c>
      <c r="BE20" s="27">
        <f t="shared" si="6"/>
        <v>0</v>
      </c>
      <c r="BF20" s="27">
        <f t="shared" si="6"/>
        <v>0</v>
      </c>
      <c r="BG20" s="27">
        <f t="shared" si="6"/>
        <v>0</v>
      </c>
    </row>
    <row r="21" spans="2:59" ht="15" thickBot="1">
      <c r="B21" s="1440" t="s">
        <v>307</v>
      </c>
      <c r="C21" s="1441"/>
      <c r="D21" s="1428"/>
      <c r="E21" s="1429"/>
      <c r="F21" s="1429"/>
      <c r="G21" s="1426"/>
      <c r="H21" s="1430" t="s">
        <v>308</v>
      </c>
      <c r="I21" s="1431"/>
      <c r="J21" s="1431"/>
      <c r="K21" s="1431"/>
      <c r="L21" s="1431"/>
      <c r="M21" s="1431"/>
      <c r="N21" s="1431"/>
      <c r="O21" s="1431"/>
      <c r="P21" s="1431"/>
      <c r="Q21" s="1431"/>
      <c r="R21" s="1431"/>
      <c r="S21" s="1431"/>
      <c r="T21" s="1444"/>
      <c r="U21" s="1440" t="s">
        <v>307</v>
      </c>
      <c r="V21" s="1441"/>
      <c r="W21" s="1428"/>
      <c r="X21" s="1429"/>
      <c r="Y21" s="1429"/>
      <c r="Z21" s="1426"/>
      <c r="AA21" s="1430" t="s">
        <v>309</v>
      </c>
      <c r="AB21" s="1431"/>
      <c r="AC21" s="1431"/>
      <c r="AD21" s="1431"/>
      <c r="AE21" s="1431"/>
      <c r="AF21" s="1431"/>
      <c r="AG21" s="1431"/>
      <c r="AH21" s="1431"/>
      <c r="AI21" s="1431"/>
      <c r="AJ21" s="1431"/>
      <c r="AK21" s="1431"/>
      <c r="AL21" s="1431"/>
      <c r="AM21" s="1444"/>
      <c r="AN21" s="1383"/>
      <c r="AO21" s="1384"/>
      <c r="AP21" s="1384"/>
      <c r="AQ21" s="1385"/>
      <c r="AR21" s="182">
        <v>0</v>
      </c>
      <c r="AS21" s="183" t="s">
        <v>302</v>
      </c>
      <c r="AW21" s="29">
        <f>AC41</f>
        <v>0</v>
      </c>
      <c r="AX21" s="29">
        <f t="shared" ref="AX21:BG21" si="7">AD41</f>
        <v>0</v>
      </c>
      <c r="AY21" s="29">
        <f t="shared" si="7"/>
        <v>0</v>
      </c>
      <c r="AZ21" s="29">
        <f t="shared" si="7"/>
        <v>0</v>
      </c>
      <c r="BA21" s="29">
        <f t="shared" si="7"/>
        <v>0</v>
      </c>
      <c r="BB21" s="29">
        <f t="shared" si="7"/>
        <v>0</v>
      </c>
      <c r="BC21" s="29">
        <f t="shared" si="7"/>
        <v>0</v>
      </c>
      <c r="BD21" s="29">
        <f t="shared" si="7"/>
        <v>0</v>
      </c>
      <c r="BE21" s="29">
        <f t="shared" si="7"/>
        <v>0</v>
      </c>
      <c r="BF21" s="29">
        <f t="shared" si="7"/>
        <v>0</v>
      </c>
      <c r="BG21" s="29">
        <f t="shared" si="7"/>
        <v>0</v>
      </c>
    </row>
    <row r="22" spans="2:59" ht="15" thickBot="1">
      <c r="B22" s="1442"/>
      <c r="C22" s="1443"/>
      <c r="D22" s="1397"/>
      <c r="E22" s="1398"/>
      <c r="F22" s="1398"/>
      <c r="G22" s="1415"/>
      <c r="H22" s="1445"/>
      <c r="I22" s="1221"/>
      <c r="J22" s="1221"/>
      <c r="K22" s="1221"/>
      <c r="L22" s="1221"/>
      <c r="M22" s="1221"/>
      <c r="N22" s="1221"/>
      <c r="O22" s="1221"/>
      <c r="P22" s="1221"/>
      <c r="Q22" s="1221"/>
      <c r="R22" s="1221"/>
      <c r="S22" s="1221"/>
      <c r="T22" s="1222"/>
      <c r="U22" s="1442"/>
      <c r="V22" s="1443"/>
      <c r="W22" s="1397"/>
      <c r="X22" s="1398"/>
      <c r="Y22" s="1398"/>
      <c r="Z22" s="1415"/>
      <c r="AA22" s="1445"/>
      <c r="AB22" s="1221"/>
      <c r="AC22" s="1221"/>
      <c r="AD22" s="1221"/>
      <c r="AE22" s="1221"/>
      <c r="AF22" s="1221"/>
      <c r="AG22" s="1221"/>
      <c r="AH22" s="1221"/>
      <c r="AI22" s="1221"/>
      <c r="AJ22" s="1221"/>
      <c r="AK22" s="1221"/>
      <c r="AL22" s="1221"/>
      <c r="AM22" s="1222"/>
      <c r="AN22" s="1386"/>
      <c r="AO22" s="1387"/>
      <c r="AP22" s="1387"/>
      <c r="AQ22" s="1388"/>
      <c r="AR22" s="182">
        <v>0</v>
      </c>
      <c r="AS22" s="183" t="s">
        <v>302</v>
      </c>
      <c r="AW22" s="30">
        <f>IF(AW21&gt;0,AW21-(IF(AV21&gt;0,AV21,IF(AU21&gt;0,AU21,IF(AT21&gt;0,AT21,IF(AS21&gt;0,AS21,))))),0)</f>
        <v>0</v>
      </c>
      <c r="AX22" s="30">
        <f>IF(AX21&gt;0,AX21-(IF(AW21&gt;0,AW21,IF(AV21&gt;0,AV21,IF(AU21&gt;0,AU21,IF(AT21&gt;0,AT21,))))),0)</f>
        <v>0</v>
      </c>
      <c r="AY22" s="30">
        <f>IF(AY21&gt;0,AY21-(IF(AX21&gt;0,AX21,IF(AW21&gt;0,AW21,IF(AV21&gt;0,AV21,IF(AU21&gt;0,AU21,))))),0)</f>
        <v>0</v>
      </c>
      <c r="AZ22" s="30">
        <f>IF(AZ21&gt;0,AZ21-(IF(AY21&gt;0,AY21,IF(AX21&gt;0,AX21,IF(AW21&gt;0,AW21,IF(AV21&gt;0,AV21,))))),0)</f>
        <v>0</v>
      </c>
      <c r="BA22" s="30">
        <f>IF(BA21&gt;0,BA21-(IF(AZ21&gt;0,AZ21,IF(AY21&gt;0,AY21,IF(AX21&gt;0,AX21,IF(AW21&gt;0,AW21,))))),0)</f>
        <v>0</v>
      </c>
      <c r="BB22" s="30">
        <f>IF(BB21&gt;0,BB21 -(IF(BA21&gt;0,BA21,IF(AZ21&gt;0,AZ21,IF(AY21&gt;0,AY21,IF(AX21&gt;0,AX21,IF(AW21&gt;0,AW21)))))),0)</f>
        <v>0</v>
      </c>
      <c r="BC22" s="30">
        <f>IF(BC21&gt;0,BC21-(IF(BB21&gt;0,BB21,IF(BA21&gt;0,BA21,IF(AZ21&gt;0,AZ21,IF(AY21&gt;0,AY21,IF(AX21&gt;0,AX21,IF(AW21&gt;0,AW21,))))))),0)</f>
        <v>0</v>
      </c>
      <c r="BD22" s="30">
        <f>IF(BD21&gt;0,BD21-(IF(BC21&gt;0,BC21,IF(BB21&gt;0,BB21,IF(BA21&gt;0,BA21,IF(AZ21&gt;0,AZ21,IF(AY21&gt;0,AY21,IF(AX21&gt;0,AX21,))))))),0)</f>
        <v>0</v>
      </c>
      <c r="BE22" s="30">
        <f>IF(BE21&gt;0,BE21-(IF(BD21&gt;0,BD21,IF(BC21&gt;0,BC21,IF(BB21&gt;0,BB21,IF(BA21&gt;0,BA21,IF(AZ21&gt;0,AZ21,IF(AY21&gt;0,AY21,))))))),0)</f>
        <v>0</v>
      </c>
      <c r="BF22" s="30">
        <f>IF(BF21&gt;0,BF21-(IF(BE21&gt;0,BE21,IF(BD21&gt;0,BD21,IF(BC21&gt;0,BC21,IF(BB21&gt;0,BB21,IF(BA21&gt;0,BA21,IF(AZ21&gt;0,AZ21,))))))),0)</f>
        <v>0</v>
      </c>
      <c r="BG22" s="30">
        <f>IF(BG21&gt;0,BG21-(IF(BF21&gt;0,BF21,IF(BE21&gt;0,BE21,IF(BD21&gt;0,BD21,IF(BC21&gt;0,BC21,IF(BB21&gt;0,BB21,IF(BA21&gt;0,BA21,))))))),0)</f>
        <v>0</v>
      </c>
    </row>
    <row r="23" spans="2:59" ht="15" thickBot="1">
      <c r="B23" s="1425" t="s">
        <v>310</v>
      </c>
      <c r="C23" s="1426"/>
      <c r="D23" s="1428"/>
      <c r="E23" s="1429"/>
      <c r="F23" s="1429"/>
      <c r="G23" s="1426"/>
      <c r="H23" s="1445"/>
      <c r="I23" s="1221"/>
      <c r="J23" s="1221"/>
      <c r="K23" s="1221"/>
      <c r="L23" s="1221"/>
      <c r="M23" s="1221"/>
      <c r="N23" s="1221"/>
      <c r="O23" s="1221"/>
      <c r="P23" s="1221"/>
      <c r="Q23" s="1221"/>
      <c r="R23" s="1221"/>
      <c r="S23" s="1221"/>
      <c r="T23" s="1222"/>
      <c r="U23" s="1425" t="s">
        <v>310</v>
      </c>
      <c r="V23" s="1426"/>
      <c r="W23" s="1428"/>
      <c r="X23" s="1429"/>
      <c r="Y23" s="1429"/>
      <c r="Z23" s="1426"/>
      <c r="AA23" s="1445"/>
      <c r="AB23" s="1221"/>
      <c r="AC23" s="1221"/>
      <c r="AD23" s="1221"/>
      <c r="AE23" s="1221"/>
      <c r="AF23" s="1221"/>
      <c r="AG23" s="1221"/>
      <c r="AH23" s="1221"/>
      <c r="AI23" s="1221"/>
      <c r="AJ23" s="1221"/>
      <c r="AK23" s="1221"/>
      <c r="AL23" s="1221"/>
      <c r="AM23" s="1222"/>
      <c r="AN23" s="1389"/>
      <c r="AO23" s="1390"/>
      <c r="AP23" s="1390"/>
      <c r="AQ23" s="1391"/>
      <c r="AR23" s="182">
        <v>0</v>
      </c>
      <c r="AS23" s="183" t="s">
        <v>302</v>
      </c>
    </row>
    <row r="24" spans="2:59" ht="15.6" thickTop="1" thickBot="1">
      <c r="B24" s="1459"/>
      <c r="C24" s="1460"/>
      <c r="D24" s="1461"/>
      <c r="E24" s="1462"/>
      <c r="F24" s="1395"/>
      <c r="G24" s="1414"/>
      <c r="H24" s="1446"/>
      <c r="I24" s="1224"/>
      <c r="J24" s="1224"/>
      <c r="K24" s="1224"/>
      <c r="L24" s="1224"/>
      <c r="M24" s="1224"/>
      <c r="N24" s="1224"/>
      <c r="O24" s="1224"/>
      <c r="P24" s="1224"/>
      <c r="Q24" s="1224"/>
      <c r="R24" s="1224"/>
      <c r="S24" s="1224"/>
      <c r="T24" s="1225"/>
      <c r="U24" s="1459"/>
      <c r="V24" s="1460"/>
      <c r="W24" s="1461"/>
      <c r="X24" s="1462"/>
      <c r="Y24" s="1395"/>
      <c r="Z24" s="1414"/>
      <c r="AA24" s="1446"/>
      <c r="AB24" s="1224"/>
      <c r="AC24" s="1224"/>
      <c r="AD24" s="1224"/>
      <c r="AE24" s="1224"/>
      <c r="AF24" s="1224"/>
      <c r="AG24" s="1224"/>
      <c r="AH24" s="1224"/>
      <c r="AI24" s="1224"/>
      <c r="AJ24" s="1224"/>
      <c r="AK24" s="1224"/>
      <c r="AL24" s="1224"/>
      <c r="AM24" s="1225"/>
      <c r="AN24" s="1401">
        <v>5</v>
      </c>
      <c r="AO24" s="1381" t="s">
        <v>301</v>
      </c>
      <c r="AP24" s="1382"/>
      <c r="AQ24" s="198" t="s">
        <v>77</v>
      </c>
      <c r="AR24" s="182">
        <v>0</v>
      </c>
      <c r="AS24" s="183" t="s">
        <v>302</v>
      </c>
    </row>
    <row r="25" spans="2:59" ht="22.5" customHeight="1" thickTop="1" thickBot="1">
      <c r="B25" s="1403">
        <v>3</v>
      </c>
      <c r="C25" s="1404"/>
      <c r="D25" s="1407" t="s">
        <v>296</v>
      </c>
      <c r="E25" s="1408"/>
      <c r="F25" s="1409" t="s">
        <v>77</v>
      </c>
      <c r="G25" s="1410"/>
      <c r="H25" s="1408" t="str">
        <f>IF(F25=1,'Survey Front'!C12&amp;" "&amp;'Survey Front'!C13&amp;" "&amp;'Survey Front'!C14,IF(F25=2,'Survey Front'!C15&amp;" "&amp;'Survey Front'!C16&amp;" "&amp;'Survey Front'!C17,IF(F25=3,'Survey Front'!C18&amp;" "&amp;'Survey Front'!C19&amp;" "&amp;'Survey Front'!C20,IF(F25=4,'Survey Front'!C21&amp;" "&amp;'Survey Front'!C22&amp;" "&amp;'Survey Front'!C23,IF(F25=5,'Survey Front'!C24&amp;" "&amp;'Survey Front'!C25&amp;" "&amp;'Survey Front'!C26,IF(F25=6,'Survey Front'!C27&amp;" "&amp;'Survey Front'!C28&amp;" "&amp;'Survey Front'!C29,IF(F25=7,'Survey Front'!C30&amp;" "&amp;'Survey Front'!C31&amp;" "&amp;'Survey Front'!C32,IF(F25=8,'Survey Front'!C33&amp;" "&amp;'Survey Front'!C34&amp;" "&amp;'Survey Front'!C35,IF(F25=9,'Survey Front'!C36&amp;" "&amp;'Survey Front'!C37&amp;" "&amp;'Survey Front'!C38,IF(F25=10,'Survey Front'!C39 &amp;" " &amp;'Survey Front'!C40 &amp; " " &amp; 'Survey Front'!C41,IF(F25=11,'Survey Front'!C42 &amp;" " &amp;'Survey Front'!C43 &amp; " " &amp; 'Survey Front'!C44,IF(F25=12,'Survey Front'!C45 &amp;" " &amp;'Survey Front'!C46 &amp; " " &amp; 'Survey Front'!C47,IF(F25=13,'Survey Front'!C48 &amp;" " &amp;'Survey Front'!C49 &amp; " " &amp; 'Survey Front'!C50,IF(F25=14,'Survey Front'!C51 &amp;" " &amp;'Survey Front'!C52 &amp; " " &amp; 'Survey Front'!C53,IF(F25=15,'Survey Front'!C54 &amp;" " &amp;'Survey Front'!C55 &amp; " " &amp; 'Survey Front'!C56,"")))))))))))))))</f>
        <v/>
      </c>
      <c r="I25" s="1408"/>
      <c r="J25" s="1408"/>
      <c r="K25" s="1408"/>
      <c r="L25" s="1408"/>
      <c r="M25" s="1408"/>
      <c r="N25" s="1408"/>
      <c r="O25" s="1408"/>
      <c r="P25" s="1413"/>
      <c r="Q25" s="1416" t="s">
        <v>297</v>
      </c>
      <c r="R25" s="1417"/>
      <c r="S25" s="1417"/>
      <c r="T25" s="1418"/>
      <c r="U25" s="1403">
        <v>4</v>
      </c>
      <c r="V25" s="1404"/>
      <c r="W25" s="1407" t="s">
        <v>296</v>
      </c>
      <c r="X25" s="1408"/>
      <c r="Y25" s="1409" t="s">
        <v>77</v>
      </c>
      <c r="Z25" s="1410"/>
      <c r="AA25" s="1408" t="str">
        <f>IF(Y25=1,'Survey Front'!C12&amp;" "&amp;'Survey Front'!C13&amp;" "&amp;'Survey Front'!C14,IF(Y25=2,'Survey Front'!C15&amp;" "&amp;'Survey Front'!C16&amp;" "&amp;'Survey Front'!C17,IF(Y25=3,'Survey Front'!C18&amp;" "&amp;'Survey Front'!C19&amp;" "&amp;'Survey Front'!C20,IF(Y25=4,'Survey Front'!C21&amp;" "&amp;'Survey Front'!C22&amp;" "&amp;'Survey Front'!C23,IF(Y25=5,'Survey Front'!C24&amp;" "&amp;'Survey Front'!C25&amp;" "&amp;'Survey Front'!C26,IF(Y25=6,'Survey Front'!C27&amp;" "&amp;'Survey Front'!C28&amp;" "&amp;'Survey Front'!C29,IF(Y25=7,'Survey Front'!C30&amp;" "&amp;'Survey Front'!C31&amp;" "&amp;'Survey Front'!C32,IF(Y25=8,'Survey Front'!C33&amp;" "&amp;'Survey Front'!C34&amp;" "&amp;'Survey Front'!C35,IF(Y25=9,'Survey Front'!C36&amp;" "&amp;'Survey Front'!C37&amp;" "&amp;'Survey Front'!C38,IF(Y25=10,'Survey Front'!C39 &amp;" " &amp;'Survey Front'!C40 &amp; " " &amp; 'Survey Front'!C41,IF(Y25=11,'Survey Front'!C42 &amp;" " &amp;'Survey Front'!C43 &amp; " " &amp; 'Survey Front'!C44,IF(Y25=12,'Survey Front'!C45 &amp;" " &amp;'Survey Front'!C46 &amp; " " &amp; 'Survey Front'!C47,IF(Y25=13,'Survey Front'!C48 &amp;" " &amp;'Survey Front'!C49 &amp; " " &amp; 'Survey Front'!C50,IF(Y25=14,'Survey Front'!C51 &amp;" " &amp;'Survey Front'!C52 &amp; " " &amp; 'Survey Front'!C53,IF(Y25=15,'Survey Front'!C54 &amp;" " &amp;'Survey Front'!C55 &amp; " " &amp; 'Survey Front'!C56,"")))))))))))))))</f>
        <v/>
      </c>
      <c r="AB25" s="1408"/>
      <c r="AC25" s="1408"/>
      <c r="AD25" s="1408"/>
      <c r="AE25" s="1408"/>
      <c r="AF25" s="1408"/>
      <c r="AG25" s="1408"/>
      <c r="AH25" s="1408"/>
      <c r="AI25" s="1413"/>
      <c r="AJ25" s="1416" t="s">
        <v>297</v>
      </c>
      <c r="AK25" s="1417"/>
      <c r="AL25" s="1417"/>
      <c r="AM25" s="1418"/>
      <c r="AN25" s="1402"/>
      <c r="AO25" s="180"/>
      <c r="AP25" s="181"/>
      <c r="AQ25" s="181"/>
      <c r="AR25" s="182">
        <v>0</v>
      </c>
      <c r="AS25" s="183" t="s">
        <v>302</v>
      </c>
      <c r="AV25" t="str">
        <f>F48</f>
        <v>Select</v>
      </c>
      <c r="AW25" s="27">
        <f>IF($F$48=1,J63,IF($F$48=2,J63,IF($F$48=3,J63,IF($F$48=4,J63,IF($F$48=5,J63,IF($F$48=6,J63,IF($F$48=7,J63,IF($F$48=8,J63,IF($F$48=9,J63,IF($F$48=10,J63,IF($F$48=11,J63,IF($F$48=12,J63,IF($F$48=13,J63,IF($F$48=14,J63,IF($F$48=15,J63,)))))))))))))))</f>
        <v>0</v>
      </c>
      <c r="AX25" s="27">
        <f t="shared" ref="AX25:BG25" si="8">IF($F$48=1,K63,IF($F$48=2,K63,IF($F$48=3,K63,IF($F$48=4,K63,IF($F$48=5,K63,IF($F$48=6,K63,IF($F$48=7,K63,IF($F$48=8,K63,IF($F$48=9,K63,IF($F$48=10,K63,IF($F$48=11,K63,IF($F$48=12,K63,IF($F$48=13,K64,IF($F$48=14,K63,IF($F$48=15,K63,)))))))))))))))</f>
        <v>0</v>
      </c>
      <c r="AY25" s="27">
        <f t="shared" si="8"/>
        <v>0</v>
      </c>
      <c r="AZ25" s="27">
        <f t="shared" si="8"/>
        <v>0</v>
      </c>
      <c r="BA25" s="27">
        <f t="shared" si="8"/>
        <v>0</v>
      </c>
      <c r="BB25" s="27">
        <f t="shared" si="8"/>
        <v>0</v>
      </c>
      <c r="BC25" s="27">
        <f t="shared" si="8"/>
        <v>0</v>
      </c>
      <c r="BD25" s="27">
        <f t="shared" si="8"/>
        <v>0</v>
      </c>
      <c r="BE25" s="27">
        <f t="shared" si="8"/>
        <v>0</v>
      </c>
      <c r="BF25" s="27">
        <f t="shared" si="8"/>
        <v>0</v>
      </c>
      <c r="BG25" s="27">
        <f t="shared" si="8"/>
        <v>0</v>
      </c>
    </row>
    <row r="26" spans="2:59" ht="22.5" customHeight="1" thickBot="1">
      <c r="B26" s="1405"/>
      <c r="C26" s="1406"/>
      <c r="D26" s="1397"/>
      <c r="E26" s="1398"/>
      <c r="F26" s="1411"/>
      <c r="G26" s="1412"/>
      <c r="H26" s="1395"/>
      <c r="I26" s="1395"/>
      <c r="J26" s="1395"/>
      <c r="K26" s="1395"/>
      <c r="L26" s="1395"/>
      <c r="M26" s="1395"/>
      <c r="N26" s="1395"/>
      <c r="O26" s="1395"/>
      <c r="P26" s="1414"/>
      <c r="Q26" s="1394" t="s">
        <v>77</v>
      </c>
      <c r="R26" s="1395"/>
      <c r="S26" s="1395"/>
      <c r="T26" s="1396"/>
      <c r="U26" s="1405"/>
      <c r="V26" s="1406"/>
      <c r="W26" s="1397"/>
      <c r="X26" s="1398"/>
      <c r="Y26" s="1411"/>
      <c r="Z26" s="1412"/>
      <c r="AA26" s="1395"/>
      <c r="AB26" s="1395"/>
      <c r="AC26" s="1395"/>
      <c r="AD26" s="1395"/>
      <c r="AE26" s="1395"/>
      <c r="AF26" s="1395"/>
      <c r="AG26" s="1395"/>
      <c r="AH26" s="1395"/>
      <c r="AI26" s="1414"/>
      <c r="AJ26" s="1394" t="s">
        <v>77</v>
      </c>
      <c r="AK26" s="1395"/>
      <c r="AL26" s="1395"/>
      <c r="AM26" s="1396"/>
      <c r="AN26" s="1383"/>
      <c r="AO26" s="1384"/>
      <c r="AP26" s="1384"/>
      <c r="AQ26" s="1385"/>
      <c r="AR26" s="182">
        <v>0</v>
      </c>
      <c r="AS26" s="183" t="s">
        <v>302</v>
      </c>
      <c r="AW26" s="29">
        <f>J64</f>
        <v>0</v>
      </c>
      <c r="AX26" s="29">
        <f t="shared" ref="AX26:BG26" si="9">K64</f>
        <v>0</v>
      </c>
      <c r="AY26" s="29">
        <f t="shared" si="9"/>
        <v>0</v>
      </c>
      <c r="AZ26" s="29">
        <f t="shared" si="9"/>
        <v>0</v>
      </c>
      <c r="BA26" s="29">
        <f t="shared" si="9"/>
        <v>0</v>
      </c>
      <c r="BB26" s="29">
        <f t="shared" si="9"/>
        <v>0</v>
      </c>
      <c r="BC26" s="29">
        <f t="shared" si="9"/>
        <v>0</v>
      </c>
      <c r="BD26" s="29">
        <f t="shared" si="9"/>
        <v>0</v>
      </c>
      <c r="BE26" s="29">
        <f t="shared" si="9"/>
        <v>0</v>
      </c>
      <c r="BF26" s="29">
        <f t="shared" si="9"/>
        <v>0</v>
      </c>
      <c r="BG26" s="29">
        <f t="shared" si="9"/>
        <v>0</v>
      </c>
    </row>
    <row r="27" spans="2:59" ht="22.5" customHeight="1" thickBot="1">
      <c r="B27" s="25"/>
      <c r="C27" s="14"/>
      <c r="D27" s="14"/>
      <c r="E27" s="14"/>
      <c r="F27" s="1465"/>
      <c r="G27" s="1465"/>
      <c r="H27" s="1398"/>
      <c r="I27" s="1398"/>
      <c r="J27" s="1398"/>
      <c r="K27" s="1398"/>
      <c r="L27" s="1398"/>
      <c r="M27" s="1398"/>
      <c r="N27" s="1398"/>
      <c r="O27" s="1398"/>
      <c r="P27" s="1415"/>
      <c r="Q27" s="1397"/>
      <c r="R27" s="1398"/>
      <c r="S27" s="1398"/>
      <c r="T27" s="1399"/>
      <c r="U27" s="25"/>
      <c r="V27" s="14"/>
      <c r="W27" s="14"/>
      <c r="X27" s="14"/>
      <c r="Y27" s="1465"/>
      <c r="Z27" s="1465"/>
      <c r="AA27" s="1398"/>
      <c r="AB27" s="1398"/>
      <c r="AC27" s="1398"/>
      <c r="AD27" s="1398"/>
      <c r="AE27" s="1398"/>
      <c r="AF27" s="1398"/>
      <c r="AG27" s="1398"/>
      <c r="AH27" s="1398"/>
      <c r="AI27" s="1415"/>
      <c r="AJ27" s="1397"/>
      <c r="AK27" s="1398"/>
      <c r="AL27" s="1398"/>
      <c r="AM27" s="1399"/>
      <c r="AN27" s="1386"/>
      <c r="AO27" s="1387"/>
      <c r="AP27" s="1387"/>
      <c r="AQ27" s="1388"/>
      <c r="AR27" s="182">
        <v>0</v>
      </c>
      <c r="AS27" s="183" t="s">
        <v>302</v>
      </c>
      <c r="AW27" s="30">
        <f>IF(AW26&gt;0,AW26-(IF(AV26&gt;0,AV26,IF(AU26&gt;0,AU26,IF(AT26&gt;0,AT26,IF(AS26&gt;0,AS26,))))),0)</f>
        <v>0</v>
      </c>
      <c r="AX27" s="30">
        <f>IF(AX26&gt;0,AX26-(IF(AW26&gt;0,AW26,IF(AV26&gt;0,AV26,IF(AU26&gt;0,AU26,IF(AT26&gt;0,AT26,))))),0)</f>
        <v>0</v>
      </c>
      <c r="AY27" s="30">
        <f>IF(AY26&gt;0,AY26-(IF(AX26&gt;0,AX26,IF(AW26&gt;0,AW26,IF(AV26&gt;0,AV26,IF(AU26&gt;0,AU26,))))),0)</f>
        <v>0</v>
      </c>
      <c r="AZ27" s="30">
        <f>IF(AZ26&gt;0,AZ26-(IF(AY26&gt;0,AY26,IF(AX26&gt;0,AX26,IF(AW26&gt;0,AW26,IF(AV26&gt;0,AV26,))))),0)</f>
        <v>0</v>
      </c>
      <c r="BA27" s="30">
        <f>IF(BA26&gt;0,BA26-(IF(AZ26&gt;0,AZ26,IF(AY26&gt;0,AY26,IF(AX26&gt;0,AX26,IF(AW26&gt;0,AW26,))))),0)</f>
        <v>0</v>
      </c>
      <c r="BB27" s="30">
        <f>IF(BB26&gt;0,BB26 -(IF(BA26&gt;0,BA26,IF(AZ26&gt;0,AZ26,IF(AY26&gt;0,AY26,IF(AX26&gt;0,AX26,IF(AW26&gt;0,AW26)))))),0)</f>
        <v>0</v>
      </c>
      <c r="BC27" s="30">
        <f>IF(BC26&gt;0,BC26-(IF(BB26&gt;0,BB26,IF(BA26&gt;0,BA26,IF(AZ26&gt;0,AZ26,IF(AY26&gt;0,AY26,IF(AX26&gt;0,AX26,IF(AW26&gt;0,AW26,))))))),0)</f>
        <v>0</v>
      </c>
      <c r="BD27" s="30">
        <f>IF(BD26&gt;0,BD26-(IF(BC26&gt;0,BC26,IF(BB26&gt;0,BB26,IF(BA26&gt;0,BA26,IF(AZ26&gt;0,AZ26,IF(AY26&gt;0,AY26,IF(AX26&gt;0,AX26,))))))),0)</f>
        <v>0</v>
      </c>
      <c r="BE27" s="30">
        <f>IF(BE26&gt;0,BE26-(IF(BD26&gt;0,BD26,IF(BC26&gt;0,BC26,IF(BB26&gt;0,BB26,IF(BA26&gt;0,BA26,IF(AZ26&gt;0,AZ26,IF(AY26&gt;0,AY26,))))))),0)</f>
        <v>0</v>
      </c>
      <c r="BF27" s="30">
        <f>IF(BF26&gt;0,BF26-(IF(BE26&gt;0,BE26,IF(BD26&gt;0,BD26,IF(BC26&gt;0,BC26,IF(BB26&gt;0,BB26,IF(BA26&gt;0,BA26,IF(AZ26&gt;0,AZ26,))))))),0)</f>
        <v>0</v>
      </c>
      <c r="BG27" s="30">
        <f>IF(BG26&gt;0,BG26-(IF(BF26&gt;0,BF26,IF(BE26&gt;0,BE26,IF(BD26&gt;0,BD26,IF(BC26&gt;0,BC26,IF(BB26&gt;0,BB26,IF(BA26&gt;0,BA26,))))))),0)</f>
        <v>0</v>
      </c>
    </row>
    <row r="28" spans="2:59" ht="22.5" customHeight="1" thickBot="1">
      <c r="B28" s="275"/>
      <c r="C28" s="26"/>
      <c r="D28" s="26"/>
      <c r="E28" s="26"/>
      <c r="F28" s="26"/>
      <c r="G28" s="26"/>
      <c r="H28" s="26"/>
      <c r="I28" s="26"/>
      <c r="J28" s="26"/>
      <c r="K28" s="26"/>
      <c r="L28" s="26"/>
      <c r="M28" s="26"/>
      <c r="N28" s="26"/>
      <c r="O28" s="26"/>
      <c r="P28" s="26"/>
      <c r="Q28" s="26"/>
      <c r="R28" s="26"/>
      <c r="S28" s="26"/>
      <c r="T28" s="276"/>
      <c r="U28" s="275"/>
      <c r="V28" s="26"/>
      <c r="W28" s="26"/>
      <c r="X28" s="26"/>
      <c r="Y28" s="26"/>
      <c r="Z28" s="26"/>
      <c r="AA28" s="26"/>
      <c r="AB28" s="26"/>
      <c r="AC28" s="26"/>
      <c r="AD28" s="26"/>
      <c r="AE28" s="26"/>
      <c r="AF28" s="26"/>
      <c r="AG28" s="26"/>
      <c r="AH28" s="26"/>
      <c r="AI28" s="26"/>
      <c r="AJ28" s="26"/>
      <c r="AK28" s="26"/>
      <c r="AL28" s="26"/>
      <c r="AM28" s="276"/>
      <c r="AN28" s="1389"/>
      <c r="AO28" s="1390"/>
      <c r="AP28" s="1390"/>
      <c r="AQ28" s="1391"/>
      <c r="AR28" s="182">
        <v>0</v>
      </c>
      <c r="AS28" s="183" t="s">
        <v>302</v>
      </c>
    </row>
    <row r="29" spans="2:59" ht="22.5" customHeight="1" thickTop="1" thickBot="1">
      <c r="B29" s="275"/>
      <c r="C29" s="26"/>
      <c r="D29" s="26"/>
      <c r="E29" s="26"/>
      <c r="F29" s="26"/>
      <c r="G29" s="26"/>
      <c r="H29" s="26"/>
      <c r="I29" s="26"/>
      <c r="J29" s="26"/>
      <c r="K29" s="26"/>
      <c r="L29" s="26"/>
      <c r="M29" s="26"/>
      <c r="N29" s="26"/>
      <c r="O29" s="26"/>
      <c r="P29" s="26"/>
      <c r="Q29" s="26"/>
      <c r="R29" s="26"/>
      <c r="S29" s="26"/>
      <c r="T29" s="276"/>
      <c r="U29" s="275"/>
      <c r="V29" s="26"/>
      <c r="W29" s="26"/>
      <c r="X29" s="26"/>
      <c r="Y29" s="26"/>
      <c r="Z29" s="26"/>
      <c r="AA29" s="26"/>
      <c r="AB29" s="26"/>
      <c r="AC29" s="26"/>
      <c r="AD29" s="26"/>
      <c r="AE29" s="26"/>
      <c r="AF29" s="26"/>
      <c r="AG29" s="26"/>
      <c r="AH29" s="26"/>
      <c r="AI29" s="26"/>
      <c r="AJ29" s="26"/>
      <c r="AK29" s="26"/>
      <c r="AL29" s="26"/>
      <c r="AM29" s="276"/>
      <c r="AN29" s="1401">
        <v>6</v>
      </c>
      <c r="AO29" s="1381" t="s">
        <v>301</v>
      </c>
      <c r="AP29" s="1382"/>
      <c r="AQ29" s="198" t="s">
        <v>77</v>
      </c>
      <c r="AR29" s="182">
        <v>0</v>
      </c>
      <c r="AS29" s="183" t="s">
        <v>302</v>
      </c>
    </row>
    <row r="30" spans="2:59" ht="22.5" customHeight="1" thickBot="1">
      <c r="B30" s="275"/>
      <c r="C30" s="26"/>
      <c r="D30" s="26"/>
      <c r="E30" s="26"/>
      <c r="F30" s="26"/>
      <c r="G30" s="26"/>
      <c r="H30" s="26"/>
      <c r="I30" s="26"/>
      <c r="J30" s="26"/>
      <c r="K30" s="26"/>
      <c r="L30" s="26"/>
      <c r="M30" s="26"/>
      <c r="N30" s="26"/>
      <c r="O30" s="26"/>
      <c r="P30" s="26"/>
      <c r="Q30" s="26"/>
      <c r="R30" s="26"/>
      <c r="S30" s="26"/>
      <c r="T30" s="276"/>
      <c r="U30" s="275"/>
      <c r="V30" s="26"/>
      <c r="W30" s="26"/>
      <c r="X30" s="26"/>
      <c r="Y30" s="26"/>
      <c r="Z30" s="26"/>
      <c r="AA30" s="26"/>
      <c r="AB30" s="26"/>
      <c r="AC30" s="26"/>
      <c r="AD30" s="26"/>
      <c r="AE30" s="26"/>
      <c r="AF30" s="26"/>
      <c r="AG30" s="26"/>
      <c r="AH30" s="26"/>
      <c r="AI30" s="26"/>
      <c r="AJ30" s="26"/>
      <c r="AK30" s="26"/>
      <c r="AL30" s="26"/>
      <c r="AM30" s="276"/>
      <c r="AN30" s="1402"/>
      <c r="AO30" s="180"/>
      <c r="AP30" s="181"/>
      <c r="AQ30" s="181"/>
      <c r="AR30" s="182">
        <v>0</v>
      </c>
      <c r="AS30" s="183" t="s">
        <v>302</v>
      </c>
      <c r="AV30" t="str">
        <f>Y48</f>
        <v>Select</v>
      </c>
      <c r="AW30" s="27">
        <f>IF($Y$48=1,AC63,IF($Y$48=2,AC63,IF($Y$48=3,AC63,IF($Y$48=4,AC63,IF($Y$48=5,AC63,IF($Y$48=6,AC63,IF($Y$48=7,AC63,IF($Y$48=8,AC63,IF($Y$48=9,AC63,IF($Y$48=10,AC63,IF($Y$48=11,AC63,IF($Y$48=12,AC63,IF($Y$48=13,AC63,IF($Y$48=14,AC63,IF($Y$48=15,AC63,)))))))))))))))</f>
        <v>0</v>
      </c>
      <c r="AX30" s="27">
        <f t="shared" ref="AX30:BG30" si="10">IF($Y$48=1,AD63,IF($Y$48=2,AD63,IF($Y$48=3,AD63,IF($Y$48=4,AD63,IF($Y$48=5,AD63,IF($Y$48=6,AD63,IF($Y$48=7,AD63,IF($Y$48=8,AD63,IF($Y$48=9,AD63,IF($Y$48=10,AD63,IF($Y$48=11,AD63,IF($Y$48=12,AD63,IF($Y$48=13,AD63,IF($Y$48=14,AD63,IF($Y$48=15,AD63,)))))))))))))))</f>
        <v>0</v>
      </c>
      <c r="AY30" s="27">
        <f t="shared" si="10"/>
        <v>0</v>
      </c>
      <c r="AZ30" s="27">
        <f t="shared" si="10"/>
        <v>0</v>
      </c>
      <c r="BA30" s="27">
        <f t="shared" si="10"/>
        <v>0</v>
      </c>
      <c r="BB30" s="27">
        <f t="shared" si="10"/>
        <v>0</v>
      </c>
      <c r="BC30" s="27">
        <f t="shared" si="10"/>
        <v>0</v>
      </c>
      <c r="BD30" s="27">
        <f t="shared" si="10"/>
        <v>0</v>
      </c>
      <c r="BE30" s="27">
        <f t="shared" si="10"/>
        <v>0</v>
      </c>
      <c r="BF30" s="27">
        <f t="shared" si="10"/>
        <v>0</v>
      </c>
      <c r="BG30" s="27">
        <f t="shared" si="10"/>
        <v>0</v>
      </c>
    </row>
    <row r="31" spans="2:59" ht="22.5" customHeight="1" thickBot="1">
      <c r="B31" s="275"/>
      <c r="C31" s="26"/>
      <c r="D31" s="26"/>
      <c r="E31" s="26"/>
      <c r="F31" s="26"/>
      <c r="G31" s="26"/>
      <c r="H31" s="26"/>
      <c r="I31" s="26"/>
      <c r="J31" s="26"/>
      <c r="K31" s="26"/>
      <c r="L31" s="26"/>
      <c r="M31" s="26"/>
      <c r="N31" s="26"/>
      <c r="O31" s="26"/>
      <c r="P31" s="26"/>
      <c r="Q31" s="26"/>
      <c r="R31" s="26"/>
      <c r="S31" s="26"/>
      <c r="T31" s="276"/>
      <c r="U31" s="275"/>
      <c r="V31" s="26"/>
      <c r="W31" s="26"/>
      <c r="X31" s="26"/>
      <c r="Y31" s="26"/>
      <c r="Z31" s="26"/>
      <c r="AA31" s="26"/>
      <c r="AB31" s="26"/>
      <c r="AC31" s="26"/>
      <c r="AD31" s="26"/>
      <c r="AE31" s="26"/>
      <c r="AF31" s="26"/>
      <c r="AG31" s="26"/>
      <c r="AH31" s="26"/>
      <c r="AI31" s="26"/>
      <c r="AJ31" s="26"/>
      <c r="AK31" s="26"/>
      <c r="AL31" s="26"/>
      <c r="AM31" s="276"/>
      <c r="AN31" s="1383"/>
      <c r="AO31" s="1384"/>
      <c r="AP31" s="1384"/>
      <c r="AQ31" s="1385"/>
      <c r="AR31" s="182">
        <v>0</v>
      </c>
      <c r="AS31" s="183" t="s">
        <v>302</v>
      </c>
      <c r="AW31" s="29">
        <f>AC64</f>
        <v>0</v>
      </c>
      <c r="AX31" s="29">
        <f t="shared" ref="AX31:BG31" si="11">AD64</f>
        <v>0</v>
      </c>
      <c r="AY31" s="29">
        <f t="shared" si="11"/>
        <v>0</v>
      </c>
      <c r="AZ31" s="29">
        <f t="shared" si="11"/>
        <v>0</v>
      </c>
      <c r="BA31" s="29">
        <f t="shared" si="11"/>
        <v>0</v>
      </c>
      <c r="BB31" s="29">
        <f t="shared" si="11"/>
        <v>0</v>
      </c>
      <c r="BC31" s="29">
        <f t="shared" si="11"/>
        <v>0</v>
      </c>
      <c r="BD31" s="29">
        <f t="shared" si="11"/>
        <v>0</v>
      </c>
      <c r="BE31" s="29">
        <f t="shared" si="11"/>
        <v>0</v>
      </c>
      <c r="BF31" s="29">
        <f t="shared" si="11"/>
        <v>0</v>
      </c>
      <c r="BG31" s="29">
        <f t="shared" si="11"/>
        <v>0</v>
      </c>
    </row>
    <row r="32" spans="2:59" ht="22.5" customHeight="1" thickBot="1">
      <c r="B32" s="275"/>
      <c r="C32" s="26"/>
      <c r="D32" s="26"/>
      <c r="E32" s="26"/>
      <c r="F32" s="26"/>
      <c r="G32" s="26"/>
      <c r="H32" s="26"/>
      <c r="I32" s="26"/>
      <c r="J32" s="26"/>
      <c r="K32" s="26"/>
      <c r="L32" s="26"/>
      <c r="M32" s="26"/>
      <c r="N32" s="26"/>
      <c r="O32" s="26"/>
      <c r="P32" s="26"/>
      <c r="Q32" s="26"/>
      <c r="R32" s="26"/>
      <c r="S32" s="26"/>
      <c r="T32" s="276"/>
      <c r="U32" s="275"/>
      <c r="V32" s="26"/>
      <c r="W32" s="26"/>
      <c r="X32" s="26"/>
      <c r="Y32" s="26"/>
      <c r="Z32" s="26"/>
      <c r="AA32" s="26"/>
      <c r="AB32" s="26"/>
      <c r="AC32" s="26"/>
      <c r="AD32" s="26"/>
      <c r="AE32" s="26"/>
      <c r="AF32" s="26"/>
      <c r="AG32" s="26"/>
      <c r="AH32" s="26"/>
      <c r="AI32" s="26"/>
      <c r="AJ32" s="26"/>
      <c r="AK32" s="26"/>
      <c r="AL32" s="26"/>
      <c r="AM32" s="276"/>
      <c r="AN32" s="1386"/>
      <c r="AO32" s="1387"/>
      <c r="AP32" s="1387"/>
      <c r="AQ32" s="1388"/>
      <c r="AR32" s="182">
        <v>0</v>
      </c>
      <c r="AS32" s="183" t="s">
        <v>302</v>
      </c>
      <c r="AW32" s="30">
        <f>IF(AW31&gt;0,AW31-(IF(AV31&gt;0,AV31,IF(AU31&gt;0,AU31,IF(AT31&gt;0,AT31,IF(AS31&gt;0,AS31,))))),0)</f>
        <v>0</v>
      </c>
      <c r="AX32" s="30">
        <f>IF(AX31&gt;0,AX31-(IF(AW31&gt;0,AW31,IF(AV31&gt;0,AV31,IF(AU31&gt;0,AU31,IF(AT31&gt;0,AT31,))))),0)</f>
        <v>0</v>
      </c>
      <c r="AY32" s="30">
        <f>IF(AY31&gt;0,AY31-(IF(AX31&gt;0,AX31,IF(AW31&gt;0,AW31,IF(AV31&gt;0,AV31,IF(AU31&gt;0,AU31,))))),0)</f>
        <v>0</v>
      </c>
      <c r="AZ32" s="30">
        <f>IF(AZ31&gt;0,AZ31-(IF(AY31&gt;0,AY31,IF(AX31&gt;0,AX31,IF(AW31&gt;0,AW31,IF(AV31&gt;0,AV31,))))),0)</f>
        <v>0</v>
      </c>
      <c r="BA32" s="30">
        <f>IF(BA31&gt;0,BA31-(IF(AZ31&gt;0,AZ31,IF(AY31&gt;0,AY31,IF(AX31&gt;0,AX31,IF(AW31&gt;0,AW31,))))),0)</f>
        <v>0</v>
      </c>
      <c r="BB32" s="30">
        <f>IF(BB31&gt;0,BB31 -(IF(BA31&gt;0,BA31,IF(AZ31&gt;0,AZ31,IF(AY31&gt;0,AY31,IF(AX31&gt;0,AX31,IF(AW31&gt;0,AW31)))))),0)</f>
        <v>0</v>
      </c>
      <c r="BC32" s="30">
        <f>IF(BC31&gt;0,BC31-(IF(BB31&gt;0,BB31,IF(BA31&gt;0,BA31,IF(AZ31&gt;0,AZ31,IF(AY31&gt;0,AY31,IF(AX31&gt;0,AX31,IF(AW31&gt;0,AW31,))))))),0)</f>
        <v>0</v>
      </c>
      <c r="BD32" s="30">
        <f>IF(BD31&gt;0,BD31-(IF(BC31&gt;0,BC31,IF(BB31&gt;0,BB31,IF(BA31&gt;0,BA31,IF(AZ31&gt;0,AZ31,IF(AY31&gt;0,AY31,IF(AX31&gt;0,AX31,))))))),0)</f>
        <v>0</v>
      </c>
      <c r="BE32" s="30">
        <f>IF(BE31&gt;0,BE31-(IF(BD31&gt;0,BD31,IF(BC31&gt;0,BC31,IF(BB31&gt;0,BB31,IF(BA31&gt;0,BA31,IF(AZ31&gt;0,AZ31,IF(AY31&gt;0,AY31,))))))),0)</f>
        <v>0</v>
      </c>
      <c r="BF32" s="30">
        <f>IF(BF31&gt;0,BF31-(IF(BE31&gt;0,BE31,IF(BD31&gt;0,BD31,IF(BC31&gt;0,BC31,IF(BB31&gt;0,BB31,IF(BA31&gt;0,BA31,IF(AZ31&gt;0,AZ31,))))))),0)</f>
        <v>0</v>
      </c>
      <c r="BG32" s="30">
        <f>IF(BG31&gt;0,BG31-(IF(BF31&gt;0,BF31,IF(BE31&gt;0,BE31,IF(BD31&gt;0,BD31,IF(BC31&gt;0,BC31,IF(BB31&gt;0,BB31,IF(BA31&gt;0,BA31,))))))),0)</f>
        <v>0</v>
      </c>
    </row>
    <row r="33" spans="2:45" ht="22.5" customHeight="1" thickBot="1">
      <c r="B33" s="275"/>
      <c r="C33" s="26"/>
      <c r="D33" s="26"/>
      <c r="E33" s="26"/>
      <c r="F33" s="26"/>
      <c r="G33" s="26"/>
      <c r="H33" s="26"/>
      <c r="I33" s="26"/>
      <c r="J33" s="26"/>
      <c r="K33" s="26"/>
      <c r="L33" s="26"/>
      <c r="M33" s="26"/>
      <c r="N33" s="26"/>
      <c r="O33" s="26"/>
      <c r="P33" s="26"/>
      <c r="Q33" s="26"/>
      <c r="R33" s="26"/>
      <c r="S33" s="26"/>
      <c r="T33" s="276"/>
      <c r="U33" s="275"/>
      <c r="V33" s="26"/>
      <c r="W33" s="26"/>
      <c r="X33" s="26"/>
      <c r="Y33" s="26"/>
      <c r="Z33" s="26"/>
      <c r="AA33" s="26"/>
      <c r="AB33" s="26"/>
      <c r="AC33" s="26"/>
      <c r="AD33" s="26"/>
      <c r="AE33" s="26"/>
      <c r="AF33" s="26"/>
      <c r="AG33" s="26"/>
      <c r="AH33" s="26"/>
      <c r="AI33" s="26"/>
      <c r="AJ33" s="26"/>
      <c r="AK33" s="26"/>
      <c r="AL33" s="26"/>
      <c r="AM33" s="276"/>
      <c r="AN33" s="1389"/>
      <c r="AO33" s="1390"/>
      <c r="AP33" s="1390"/>
      <c r="AQ33" s="1391"/>
      <c r="AR33" s="182">
        <v>0</v>
      </c>
      <c r="AS33" s="183" t="s">
        <v>302</v>
      </c>
    </row>
    <row r="34" spans="2:45" ht="22.5" customHeight="1" thickTop="1" thickBot="1">
      <c r="B34" s="275"/>
      <c r="C34" s="26"/>
      <c r="D34" s="26"/>
      <c r="E34" s="26"/>
      <c r="F34" s="26"/>
      <c r="G34" s="26"/>
      <c r="H34" s="26"/>
      <c r="I34" s="26"/>
      <c r="J34" s="26"/>
      <c r="K34" s="26"/>
      <c r="L34" s="26"/>
      <c r="M34" s="26"/>
      <c r="N34" s="26"/>
      <c r="O34" s="26"/>
      <c r="P34" s="26"/>
      <c r="Q34" s="26"/>
      <c r="R34" s="26"/>
      <c r="S34" s="26"/>
      <c r="T34" s="276"/>
      <c r="U34" s="275"/>
      <c r="V34" s="26"/>
      <c r="W34" s="26"/>
      <c r="X34" s="26"/>
      <c r="Y34" s="26"/>
      <c r="Z34" s="26"/>
      <c r="AA34" s="26"/>
      <c r="AB34" s="26"/>
      <c r="AC34" s="26"/>
      <c r="AD34" s="26"/>
      <c r="AE34" s="26"/>
      <c r="AF34" s="26"/>
      <c r="AG34" s="26"/>
      <c r="AH34" s="26"/>
      <c r="AI34" s="26"/>
      <c r="AJ34" s="26"/>
      <c r="AK34" s="26"/>
      <c r="AL34" s="26"/>
      <c r="AM34" s="276"/>
      <c r="AN34" s="1463">
        <v>7</v>
      </c>
      <c r="AO34" s="1392" t="s">
        <v>301</v>
      </c>
      <c r="AP34" s="1393"/>
      <c r="AQ34" s="198" t="s">
        <v>77</v>
      </c>
      <c r="AR34" s="182">
        <v>0</v>
      </c>
      <c r="AS34" s="183" t="s">
        <v>302</v>
      </c>
    </row>
    <row r="35" spans="2:45" ht="22.5" customHeight="1" thickBot="1">
      <c r="B35" s="275"/>
      <c r="C35" s="26"/>
      <c r="D35" s="26"/>
      <c r="E35" s="26"/>
      <c r="F35" s="26"/>
      <c r="G35" s="26"/>
      <c r="H35" s="26"/>
      <c r="I35" s="26"/>
      <c r="J35" s="26"/>
      <c r="K35" s="26"/>
      <c r="L35" s="26"/>
      <c r="M35" s="26"/>
      <c r="N35" s="26"/>
      <c r="O35" s="26"/>
      <c r="P35" s="26"/>
      <c r="Q35" s="26"/>
      <c r="R35" s="26"/>
      <c r="S35" s="26"/>
      <c r="T35" s="276"/>
      <c r="U35" s="275"/>
      <c r="V35" s="26"/>
      <c r="W35" s="26"/>
      <c r="X35" s="26"/>
      <c r="Y35" s="26"/>
      <c r="Z35" s="26"/>
      <c r="AA35" s="26"/>
      <c r="AB35" s="26"/>
      <c r="AC35" s="26"/>
      <c r="AD35" s="26"/>
      <c r="AE35" s="26"/>
      <c r="AF35" s="26"/>
      <c r="AG35" s="26"/>
      <c r="AH35" s="26"/>
      <c r="AI35" s="26"/>
      <c r="AJ35" s="26"/>
      <c r="AK35" s="26"/>
      <c r="AL35" s="26"/>
      <c r="AM35" s="276"/>
      <c r="AN35" s="1464"/>
      <c r="AO35" s="18"/>
      <c r="AP35" s="36"/>
      <c r="AQ35" s="36"/>
      <c r="AR35" s="182">
        <v>0</v>
      </c>
      <c r="AS35" s="183" t="s">
        <v>302</v>
      </c>
    </row>
    <row r="36" spans="2:45" ht="22.5" customHeight="1" thickBot="1">
      <c r="B36" s="275"/>
      <c r="C36" s="26"/>
      <c r="D36" s="26"/>
      <c r="E36" s="26"/>
      <c r="F36" s="26"/>
      <c r="G36" s="26"/>
      <c r="H36" s="26"/>
      <c r="I36" s="26"/>
      <c r="J36" s="26"/>
      <c r="K36" s="26"/>
      <c r="L36" s="26"/>
      <c r="M36" s="26"/>
      <c r="N36" s="26"/>
      <c r="O36" s="26"/>
      <c r="P36" s="26"/>
      <c r="Q36" s="26"/>
      <c r="R36" s="26"/>
      <c r="S36" s="26"/>
      <c r="T36" s="276"/>
      <c r="U36" s="275"/>
      <c r="V36" s="26"/>
      <c r="W36" s="26"/>
      <c r="X36" s="26"/>
      <c r="Y36" s="26"/>
      <c r="Z36" s="26"/>
      <c r="AA36" s="26"/>
      <c r="AB36" s="26"/>
      <c r="AC36" s="26"/>
      <c r="AD36" s="26"/>
      <c r="AE36" s="26"/>
      <c r="AF36" s="26"/>
      <c r="AG36" s="26"/>
      <c r="AH36" s="26"/>
      <c r="AI36" s="26"/>
      <c r="AJ36" s="26"/>
      <c r="AK36" s="26"/>
      <c r="AL36" s="26"/>
      <c r="AM36" s="276"/>
      <c r="AN36" s="1383"/>
      <c r="AO36" s="1384"/>
      <c r="AP36" s="1384"/>
      <c r="AQ36" s="1385"/>
      <c r="AR36" s="182">
        <v>0</v>
      </c>
      <c r="AS36" s="183" t="s">
        <v>302</v>
      </c>
    </row>
    <row r="37" spans="2:45" ht="22.5" customHeight="1" thickBot="1">
      <c r="B37" s="275"/>
      <c r="C37" s="26"/>
      <c r="D37" s="26"/>
      <c r="E37" s="26"/>
      <c r="F37" s="26"/>
      <c r="G37" s="26"/>
      <c r="H37" s="26"/>
      <c r="I37" s="26"/>
      <c r="J37" s="26"/>
      <c r="K37" s="26"/>
      <c r="L37" s="26"/>
      <c r="M37" s="26"/>
      <c r="N37" s="26"/>
      <c r="O37" s="277"/>
      <c r="P37" s="277"/>
      <c r="Q37" s="277"/>
      <c r="R37" s="277"/>
      <c r="S37" s="277"/>
      <c r="T37" s="278"/>
      <c r="U37" s="275"/>
      <c r="V37" s="26"/>
      <c r="W37" s="26"/>
      <c r="X37" s="26"/>
      <c r="Y37" s="26"/>
      <c r="Z37" s="26"/>
      <c r="AA37" s="26"/>
      <c r="AB37" s="26"/>
      <c r="AC37" s="26"/>
      <c r="AD37" s="26"/>
      <c r="AE37" s="26"/>
      <c r="AF37" s="26"/>
      <c r="AG37" s="26"/>
      <c r="AH37" s="277"/>
      <c r="AI37" s="277"/>
      <c r="AJ37" s="277"/>
      <c r="AK37" s="277"/>
      <c r="AL37" s="277"/>
      <c r="AM37" s="278"/>
      <c r="AN37" s="1386"/>
      <c r="AO37" s="1387"/>
      <c r="AP37" s="1387"/>
      <c r="AQ37" s="1388"/>
      <c r="AR37" s="182">
        <v>0</v>
      </c>
      <c r="AS37" s="183" t="s">
        <v>302</v>
      </c>
    </row>
    <row r="38" spans="2:45" ht="22.5" customHeight="1" thickBot="1">
      <c r="B38" s="275"/>
      <c r="C38" s="26"/>
      <c r="D38" s="26"/>
      <c r="E38" s="26"/>
      <c r="F38" s="26"/>
      <c r="G38" s="26"/>
      <c r="H38" s="26"/>
      <c r="I38" s="26"/>
      <c r="J38" s="26"/>
      <c r="K38" s="26"/>
      <c r="L38" s="26"/>
      <c r="M38" s="26"/>
      <c r="N38" s="279"/>
      <c r="O38" s="1434" t="s">
        <v>305</v>
      </c>
      <c r="P38" s="1435"/>
      <c r="Q38" s="1435"/>
      <c r="R38" s="1435"/>
      <c r="S38" s="1436"/>
      <c r="T38" s="280"/>
      <c r="U38" s="275"/>
      <c r="V38" s="26"/>
      <c r="W38" s="26"/>
      <c r="X38" s="26"/>
      <c r="Y38" s="26"/>
      <c r="Z38" s="26"/>
      <c r="AA38" s="26"/>
      <c r="AB38" s="26"/>
      <c r="AC38" s="26"/>
      <c r="AD38" s="26"/>
      <c r="AE38" s="26"/>
      <c r="AF38" s="26"/>
      <c r="AG38" s="279"/>
      <c r="AH38" s="1434" t="s">
        <v>305</v>
      </c>
      <c r="AI38" s="1435"/>
      <c r="AJ38" s="1435"/>
      <c r="AK38" s="1435"/>
      <c r="AL38" s="1436"/>
      <c r="AM38" s="280"/>
      <c r="AN38" s="1389"/>
      <c r="AO38" s="1390"/>
      <c r="AP38" s="1390"/>
      <c r="AQ38" s="1391"/>
      <c r="AR38" s="182">
        <v>0</v>
      </c>
      <c r="AS38" s="183" t="s">
        <v>302</v>
      </c>
    </row>
    <row r="39" spans="2:45" ht="22.5" customHeight="1" thickTop="1" thickBot="1">
      <c r="B39" s="275"/>
      <c r="C39" s="26"/>
      <c r="D39" s="26"/>
      <c r="E39" s="26"/>
      <c r="F39" s="26"/>
      <c r="G39" s="26"/>
      <c r="H39" s="277"/>
      <c r="I39" s="277"/>
      <c r="J39" s="277"/>
      <c r="K39" s="277"/>
      <c r="L39" s="277"/>
      <c r="M39" s="277"/>
      <c r="N39" s="281"/>
      <c r="O39" s="1437"/>
      <c r="P39" s="1438"/>
      <c r="Q39" s="1438"/>
      <c r="R39" s="1438"/>
      <c r="S39" s="1439"/>
      <c r="T39" s="282"/>
      <c r="U39" s="275"/>
      <c r="V39" s="26"/>
      <c r="W39" s="26"/>
      <c r="X39" s="26"/>
      <c r="Y39" s="26"/>
      <c r="Z39" s="26"/>
      <c r="AA39" s="277"/>
      <c r="AB39" s="277"/>
      <c r="AC39" s="277"/>
      <c r="AD39" s="277"/>
      <c r="AE39" s="277"/>
      <c r="AF39" s="277"/>
      <c r="AG39" s="281"/>
      <c r="AH39" s="1437"/>
      <c r="AI39" s="1438"/>
      <c r="AJ39" s="1438"/>
      <c r="AK39" s="1438"/>
      <c r="AL39" s="1439"/>
      <c r="AM39" s="282"/>
      <c r="AN39" s="1463">
        <v>8</v>
      </c>
      <c r="AO39" s="1392" t="s">
        <v>301</v>
      </c>
      <c r="AP39" s="1393"/>
      <c r="AQ39" s="198" t="s">
        <v>77</v>
      </c>
      <c r="AR39" s="182">
        <v>0</v>
      </c>
      <c r="AS39" s="183" t="s">
        <v>302</v>
      </c>
    </row>
    <row r="40" spans="2:45" ht="22.5" customHeight="1" thickBot="1">
      <c r="B40" s="1425" t="s">
        <v>9</v>
      </c>
      <c r="C40" s="1426"/>
      <c r="D40" s="1428"/>
      <c r="E40" s="1429"/>
      <c r="F40" s="1429"/>
      <c r="G40" s="1426"/>
      <c r="H40" s="34" t="s">
        <v>306</v>
      </c>
      <c r="I40" s="35"/>
      <c r="J40" s="32"/>
      <c r="K40" s="32"/>
      <c r="L40" s="32"/>
      <c r="M40" s="32"/>
      <c r="N40" s="32"/>
      <c r="O40" s="32"/>
      <c r="P40" s="32"/>
      <c r="Q40" s="32"/>
      <c r="R40" s="32"/>
      <c r="S40" s="32"/>
      <c r="T40" s="33"/>
      <c r="U40" s="1425" t="s">
        <v>9</v>
      </c>
      <c r="V40" s="1426"/>
      <c r="W40" s="1428"/>
      <c r="X40" s="1429"/>
      <c r="Y40" s="1429"/>
      <c r="Z40" s="1426"/>
      <c r="AA40" s="34" t="s">
        <v>306</v>
      </c>
      <c r="AB40" s="35"/>
      <c r="AC40" s="32"/>
      <c r="AD40" s="32"/>
      <c r="AE40" s="32"/>
      <c r="AF40" s="32"/>
      <c r="AG40" s="32"/>
      <c r="AH40" s="32"/>
      <c r="AI40" s="32"/>
      <c r="AJ40" s="32"/>
      <c r="AK40" s="32"/>
      <c r="AL40" s="32"/>
      <c r="AM40" s="33"/>
      <c r="AN40" s="1464"/>
      <c r="AO40" s="18"/>
      <c r="AP40" s="36"/>
      <c r="AQ40" s="36"/>
      <c r="AR40" s="182">
        <v>0</v>
      </c>
      <c r="AS40" s="183" t="s">
        <v>302</v>
      </c>
    </row>
    <row r="41" spans="2:45" ht="22.5" customHeight="1" thickBot="1">
      <c r="B41" s="1427"/>
      <c r="C41" s="1415"/>
      <c r="D41" s="1397"/>
      <c r="E41" s="1398"/>
      <c r="F41" s="1398"/>
      <c r="G41" s="1415"/>
      <c r="H41" s="18"/>
      <c r="I41" s="36"/>
      <c r="J41" s="32"/>
      <c r="K41" s="32"/>
      <c r="L41" s="32"/>
      <c r="M41" s="32"/>
      <c r="N41" s="32"/>
      <c r="O41" s="32"/>
      <c r="P41" s="32"/>
      <c r="Q41" s="32"/>
      <c r="R41" s="32"/>
      <c r="S41" s="32"/>
      <c r="T41" s="33"/>
      <c r="U41" s="1427"/>
      <c r="V41" s="1415"/>
      <c r="W41" s="1397"/>
      <c r="X41" s="1398"/>
      <c r="Y41" s="1398"/>
      <c r="Z41" s="1415"/>
      <c r="AA41" s="18"/>
      <c r="AB41" s="36"/>
      <c r="AC41" s="32"/>
      <c r="AD41" s="32"/>
      <c r="AE41" s="32"/>
      <c r="AF41" s="32"/>
      <c r="AG41" s="32"/>
      <c r="AH41" s="32"/>
      <c r="AI41" s="32"/>
      <c r="AJ41" s="32"/>
      <c r="AK41" s="32"/>
      <c r="AL41" s="32"/>
      <c r="AM41" s="33"/>
      <c r="AN41" s="1383"/>
      <c r="AO41" s="1384"/>
      <c r="AP41" s="1384"/>
      <c r="AQ41" s="1385"/>
      <c r="AR41" s="182">
        <v>0</v>
      </c>
      <c r="AS41" s="183" t="s">
        <v>302</v>
      </c>
    </row>
    <row r="42" spans="2:45" ht="22.5" customHeight="1" thickBot="1">
      <c r="B42" s="1425" t="s">
        <v>10</v>
      </c>
      <c r="C42" s="1426"/>
      <c r="D42" s="1428"/>
      <c r="E42" s="1429"/>
      <c r="F42" s="1429"/>
      <c r="G42" s="1426"/>
      <c r="H42" s="1453"/>
      <c r="I42" s="1454"/>
      <c r="J42" s="1454"/>
      <c r="K42" s="1454"/>
      <c r="L42" s="1454"/>
      <c r="M42" s="1454"/>
      <c r="N42" s="1454"/>
      <c r="O42" s="1454"/>
      <c r="P42" s="1454"/>
      <c r="Q42" s="1454"/>
      <c r="R42" s="1454"/>
      <c r="S42" s="1454"/>
      <c r="T42" s="1455"/>
      <c r="U42" s="1425" t="s">
        <v>10</v>
      </c>
      <c r="V42" s="1426"/>
      <c r="W42" s="1428"/>
      <c r="X42" s="1429"/>
      <c r="Y42" s="1429"/>
      <c r="Z42" s="1426"/>
      <c r="AA42" s="1453"/>
      <c r="AB42" s="1454"/>
      <c r="AC42" s="1454"/>
      <c r="AD42" s="1454"/>
      <c r="AE42" s="1454"/>
      <c r="AF42" s="1454"/>
      <c r="AG42" s="1454"/>
      <c r="AH42" s="1454"/>
      <c r="AI42" s="1454"/>
      <c r="AJ42" s="1454"/>
      <c r="AK42" s="1454"/>
      <c r="AL42" s="1454"/>
      <c r="AM42" s="1455"/>
      <c r="AN42" s="1386"/>
      <c r="AO42" s="1387"/>
      <c r="AP42" s="1387"/>
      <c r="AQ42" s="1388"/>
      <c r="AR42" s="182">
        <v>0</v>
      </c>
      <c r="AS42" s="183" t="s">
        <v>302</v>
      </c>
    </row>
    <row r="43" spans="2:45" ht="22.5" customHeight="1" thickBot="1">
      <c r="B43" s="1427"/>
      <c r="C43" s="1415"/>
      <c r="D43" s="1397"/>
      <c r="E43" s="1398"/>
      <c r="F43" s="1398"/>
      <c r="G43" s="1415"/>
      <c r="H43" s="1456"/>
      <c r="I43" s="1457"/>
      <c r="J43" s="1457"/>
      <c r="K43" s="1457"/>
      <c r="L43" s="1457"/>
      <c r="M43" s="1457"/>
      <c r="N43" s="1457"/>
      <c r="O43" s="1457"/>
      <c r="P43" s="1457"/>
      <c r="Q43" s="1457"/>
      <c r="R43" s="1457"/>
      <c r="S43" s="1457"/>
      <c r="T43" s="1458"/>
      <c r="U43" s="1427"/>
      <c r="V43" s="1415"/>
      <c r="W43" s="1397"/>
      <c r="X43" s="1398"/>
      <c r="Y43" s="1398"/>
      <c r="Z43" s="1415"/>
      <c r="AA43" s="1456"/>
      <c r="AB43" s="1457"/>
      <c r="AC43" s="1457"/>
      <c r="AD43" s="1457"/>
      <c r="AE43" s="1457"/>
      <c r="AF43" s="1457"/>
      <c r="AG43" s="1457"/>
      <c r="AH43" s="1457"/>
      <c r="AI43" s="1457"/>
      <c r="AJ43" s="1457"/>
      <c r="AK43" s="1457"/>
      <c r="AL43" s="1457"/>
      <c r="AM43" s="1458"/>
      <c r="AN43" s="1389"/>
      <c r="AO43" s="1390"/>
      <c r="AP43" s="1390"/>
      <c r="AQ43" s="1391"/>
      <c r="AR43" s="182">
        <v>0</v>
      </c>
      <c r="AS43" s="183" t="s">
        <v>302</v>
      </c>
    </row>
    <row r="44" spans="2:45" ht="22.5" customHeight="1" thickTop="1" thickBot="1">
      <c r="B44" s="1440" t="s">
        <v>307</v>
      </c>
      <c r="C44" s="1441"/>
      <c r="D44" s="1428"/>
      <c r="E44" s="1429"/>
      <c r="F44" s="1429"/>
      <c r="G44" s="1426"/>
      <c r="H44" s="1430" t="s">
        <v>309</v>
      </c>
      <c r="I44" s="1431"/>
      <c r="J44" s="1431"/>
      <c r="K44" s="1431"/>
      <c r="L44" s="1431"/>
      <c r="M44" s="1431"/>
      <c r="N44" s="1431"/>
      <c r="O44" s="1431"/>
      <c r="P44" s="1431"/>
      <c r="Q44" s="1431"/>
      <c r="R44" s="1431"/>
      <c r="S44" s="1431"/>
      <c r="T44" s="1444"/>
      <c r="U44" s="1440" t="s">
        <v>307</v>
      </c>
      <c r="V44" s="1441"/>
      <c r="W44" s="1428"/>
      <c r="X44" s="1429"/>
      <c r="Y44" s="1429"/>
      <c r="Z44" s="1426"/>
      <c r="AA44" s="1430" t="s">
        <v>309</v>
      </c>
      <c r="AB44" s="1431"/>
      <c r="AC44" s="1431"/>
      <c r="AD44" s="1431"/>
      <c r="AE44" s="1431"/>
      <c r="AF44" s="1431"/>
      <c r="AG44" s="1431"/>
      <c r="AH44" s="1431"/>
      <c r="AI44" s="1431"/>
      <c r="AJ44" s="1431"/>
      <c r="AK44" s="1431"/>
      <c r="AL44" s="1431"/>
      <c r="AM44" s="1444"/>
      <c r="AN44" s="1463">
        <v>9</v>
      </c>
      <c r="AO44" s="1392" t="s">
        <v>301</v>
      </c>
      <c r="AP44" s="1393"/>
      <c r="AQ44" s="198" t="s">
        <v>77</v>
      </c>
      <c r="AR44" s="182">
        <v>0</v>
      </c>
      <c r="AS44" s="183" t="s">
        <v>302</v>
      </c>
    </row>
    <row r="45" spans="2:45" ht="22.5" customHeight="1" thickBot="1">
      <c r="B45" s="1442"/>
      <c r="C45" s="1443"/>
      <c r="D45" s="1397"/>
      <c r="E45" s="1398"/>
      <c r="F45" s="1398"/>
      <c r="G45" s="1415"/>
      <c r="H45" s="1445"/>
      <c r="I45" s="1221"/>
      <c r="J45" s="1221"/>
      <c r="K45" s="1221"/>
      <c r="L45" s="1221"/>
      <c r="M45" s="1221"/>
      <c r="N45" s="1221"/>
      <c r="O45" s="1221"/>
      <c r="P45" s="1221"/>
      <c r="Q45" s="1221"/>
      <c r="R45" s="1221"/>
      <c r="S45" s="1221"/>
      <c r="T45" s="1222"/>
      <c r="U45" s="1442"/>
      <c r="V45" s="1443"/>
      <c r="W45" s="1397"/>
      <c r="X45" s="1398"/>
      <c r="Y45" s="1398"/>
      <c r="Z45" s="1415"/>
      <c r="AA45" s="1445"/>
      <c r="AB45" s="1221"/>
      <c r="AC45" s="1221"/>
      <c r="AD45" s="1221"/>
      <c r="AE45" s="1221"/>
      <c r="AF45" s="1221"/>
      <c r="AG45" s="1221"/>
      <c r="AH45" s="1221"/>
      <c r="AI45" s="1221"/>
      <c r="AJ45" s="1221"/>
      <c r="AK45" s="1221"/>
      <c r="AL45" s="1221"/>
      <c r="AM45" s="1222"/>
      <c r="AN45" s="1464"/>
      <c r="AO45" s="18"/>
      <c r="AP45" s="36"/>
      <c r="AQ45" s="36"/>
      <c r="AR45" s="182">
        <v>0</v>
      </c>
      <c r="AS45" s="183" t="s">
        <v>302</v>
      </c>
    </row>
    <row r="46" spans="2:45" ht="22.5" customHeight="1" thickBot="1">
      <c r="B46" s="1425" t="s">
        <v>310</v>
      </c>
      <c r="C46" s="1426"/>
      <c r="D46" s="1428"/>
      <c r="E46" s="1429"/>
      <c r="F46" s="1429"/>
      <c r="G46" s="1426"/>
      <c r="H46" s="1445"/>
      <c r="I46" s="1221"/>
      <c r="J46" s="1221"/>
      <c r="K46" s="1221"/>
      <c r="L46" s="1221"/>
      <c r="M46" s="1221"/>
      <c r="N46" s="1221"/>
      <c r="O46" s="1221"/>
      <c r="P46" s="1221"/>
      <c r="Q46" s="1221"/>
      <c r="R46" s="1221"/>
      <c r="S46" s="1221"/>
      <c r="T46" s="1222"/>
      <c r="U46" s="1425" t="s">
        <v>310</v>
      </c>
      <c r="V46" s="1426"/>
      <c r="W46" s="1428"/>
      <c r="X46" s="1429"/>
      <c r="Y46" s="1429"/>
      <c r="Z46" s="1426"/>
      <c r="AA46" s="1445"/>
      <c r="AB46" s="1221"/>
      <c r="AC46" s="1221"/>
      <c r="AD46" s="1221"/>
      <c r="AE46" s="1221"/>
      <c r="AF46" s="1221"/>
      <c r="AG46" s="1221"/>
      <c r="AH46" s="1221"/>
      <c r="AI46" s="1221"/>
      <c r="AJ46" s="1221"/>
      <c r="AK46" s="1221"/>
      <c r="AL46" s="1221"/>
      <c r="AM46" s="1222"/>
      <c r="AN46" s="1383"/>
      <c r="AO46" s="1384"/>
      <c r="AP46" s="1384"/>
      <c r="AQ46" s="1385"/>
      <c r="AR46" s="182">
        <v>0</v>
      </c>
      <c r="AS46" s="183" t="s">
        <v>302</v>
      </c>
    </row>
    <row r="47" spans="2:45" ht="22.5" customHeight="1" thickBot="1">
      <c r="B47" s="1459"/>
      <c r="C47" s="1460"/>
      <c r="D47" s="1461"/>
      <c r="E47" s="1462"/>
      <c r="F47" s="1462"/>
      <c r="G47" s="1460"/>
      <c r="H47" s="1446"/>
      <c r="I47" s="1224"/>
      <c r="J47" s="1224"/>
      <c r="K47" s="1224"/>
      <c r="L47" s="1224"/>
      <c r="M47" s="1224"/>
      <c r="N47" s="1224"/>
      <c r="O47" s="1224"/>
      <c r="P47" s="1224"/>
      <c r="Q47" s="1224"/>
      <c r="R47" s="1224"/>
      <c r="S47" s="1224"/>
      <c r="T47" s="1225"/>
      <c r="U47" s="1459"/>
      <c r="V47" s="1460"/>
      <c r="W47" s="1461"/>
      <c r="X47" s="1462"/>
      <c r="Y47" s="1462"/>
      <c r="Z47" s="1460"/>
      <c r="AA47" s="1446"/>
      <c r="AB47" s="1224"/>
      <c r="AC47" s="1224"/>
      <c r="AD47" s="1224"/>
      <c r="AE47" s="1224"/>
      <c r="AF47" s="1224"/>
      <c r="AG47" s="1224"/>
      <c r="AH47" s="1224"/>
      <c r="AI47" s="1224"/>
      <c r="AJ47" s="1224"/>
      <c r="AK47" s="1224"/>
      <c r="AL47" s="1224"/>
      <c r="AM47" s="1225"/>
      <c r="AN47" s="1386"/>
      <c r="AO47" s="1387"/>
      <c r="AP47" s="1387"/>
      <c r="AQ47" s="1388"/>
      <c r="AR47" s="182">
        <v>0</v>
      </c>
      <c r="AS47" s="183" t="s">
        <v>302</v>
      </c>
    </row>
    <row r="48" spans="2:45" ht="15.6" thickTop="1" thickBot="1">
      <c r="B48" s="1403">
        <v>5</v>
      </c>
      <c r="C48" s="1404"/>
      <c r="D48" s="1407" t="s">
        <v>296</v>
      </c>
      <c r="E48" s="1408"/>
      <c r="F48" s="1409" t="s">
        <v>77</v>
      </c>
      <c r="G48" s="1410"/>
      <c r="H48" s="1408" t="str">
        <f>IF(F48=1,'Survey Front'!C12&amp;" "&amp;'Survey Front'!C13&amp;" "&amp;'Survey Front'!C14,IF(F48=2,'Survey Front'!C15&amp;" "&amp;'Survey Front'!C16&amp;" "&amp;'Survey Front'!C17,IF(F48=3,'Survey Front'!C18&amp;" "&amp;'Survey Front'!C19&amp;" "&amp;'Survey Front'!C20,IF(F48=4,'Survey Front'!C21&amp;" "&amp;'Survey Front'!C22&amp;" "&amp;'Survey Front'!C23,IF(F48=5,'Survey Front'!C24&amp;" "&amp;'Survey Front'!C25&amp;" "&amp;'Survey Front'!C26,IF(F48=6,'Survey Front'!C27&amp;" "&amp;'Survey Front'!C28&amp;" "&amp;'Survey Front'!C29,IF(F48=7,'Survey Front'!C30&amp;" "&amp;'Survey Front'!C31&amp;" "&amp;'Survey Front'!C32,IF(F48=8,'Survey Front'!C33&amp;" "&amp;'Survey Front'!C34&amp;" "&amp;'Survey Front'!C35,IF(F48=9,'Survey Front'!C36&amp;" "&amp;'Survey Front'!C37&amp;" "&amp;'Survey Front'!C38,IF(F48=10,'Survey Front'!C39 &amp;" " &amp;'Survey Front'!C40 &amp; " " &amp; 'Survey Front'!C41,IF(F48=11,'Survey Front'!C42 &amp;" " &amp;'Survey Front'!C43 &amp; " " &amp; 'Survey Front'!C44,IF(F48=12,'Survey Front'!C45 &amp;" " &amp;'Survey Front'!C46 &amp; " " &amp; 'Survey Front'!C47,IF(F48=13,'Survey Front'!C48 &amp;" " &amp;'Survey Front'!C49 &amp; " " &amp; 'Survey Front'!C50,IF(F48=14,'Survey Front'!C51 &amp;" " &amp;'Survey Front'!C52 &amp; " " &amp; 'Survey Front'!C53,IF(F48=15,'Survey Front'!C54 &amp;" " &amp;'Survey Front'!C55 &amp; " " &amp; 'Survey Front'!C56,"")))))))))))))))</f>
        <v/>
      </c>
      <c r="I48" s="1408"/>
      <c r="J48" s="1408"/>
      <c r="K48" s="1408"/>
      <c r="L48" s="1408"/>
      <c r="M48" s="1408"/>
      <c r="N48" s="1408"/>
      <c r="O48" s="1408"/>
      <c r="P48" s="1413"/>
      <c r="Q48" s="1416" t="s">
        <v>297</v>
      </c>
      <c r="R48" s="1417"/>
      <c r="S48" s="1417"/>
      <c r="T48" s="1418"/>
      <c r="U48" s="1403">
        <v>6</v>
      </c>
      <c r="V48" s="1404"/>
      <c r="W48" s="1407" t="s">
        <v>296</v>
      </c>
      <c r="X48" s="1408"/>
      <c r="Y48" s="1409" t="s">
        <v>77</v>
      </c>
      <c r="Z48" s="1410"/>
      <c r="AA48" s="1408" t="str">
        <f>IF(Y48=1,'Survey Front'!C12&amp;" "&amp;'Survey Front'!C13&amp;" "&amp;'Survey Front'!C14,IF(Y48=2,'Survey Front'!C15&amp;" "&amp;'Survey Front'!C16&amp;" "&amp;'Survey Front'!C17,IF(Y48=3,'Survey Front'!C18&amp;" "&amp;'Survey Front'!C19&amp;" "&amp;'Survey Front'!C20,IF(Y48=4,'Survey Front'!C21&amp;" "&amp;'Survey Front'!C22&amp;" "&amp;'Survey Front'!C23,IF(Y48=5,'Survey Front'!C24&amp;" "&amp;'Survey Front'!C25&amp;" "&amp;'Survey Front'!C26,IF(Y48=6,'Survey Front'!C27&amp;" "&amp;'Survey Front'!C28&amp;" "&amp;'Survey Front'!C29,IF(Y48=7,'Survey Front'!C30&amp;" "&amp;'Survey Front'!C31&amp;" "&amp;'Survey Front'!C32,IF(Y48=8,'Survey Front'!C33&amp;" "&amp;'Survey Front'!C34&amp;" "&amp;'Survey Front'!C35,IF(Y48=9,'Survey Front'!C36&amp;" "&amp;'Survey Front'!C37&amp;" "&amp;'Survey Front'!C38,IF(Y48=10,'Survey Front'!C39 &amp;" " &amp;'Survey Front'!C40 &amp; " " &amp; 'Survey Front'!C41,IF(Y48=11,'Survey Front'!C42 &amp;" " &amp;'Survey Front'!C43 &amp; " " &amp; 'Survey Front'!C44,IF(Y48=12,'Survey Front'!C45 &amp;" " &amp;'Survey Front'!C46 &amp; " " &amp; 'Survey Front'!C47,IF(Y48=13,'Survey Front'!C48 &amp;" " &amp;'Survey Front'!C49 &amp; " " &amp; 'Survey Front'!C50,IF(Y48=14,'Survey Front'!C51 &amp;" " &amp;'Survey Front'!C52 &amp; " " &amp; 'Survey Front'!C53,IF(Y48=15,'Survey Front'!C54 &amp;" " &amp;'Survey Front'!C55 &amp; " " &amp; 'Survey Front'!C56,"")))))))))))))))</f>
        <v/>
      </c>
      <c r="AB48" s="1408"/>
      <c r="AC48" s="1408"/>
      <c r="AD48" s="1408"/>
      <c r="AE48" s="1408"/>
      <c r="AF48" s="1408"/>
      <c r="AG48" s="1408"/>
      <c r="AH48" s="1408"/>
      <c r="AI48" s="1413"/>
      <c r="AJ48" s="1416" t="s">
        <v>297</v>
      </c>
      <c r="AK48" s="1417"/>
      <c r="AL48" s="1417"/>
      <c r="AM48" s="1418"/>
      <c r="AN48" s="1389"/>
      <c r="AO48" s="1390"/>
      <c r="AP48" s="1390"/>
      <c r="AQ48" s="1391"/>
      <c r="AR48" s="182">
        <v>0</v>
      </c>
      <c r="AS48" s="183" t="s">
        <v>302</v>
      </c>
    </row>
    <row r="49" spans="2:45" ht="15.6" thickTop="1" thickBot="1">
      <c r="B49" s="1405"/>
      <c r="C49" s="1406"/>
      <c r="D49" s="1397"/>
      <c r="E49" s="1398"/>
      <c r="F49" s="1411"/>
      <c r="G49" s="1412"/>
      <c r="H49" s="1395"/>
      <c r="I49" s="1395"/>
      <c r="J49" s="1395"/>
      <c r="K49" s="1395"/>
      <c r="L49" s="1395"/>
      <c r="M49" s="1395"/>
      <c r="N49" s="1395"/>
      <c r="O49" s="1395"/>
      <c r="P49" s="1414"/>
      <c r="Q49" s="1394" t="s">
        <v>77</v>
      </c>
      <c r="R49" s="1395"/>
      <c r="S49" s="1395"/>
      <c r="T49" s="1396"/>
      <c r="U49" s="1405"/>
      <c r="V49" s="1406"/>
      <c r="W49" s="1397"/>
      <c r="X49" s="1398"/>
      <c r="Y49" s="1411"/>
      <c r="Z49" s="1412"/>
      <c r="AA49" s="1395"/>
      <c r="AB49" s="1395"/>
      <c r="AC49" s="1395"/>
      <c r="AD49" s="1395"/>
      <c r="AE49" s="1395"/>
      <c r="AF49" s="1395"/>
      <c r="AG49" s="1395"/>
      <c r="AH49" s="1395"/>
      <c r="AI49" s="1414"/>
      <c r="AJ49" s="1394" t="s">
        <v>77</v>
      </c>
      <c r="AK49" s="1395"/>
      <c r="AL49" s="1395"/>
      <c r="AM49" s="1396"/>
      <c r="AN49" s="1463">
        <v>10</v>
      </c>
      <c r="AO49" s="1392" t="s">
        <v>301</v>
      </c>
      <c r="AP49" s="1393"/>
      <c r="AQ49" s="198" t="s">
        <v>77</v>
      </c>
      <c r="AR49" s="182">
        <v>0</v>
      </c>
      <c r="AS49" s="183" t="s">
        <v>302</v>
      </c>
    </row>
    <row r="50" spans="2:45" ht="15" thickBot="1">
      <c r="B50" s="25"/>
      <c r="C50" s="14"/>
      <c r="D50" s="14"/>
      <c r="E50" s="14"/>
      <c r="F50" s="1465"/>
      <c r="G50" s="1465"/>
      <c r="H50" s="1398"/>
      <c r="I50" s="1398"/>
      <c r="J50" s="1398"/>
      <c r="K50" s="1398"/>
      <c r="L50" s="1398"/>
      <c r="M50" s="1398"/>
      <c r="N50" s="1398"/>
      <c r="O50" s="1398"/>
      <c r="P50" s="1415"/>
      <c r="Q50" s="1397"/>
      <c r="R50" s="1398"/>
      <c r="S50" s="1398"/>
      <c r="T50" s="1399"/>
      <c r="U50" s="25"/>
      <c r="V50" s="14"/>
      <c r="W50" s="14"/>
      <c r="X50" s="14"/>
      <c r="Y50" s="1465"/>
      <c r="Z50" s="1465"/>
      <c r="AA50" s="1398"/>
      <c r="AB50" s="1398"/>
      <c r="AC50" s="1398"/>
      <c r="AD50" s="1398"/>
      <c r="AE50" s="1398"/>
      <c r="AF50" s="1398"/>
      <c r="AG50" s="1398"/>
      <c r="AH50" s="1398"/>
      <c r="AI50" s="1415"/>
      <c r="AJ50" s="1397"/>
      <c r="AK50" s="1398"/>
      <c r="AL50" s="1398"/>
      <c r="AM50" s="1399"/>
      <c r="AN50" s="1464"/>
      <c r="AO50" s="18"/>
      <c r="AP50" s="36"/>
      <c r="AQ50" s="36"/>
      <c r="AR50" s="182">
        <v>0</v>
      </c>
      <c r="AS50" s="183" t="s">
        <v>302</v>
      </c>
    </row>
    <row r="51" spans="2:45" ht="22.5" customHeight="1" thickBot="1">
      <c r="B51" s="275"/>
      <c r="C51" s="26"/>
      <c r="D51" s="26"/>
      <c r="E51" s="26"/>
      <c r="F51" s="26"/>
      <c r="G51" s="26"/>
      <c r="H51" s="26"/>
      <c r="I51" s="26"/>
      <c r="J51" s="26"/>
      <c r="K51" s="26"/>
      <c r="L51" s="26"/>
      <c r="M51" s="26"/>
      <c r="N51" s="26"/>
      <c r="O51" s="26"/>
      <c r="P51" s="26"/>
      <c r="Q51" s="26"/>
      <c r="R51" s="26"/>
      <c r="S51" s="26"/>
      <c r="T51" s="276"/>
      <c r="U51" s="275"/>
      <c r="V51" s="26"/>
      <c r="W51" s="26"/>
      <c r="X51" s="26"/>
      <c r="Y51" s="26"/>
      <c r="Z51" s="26"/>
      <c r="AA51" s="26"/>
      <c r="AB51" s="26"/>
      <c r="AC51" s="26"/>
      <c r="AD51" s="26"/>
      <c r="AE51" s="26"/>
      <c r="AF51" s="26"/>
      <c r="AG51" s="26"/>
      <c r="AH51" s="26"/>
      <c r="AI51" s="26"/>
      <c r="AJ51" s="26"/>
      <c r="AK51" s="26"/>
      <c r="AL51" s="26"/>
      <c r="AM51" s="276"/>
      <c r="AN51" s="1383"/>
      <c r="AO51" s="1384"/>
      <c r="AP51" s="1384"/>
      <c r="AQ51" s="1385"/>
      <c r="AR51" s="182">
        <v>0</v>
      </c>
      <c r="AS51" s="183" t="s">
        <v>302</v>
      </c>
    </row>
    <row r="52" spans="2:45" ht="22.5" customHeight="1" thickBot="1">
      <c r="B52" s="275"/>
      <c r="C52" s="26"/>
      <c r="D52" s="26"/>
      <c r="E52" s="26"/>
      <c r="F52" s="26"/>
      <c r="G52" s="26"/>
      <c r="H52" s="26"/>
      <c r="I52" s="26"/>
      <c r="J52" s="26"/>
      <c r="K52" s="26"/>
      <c r="L52" s="26"/>
      <c r="M52" s="26"/>
      <c r="N52" s="26"/>
      <c r="O52" s="26"/>
      <c r="P52" s="26"/>
      <c r="Q52" s="26"/>
      <c r="R52" s="26"/>
      <c r="S52" s="26"/>
      <c r="T52" s="276"/>
      <c r="U52" s="275"/>
      <c r="V52" s="26"/>
      <c r="W52" s="26"/>
      <c r="X52" s="26"/>
      <c r="Y52" s="26"/>
      <c r="Z52" s="26"/>
      <c r="AA52" s="26"/>
      <c r="AB52" s="26"/>
      <c r="AC52" s="26"/>
      <c r="AD52" s="26"/>
      <c r="AE52" s="26"/>
      <c r="AF52" s="26"/>
      <c r="AG52" s="26"/>
      <c r="AH52" s="26"/>
      <c r="AI52" s="26"/>
      <c r="AJ52" s="26"/>
      <c r="AK52" s="26"/>
      <c r="AL52" s="26"/>
      <c r="AM52" s="276"/>
      <c r="AN52" s="1386"/>
      <c r="AO52" s="1387"/>
      <c r="AP52" s="1387"/>
      <c r="AQ52" s="1388"/>
      <c r="AR52" s="182">
        <v>0</v>
      </c>
      <c r="AS52" s="183" t="s">
        <v>302</v>
      </c>
    </row>
    <row r="53" spans="2:45" ht="22.5" customHeight="1" thickBot="1">
      <c r="B53" s="275"/>
      <c r="C53" s="26"/>
      <c r="D53" s="26"/>
      <c r="E53" s="26"/>
      <c r="F53" s="26"/>
      <c r="G53" s="26"/>
      <c r="H53" s="26"/>
      <c r="I53" s="26"/>
      <c r="J53" s="26"/>
      <c r="K53" s="26"/>
      <c r="L53" s="26"/>
      <c r="M53" s="26"/>
      <c r="N53" s="26"/>
      <c r="O53" s="26"/>
      <c r="P53" s="26"/>
      <c r="Q53" s="26"/>
      <c r="R53" s="26"/>
      <c r="S53" s="26"/>
      <c r="T53" s="276"/>
      <c r="U53" s="275"/>
      <c r="V53" s="26"/>
      <c r="W53" s="26"/>
      <c r="X53" s="26"/>
      <c r="Y53" s="26"/>
      <c r="Z53" s="26"/>
      <c r="AA53" s="26"/>
      <c r="AB53" s="26"/>
      <c r="AC53" s="26"/>
      <c r="AD53" s="26"/>
      <c r="AE53" s="26"/>
      <c r="AF53" s="26"/>
      <c r="AG53" s="26"/>
      <c r="AH53" s="26"/>
      <c r="AI53" s="26"/>
      <c r="AJ53" s="26"/>
      <c r="AK53" s="26"/>
      <c r="AL53" s="26"/>
      <c r="AM53" s="276"/>
      <c r="AN53" s="1389"/>
      <c r="AO53" s="1390"/>
      <c r="AP53" s="1390"/>
      <c r="AQ53" s="1391"/>
      <c r="AR53" s="182">
        <v>0</v>
      </c>
      <c r="AS53" s="183" t="s">
        <v>302</v>
      </c>
    </row>
    <row r="54" spans="2:45" ht="22.5" customHeight="1" thickTop="1" thickBot="1">
      <c r="B54" s="275"/>
      <c r="C54" s="26"/>
      <c r="D54" s="26"/>
      <c r="E54" s="26"/>
      <c r="F54" s="26"/>
      <c r="G54" s="26"/>
      <c r="H54" s="26"/>
      <c r="I54" s="26"/>
      <c r="J54" s="26"/>
      <c r="K54" s="26"/>
      <c r="L54" s="26"/>
      <c r="M54" s="26"/>
      <c r="N54" s="26"/>
      <c r="O54" s="26"/>
      <c r="P54" s="26"/>
      <c r="Q54" s="26"/>
      <c r="R54" s="26"/>
      <c r="S54" s="26"/>
      <c r="T54" s="276"/>
      <c r="U54" s="275"/>
      <c r="V54" s="26"/>
      <c r="W54" s="26"/>
      <c r="X54" s="26"/>
      <c r="Y54" s="26"/>
      <c r="Z54" s="26"/>
      <c r="AA54" s="26"/>
      <c r="AB54" s="26"/>
      <c r="AC54" s="26"/>
      <c r="AD54" s="26"/>
      <c r="AE54" s="26"/>
      <c r="AF54" s="26"/>
      <c r="AG54" s="26"/>
      <c r="AH54" s="26"/>
      <c r="AI54" s="26"/>
      <c r="AJ54" s="26"/>
      <c r="AK54" s="26"/>
      <c r="AL54" s="26"/>
      <c r="AM54" s="276"/>
      <c r="AN54" s="1463">
        <v>11</v>
      </c>
      <c r="AO54" s="1392" t="s">
        <v>301</v>
      </c>
      <c r="AP54" s="1393"/>
      <c r="AQ54" s="198" t="s">
        <v>77</v>
      </c>
      <c r="AR54" s="182">
        <v>0</v>
      </c>
      <c r="AS54" s="183" t="s">
        <v>302</v>
      </c>
    </row>
    <row r="55" spans="2:45" ht="22.5" customHeight="1" thickBot="1">
      <c r="B55" s="275"/>
      <c r="C55" s="26"/>
      <c r="D55" s="26"/>
      <c r="E55" s="26"/>
      <c r="F55" s="26"/>
      <c r="G55" s="26"/>
      <c r="H55" s="26"/>
      <c r="I55" s="26"/>
      <c r="J55" s="26"/>
      <c r="K55" s="26"/>
      <c r="L55" s="26"/>
      <c r="M55" s="26"/>
      <c r="N55" s="26"/>
      <c r="O55" s="26"/>
      <c r="P55" s="26"/>
      <c r="Q55" s="26"/>
      <c r="R55" s="26"/>
      <c r="S55" s="26"/>
      <c r="T55" s="276"/>
      <c r="U55" s="275"/>
      <c r="V55" s="26"/>
      <c r="W55" s="26"/>
      <c r="X55" s="26"/>
      <c r="Y55" s="26"/>
      <c r="Z55" s="26"/>
      <c r="AA55" s="26"/>
      <c r="AB55" s="26"/>
      <c r="AC55" s="26"/>
      <c r="AD55" s="26"/>
      <c r="AE55" s="26"/>
      <c r="AF55" s="26"/>
      <c r="AG55" s="26"/>
      <c r="AH55" s="26"/>
      <c r="AI55" s="26"/>
      <c r="AJ55" s="26"/>
      <c r="AK55" s="26"/>
      <c r="AL55" s="26"/>
      <c r="AM55" s="276"/>
      <c r="AN55" s="1464"/>
      <c r="AO55" s="18"/>
      <c r="AP55" s="36"/>
      <c r="AQ55" s="36"/>
      <c r="AR55" s="182">
        <v>0</v>
      </c>
      <c r="AS55" s="183" t="s">
        <v>302</v>
      </c>
    </row>
    <row r="56" spans="2:45" ht="22.5" customHeight="1" thickBot="1">
      <c r="B56" s="275"/>
      <c r="C56" s="26"/>
      <c r="D56" s="26"/>
      <c r="E56" s="26"/>
      <c r="F56" s="26"/>
      <c r="G56" s="26"/>
      <c r="H56" s="26"/>
      <c r="I56" s="26"/>
      <c r="J56" s="26"/>
      <c r="K56" s="26"/>
      <c r="L56" s="26"/>
      <c r="M56" s="26"/>
      <c r="N56" s="26"/>
      <c r="O56" s="26"/>
      <c r="P56" s="26"/>
      <c r="Q56" s="26"/>
      <c r="R56" s="26"/>
      <c r="S56" s="26"/>
      <c r="T56" s="276"/>
      <c r="U56" s="275"/>
      <c r="V56" s="26"/>
      <c r="W56" s="26"/>
      <c r="X56" s="26"/>
      <c r="Y56" s="26"/>
      <c r="Z56" s="26"/>
      <c r="AA56" s="26"/>
      <c r="AB56" s="26"/>
      <c r="AC56" s="26"/>
      <c r="AD56" s="26"/>
      <c r="AE56" s="26"/>
      <c r="AF56" s="26"/>
      <c r="AG56" s="26"/>
      <c r="AH56" s="26"/>
      <c r="AI56" s="26"/>
      <c r="AJ56" s="26"/>
      <c r="AK56" s="26"/>
      <c r="AL56" s="26"/>
      <c r="AM56" s="276"/>
      <c r="AN56" s="1383"/>
      <c r="AO56" s="1384"/>
      <c r="AP56" s="1384"/>
      <c r="AQ56" s="1385"/>
      <c r="AR56" s="182">
        <v>0</v>
      </c>
      <c r="AS56" s="183" t="s">
        <v>302</v>
      </c>
    </row>
    <row r="57" spans="2:45" ht="22.5" customHeight="1" thickBot="1">
      <c r="B57" s="275"/>
      <c r="C57" s="26"/>
      <c r="D57" s="26"/>
      <c r="E57" s="26"/>
      <c r="F57" s="26"/>
      <c r="G57" s="26"/>
      <c r="H57" s="26"/>
      <c r="I57" s="26"/>
      <c r="J57" s="26"/>
      <c r="K57" s="26"/>
      <c r="L57" s="26"/>
      <c r="M57" s="26"/>
      <c r="N57" s="26"/>
      <c r="O57" s="26"/>
      <c r="P57" s="26"/>
      <c r="Q57" s="26"/>
      <c r="R57" s="26"/>
      <c r="S57" s="26"/>
      <c r="T57" s="276"/>
      <c r="U57" s="275"/>
      <c r="V57" s="26"/>
      <c r="W57" s="26"/>
      <c r="X57" s="26"/>
      <c r="Y57" s="26"/>
      <c r="Z57" s="26"/>
      <c r="AA57" s="26"/>
      <c r="AB57" s="26"/>
      <c r="AC57" s="26"/>
      <c r="AD57" s="26"/>
      <c r="AE57" s="26"/>
      <c r="AF57" s="26"/>
      <c r="AG57" s="26"/>
      <c r="AH57" s="26"/>
      <c r="AI57" s="26"/>
      <c r="AJ57" s="26"/>
      <c r="AK57" s="26"/>
      <c r="AL57" s="26"/>
      <c r="AM57" s="276"/>
      <c r="AN57" s="1386"/>
      <c r="AO57" s="1387"/>
      <c r="AP57" s="1387"/>
      <c r="AQ57" s="1388"/>
      <c r="AR57" s="182">
        <v>0</v>
      </c>
      <c r="AS57" s="183" t="s">
        <v>302</v>
      </c>
    </row>
    <row r="58" spans="2:45" ht="22.5" customHeight="1" thickBot="1">
      <c r="B58" s="275"/>
      <c r="C58" s="26"/>
      <c r="D58" s="26"/>
      <c r="E58" s="26"/>
      <c r="F58" s="26"/>
      <c r="G58" s="26"/>
      <c r="H58" s="26"/>
      <c r="I58" s="26"/>
      <c r="J58" s="26"/>
      <c r="K58" s="26"/>
      <c r="L58" s="26"/>
      <c r="M58" s="26"/>
      <c r="N58" s="26"/>
      <c r="O58" s="26"/>
      <c r="P58" s="26"/>
      <c r="Q58" s="26"/>
      <c r="R58" s="26"/>
      <c r="S58" s="26"/>
      <c r="T58" s="276"/>
      <c r="U58" s="275"/>
      <c r="V58" s="26"/>
      <c r="W58" s="26"/>
      <c r="X58" s="26"/>
      <c r="Y58" s="26"/>
      <c r="Z58" s="26"/>
      <c r="AA58" s="26"/>
      <c r="AB58" s="26"/>
      <c r="AC58" s="26"/>
      <c r="AD58" s="26"/>
      <c r="AE58" s="26"/>
      <c r="AF58" s="26"/>
      <c r="AG58" s="26"/>
      <c r="AH58" s="26"/>
      <c r="AI58" s="26"/>
      <c r="AJ58" s="26"/>
      <c r="AK58" s="26"/>
      <c r="AL58" s="26"/>
      <c r="AM58" s="276"/>
      <c r="AN58" s="1389"/>
      <c r="AO58" s="1390"/>
      <c r="AP58" s="1390"/>
      <c r="AQ58" s="1391"/>
      <c r="AR58" s="182">
        <v>0</v>
      </c>
      <c r="AS58" s="183" t="s">
        <v>302</v>
      </c>
    </row>
    <row r="59" spans="2:45" ht="22.5" customHeight="1" thickTop="1" thickBot="1">
      <c r="B59" s="275"/>
      <c r="C59" s="26"/>
      <c r="D59" s="26"/>
      <c r="E59" s="26"/>
      <c r="F59" s="26"/>
      <c r="G59" s="26"/>
      <c r="H59" s="26"/>
      <c r="I59" s="26"/>
      <c r="J59" s="26"/>
      <c r="K59" s="26"/>
      <c r="L59" s="26"/>
      <c r="M59" s="26"/>
      <c r="N59" s="26"/>
      <c r="O59" s="26"/>
      <c r="P59" s="26"/>
      <c r="Q59" s="26"/>
      <c r="R59" s="26"/>
      <c r="S59" s="26"/>
      <c r="T59" s="276"/>
      <c r="U59" s="275"/>
      <c r="V59" s="26"/>
      <c r="W59" s="26"/>
      <c r="X59" s="26"/>
      <c r="Y59" s="26"/>
      <c r="Z59" s="26"/>
      <c r="AA59" s="26"/>
      <c r="AB59" s="26"/>
      <c r="AC59" s="26"/>
      <c r="AD59" s="26"/>
      <c r="AE59" s="26"/>
      <c r="AF59" s="26"/>
      <c r="AG59" s="26"/>
      <c r="AH59" s="26"/>
      <c r="AI59" s="26"/>
      <c r="AJ59" s="26"/>
      <c r="AK59" s="26"/>
      <c r="AL59" s="26"/>
      <c r="AM59" s="276"/>
      <c r="AN59" s="1463">
        <v>12</v>
      </c>
      <c r="AO59" s="1392" t="s">
        <v>301</v>
      </c>
      <c r="AP59" s="1393"/>
      <c r="AQ59" s="198" t="s">
        <v>77</v>
      </c>
      <c r="AR59" s="182">
        <v>0</v>
      </c>
      <c r="AS59" s="183" t="s">
        <v>302</v>
      </c>
    </row>
    <row r="60" spans="2:45" ht="22.5" customHeight="1" thickBot="1">
      <c r="B60" s="275"/>
      <c r="C60" s="26"/>
      <c r="D60" s="26"/>
      <c r="E60" s="26"/>
      <c r="F60" s="26"/>
      <c r="G60" s="26"/>
      <c r="H60" s="26"/>
      <c r="I60" s="26"/>
      <c r="J60" s="26"/>
      <c r="K60" s="26"/>
      <c r="L60" s="26"/>
      <c r="M60" s="26"/>
      <c r="N60" s="26"/>
      <c r="O60" s="277"/>
      <c r="P60" s="277"/>
      <c r="Q60" s="277"/>
      <c r="R60" s="277"/>
      <c r="S60" s="277"/>
      <c r="T60" s="278"/>
      <c r="U60" s="275"/>
      <c r="V60" s="26"/>
      <c r="W60" s="26"/>
      <c r="X60" s="26"/>
      <c r="Y60" s="26"/>
      <c r="Z60" s="26"/>
      <c r="AA60" s="26"/>
      <c r="AB60" s="26"/>
      <c r="AC60" s="26"/>
      <c r="AD60" s="26"/>
      <c r="AE60" s="26"/>
      <c r="AF60" s="26"/>
      <c r="AG60" s="26"/>
      <c r="AH60" s="277"/>
      <c r="AI60" s="277"/>
      <c r="AJ60" s="277"/>
      <c r="AK60" s="277"/>
      <c r="AL60" s="277"/>
      <c r="AM60" s="278"/>
      <c r="AN60" s="1464"/>
      <c r="AO60" s="18"/>
      <c r="AP60" s="36"/>
      <c r="AQ60" s="36"/>
      <c r="AR60" s="182">
        <v>0</v>
      </c>
      <c r="AS60" s="183" t="s">
        <v>302</v>
      </c>
    </row>
    <row r="61" spans="2:45" ht="22.5" customHeight="1" thickBot="1">
      <c r="B61" s="275"/>
      <c r="C61" s="26"/>
      <c r="D61" s="26"/>
      <c r="E61" s="26"/>
      <c r="F61" s="26"/>
      <c r="G61" s="26"/>
      <c r="H61" s="26"/>
      <c r="I61" s="26"/>
      <c r="J61" s="26"/>
      <c r="K61" s="26"/>
      <c r="L61" s="26"/>
      <c r="M61" s="26"/>
      <c r="N61" s="279"/>
      <c r="O61" s="1434" t="s">
        <v>305</v>
      </c>
      <c r="P61" s="1435"/>
      <c r="Q61" s="1435"/>
      <c r="R61" s="1435"/>
      <c r="S61" s="1436"/>
      <c r="T61" s="280"/>
      <c r="U61" s="275"/>
      <c r="V61" s="26"/>
      <c r="W61" s="26"/>
      <c r="X61" s="26"/>
      <c r="Y61" s="26"/>
      <c r="Z61" s="26"/>
      <c r="AA61" s="26"/>
      <c r="AB61" s="26"/>
      <c r="AC61" s="26"/>
      <c r="AD61" s="26"/>
      <c r="AE61" s="26"/>
      <c r="AF61" s="26"/>
      <c r="AG61" s="279"/>
      <c r="AH61" s="1434" t="s">
        <v>305</v>
      </c>
      <c r="AI61" s="1435"/>
      <c r="AJ61" s="1435"/>
      <c r="AK61" s="1435"/>
      <c r="AL61" s="1436"/>
      <c r="AM61" s="280"/>
      <c r="AN61" s="1383"/>
      <c r="AO61" s="1384"/>
      <c r="AP61" s="1384"/>
      <c r="AQ61" s="1385"/>
      <c r="AR61" s="182">
        <v>0</v>
      </c>
      <c r="AS61" s="183" t="s">
        <v>302</v>
      </c>
    </row>
    <row r="62" spans="2:45" ht="22.5" customHeight="1" thickBot="1">
      <c r="B62" s="275"/>
      <c r="C62" s="26"/>
      <c r="D62" s="26"/>
      <c r="E62" s="26"/>
      <c r="F62" s="26"/>
      <c r="G62" s="26"/>
      <c r="H62" s="277"/>
      <c r="I62" s="277"/>
      <c r="J62" s="277"/>
      <c r="K62" s="277"/>
      <c r="L62" s="277"/>
      <c r="M62" s="277"/>
      <c r="N62" s="281"/>
      <c r="O62" s="1437"/>
      <c r="P62" s="1438"/>
      <c r="Q62" s="1438"/>
      <c r="R62" s="1438"/>
      <c r="S62" s="1439"/>
      <c r="T62" s="282"/>
      <c r="U62" s="275"/>
      <c r="V62" s="26"/>
      <c r="W62" s="26"/>
      <c r="X62" s="26"/>
      <c r="Y62" s="26"/>
      <c r="Z62" s="26"/>
      <c r="AA62" s="277"/>
      <c r="AB62" s="277"/>
      <c r="AC62" s="277"/>
      <c r="AD62" s="277"/>
      <c r="AE62" s="277"/>
      <c r="AF62" s="277"/>
      <c r="AG62" s="281"/>
      <c r="AH62" s="1437"/>
      <c r="AI62" s="1438"/>
      <c r="AJ62" s="1438"/>
      <c r="AK62" s="1438"/>
      <c r="AL62" s="1439"/>
      <c r="AM62" s="282"/>
      <c r="AN62" s="1386"/>
      <c r="AO62" s="1387"/>
      <c r="AP62" s="1387"/>
      <c r="AQ62" s="1388"/>
      <c r="AR62" s="182">
        <v>0</v>
      </c>
      <c r="AS62" s="183" t="s">
        <v>302</v>
      </c>
    </row>
    <row r="63" spans="2:45" ht="22.5" customHeight="1" thickBot="1">
      <c r="B63" s="1425" t="s">
        <v>9</v>
      </c>
      <c r="C63" s="1426"/>
      <c r="D63" s="1428"/>
      <c r="E63" s="1429"/>
      <c r="F63" s="1429"/>
      <c r="G63" s="1426"/>
      <c r="H63" s="34" t="s">
        <v>306</v>
      </c>
      <c r="I63" s="35"/>
      <c r="J63" s="32"/>
      <c r="K63" s="32"/>
      <c r="L63" s="32"/>
      <c r="M63" s="32"/>
      <c r="N63" s="32"/>
      <c r="O63" s="32"/>
      <c r="P63" s="32"/>
      <c r="Q63" s="32"/>
      <c r="R63" s="32"/>
      <c r="S63" s="32"/>
      <c r="T63" s="33"/>
      <c r="U63" s="1425" t="s">
        <v>9</v>
      </c>
      <c r="V63" s="1426"/>
      <c r="W63" s="1428"/>
      <c r="X63" s="1429"/>
      <c r="Y63" s="1429"/>
      <c r="Z63" s="1426"/>
      <c r="AA63" s="34" t="s">
        <v>306</v>
      </c>
      <c r="AB63" s="35"/>
      <c r="AC63" s="32"/>
      <c r="AD63" s="32"/>
      <c r="AE63" s="32"/>
      <c r="AF63" s="32"/>
      <c r="AG63" s="32"/>
      <c r="AH63" s="32"/>
      <c r="AI63" s="32"/>
      <c r="AJ63" s="32"/>
      <c r="AK63" s="32"/>
      <c r="AL63" s="32"/>
      <c r="AM63" s="33"/>
      <c r="AN63" s="1469"/>
      <c r="AO63" s="1470"/>
      <c r="AP63" s="1470"/>
      <c r="AQ63" s="1471"/>
      <c r="AR63" s="320">
        <v>0</v>
      </c>
      <c r="AS63" s="321" t="s">
        <v>302</v>
      </c>
    </row>
    <row r="64" spans="2:45" ht="22.35" customHeight="1">
      <c r="B64" s="1427"/>
      <c r="C64" s="1415"/>
      <c r="D64" s="1397"/>
      <c r="E64" s="1398"/>
      <c r="F64" s="1398"/>
      <c r="G64" s="1415"/>
      <c r="H64" s="18"/>
      <c r="I64" s="36"/>
      <c r="J64" s="32"/>
      <c r="K64" s="32"/>
      <c r="L64" s="32"/>
      <c r="M64" s="32"/>
      <c r="N64" s="32"/>
      <c r="O64" s="32"/>
      <c r="P64" s="32"/>
      <c r="Q64" s="32"/>
      <c r="R64" s="32"/>
      <c r="S64" s="32"/>
      <c r="T64" s="33"/>
      <c r="U64" s="1427"/>
      <c r="V64" s="1415"/>
      <c r="W64" s="1397"/>
      <c r="X64" s="1398"/>
      <c r="Y64" s="1398"/>
      <c r="Z64" s="1415"/>
      <c r="AA64" s="18"/>
      <c r="AB64" s="36"/>
      <c r="AC64" s="32"/>
      <c r="AD64" s="32"/>
      <c r="AE64" s="32"/>
      <c r="AF64" s="32"/>
      <c r="AG64" s="32"/>
      <c r="AH64" s="32"/>
      <c r="AI64" s="32"/>
      <c r="AJ64" s="32"/>
      <c r="AK64" s="32"/>
      <c r="AL64" s="32"/>
      <c r="AM64" s="33"/>
    </row>
    <row r="65" spans="2:39">
      <c r="B65" s="1425" t="s">
        <v>10</v>
      </c>
      <c r="C65" s="1426"/>
      <c r="D65" s="1428"/>
      <c r="E65" s="1429"/>
      <c r="F65" s="1429"/>
      <c r="G65" s="1426"/>
      <c r="H65" s="1453"/>
      <c r="I65" s="1454"/>
      <c r="J65" s="1454"/>
      <c r="K65" s="1454"/>
      <c r="L65" s="1454"/>
      <c r="M65" s="1454"/>
      <c r="N65" s="1454"/>
      <c r="O65" s="1454"/>
      <c r="P65" s="1454"/>
      <c r="Q65" s="1454"/>
      <c r="R65" s="1454"/>
      <c r="S65" s="1454"/>
      <c r="T65" s="1455"/>
      <c r="U65" s="1425" t="s">
        <v>10</v>
      </c>
      <c r="V65" s="1426"/>
      <c r="W65" s="1428"/>
      <c r="X65" s="1429"/>
      <c r="Y65" s="1429"/>
      <c r="Z65" s="1426"/>
      <c r="AA65" s="1453"/>
      <c r="AB65" s="1454"/>
      <c r="AC65" s="1454"/>
      <c r="AD65" s="1454"/>
      <c r="AE65" s="1454"/>
      <c r="AF65" s="1454"/>
      <c r="AG65" s="1454"/>
      <c r="AH65" s="1454"/>
      <c r="AI65" s="1454"/>
      <c r="AJ65" s="1454"/>
      <c r="AK65" s="1454"/>
      <c r="AL65" s="1454"/>
      <c r="AM65" s="1455"/>
    </row>
    <row r="66" spans="2:39">
      <c r="B66" s="1427"/>
      <c r="C66" s="1415"/>
      <c r="D66" s="1397"/>
      <c r="E66" s="1398"/>
      <c r="F66" s="1398"/>
      <c r="G66" s="1415"/>
      <c r="H66" s="1456"/>
      <c r="I66" s="1457"/>
      <c r="J66" s="1457"/>
      <c r="K66" s="1457"/>
      <c r="L66" s="1457"/>
      <c r="M66" s="1457"/>
      <c r="N66" s="1457"/>
      <c r="O66" s="1457"/>
      <c r="P66" s="1457"/>
      <c r="Q66" s="1457"/>
      <c r="R66" s="1457"/>
      <c r="S66" s="1457"/>
      <c r="T66" s="1458"/>
      <c r="U66" s="1427"/>
      <c r="V66" s="1415"/>
      <c r="W66" s="1397"/>
      <c r="X66" s="1398"/>
      <c r="Y66" s="1398"/>
      <c r="Z66" s="1415"/>
      <c r="AA66" s="1456"/>
      <c r="AB66" s="1457"/>
      <c r="AC66" s="1457"/>
      <c r="AD66" s="1457"/>
      <c r="AE66" s="1457"/>
      <c r="AF66" s="1457"/>
      <c r="AG66" s="1457"/>
      <c r="AH66" s="1457"/>
      <c r="AI66" s="1457"/>
      <c r="AJ66" s="1457"/>
      <c r="AK66" s="1457"/>
      <c r="AL66" s="1457"/>
      <c r="AM66" s="1458"/>
    </row>
    <row r="67" spans="2:39">
      <c r="B67" s="1440" t="s">
        <v>307</v>
      </c>
      <c r="C67" s="1441"/>
      <c r="D67" s="1428"/>
      <c r="E67" s="1429"/>
      <c r="F67" s="1429"/>
      <c r="G67" s="1426"/>
      <c r="H67" s="1430" t="s">
        <v>309</v>
      </c>
      <c r="I67" s="1431"/>
      <c r="J67" s="1431"/>
      <c r="K67" s="1431"/>
      <c r="L67" s="1431"/>
      <c r="M67" s="1431"/>
      <c r="N67" s="1431"/>
      <c r="O67" s="1431"/>
      <c r="P67" s="1431"/>
      <c r="Q67" s="1431"/>
      <c r="R67" s="1431"/>
      <c r="S67" s="1431"/>
      <c r="T67" s="1444"/>
      <c r="U67" s="1440" t="s">
        <v>307</v>
      </c>
      <c r="V67" s="1441"/>
      <c r="W67" s="1428"/>
      <c r="X67" s="1429"/>
      <c r="Y67" s="1429"/>
      <c r="Z67" s="1426"/>
      <c r="AA67" s="1430" t="s">
        <v>309</v>
      </c>
      <c r="AB67" s="1431"/>
      <c r="AC67" s="1431"/>
      <c r="AD67" s="1431"/>
      <c r="AE67" s="1431"/>
      <c r="AF67" s="1431"/>
      <c r="AG67" s="1431"/>
      <c r="AH67" s="1431"/>
      <c r="AI67" s="1431"/>
      <c r="AJ67" s="1431"/>
      <c r="AK67" s="1431"/>
      <c r="AL67" s="1431"/>
      <c r="AM67" s="1444"/>
    </row>
    <row r="68" spans="2:39">
      <c r="B68" s="1442"/>
      <c r="C68" s="1443"/>
      <c r="D68" s="1397"/>
      <c r="E68" s="1398"/>
      <c r="F68" s="1398"/>
      <c r="G68" s="1415"/>
      <c r="H68" s="1445"/>
      <c r="I68" s="1221"/>
      <c r="J68" s="1221"/>
      <c r="K68" s="1221"/>
      <c r="L68" s="1221"/>
      <c r="M68" s="1221"/>
      <c r="N68" s="1221"/>
      <c r="O68" s="1221"/>
      <c r="P68" s="1221"/>
      <c r="Q68" s="1221"/>
      <c r="R68" s="1221"/>
      <c r="S68" s="1221"/>
      <c r="T68" s="1222"/>
      <c r="U68" s="1442"/>
      <c r="V68" s="1443"/>
      <c r="W68" s="1397"/>
      <c r="X68" s="1398"/>
      <c r="Y68" s="1398"/>
      <c r="Z68" s="1415"/>
      <c r="AA68" s="1445"/>
      <c r="AB68" s="1221"/>
      <c r="AC68" s="1221"/>
      <c r="AD68" s="1221"/>
      <c r="AE68" s="1221"/>
      <c r="AF68" s="1221"/>
      <c r="AG68" s="1221"/>
      <c r="AH68" s="1221"/>
      <c r="AI68" s="1221"/>
      <c r="AJ68" s="1221"/>
      <c r="AK68" s="1221"/>
      <c r="AL68" s="1221"/>
      <c r="AM68" s="1222"/>
    </row>
    <row r="69" spans="2:39">
      <c r="B69" s="1425" t="s">
        <v>310</v>
      </c>
      <c r="C69" s="1426"/>
      <c r="D69" s="1428"/>
      <c r="E69" s="1429"/>
      <c r="F69" s="1429"/>
      <c r="G69" s="1426"/>
      <c r="H69" s="1445"/>
      <c r="I69" s="1221"/>
      <c r="J69" s="1221"/>
      <c r="K69" s="1221"/>
      <c r="L69" s="1221"/>
      <c r="M69" s="1221"/>
      <c r="N69" s="1221"/>
      <c r="O69" s="1221"/>
      <c r="P69" s="1221"/>
      <c r="Q69" s="1221"/>
      <c r="R69" s="1221"/>
      <c r="S69" s="1221"/>
      <c r="T69" s="1222"/>
      <c r="U69" s="1425" t="s">
        <v>310</v>
      </c>
      <c r="V69" s="1426"/>
      <c r="W69" s="1428"/>
      <c r="X69" s="1429"/>
      <c r="Y69" s="1429"/>
      <c r="Z69" s="1426"/>
      <c r="AA69" s="1445"/>
      <c r="AB69" s="1221"/>
      <c r="AC69" s="1221"/>
      <c r="AD69" s="1221"/>
      <c r="AE69" s="1221"/>
      <c r="AF69" s="1221"/>
      <c r="AG69" s="1221"/>
      <c r="AH69" s="1221"/>
      <c r="AI69" s="1221"/>
      <c r="AJ69" s="1221"/>
      <c r="AK69" s="1221"/>
      <c r="AL69" s="1221"/>
      <c r="AM69" s="1222"/>
    </row>
    <row r="70" spans="2:39" ht="15" thickBot="1">
      <c r="B70" s="1459"/>
      <c r="C70" s="1460"/>
      <c r="D70" s="1461"/>
      <c r="E70" s="1462"/>
      <c r="F70" s="1462"/>
      <c r="G70" s="1460"/>
      <c r="H70" s="1446"/>
      <c r="I70" s="1224"/>
      <c r="J70" s="1224"/>
      <c r="K70" s="1224"/>
      <c r="L70" s="1224"/>
      <c r="M70" s="1224"/>
      <c r="N70" s="1224"/>
      <c r="O70" s="1224"/>
      <c r="P70" s="1224"/>
      <c r="Q70" s="1224"/>
      <c r="R70" s="1224"/>
      <c r="S70" s="1224"/>
      <c r="T70" s="1225"/>
      <c r="U70" s="1459"/>
      <c r="V70" s="1460"/>
      <c r="W70" s="1461"/>
      <c r="X70" s="1462"/>
      <c r="Y70" s="1462"/>
      <c r="Z70" s="1460"/>
      <c r="AA70" s="1446"/>
      <c r="AB70" s="1224"/>
      <c r="AC70" s="1224"/>
      <c r="AD70" s="1224"/>
      <c r="AE70" s="1224"/>
      <c r="AF70" s="1224"/>
      <c r="AG70" s="1224"/>
      <c r="AH70" s="1224"/>
      <c r="AI70" s="1224"/>
      <c r="AJ70" s="1224"/>
      <c r="AK70" s="1224"/>
      <c r="AL70" s="1224"/>
      <c r="AM70" s="1225"/>
    </row>
    <row r="71" spans="2:39" ht="15" thickTop="1">
      <c r="B71" s="1466"/>
      <c r="C71" s="1466"/>
      <c r="D71" s="1466"/>
      <c r="E71" s="1466"/>
      <c r="F71" s="1466"/>
      <c r="G71" s="1466"/>
      <c r="H71" s="1466"/>
      <c r="I71" s="1466"/>
      <c r="J71" s="1466"/>
      <c r="K71" s="1466"/>
      <c r="L71" s="1466"/>
      <c r="M71" s="1466"/>
      <c r="N71" s="1466"/>
      <c r="O71" s="1466"/>
      <c r="P71" s="1466"/>
      <c r="Q71" s="1136"/>
      <c r="R71" s="1136"/>
      <c r="S71" s="1136"/>
      <c r="T71" s="1136"/>
      <c r="U71" s="1466"/>
      <c r="V71" s="1466"/>
      <c r="W71" s="1466"/>
      <c r="X71" s="1466"/>
      <c r="Y71" s="1466"/>
      <c r="Z71" s="1466"/>
      <c r="AA71" s="1466"/>
      <c r="AB71" s="1466"/>
      <c r="AC71" s="1466"/>
      <c r="AD71" s="1466"/>
      <c r="AE71" s="1466"/>
      <c r="AF71" s="1466"/>
      <c r="AG71" s="1466"/>
      <c r="AH71" s="1466"/>
      <c r="AI71" s="1466"/>
      <c r="AJ71" s="1136"/>
      <c r="AK71" s="1136"/>
      <c r="AL71" s="1136"/>
      <c r="AM71" s="1136"/>
    </row>
    <row r="72" spans="2:39">
      <c r="B72" s="1466"/>
      <c r="C72" s="1466"/>
      <c r="D72" s="1466"/>
      <c r="E72" s="1466"/>
      <c r="F72" s="1466"/>
      <c r="G72" s="1466"/>
      <c r="H72" s="1466"/>
      <c r="I72" s="1466"/>
      <c r="J72" s="1466"/>
      <c r="K72" s="1466"/>
      <c r="L72" s="1466"/>
      <c r="M72" s="1466"/>
      <c r="N72" s="1466"/>
      <c r="O72" s="1466"/>
      <c r="P72" s="1466"/>
      <c r="Q72" s="1136"/>
      <c r="R72" s="1136"/>
      <c r="S72" s="1136"/>
      <c r="T72" s="1136"/>
      <c r="U72" s="1466"/>
      <c r="V72" s="1466"/>
      <c r="W72" s="1466"/>
      <c r="X72" s="1466"/>
      <c r="Y72" s="1466"/>
      <c r="Z72" s="1466"/>
      <c r="AA72" s="1466"/>
      <c r="AB72" s="1466"/>
      <c r="AC72" s="1466"/>
      <c r="AD72" s="1466"/>
      <c r="AE72" s="1466"/>
      <c r="AF72" s="1466"/>
      <c r="AG72" s="1466"/>
      <c r="AH72" s="1466"/>
      <c r="AI72" s="1466"/>
      <c r="AJ72" s="1136"/>
      <c r="AK72" s="1136"/>
      <c r="AL72" s="1136"/>
      <c r="AM72" s="1136"/>
    </row>
    <row r="73" spans="2:39">
      <c r="B73" s="14"/>
      <c r="C73" s="14"/>
      <c r="D73" s="14"/>
      <c r="E73" s="14"/>
      <c r="F73" s="1466"/>
      <c r="G73" s="1466"/>
      <c r="H73" s="1466"/>
      <c r="I73" s="1466"/>
      <c r="J73" s="1466"/>
      <c r="K73" s="1466"/>
      <c r="L73" s="1466"/>
      <c r="M73" s="1466"/>
      <c r="N73" s="1466"/>
      <c r="O73" s="1466"/>
      <c r="P73" s="1466"/>
      <c r="Q73" s="1136"/>
      <c r="R73" s="1136"/>
      <c r="S73" s="1136"/>
      <c r="T73" s="1136"/>
      <c r="U73" s="14"/>
      <c r="V73" s="14"/>
      <c r="W73" s="14"/>
      <c r="X73" s="14"/>
      <c r="Y73" s="1466"/>
      <c r="Z73" s="1466"/>
      <c r="AA73" s="1466"/>
      <c r="AB73" s="1466"/>
      <c r="AC73" s="1466"/>
      <c r="AD73" s="1466"/>
      <c r="AE73" s="1466"/>
      <c r="AF73" s="1466"/>
      <c r="AG73" s="1466"/>
      <c r="AH73" s="1466"/>
      <c r="AI73" s="1466"/>
      <c r="AJ73" s="1136"/>
      <c r="AK73" s="1136"/>
      <c r="AL73" s="1136"/>
      <c r="AM73" s="1136"/>
    </row>
    <row r="74" spans="2:39">
      <c r="B74" s="14"/>
      <c r="C74" s="14"/>
      <c r="D74" s="14"/>
      <c r="E74" s="14"/>
      <c r="F74" s="14"/>
      <c r="G74" s="14"/>
      <c r="H74" s="14"/>
      <c r="I74" s="14"/>
      <c r="J74" s="14"/>
      <c r="K74" s="14"/>
      <c r="L74" s="14"/>
      <c r="M74" s="14"/>
      <c r="N74" s="14"/>
      <c r="O74" s="14"/>
      <c r="P74" s="14"/>
      <c r="Q74" s="14"/>
      <c r="R74" s="14"/>
      <c r="S74" s="14"/>
      <c r="T74" s="14"/>
      <c r="U74" s="14"/>
      <c r="V74" s="14"/>
      <c r="W74" s="14"/>
      <c r="X74" s="14"/>
      <c r="Y74" s="14"/>
      <c r="Z74" s="14"/>
      <c r="AA74" s="14"/>
      <c r="AB74" s="14"/>
      <c r="AC74" s="14"/>
      <c r="AD74" s="14"/>
      <c r="AE74" s="14"/>
      <c r="AF74" s="14"/>
      <c r="AG74" s="14"/>
      <c r="AH74" s="14"/>
      <c r="AI74" s="14"/>
      <c r="AJ74" s="14"/>
      <c r="AK74" s="14"/>
      <c r="AL74" s="14"/>
      <c r="AM74" s="14"/>
    </row>
    <row r="75" spans="2:39">
      <c r="B75" s="14"/>
      <c r="C75" s="14"/>
      <c r="D75" s="14"/>
      <c r="E75" s="14"/>
      <c r="F75" s="14"/>
      <c r="G75" s="14"/>
      <c r="H75" s="14"/>
      <c r="I75" s="14"/>
      <c r="J75" s="14"/>
      <c r="K75" s="14"/>
      <c r="L75" s="14"/>
      <c r="M75" s="14"/>
      <c r="N75" s="14"/>
      <c r="O75" s="14"/>
      <c r="P75" s="14"/>
      <c r="Q75" s="14"/>
      <c r="R75" s="14"/>
      <c r="S75" s="14"/>
      <c r="T75" s="14"/>
      <c r="U75" s="14"/>
      <c r="V75" s="14"/>
      <c r="W75" s="14"/>
      <c r="X75" s="14"/>
      <c r="Y75" s="14"/>
      <c r="Z75" s="14"/>
      <c r="AA75" s="14"/>
      <c r="AB75" s="14"/>
      <c r="AC75" s="14"/>
      <c r="AD75" s="14"/>
      <c r="AE75" s="14"/>
      <c r="AF75" s="14"/>
      <c r="AG75" s="14"/>
      <c r="AH75" s="14"/>
      <c r="AI75" s="14"/>
      <c r="AJ75" s="14"/>
      <c r="AK75" s="14"/>
      <c r="AL75" s="14"/>
      <c r="AM75" s="14"/>
    </row>
    <row r="76" spans="2:39">
      <c r="B76" s="14"/>
      <c r="C76" s="14"/>
      <c r="D76" s="14"/>
      <c r="E76" s="14"/>
      <c r="F76" s="14"/>
      <c r="G76" s="14"/>
      <c r="H76" s="14"/>
      <c r="I76" s="14"/>
      <c r="J76" s="14"/>
      <c r="K76" s="14"/>
      <c r="L76" s="14"/>
      <c r="M76" s="14"/>
      <c r="N76" s="14"/>
      <c r="O76" s="14"/>
      <c r="P76" s="14"/>
      <c r="Q76" s="14"/>
      <c r="R76" s="14"/>
      <c r="S76" s="14"/>
      <c r="T76" s="14"/>
      <c r="U76" s="14"/>
      <c r="V76" s="14"/>
      <c r="W76" s="14"/>
      <c r="X76" s="14"/>
      <c r="Y76" s="14"/>
      <c r="Z76" s="14"/>
      <c r="AA76" s="14"/>
      <c r="AB76" s="14"/>
      <c r="AC76" s="14"/>
      <c r="AD76" s="14"/>
      <c r="AE76" s="14"/>
      <c r="AF76" s="14"/>
      <c r="AG76" s="14"/>
      <c r="AH76" s="14"/>
      <c r="AI76" s="14"/>
      <c r="AJ76" s="14"/>
      <c r="AK76" s="14"/>
      <c r="AL76" s="14"/>
      <c r="AM76" s="14"/>
    </row>
    <row r="77" spans="2:39">
      <c r="B77" s="14"/>
      <c r="C77" s="14"/>
      <c r="D77" s="14"/>
      <c r="E77" s="14"/>
      <c r="F77" s="14"/>
      <c r="G77" s="14"/>
      <c r="H77" s="14"/>
      <c r="I77" s="14"/>
      <c r="J77" s="14"/>
      <c r="K77" s="14"/>
      <c r="L77" s="14"/>
      <c r="M77" s="14"/>
      <c r="N77" s="14"/>
      <c r="O77" s="14"/>
      <c r="P77" s="14"/>
      <c r="Q77" s="14"/>
      <c r="R77" s="14"/>
      <c r="S77" s="14"/>
      <c r="T77" s="14"/>
      <c r="U77" s="14"/>
      <c r="V77" s="14"/>
      <c r="W77" s="14"/>
      <c r="X77" s="14"/>
      <c r="Y77" s="14"/>
      <c r="Z77" s="14"/>
      <c r="AA77" s="14"/>
      <c r="AB77" s="14"/>
      <c r="AC77" s="14"/>
      <c r="AD77" s="14"/>
      <c r="AE77" s="14"/>
      <c r="AF77" s="14"/>
      <c r="AG77" s="14"/>
      <c r="AH77" s="14"/>
      <c r="AI77" s="14"/>
      <c r="AJ77" s="14"/>
      <c r="AK77" s="14"/>
      <c r="AL77" s="14"/>
      <c r="AM77" s="14"/>
    </row>
    <row r="78" spans="2:39">
      <c r="B78" s="14"/>
      <c r="C78" s="14"/>
      <c r="D78" s="14"/>
      <c r="E78" s="14"/>
      <c r="F78" s="14"/>
      <c r="G78" s="14"/>
      <c r="H78" s="14"/>
      <c r="I78" s="14"/>
      <c r="J78" s="14"/>
      <c r="K78" s="14"/>
      <c r="L78" s="14"/>
      <c r="M78" s="14"/>
      <c r="N78" s="14"/>
      <c r="O78" s="14"/>
      <c r="P78" s="14"/>
      <c r="Q78" s="14"/>
      <c r="R78" s="14"/>
      <c r="S78" s="14"/>
      <c r="T78" s="14"/>
      <c r="U78" s="14"/>
      <c r="V78" s="14"/>
      <c r="W78" s="14"/>
      <c r="X78" s="14"/>
      <c r="Y78" s="14"/>
      <c r="Z78" s="14"/>
      <c r="AA78" s="14"/>
      <c r="AB78" s="14"/>
      <c r="AC78" s="14"/>
      <c r="AD78" s="14"/>
      <c r="AE78" s="14"/>
      <c r="AF78" s="14"/>
      <c r="AG78" s="14"/>
      <c r="AH78" s="14"/>
      <c r="AI78" s="14"/>
      <c r="AJ78" s="14"/>
      <c r="AK78" s="14"/>
      <c r="AL78" s="14"/>
      <c r="AM78" s="14"/>
    </row>
    <row r="79" spans="2:39">
      <c r="B79" s="14"/>
      <c r="C79" s="14"/>
      <c r="D79" s="14"/>
      <c r="E79" s="14"/>
      <c r="F79" s="14"/>
      <c r="G79" s="14"/>
      <c r="H79" s="14"/>
      <c r="I79" s="14"/>
      <c r="J79" s="14"/>
      <c r="K79" s="14"/>
      <c r="L79" s="14"/>
      <c r="M79" s="14"/>
      <c r="N79" s="14"/>
      <c r="O79" s="14"/>
      <c r="P79" s="14"/>
      <c r="Q79" s="14"/>
      <c r="R79" s="14"/>
      <c r="S79" s="14"/>
      <c r="T79" s="14"/>
      <c r="U79" s="14"/>
      <c r="V79" s="14"/>
      <c r="W79" s="14"/>
      <c r="X79" s="14"/>
      <c r="Y79" s="14"/>
      <c r="Z79" s="14"/>
      <c r="AA79" s="14"/>
      <c r="AB79" s="14"/>
      <c r="AC79" s="14"/>
      <c r="AD79" s="14"/>
      <c r="AE79" s="14"/>
      <c r="AF79" s="14"/>
      <c r="AG79" s="14"/>
      <c r="AH79" s="14"/>
      <c r="AI79" s="14"/>
      <c r="AJ79" s="14"/>
      <c r="AK79" s="14"/>
      <c r="AL79" s="14"/>
      <c r="AM79" s="14"/>
    </row>
    <row r="80" spans="2:39">
      <c r="B80" s="14"/>
      <c r="C80" s="14"/>
      <c r="D80" s="14"/>
      <c r="E80" s="14"/>
      <c r="F80" s="14"/>
      <c r="G80" s="14"/>
      <c r="H80" s="14"/>
      <c r="I80" s="14"/>
      <c r="J80" s="14"/>
      <c r="K80" s="14"/>
      <c r="L80" s="14"/>
      <c r="M80" s="14"/>
      <c r="N80" s="14"/>
      <c r="O80" s="14"/>
      <c r="P80" s="14"/>
      <c r="Q80" s="14"/>
      <c r="R80" s="14"/>
      <c r="S80" s="14"/>
      <c r="T80" s="14"/>
      <c r="U80" s="14"/>
      <c r="V80" s="14"/>
      <c r="W80" s="14"/>
      <c r="X80" s="14"/>
      <c r="Y80" s="14"/>
      <c r="Z80" s="14"/>
      <c r="AA80" s="14"/>
      <c r="AB80" s="14"/>
      <c r="AC80" s="14"/>
      <c r="AD80" s="14"/>
      <c r="AE80" s="14"/>
      <c r="AF80" s="14"/>
      <c r="AG80" s="14"/>
      <c r="AH80" s="14"/>
      <c r="AI80" s="14"/>
      <c r="AJ80" s="14"/>
      <c r="AK80" s="14"/>
      <c r="AL80" s="14"/>
      <c r="AM80" s="14"/>
    </row>
    <row r="81" spans="2:39">
      <c r="B81" s="14"/>
      <c r="C81" s="14"/>
      <c r="D81" s="14"/>
      <c r="E81" s="14"/>
      <c r="F81" s="14"/>
      <c r="G81" s="14"/>
      <c r="H81" s="14"/>
      <c r="I81" s="14"/>
      <c r="J81" s="14"/>
      <c r="K81" s="14"/>
      <c r="L81" s="14"/>
      <c r="M81" s="14"/>
      <c r="N81" s="14"/>
      <c r="O81" s="14"/>
      <c r="P81" s="14"/>
      <c r="Q81" s="14"/>
      <c r="R81" s="14"/>
      <c r="S81" s="14"/>
      <c r="T81" s="14"/>
      <c r="U81" s="14"/>
      <c r="V81" s="14"/>
      <c r="W81" s="14"/>
      <c r="X81" s="14"/>
      <c r="Y81" s="14"/>
      <c r="Z81" s="14"/>
      <c r="AA81" s="14"/>
      <c r="AB81" s="14"/>
      <c r="AC81" s="14"/>
      <c r="AD81" s="14"/>
      <c r="AE81" s="14"/>
      <c r="AF81" s="14"/>
      <c r="AG81" s="14"/>
      <c r="AH81" s="14"/>
      <c r="AI81" s="14"/>
      <c r="AJ81" s="14"/>
      <c r="AK81" s="14"/>
      <c r="AL81" s="14"/>
      <c r="AM81" s="14"/>
    </row>
    <row r="82" spans="2:39">
      <c r="B82" s="14"/>
      <c r="C82" s="14"/>
      <c r="D82" s="14"/>
      <c r="E82" s="14"/>
      <c r="F82" s="14"/>
      <c r="G82" s="14"/>
      <c r="H82" s="14"/>
      <c r="I82" s="14"/>
      <c r="J82" s="14"/>
      <c r="K82" s="14"/>
      <c r="L82" s="14"/>
      <c r="M82" s="14"/>
      <c r="N82" s="14"/>
      <c r="O82" s="14"/>
      <c r="P82" s="14"/>
      <c r="Q82" s="14"/>
      <c r="R82" s="14"/>
      <c r="S82" s="14"/>
      <c r="T82" s="14"/>
      <c r="U82" s="14"/>
      <c r="V82" s="14"/>
      <c r="W82" s="14"/>
      <c r="X82" s="14"/>
      <c r="Y82" s="14"/>
      <c r="Z82" s="14"/>
      <c r="AA82" s="14"/>
      <c r="AB82" s="14"/>
      <c r="AC82" s="14"/>
      <c r="AD82" s="14"/>
      <c r="AE82" s="14"/>
      <c r="AF82" s="14"/>
      <c r="AG82" s="14"/>
      <c r="AH82" s="14"/>
      <c r="AI82" s="14"/>
      <c r="AJ82" s="14"/>
      <c r="AK82" s="14"/>
      <c r="AL82" s="14"/>
      <c r="AM82" s="14"/>
    </row>
    <row r="83" spans="2:39">
      <c r="B83" s="14"/>
      <c r="C83" s="14"/>
      <c r="D83" s="14"/>
      <c r="E83" s="14"/>
      <c r="F83" s="14"/>
      <c r="G83" s="14"/>
      <c r="H83" s="14"/>
      <c r="I83" s="14"/>
      <c r="J83" s="14"/>
      <c r="K83" s="14"/>
      <c r="L83" s="14"/>
      <c r="M83" s="14"/>
      <c r="N83" s="14"/>
      <c r="O83" s="14"/>
      <c r="P83" s="14"/>
      <c r="Q83" s="14"/>
      <c r="R83" s="14"/>
      <c r="S83" s="14"/>
      <c r="T83" s="14"/>
      <c r="U83" s="14"/>
      <c r="V83" s="14"/>
      <c r="W83" s="14"/>
      <c r="X83" s="14"/>
      <c r="Y83" s="14"/>
      <c r="Z83" s="14"/>
      <c r="AA83" s="14"/>
      <c r="AB83" s="14"/>
      <c r="AC83" s="14"/>
      <c r="AD83" s="14"/>
      <c r="AE83" s="14"/>
      <c r="AF83" s="14"/>
      <c r="AG83" s="14"/>
      <c r="AH83" s="14"/>
      <c r="AI83" s="14"/>
      <c r="AJ83" s="14"/>
      <c r="AK83" s="14"/>
      <c r="AL83" s="14"/>
      <c r="AM83" s="14"/>
    </row>
    <row r="84" spans="2:39">
      <c r="B84" s="14"/>
      <c r="C84" s="14"/>
      <c r="D84" s="14"/>
      <c r="E84" s="14"/>
      <c r="F84" s="14"/>
      <c r="G84" s="14"/>
      <c r="H84" s="14"/>
      <c r="I84" s="14"/>
      <c r="J84" s="14"/>
      <c r="K84" s="14"/>
      <c r="L84" s="14"/>
      <c r="M84" s="14"/>
      <c r="N84" s="14"/>
      <c r="O84" s="1466"/>
      <c r="P84" s="1466"/>
      <c r="Q84" s="1466"/>
      <c r="R84" s="1466"/>
      <c r="S84" s="1466"/>
      <c r="T84" s="14"/>
      <c r="U84" s="14"/>
      <c r="V84" s="14"/>
      <c r="W84" s="14"/>
      <c r="X84" s="14"/>
      <c r="Y84" s="14"/>
      <c r="Z84" s="14"/>
      <c r="AA84" s="14"/>
      <c r="AB84" s="14"/>
      <c r="AC84" s="14"/>
      <c r="AD84" s="14"/>
      <c r="AE84" s="14"/>
      <c r="AF84" s="14"/>
      <c r="AG84" s="14"/>
      <c r="AH84" s="1466"/>
      <c r="AI84" s="1466"/>
      <c r="AJ84" s="1466"/>
      <c r="AK84" s="1466"/>
      <c r="AL84" s="1466"/>
      <c r="AM84" s="14"/>
    </row>
    <row r="85" spans="2:39" ht="21">
      <c r="B85" s="14"/>
      <c r="C85" s="14"/>
      <c r="D85" s="14"/>
      <c r="E85" s="14"/>
      <c r="F85" s="14"/>
      <c r="G85" s="14"/>
      <c r="H85" s="14"/>
      <c r="I85" s="14"/>
      <c r="J85" s="14"/>
      <c r="K85" s="14"/>
      <c r="L85" s="14"/>
      <c r="M85" s="14"/>
      <c r="N85" s="14"/>
      <c r="O85" s="1466"/>
      <c r="P85" s="1466"/>
      <c r="Q85" s="1466"/>
      <c r="R85" s="1466"/>
      <c r="S85" s="1466"/>
      <c r="T85" s="37"/>
      <c r="U85" s="14"/>
      <c r="V85" s="14"/>
      <c r="W85" s="14"/>
      <c r="X85" s="14"/>
      <c r="Y85" s="14"/>
      <c r="Z85" s="14"/>
      <c r="AA85" s="14"/>
      <c r="AB85" s="14"/>
      <c r="AC85" s="14"/>
      <c r="AD85" s="14"/>
      <c r="AE85" s="14"/>
      <c r="AF85" s="14"/>
      <c r="AG85" s="14"/>
      <c r="AH85" s="1466"/>
      <c r="AI85" s="1466"/>
      <c r="AJ85" s="1466"/>
      <c r="AK85" s="1466"/>
      <c r="AL85" s="1466"/>
      <c r="AM85" s="37"/>
    </row>
    <row r="86" spans="2:39">
      <c r="B86" s="1466"/>
      <c r="C86" s="1466"/>
      <c r="D86" s="1466"/>
      <c r="E86" s="1466"/>
      <c r="F86" s="1466"/>
      <c r="G86" s="1466"/>
      <c r="H86" s="38"/>
      <c r="I86" s="38"/>
      <c r="J86" s="38"/>
      <c r="K86" s="38"/>
      <c r="L86" s="38"/>
      <c r="M86" s="38"/>
      <c r="N86" s="38"/>
      <c r="O86" s="38"/>
      <c r="P86" s="38"/>
      <c r="Q86" s="38"/>
      <c r="R86" s="38"/>
      <c r="S86" s="38"/>
      <c r="T86" s="38"/>
      <c r="U86" s="1466"/>
      <c r="V86" s="1466"/>
      <c r="W86" s="1466"/>
      <c r="X86" s="1466"/>
      <c r="Y86" s="1466"/>
      <c r="Z86" s="1466"/>
      <c r="AA86" s="38"/>
      <c r="AB86" s="38"/>
      <c r="AC86" s="38"/>
      <c r="AD86" s="38"/>
      <c r="AE86" s="38"/>
      <c r="AF86" s="38"/>
      <c r="AG86" s="38"/>
      <c r="AH86" s="38"/>
      <c r="AI86" s="38"/>
      <c r="AJ86" s="38"/>
      <c r="AK86" s="38"/>
      <c r="AL86" s="38"/>
      <c r="AM86" s="38"/>
    </row>
    <row r="87" spans="2:39">
      <c r="B87" s="1466"/>
      <c r="C87" s="1466"/>
      <c r="D87" s="1466"/>
      <c r="E87" s="1466"/>
      <c r="F87" s="1466"/>
      <c r="G87" s="1466"/>
      <c r="H87" s="38"/>
      <c r="I87" s="38"/>
      <c r="J87" s="38"/>
      <c r="K87" s="38"/>
      <c r="L87" s="38"/>
      <c r="M87" s="38"/>
      <c r="N87" s="38"/>
      <c r="O87" s="38"/>
      <c r="P87" s="38"/>
      <c r="Q87" s="38"/>
      <c r="R87" s="38"/>
      <c r="S87" s="38"/>
      <c r="T87" s="38"/>
      <c r="U87" s="1466"/>
      <c r="V87" s="1466"/>
      <c r="W87" s="1466"/>
      <c r="X87" s="1466"/>
      <c r="Y87" s="1466"/>
      <c r="Z87" s="1466"/>
      <c r="AA87" s="38"/>
      <c r="AB87" s="38"/>
      <c r="AC87" s="38"/>
      <c r="AD87" s="38"/>
      <c r="AE87" s="38"/>
      <c r="AF87" s="38"/>
      <c r="AG87" s="38"/>
      <c r="AH87" s="38"/>
      <c r="AI87" s="38"/>
      <c r="AJ87" s="38"/>
      <c r="AK87" s="38"/>
      <c r="AL87" s="38"/>
      <c r="AM87" s="38"/>
    </row>
    <row r="88" spans="2:39">
      <c r="B88" s="1466"/>
      <c r="C88" s="1466"/>
      <c r="D88" s="1466"/>
      <c r="E88" s="1466"/>
      <c r="F88" s="1466"/>
      <c r="G88" s="1466"/>
      <c r="H88" s="1467"/>
      <c r="I88" s="1467"/>
      <c r="J88" s="1467"/>
      <c r="K88" s="1467"/>
      <c r="L88" s="1467"/>
      <c r="M88" s="1467"/>
      <c r="N88" s="1467"/>
      <c r="O88" s="1467"/>
      <c r="P88" s="1467"/>
      <c r="Q88" s="1467"/>
      <c r="R88" s="1467"/>
      <c r="S88" s="1467"/>
      <c r="T88" s="1467"/>
      <c r="U88" s="1466"/>
      <c r="V88" s="1466"/>
      <c r="W88" s="1466"/>
      <c r="X88" s="1466"/>
      <c r="Y88" s="1466"/>
      <c r="Z88" s="1466"/>
      <c r="AA88" s="1467"/>
      <c r="AB88" s="1467"/>
      <c r="AC88" s="1467"/>
      <c r="AD88" s="1467"/>
      <c r="AE88" s="1467"/>
      <c r="AF88" s="1467"/>
      <c r="AG88" s="1467"/>
      <c r="AH88" s="1467"/>
      <c r="AI88" s="1467"/>
      <c r="AJ88" s="1467"/>
      <c r="AK88" s="1467"/>
      <c r="AL88" s="1467"/>
      <c r="AM88" s="1467"/>
    </row>
    <row r="89" spans="2:39">
      <c r="B89" s="1466"/>
      <c r="C89" s="1466"/>
      <c r="D89" s="1466"/>
      <c r="E89" s="1466"/>
      <c r="F89" s="1466"/>
      <c r="G89" s="1466"/>
      <c r="H89" s="1467"/>
      <c r="I89" s="1467"/>
      <c r="J89" s="1467"/>
      <c r="K89" s="1467"/>
      <c r="L89" s="1467"/>
      <c r="M89" s="1467"/>
      <c r="N89" s="1467"/>
      <c r="O89" s="1467"/>
      <c r="P89" s="1467"/>
      <c r="Q89" s="1467"/>
      <c r="R89" s="1467"/>
      <c r="S89" s="1467"/>
      <c r="T89" s="1467"/>
      <c r="U89" s="1466"/>
      <c r="V89" s="1466"/>
      <c r="W89" s="1466"/>
      <c r="X89" s="1466"/>
      <c r="Y89" s="1466"/>
      <c r="Z89" s="1466"/>
      <c r="AA89" s="1467"/>
      <c r="AB89" s="1467"/>
      <c r="AC89" s="1467"/>
      <c r="AD89" s="1467"/>
      <c r="AE89" s="1467"/>
      <c r="AF89" s="1467"/>
      <c r="AG89" s="1467"/>
      <c r="AH89" s="1467"/>
      <c r="AI89" s="1467"/>
      <c r="AJ89" s="1467"/>
      <c r="AK89" s="1467"/>
      <c r="AL89" s="1467"/>
      <c r="AM89" s="1467"/>
    </row>
    <row r="90" spans="2:39">
      <c r="B90" s="1466"/>
      <c r="C90" s="1466"/>
      <c r="D90" s="1466"/>
      <c r="E90" s="1466"/>
      <c r="F90" s="1466"/>
      <c r="G90" s="1466"/>
      <c r="H90" s="1468"/>
      <c r="I90" s="1468"/>
      <c r="J90" s="1468"/>
      <c r="K90" s="1468"/>
      <c r="L90" s="1468"/>
      <c r="M90" s="1468"/>
      <c r="N90" s="1468"/>
      <c r="O90" s="1468"/>
      <c r="P90" s="1468"/>
      <c r="Q90" s="1468"/>
      <c r="R90" s="1468"/>
      <c r="S90" s="1468"/>
      <c r="T90" s="1468"/>
      <c r="U90" s="1466"/>
      <c r="V90" s="1466"/>
      <c r="W90" s="1466"/>
      <c r="X90" s="1466"/>
      <c r="Y90" s="1466"/>
      <c r="Z90" s="1466"/>
      <c r="AA90" s="1468"/>
      <c r="AB90" s="1468"/>
      <c r="AC90" s="1468"/>
      <c r="AD90" s="1468"/>
      <c r="AE90" s="1468"/>
      <c r="AF90" s="1468"/>
      <c r="AG90" s="1468"/>
      <c r="AH90" s="1468"/>
      <c r="AI90" s="1468"/>
      <c r="AJ90" s="1468"/>
      <c r="AK90" s="1468"/>
      <c r="AL90" s="1468"/>
      <c r="AM90" s="1468"/>
    </row>
    <row r="91" spans="2:39">
      <c r="B91" s="1466"/>
      <c r="C91" s="1466"/>
      <c r="D91" s="1466"/>
      <c r="E91" s="1466"/>
      <c r="F91" s="1466"/>
      <c r="G91" s="1466"/>
      <c r="H91" s="1468"/>
      <c r="I91" s="1468"/>
      <c r="J91" s="1468"/>
      <c r="K91" s="1468"/>
      <c r="L91" s="1468"/>
      <c r="M91" s="1468"/>
      <c r="N91" s="1468"/>
      <c r="O91" s="1468"/>
      <c r="P91" s="1468"/>
      <c r="Q91" s="1468"/>
      <c r="R91" s="1468"/>
      <c r="S91" s="1468"/>
      <c r="T91" s="1468"/>
      <c r="U91" s="1466"/>
      <c r="V91" s="1466"/>
      <c r="W91" s="1466"/>
      <c r="X91" s="1466"/>
      <c r="Y91" s="1466"/>
      <c r="Z91" s="1466"/>
      <c r="AA91" s="1468"/>
      <c r="AB91" s="1468"/>
      <c r="AC91" s="1468"/>
      <c r="AD91" s="1468"/>
      <c r="AE91" s="1468"/>
      <c r="AF91" s="1468"/>
      <c r="AG91" s="1468"/>
      <c r="AH91" s="1468"/>
      <c r="AI91" s="1468"/>
      <c r="AJ91" s="1468"/>
      <c r="AK91" s="1468"/>
      <c r="AL91" s="1468"/>
      <c r="AM91" s="1468"/>
    </row>
    <row r="92" spans="2:39">
      <c r="B92" s="1466"/>
      <c r="C92" s="1466"/>
      <c r="D92" s="1466"/>
      <c r="E92" s="1466"/>
      <c r="F92" s="1466"/>
      <c r="G92" s="1466"/>
      <c r="H92" s="1468"/>
      <c r="I92" s="1468"/>
      <c r="J92" s="1468"/>
      <c r="K92" s="1468"/>
      <c r="L92" s="1468"/>
      <c r="M92" s="1468"/>
      <c r="N92" s="1468"/>
      <c r="O92" s="1468"/>
      <c r="P92" s="1468"/>
      <c r="Q92" s="1468"/>
      <c r="R92" s="1468"/>
      <c r="S92" s="1468"/>
      <c r="T92" s="1468"/>
      <c r="U92" s="1466"/>
      <c r="V92" s="1466"/>
      <c r="W92" s="1466"/>
      <c r="X92" s="1466"/>
      <c r="Y92" s="1466"/>
      <c r="Z92" s="1466"/>
      <c r="AA92" s="1468"/>
      <c r="AB92" s="1468"/>
      <c r="AC92" s="1468"/>
      <c r="AD92" s="1468"/>
      <c r="AE92" s="1468"/>
      <c r="AF92" s="1468"/>
      <c r="AG92" s="1468"/>
      <c r="AH92" s="1468"/>
      <c r="AI92" s="1468"/>
      <c r="AJ92" s="1468"/>
      <c r="AK92" s="1468"/>
      <c r="AL92" s="1468"/>
      <c r="AM92" s="1468"/>
    </row>
    <row r="93" spans="2:39">
      <c r="B93" s="1466"/>
      <c r="C93" s="1466"/>
      <c r="D93" s="1466"/>
      <c r="E93" s="1466"/>
      <c r="F93" s="1466"/>
      <c r="G93" s="1466"/>
      <c r="H93" s="1468"/>
      <c r="I93" s="1468"/>
      <c r="J93" s="1468"/>
      <c r="K93" s="1468"/>
      <c r="L93" s="1468"/>
      <c r="M93" s="1468"/>
      <c r="N93" s="1468"/>
      <c r="O93" s="1468"/>
      <c r="P93" s="1468"/>
      <c r="Q93" s="1468"/>
      <c r="R93" s="1468"/>
      <c r="S93" s="1468"/>
      <c r="T93" s="1468"/>
      <c r="U93" s="1466"/>
      <c r="V93" s="1466"/>
      <c r="W93" s="1466"/>
      <c r="X93" s="1466"/>
      <c r="Y93" s="1466"/>
      <c r="Z93" s="1466"/>
      <c r="AA93" s="1468"/>
      <c r="AB93" s="1468"/>
      <c r="AC93" s="1468"/>
      <c r="AD93" s="1468"/>
      <c r="AE93" s="1468"/>
      <c r="AF93" s="1468"/>
      <c r="AG93" s="1468"/>
      <c r="AH93" s="1468"/>
      <c r="AI93" s="1468"/>
      <c r="AJ93" s="1468"/>
      <c r="AK93" s="1468"/>
      <c r="AL93" s="1468"/>
      <c r="AM93" s="1468"/>
    </row>
  </sheetData>
  <mergeCells count="183">
    <mergeCell ref="AN61:AQ63"/>
    <mergeCell ref="AO44:AP44"/>
    <mergeCell ref="AN46:AQ48"/>
    <mergeCell ref="AN49:AN50"/>
    <mergeCell ref="AO49:AP49"/>
    <mergeCell ref="AN51:AQ53"/>
    <mergeCell ref="AN54:AN55"/>
    <mergeCell ref="AO54:AP54"/>
    <mergeCell ref="AN56:AQ58"/>
    <mergeCell ref="AN59:AN60"/>
    <mergeCell ref="AO59:AP59"/>
    <mergeCell ref="B90:C91"/>
    <mergeCell ref="D90:G91"/>
    <mergeCell ref="H90:T93"/>
    <mergeCell ref="U90:V91"/>
    <mergeCell ref="W90:Z91"/>
    <mergeCell ref="AA90:AM93"/>
    <mergeCell ref="B92:C93"/>
    <mergeCell ref="D92:G93"/>
    <mergeCell ref="U92:V93"/>
    <mergeCell ref="W92:Z93"/>
    <mergeCell ref="B88:C89"/>
    <mergeCell ref="D88:G89"/>
    <mergeCell ref="H88:T89"/>
    <mergeCell ref="U88:V89"/>
    <mergeCell ref="W88:Z89"/>
    <mergeCell ref="AA88:AM89"/>
    <mergeCell ref="O84:S85"/>
    <mergeCell ref="AH84:AL85"/>
    <mergeCell ref="B86:C87"/>
    <mergeCell ref="D86:G87"/>
    <mergeCell ref="U86:V87"/>
    <mergeCell ref="W86:Z87"/>
    <mergeCell ref="W71:X72"/>
    <mergeCell ref="Y71:Z72"/>
    <mergeCell ref="AA71:AI73"/>
    <mergeCell ref="AJ71:AM71"/>
    <mergeCell ref="Q72:T73"/>
    <mergeCell ref="AJ72:AM73"/>
    <mergeCell ref="Y73:Z73"/>
    <mergeCell ref="B71:C72"/>
    <mergeCell ref="D71:E72"/>
    <mergeCell ref="F71:G72"/>
    <mergeCell ref="H71:P73"/>
    <mergeCell ref="Q71:T71"/>
    <mergeCell ref="U71:V72"/>
    <mergeCell ref="F73:G73"/>
    <mergeCell ref="B67:C68"/>
    <mergeCell ref="D67:G68"/>
    <mergeCell ref="H67:T70"/>
    <mergeCell ref="U67:V68"/>
    <mergeCell ref="W67:Z68"/>
    <mergeCell ref="AA67:AM70"/>
    <mergeCell ref="B69:C70"/>
    <mergeCell ref="D69:G70"/>
    <mergeCell ref="U69:V70"/>
    <mergeCell ref="W69:Z70"/>
    <mergeCell ref="B65:C66"/>
    <mergeCell ref="D65:G66"/>
    <mergeCell ref="H65:T66"/>
    <mergeCell ref="U65:V66"/>
    <mergeCell ref="W65:Z66"/>
    <mergeCell ref="AA65:AM66"/>
    <mergeCell ref="F50:G50"/>
    <mergeCell ref="Y50:Z50"/>
    <mergeCell ref="O61:S62"/>
    <mergeCell ref="AH61:AL62"/>
    <mergeCell ref="B63:C64"/>
    <mergeCell ref="D63:G64"/>
    <mergeCell ref="U63:V64"/>
    <mergeCell ref="W63:Z64"/>
    <mergeCell ref="U48:V49"/>
    <mergeCell ref="W48:X49"/>
    <mergeCell ref="Y48:Z49"/>
    <mergeCell ref="AA48:AI50"/>
    <mergeCell ref="AJ48:AM48"/>
    <mergeCell ref="Q49:T50"/>
    <mergeCell ref="AJ49:AM50"/>
    <mergeCell ref="B46:C47"/>
    <mergeCell ref="D46:G47"/>
    <mergeCell ref="U46:V47"/>
    <mergeCell ref="W46:Z47"/>
    <mergeCell ref="B48:C49"/>
    <mergeCell ref="D48:E49"/>
    <mergeCell ref="F48:G49"/>
    <mergeCell ref="H48:P50"/>
    <mergeCell ref="Q48:T48"/>
    <mergeCell ref="B44:C45"/>
    <mergeCell ref="D44:G45"/>
    <mergeCell ref="H44:T47"/>
    <mergeCell ref="U44:V45"/>
    <mergeCell ref="W44:Z45"/>
    <mergeCell ref="AA44:AM47"/>
    <mergeCell ref="AN44:AN45"/>
    <mergeCell ref="F27:G27"/>
    <mergeCell ref="Y27:Z27"/>
    <mergeCell ref="AN29:AN30"/>
    <mergeCell ref="AN34:AN35"/>
    <mergeCell ref="O38:S39"/>
    <mergeCell ref="AH38:AL39"/>
    <mergeCell ref="AN39:AN40"/>
    <mergeCell ref="AN41:AQ43"/>
    <mergeCell ref="B40:C41"/>
    <mergeCell ref="D40:G41"/>
    <mergeCell ref="U40:V41"/>
    <mergeCell ref="W40:Z41"/>
    <mergeCell ref="B42:C43"/>
    <mergeCell ref="D42:G43"/>
    <mergeCell ref="H42:T43"/>
    <mergeCell ref="U42:V43"/>
    <mergeCell ref="W42:Z43"/>
    <mergeCell ref="H25:P27"/>
    <mergeCell ref="Q25:T25"/>
    <mergeCell ref="U25:V26"/>
    <mergeCell ref="W25:X26"/>
    <mergeCell ref="Y25:Z26"/>
    <mergeCell ref="AA25:AI27"/>
    <mergeCell ref="Q26:T27"/>
    <mergeCell ref="AA42:AM43"/>
    <mergeCell ref="AJ26:AM27"/>
    <mergeCell ref="AO14:AP14"/>
    <mergeCell ref="AN16:AQ18"/>
    <mergeCell ref="B21:C22"/>
    <mergeCell ref="D21:G22"/>
    <mergeCell ref="H21:T24"/>
    <mergeCell ref="U21:V22"/>
    <mergeCell ref="W21:Z22"/>
    <mergeCell ref="AA21:AM24"/>
    <mergeCell ref="B19:C20"/>
    <mergeCell ref="D19:G20"/>
    <mergeCell ref="H19:T20"/>
    <mergeCell ref="U19:V20"/>
    <mergeCell ref="W19:Z20"/>
    <mergeCell ref="AA19:AM20"/>
    <mergeCell ref="B23:C24"/>
    <mergeCell ref="D23:G24"/>
    <mergeCell ref="U23:V24"/>
    <mergeCell ref="W23:Z24"/>
    <mergeCell ref="AN24:AN25"/>
    <mergeCell ref="AJ25:AM25"/>
    <mergeCell ref="AN19:AN20"/>
    <mergeCell ref="B25:C26"/>
    <mergeCell ref="D25:E26"/>
    <mergeCell ref="F25:G26"/>
    <mergeCell ref="B17:C18"/>
    <mergeCell ref="D17:G18"/>
    <mergeCell ref="H17:I18"/>
    <mergeCell ref="U17:V18"/>
    <mergeCell ref="W17:Z18"/>
    <mergeCell ref="AA17:AB18"/>
    <mergeCell ref="AN14:AN15"/>
    <mergeCell ref="O15:S16"/>
    <mergeCell ref="AH15:AL16"/>
    <mergeCell ref="AN9:AN10"/>
    <mergeCell ref="W2:X3"/>
    <mergeCell ref="Y2:Z3"/>
    <mergeCell ref="AA2:AI4"/>
    <mergeCell ref="AJ2:AM2"/>
    <mergeCell ref="AO4:AP4"/>
    <mergeCell ref="AN6:AQ8"/>
    <mergeCell ref="AO9:AP9"/>
    <mergeCell ref="AN11:AQ13"/>
    <mergeCell ref="Q3:T4"/>
    <mergeCell ref="AJ3:AM4"/>
    <mergeCell ref="W4:Z4"/>
    <mergeCell ref="AN4:AN5"/>
    <mergeCell ref="B2:C3"/>
    <mergeCell ref="D2:E3"/>
    <mergeCell ref="F2:G3"/>
    <mergeCell ref="H2:P4"/>
    <mergeCell ref="Q2:T2"/>
    <mergeCell ref="U2:V3"/>
    <mergeCell ref="E4:G4"/>
    <mergeCell ref="AN2:AQ3"/>
    <mergeCell ref="AO19:AP19"/>
    <mergeCell ref="AN21:AQ23"/>
    <mergeCell ref="AO24:AP24"/>
    <mergeCell ref="AN26:AQ28"/>
    <mergeCell ref="AO29:AP29"/>
    <mergeCell ref="AN31:AQ33"/>
    <mergeCell ref="AO34:AP34"/>
    <mergeCell ref="AN36:AQ38"/>
    <mergeCell ref="AO39:AP39"/>
  </mergeCells>
  <conditionalFormatting sqref="J18:T18">
    <cfRule type="expression" dxfId="288" priority="1">
      <formula>AND(J$17="(T)",AW$7&gt;1500)</formula>
    </cfRule>
  </conditionalFormatting>
  <dataValidations count="10">
    <dataValidation type="list" allowBlank="1" showInputMessage="1" showErrorMessage="1" sqref="F2:G3 Y2:Z3 F25:G26 Y25:Z26 F48:G49 Y48:Z49" xr:uid="{683CAE42-2C2D-43E2-8210-79380B284D3F}">
      <formula1>"Select,1,2,3,4,5,6,7,8,9,10,11,12,13,14,15"</formula1>
    </dataValidation>
    <dataValidation type="list" allowBlank="1" showInputMessage="1" showErrorMessage="1" sqref="Y71:Z72 F71:G72" xr:uid="{8784CD17-CD3C-4AE6-A481-7C384A3C635C}">
      <formula1>"Select,1,2,3,4,5,6,7,8"</formula1>
    </dataValidation>
    <dataValidation type="list" allowBlank="1" showInputMessage="1" showErrorMessage="1" sqref="B2:C3" xr:uid="{1623EB60-AAA8-4CF8-8D54-8D59A6C5B75D}">
      <formula1>"0,1,2,3,4,5,6,7,8"</formula1>
    </dataValidation>
    <dataValidation type="list" allowBlank="1" showInputMessage="1" showErrorMessage="1" sqref="AC86:AM86 AC17:AM17 J40:T40 AC40:AM40 J63:T63 AC63:AM63 J86:T86 J17:T17" xr:uid="{89137D1A-88E9-44AF-9098-58A6A5DDFDEA}">
      <formula1>Config</formula1>
    </dataValidation>
    <dataValidation type="list" allowBlank="1" showInputMessage="1" showErrorMessage="1" sqref="T16 AM16 T39 AM39 T62 AM62 T85 AM85" xr:uid="{E219AE9E-43AB-454C-81EA-225B956D1BC0}">
      <formula1>"Yes,No"</formula1>
    </dataValidation>
    <dataValidation type="list" allowBlank="1" showInputMessage="1" showErrorMessage="1" sqref="AQ4 AQ9 AQ14 AQ19 AQ24 AQ29 AQ34 AQ39 AQ44 AQ49 AQ54 AQ59" xr:uid="{410B7852-0F61-4BBD-8C73-A28F7A26C3D3}">
      <formula1>"Select,Yes,No"</formula1>
    </dataValidation>
    <dataValidation type="list" allowBlank="1" showInputMessage="1" showErrorMessage="1" sqref="AR4:AR63" xr:uid="{2339A2C9-CD2D-422A-8828-3AA5F7701F82}">
      <formula1>"0,1,2,3,4,5,6,7,8,9,10"</formula1>
    </dataValidation>
    <dataValidation type="list" allowBlank="1" showInputMessage="1" sqref="AS4:AS63" xr:uid="{2AF1E511-7F45-43F7-A52F-A8D24D2E8E70}">
      <formula1>"None,@30 x 1500, @30 x 3000"</formula1>
    </dataValidation>
    <dataValidation type="list" allowBlank="1" showInputMessage="1" sqref="Q3:T4 AJ3:AM4 AJ26:AM27 Q26:T27 Q49:T50 AJ49:AM50" xr:uid="{09709E79-C2D3-4D83-8E9F-A1B4F70DA30D}">
      <formula1>"Select,None,20,25,30,35,40,45,50,55,60,65,70"</formula1>
    </dataValidation>
    <dataValidation type="list" allowBlank="1" showInputMessage="1" showErrorMessage="1" sqref="B21:C22 U21:V22 B44:C45 U44:V45 B67:C68 U67:V68" xr:uid="{1A85A7E2-74DC-44DC-A75C-CE2B62BBF703}">
      <formula1>"Select Mid or split, Midrail, Split"</formula1>
    </dataValidation>
  </dataValidations>
  <pageMargins left="0.7" right="0.7" top="0.75" bottom="0.75" header="0.3" footer="0.3"/>
  <pageSetup paperSize="9" scale="50" orientation="landscape" horizontalDpi="4294967293" verticalDpi="4294967293"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SharedWithUsers xmlns="cf8670b9-b8ad-4d96-91b8-825fcd20d3a2">
      <UserInfo>
        <DisplayName>Paul // PerfectShutters</DisplayName>
        <AccountId>29</AccountId>
        <AccountType/>
      </UserInfo>
      <UserInfo>
        <DisplayName>Michelle // Perfect Shutters</DisplayName>
        <AccountId>27</AccountId>
        <AccountType/>
      </UserInfo>
      <UserInfo>
        <DisplayName>Matt // Perfect Shutters</DisplayName>
        <AccountId>33</AccountId>
        <AccountType/>
      </UserInfo>
      <UserInfo>
        <DisplayName>Kelly // Perfect Shutters</DisplayName>
        <AccountId>64</AccountId>
        <AccountType/>
      </UserInfo>
      <UserInfo>
        <DisplayName>Edward // Perfect Shutters</DisplayName>
        <AccountId>156</AccountId>
        <AccountType/>
      </UserInfo>
    </SharedWithUsers>
    <lcf76f155ced4ddcb4097134ff3c332f xmlns="06e90b66-35ff-44ba-8d49-d75b1562051f">
      <Terms xmlns="http://schemas.microsoft.com/office/infopath/2007/PartnerControls"/>
    </lcf76f155ced4ddcb4097134ff3c332f>
    <Frontrightlowerbay xmlns="06e90b66-35ff-44ba-8d49-d75b1562051f" xsi:nil="true"/>
    <TaxCatchAll xmlns="cf8670b9-b8ad-4d96-91b8-825fcd20d3a2"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7074E10E3EEF9F40922F4D3D72B434B9" ma:contentTypeVersion="27" ma:contentTypeDescription="Create a new document." ma:contentTypeScope="" ma:versionID="6d51e1abcb9278f45eba7bae1c3223e4">
  <xsd:schema xmlns:xsd="http://www.w3.org/2001/XMLSchema" xmlns:xs="http://www.w3.org/2001/XMLSchema" xmlns:p="http://schemas.microsoft.com/office/2006/metadata/properties" xmlns:ns2="cf8670b9-b8ad-4d96-91b8-825fcd20d3a2" xmlns:ns3="06e90b66-35ff-44ba-8d49-d75b1562051f" targetNamespace="http://schemas.microsoft.com/office/2006/metadata/properties" ma:root="true" ma:fieldsID="1c3d04c7d5c029d02749b78f29a19880" ns2:_="" ns3:_="">
    <xsd:import namespace="cf8670b9-b8ad-4d96-91b8-825fcd20d3a2"/>
    <xsd:import namespace="06e90b66-35ff-44ba-8d49-d75b1562051f"/>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DateTaken" minOccurs="0"/>
                <xsd:element ref="ns3:MediaLengthInSeconds" minOccurs="0"/>
                <xsd:element ref="ns3:MediaServiceOCR" minOccurs="0"/>
                <xsd:element ref="ns3:MediaServiceAutoKeyPoints" minOccurs="0"/>
                <xsd:element ref="ns3:MediaServiceKeyPoints" minOccurs="0"/>
                <xsd:element ref="ns3:MediaServiceLocation" minOccurs="0"/>
                <xsd:element ref="ns3:lcf76f155ced4ddcb4097134ff3c332f" minOccurs="0"/>
                <xsd:element ref="ns2:TaxCatchAll" minOccurs="0"/>
                <xsd:element ref="ns3:Frontrightlowerbay" minOccurs="0"/>
                <xsd:element ref="ns3:e314e91a-5d90-4366-994d-22e954e855a5CountryOrRegion" minOccurs="0"/>
                <xsd:element ref="ns3:e314e91a-5d90-4366-994d-22e954e855a5State" minOccurs="0"/>
                <xsd:element ref="ns3:e314e91a-5d90-4366-994d-22e954e855a5City" minOccurs="0"/>
                <xsd:element ref="ns3:e314e91a-5d90-4366-994d-22e954e855a5PostalCode" minOccurs="0"/>
                <xsd:element ref="ns3:e314e91a-5d90-4366-994d-22e954e855a5Street" minOccurs="0"/>
                <xsd:element ref="ns3:e314e91a-5d90-4366-994d-22e954e855a5GeoLoc" minOccurs="0"/>
                <xsd:element ref="ns3:e314e91a-5d90-4366-994d-22e954e855a5DispName"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f8670b9-b8ad-4d96-91b8-825fcd20d3a2"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728536a7-617b-4439-805d-594194ed6fd2}" ma:internalName="TaxCatchAll" ma:showField="CatchAllData" ma:web="cf8670b9-b8ad-4d96-91b8-825fcd20d3a2">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06e90b66-35ff-44ba-8d49-d75b1562051f"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DateTaken" ma:index="15" nillable="true" ma:displayName="MediaServiceDateTaken" ma:hidden="true" ma:internalName="MediaServiceDateTaken" ma:readOnly="true">
      <xsd:simpleType>
        <xsd:restriction base="dms:Text"/>
      </xsd:simpleType>
    </xsd:element>
    <xsd:element name="MediaLengthInSeconds" ma:index="16" nillable="true" ma:displayName="MediaLengthInSeconds" ma:hidden="true" ma:internalName="MediaLengthInSeconds" ma:readOnly="true">
      <xsd:simpleType>
        <xsd:restriction base="dms:Unknown"/>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ServiceLocation" ma:index="20" nillable="true" ma:displayName="Location" ma:internalName="MediaServiceLocation" ma:readOnly="true">
      <xsd:simpleType>
        <xsd:restriction base="dms:Text"/>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bdfd2305-b443-4943-8db4-2f56bfb730bb" ma:termSetId="09814cd3-568e-fe90-9814-8d621ff8fb84" ma:anchorId="fba54fb3-c3e1-fe81-a776-ca4b69148c4d" ma:open="true" ma:isKeyword="false">
      <xsd:complexType>
        <xsd:sequence>
          <xsd:element ref="pc:Terms" minOccurs="0" maxOccurs="1"/>
        </xsd:sequence>
      </xsd:complexType>
    </xsd:element>
    <xsd:element name="Frontrightlowerbay" ma:index="24" nillable="true" ma:displayName="Front right lower bay" ma:format="Dropdown" ma:internalName="Frontrightlowerbay">
      <xsd:simpleType>
        <xsd:restriction base="dms:Unknown"/>
      </xsd:simpleType>
    </xsd:element>
    <xsd:element name="e314e91a-5d90-4366-994d-22e954e855a5CountryOrRegion" ma:index="25" nillable="true" ma:displayName="Front right lower bay: Country/Region" ma:internalName="CountryOrRegion" ma:readOnly="true">
      <xsd:simpleType>
        <xsd:restriction base="dms:Text"/>
      </xsd:simpleType>
    </xsd:element>
    <xsd:element name="e314e91a-5d90-4366-994d-22e954e855a5State" ma:index="26" nillable="true" ma:displayName="Front right lower bay: State" ma:internalName="State" ma:readOnly="true">
      <xsd:simpleType>
        <xsd:restriction base="dms:Text"/>
      </xsd:simpleType>
    </xsd:element>
    <xsd:element name="e314e91a-5d90-4366-994d-22e954e855a5City" ma:index="27" nillable="true" ma:displayName="Front right lower bay: City" ma:internalName="City" ma:readOnly="true">
      <xsd:simpleType>
        <xsd:restriction base="dms:Text"/>
      </xsd:simpleType>
    </xsd:element>
    <xsd:element name="e314e91a-5d90-4366-994d-22e954e855a5PostalCode" ma:index="28" nillable="true" ma:displayName="Front right lower bay: Postal Code" ma:internalName="PostalCode" ma:readOnly="true">
      <xsd:simpleType>
        <xsd:restriction base="dms:Text"/>
      </xsd:simpleType>
    </xsd:element>
    <xsd:element name="e314e91a-5d90-4366-994d-22e954e855a5Street" ma:index="29" nillable="true" ma:displayName="Front right lower bay: Street" ma:internalName="Street" ma:readOnly="true">
      <xsd:simpleType>
        <xsd:restriction base="dms:Text"/>
      </xsd:simpleType>
    </xsd:element>
    <xsd:element name="e314e91a-5d90-4366-994d-22e954e855a5GeoLoc" ma:index="30" nillable="true" ma:displayName="Front right lower bay: Coordinates" ma:internalName="GeoLoc" ma:readOnly="true">
      <xsd:simpleType>
        <xsd:restriction base="dms:Unknown"/>
      </xsd:simpleType>
    </xsd:element>
    <xsd:element name="e314e91a-5d90-4366-994d-22e954e855a5DispName" ma:index="31" nillable="true" ma:displayName="Front right lower bay: Name" ma:internalName="DispName" ma:readOnly="true">
      <xsd:simpleType>
        <xsd:restriction base="dms:Text"/>
      </xsd:simpleType>
    </xsd:element>
    <xsd:element name="MediaServiceObjectDetectorVersions" ma:index="32"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33"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C8374C8-2ED5-4940-AA63-D5F43D17A075}"/>
</file>

<file path=customXml/itemProps2.xml><?xml version="1.0" encoding="utf-8"?>
<ds:datastoreItem xmlns:ds="http://schemas.openxmlformats.org/officeDocument/2006/customXml" ds:itemID="{06647398-220E-4D42-885B-CD4FEC6D7740}"/>
</file>

<file path=customXml/itemProps3.xml><?xml version="1.0" encoding="utf-8"?>
<ds:datastoreItem xmlns:ds="http://schemas.openxmlformats.org/officeDocument/2006/customXml" ds:itemID="{179DB3A6-8DF1-47D9-8838-1F391854C19E}"/>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andy spark</dc:creator>
  <cp:keywords/>
  <dc:description/>
  <cp:lastModifiedBy/>
  <cp:revision/>
  <dcterms:created xsi:type="dcterms:W3CDTF">2021-08-08T18:00:44Z</dcterms:created>
  <dcterms:modified xsi:type="dcterms:W3CDTF">2024-06-14T14:10:27Z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0x0101007074E10E3EEF9F40922F4D3D72B434B9</vt:lpwstr>
  </property>
  <property fmtid="{D5CDD505-2E9C-101B-9397-08002B2CF9AE}" pid="3" name="MediaServiceImageTags">
    <vt:lpwstr/>
  </property>
</Properties>
</file>