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perfectshutters.sharepoint.com/sites/Projects/Shared Documents/Generator/LIVE VERSION - DO NOT USE/"/>
    </mc:Choice>
  </mc:AlternateContent>
  <xr:revisionPtr revIDLastSave="0" documentId="13_ncr:1000001_{7E7F2338-BB92-384D-B4D3-AC2CE10C833C}" xr6:coauthVersionLast="47" xr6:coauthVersionMax="47" xr10:uidLastSave="{00000000-0000-0000-0000-000000000000}"/>
  <bookViews>
    <workbookView xWindow="-28920" yWindow="-120" windowWidth="29040" windowHeight="15840" activeTab="13" xr2:uid="{6926EE6A-0BF6-4A00-B0FC-A9A9D977EB11}"/>
  </bookViews>
  <sheets>
    <sheet name="Pricing" sheetId="2" r:id="rId1"/>
    <sheet name="Helper" sheetId="25" state="hidden" r:id="rId2"/>
    <sheet name="Pro Quote" sheetId="29" r:id="rId3"/>
    <sheet name="OLD Pro Quote" sheetId="7" state="veryHidden" r:id="rId4"/>
    <sheet name="Blind Pricing" sheetId="19" r:id="rId5"/>
    <sheet name="Comparison" sheetId="17" r:id="rId6"/>
    <sheet name="Survey Front" sheetId="3" r:id="rId7"/>
    <sheet name="Drawing" sheetId="4" r:id="rId8"/>
    <sheet name="Issue Report" sheetId="21" state="veryHidden" r:id="rId9"/>
    <sheet name="Install Time" sheetId="20" state="veryHidden" r:id="rId10"/>
    <sheet name="Matrix2" sheetId="6" state="veryHidden" r:id="rId11"/>
    <sheet name="Data" sheetId="1" state="veryHidden" r:id="rId12"/>
    <sheet name="CS2" sheetId="8" state="veryHidden" r:id="rId13"/>
    <sheet name="Blind Survey" sheetId="23" r:id="rId14"/>
    <sheet name="Signoff Sheet" sheetId="24" r:id="rId15"/>
    <sheet name="Delivery Note" sheetId="22" state="veryHidden" r:id="rId16"/>
    <sheet name="Job Sheet" sheetId="16" state="hidden" r:id="rId17"/>
    <sheet name="Matrix" sheetId="9" state="veryHidden" r:id="rId18"/>
    <sheet name="Antigua" sheetId="10" state="hidden" r:id="rId19"/>
    <sheet name="Bermuda" sheetId="14" state="hidden" r:id="rId20"/>
    <sheet name="Cuba" sheetId="11" state="hidden" r:id="rId21"/>
    <sheet name="Java" sheetId="12" state="hidden" r:id="rId22"/>
    <sheet name="Fiji" sheetId="13" state="hidden" r:id="rId23"/>
    <sheet name="Samoa" sheetId="15" state="hidden" r:id="rId24"/>
    <sheet name="Technical" sheetId="5" r:id="rId25"/>
    <sheet name="Hampton Spec" sheetId="27" r:id="rId26"/>
    <sheet name="Aruba Spec" sheetId="28" r:id="rId27"/>
  </sheets>
  <externalReferences>
    <externalReference r:id="rId28"/>
    <externalReference r:id="rId29"/>
    <externalReference r:id="rId30"/>
  </externalReferences>
  <definedNames>
    <definedName name="AdjustableHinge" localSheetId="15">[1]Data!$AH$20</definedName>
    <definedName name="AdjustableHinge">Data!$AO$20</definedName>
    <definedName name="Alouvre" localSheetId="18">Table2[AntiguaL]</definedName>
    <definedName name="Alouvre" localSheetId="26">Table2[AntiguaL]</definedName>
    <definedName name="Alouvre" localSheetId="19">Table2[AntiguaL]</definedName>
    <definedName name="Alouvre" localSheetId="13">Table2[AntiguaL]</definedName>
    <definedName name="Alouvre" localSheetId="12">Table2[AntiguaL]</definedName>
    <definedName name="Alouvre" localSheetId="20">Table2[AntiguaL]</definedName>
    <definedName name="Alouvre" localSheetId="15">[2]!Table2[AntiguaL]</definedName>
    <definedName name="Alouvre" localSheetId="7">Table2[AntiguaL]</definedName>
    <definedName name="Alouvre" localSheetId="22">Table2[AntiguaL]</definedName>
    <definedName name="Alouvre" localSheetId="21">Table2[AntiguaL]</definedName>
    <definedName name="Alouvre" localSheetId="17">Table2[AntiguaL]</definedName>
    <definedName name="Alouvre" localSheetId="10">Table2[AntiguaL]</definedName>
    <definedName name="Alouvre" localSheetId="3">Table2[AntiguaL]</definedName>
    <definedName name="Alouvre" localSheetId="0">Table2[AntiguaL]</definedName>
    <definedName name="Alouvre" localSheetId="23">Table2[AntiguaL]</definedName>
    <definedName name="Alouvre" localSheetId="14">Table2[AntiguaL]</definedName>
    <definedName name="Alouvre" localSheetId="6">Table2[AntiguaL]</definedName>
    <definedName name="Alouvre" localSheetId="24">Table2[AntiguaL]</definedName>
    <definedName name="Alouvre">Table2[AntiguaL]</definedName>
    <definedName name="Antigua" localSheetId="19">Table1[Antigua]</definedName>
    <definedName name="Antigua" localSheetId="20">Table1[Antigua]</definedName>
    <definedName name="Antigua" localSheetId="22">Table1[Antigua]</definedName>
    <definedName name="Antigua" localSheetId="21">Table1[Antigua]</definedName>
    <definedName name="Antigua" localSheetId="0">Data!$E$2:$E$9</definedName>
    <definedName name="Antigua" localSheetId="23">Table1[Antigua]</definedName>
    <definedName name="Antigua">Data!$E$2:$E$10</definedName>
    <definedName name="AntiguaH" localSheetId="0">Data!$AF$2:$AF$16</definedName>
    <definedName name="AntiguaH">Data!$AF$2:$AF$16</definedName>
    <definedName name="AntiguaL" localSheetId="18">Table2[AntiguaL]</definedName>
    <definedName name="AntiguaL" localSheetId="26">Table2[AntiguaL]</definedName>
    <definedName name="AntiguaL" localSheetId="19">Table2[AntiguaL]</definedName>
    <definedName name="AntiguaL" localSheetId="13">Table2[AntiguaL]</definedName>
    <definedName name="AntiguaL" localSheetId="12">Table2[AntiguaL]</definedName>
    <definedName name="AntiguaL" localSheetId="20">Table2[AntiguaL]</definedName>
    <definedName name="AntiguaL" localSheetId="15">[2]!Table2[AntiguaL]</definedName>
    <definedName name="AntiguaL" localSheetId="7">Table2[AntiguaL]</definedName>
    <definedName name="AntiguaL" localSheetId="22">Table2[AntiguaL]</definedName>
    <definedName name="AntiguaL" localSheetId="21">Table2[AntiguaL]</definedName>
    <definedName name="AntiguaL" localSheetId="17">Table2[AntiguaL]</definedName>
    <definedName name="AntiguaL" localSheetId="10">Table2[AntiguaL]</definedName>
    <definedName name="AntiguaL" localSheetId="3">Table2[AntiguaL]</definedName>
    <definedName name="AntiguaL" localSheetId="0">Table2[AntiguaL]</definedName>
    <definedName name="AntiguaL" localSheetId="23">Table2[AntiguaL]</definedName>
    <definedName name="AntiguaL" localSheetId="14">Table2[AntiguaL]</definedName>
    <definedName name="AntiguaL" localSheetId="6">Table2[AntiguaL]</definedName>
    <definedName name="AntiguaL" localSheetId="24">Table2[AntiguaL]</definedName>
    <definedName name="AntiguaL">Table2[AntiguaL]</definedName>
    <definedName name="AntiguaPrice">Matrix2!$L$3:$Z$3</definedName>
    <definedName name="AntiguaRules" localSheetId="15">#REF!</definedName>
    <definedName name="AntiguaRules">Pricing!$AI$8</definedName>
    <definedName name="Aruba">Data!$L$2:$L$16</definedName>
    <definedName name="ArubaH">Data!$AM$2:$AM$11</definedName>
    <definedName name="ArubaL">Data!$S$2:$S$3</definedName>
    <definedName name="ArubaTilt">Data!$V$19</definedName>
    <definedName name="AutoClose" localSheetId="15">[1]Data!$AH$14</definedName>
    <definedName name="AutoClose">Data!$AO$14</definedName>
    <definedName name="Bermuda" localSheetId="19">Table1[Bermuda]</definedName>
    <definedName name="Bermuda" localSheetId="20">Table1[Bermuda]</definedName>
    <definedName name="Bermuda" localSheetId="22">Table1[Bermuda]</definedName>
    <definedName name="Bermuda" localSheetId="21">Table1[Bermuda]</definedName>
    <definedName name="Bermuda" localSheetId="0">Data!$I$2:$I$25</definedName>
    <definedName name="Bermuda" localSheetId="23">Table1[Bermuda]</definedName>
    <definedName name="Bermuda">Data!$I$2:$I$25</definedName>
    <definedName name="BermudaH" localSheetId="0">Data!$AJ$2:$AJ$17</definedName>
    <definedName name="BermudaH">Data!$AJ$2:$AJ$17</definedName>
    <definedName name="BermudaL" localSheetId="18">Table2[BermudaL]</definedName>
    <definedName name="BermudaL" localSheetId="26">Table2[BermudaL]</definedName>
    <definedName name="BermudaL" localSheetId="19">Table2[BermudaL]</definedName>
    <definedName name="BermudaL" localSheetId="13">Table2[BermudaL]</definedName>
    <definedName name="BermudaL" localSheetId="12">Table2[BermudaL]</definedName>
    <definedName name="BermudaL" localSheetId="20">Table2[BermudaL]</definedName>
    <definedName name="BermudaL" localSheetId="15">[2]!Table2[BermudaL]</definedName>
    <definedName name="BermudaL" localSheetId="7">Table2[BermudaL]</definedName>
    <definedName name="BermudaL" localSheetId="22">Table2[BermudaL]</definedName>
    <definedName name="BermudaL" localSheetId="21">Table2[BermudaL]</definedName>
    <definedName name="BermudaL" localSheetId="17">Table2[BermudaL]</definedName>
    <definedName name="BermudaL" localSheetId="10">Table2[BermudaL]</definedName>
    <definedName name="BermudaL" localSheetId="3">Table2[BermudaL]</definedName>
    <definedName name="BermudaL" localSheetId="0">Table2[BermudaL]</definedName>
    <definedName name="BermudaL" localSheetId="23">Table2[BermudaL]</definedName>
    <definedName name="BermudaL" localSheetId="14">Table2[BermudaL]</definedName>
    <definedName name="BermudaL" localSheetId="6">Table2[BermudaL]</definedName>
    <definedName name="BermudaL" localSheetId="24">Table2[BermudaL]</definedName>
    <definedName name="BermudaL">Table2[BermudaL]</definedName>
    <definedName name="BermudaPrice">Matrix2!$L$4:$Z$4</definedName>
    <definedName name="BermudaRules" localSheetId="15">#REF!</definedName>
    <definedName name="BermudaRules">Pricing!$AI$11</definedName>
    <definedName name="Bolt" localSheetId="15">[1]Data!$AH$19</definedName>
    <definedName name="Bolt">Data!$AO$19</definedName>
    <definedName name="ConcealedHinge" localSheetId="15">[1]Data!$AH$15</definedName>
    <definedName name="ConcealedHinge">Data!$AO$15</definedName>
    <definedName name="Config" localSheetId="18">Table14[Samoa_Config]</definedName>
    <definedName name="Config" localSheetId="26">Table14[Samoa_Config]</definedName>
    <definedName name="Config" localSheetId="19">Table14[Samoa_Config]</definedName>
    <definedName name="Config" localSheetId="13">Table14[Samoa_Config]</definedName>
    <definedName name="Config" localSheetId="12">Table14[Samoa_Config]</definedName>
    <definedName name="Config" localSheetId="20">Table14[Samoa_Config]</definedName>
    <definedName name="Config" localSheetId="15">[2]!Table14[Samoa_Config]</definedName>
    <definedName name="Config" localSheetId="7">Table14[Samoa_Config]</definedName>
    <definedName name="Config" localSheetId="22">Table14[Samoa_Config]</definedName>
    <definedName name="Config" localSheetId="21">Table14[Samoa_Config]</definedName>
    <definedName name="Config" localSheetId="17">Table14[Samoa_Config]</definedName>
    <definedName name="Config" localSheetId="10">Table14[Samoa_Config]</definedName>
    <definedName name="Config" localSheetId="3">Table14[Samoa_Config]</definedName>
    <definedName name="Config" localSheetId="0">Table14[Samoa_Config]</definedName>
    <definedName name="Config" localSheetId="23">Table14[Samoa_Config]</definedName>
    <definedName name="Config" localSheetId="14">Table14[Samoa_Config]</definedName>
    <definedName name="Config" localSheetId="6">Table14[Samoa_Config]</definedName>
    <definedName name="Config" localSheetId="24">Table14[Samoa_Config]</definedName>
    <definedName name="Config">Table14[Samoa_Config]</definedName>
    <definedName name="Config1" localSheetId="26">Table14[Samoa_Config]</definedName>
    <definedName name="Config1" localSheetId="13">Table14[Samoa_Config]</definedName>
    <definedName name="Config1" localSheetId="14">Table14[Samoa_Config]</definedName>
    <definedName name="Config1">Table14[Samoa_Config]</definedName>
    <definedName name="Cuba" localSheetId="19">Table1[Cuba]</definedName>
    <definedName name="Cuba" localSheetId="20">Table1[Cuba]</definedName>
    <definedName name="Cuba" localSheetId="22">Table1[Cuba]</definedName>
    <definedName name="Cuba" localSheetId="21">Table1[Cuba]</definedName>
    <definedName name="Cuba" localSheetId="0">Data!$F$2:$F$25</definedName>
    <definedName name="Cuba" localSheetId="23">Table1[Cuba]</definedName>
    <definedName name="Cuba">Data!$F$2:$F$25</definedName>
    <definedName name="CubaH" localSheetId="0">Data!$AG$2:$AG$17</definedName>
    <definedName name="CubaH">Data!$AG$2:$AG$17</definedName>
    <definedName name="CubaL" localSheetId="18">Table2[CubaL]</definedName>
    <definedName name="CubaL" localSheetId="26">Table2[CubaL]</definedName>
    <definedName name="CubaL" localSheetId="19">Table2[CubaL]</definedName>
    <definedName name="CubaL" localSheetId="13">Table2[CubaL]</definedName>
    <definedName name="CubaL" localSheetId="12">Table2[CubaL]</definedName>
    <definedName name="CubaL" localSheetId="20">Table2[CubaL]</definedName>
    <definedName name="CubaL" localSheetId="15">[2]!Table2[CubaL]</definedName>
    <definedName name="CubaL" localSheetId="7">Table2[CubaL]</definedName>
    <definedName name="CubaL" localSheetId="22">Table2[CubaL]</definedName>
    <definedName name="CubaL" localSheetId="21">Table2[CubaL]</definedName>
    <definedName name="CubaL" localSheetId="17">Table2[CubaL]</definedName>
    <definedName name="CubaL" localSheetId="10">Table2[CubaL]</definedName>
    <definedName name="CubaL" localSheetId="3">Table2[CubaL]</definedName>
    <definedName name="CubaL" localSheetId="0">Table2[CubaL]</definedName>
    <definedName name="CubaL" localSheetId="23">Table2[CubaL]</definedName>
    <definedName name="CubaL" localSheetId="14">Table2[CubaL]</definedName>
    <definedName name="CubaL" localSheetId="6">Table2[CubaL]</definedName>
    <definedName name="CubaL" localSheetId="24">Table2[CubaL]</definedName>
    <definedName name="CubaL">Table2[CubaL]</definedName>
    <definedName name="CubaPrice">Matrix2!$L$5:$Z$5</definedName>
    <definedName name="CubaRules" localSheetId="15">#REF!</definedName>
    <definedName name="CubaRules">Pricing!$AI$14</definedName>
    <definedName name="Discount">Table18[Discount Reason]</definedName>
    <definedName name="Discounts" localSheetId="18">Table18[Discount Reason]</definedName>
    <definedName name="Discounts" localSheetId="26">Table18[Discount Reason]</definedName>
    <definedName name="Discounts" localSheetId="19">Table18[Discount Reason]</definedName>
    <definedName name="Discounts" localSheetId="13">Table18[Discount Reason]</definedName>
    <definedName name="Discounts" localSheetId="12">Table18[Discount Reason]</definedName>
    <definedName name="Discounts" localSheetId="20">Table18[Discount Reason]</definedName>
    <definedName name="Discounts" localSheetId="15">[2]!Table18[Discount Reason]</definedName>
    <definedName name="Discounts" localSheetId="7">Table18[Discount Reason]</definedName>
    <definedName name="Discounts" localSheetId="22">Table18[Discount Reason]</definedName>
    <definedName name="Discounts" localSheetId="21">Table18[Discount Reason]</definedName>
    <definedName name="Discounts" localSheetId="17">Table18[Discount Reason]</definedName>
    <definedName name="Discounts" localSheetId="10">Table18[Discount Reason]</definedName>
    <definedName name="Discounts" localSheetId="3">Table18[Discount Reason]</definedName>
    <definedName name="Discounts" localSheetId="0">Table18[Discount Reason]</definedName>
    <definedName name="Discounts" localSheetId="23">Table18[Discount Reason]</definedName>
    <definedName name="Discounts" localSheetId="14">Table18[Discount Reason]</definedName>
    <definedName name="Discounts" localSheetId="6">Table18[Discount Reason]</definedName>
    <definedName name="Discounts" localSheetId="24">Table18[Discount Reason]</definedName>
    <definedName name="Discounts">Table18[Discount Reason]</definedName>
    <definedName name="DiscountsFin">Data!$AA$10:$AA$14</definedName>
    <definedName name="Fiji" localSheetId="18">Table1[Fiji]</definedName>
    <definedName name="Fiji" localSheetId="26">Table1[Fiji]</definedName>
    <definedName name="Fiji" localSheetId="19">Table1[Fiji]</definedName>
    <definedName name="Fiji" localSheetId="13">Table1[Fiji]</definedName>
    <definedName name="Fiji" localSheetId="12">Table1[Fiji]</definedName>
    <definedName name="Fiji" localSheetId="20">Table1[Fiji]</definedName>
    <definedName name="Fiji" localSheetId="15">[2]!Table1[Fiji]</definedName>
    <definedName name="Fiji" localSheetId="7">Table1[Fiji]</definedName>
    <definedName name="Fiji" localSheetId="22">Table1[Fiji]</definedName>
    <definedName name="Fiji" localSheetId="21">Table1[Fiji]</definedName>
    <definedName name="Fiji" localSheetId="17">Table1[Fiji]</definedName>
    <definedName name="Fiji" localSheetId="10">Table1[Fiji]</definedName>
    <definedName name="Fiji" localSheetId="3">Table1[Fiji]</definedName>
    <definedName name="Fiji" localSheetId="0">Table1[Fiji]</definedName>
    <definedName name="Fiji" localSheetId="23">Table1[Fiji]</definedName>
    <definedName name="Fiji" localSheetId="14">Table1[Fiji]</definedName>
    <definedName name="Fiji" localSheetId="6">Table1[Fiji]</definedName>
    <definedName name="Fiji" localSheetId="24">Table1[Fiji]</definedName>
    <definedName name="Fiji">Table1[Fiji]</definedName>
    <definedName name="FijiH" localSheetId="0">Data!$AI$2:$AI$17</definedName>
    <definedName name="FijiH">Data!$AI$2:$AI$17</definedName>
    <definedName name="FijiL" localSheetId="18">Table2[FijiL]</definedName>
    <definedName name="FijiL" localSheetId="26">Table2[FijiL]</definedName>
    <definedName name="FijiL" localSheetId="19">Table2[FijiL]</definedName>
    <definedName name="FijiL" localSheetId="13">Table2[FijiL]</definedName>
    <definedName name="FijiL" localSheetId="12">Table2[FijiL]</definedName>
    <definedName name="FijiL" localSheetId="20">Table2[FijiL]</definedName>
    <definedName name="FijiL" localSheetId="15">[2]!Table2[FijiL]</definedName>
    <definedName name="FijiL" localSheetId="7">Table2[FijiL]</definedName>
    <definedName name="FijiL" localSheetId="22">Table2[FijiL]</definedName>
    <definedName name="FijiL" localSheetId="21">Table2[FijiL]</definedName>
    <definedName name="FijiL" localSheetId="17">Table2[FijiL]</definedName>
    <definedName name="FijiL" localSheetId="10">Table2[FijiL]</definedName>
    <definedName name="FijiL" localSheetId="3">Table2[FijiL]</definedName>
    <definedName name="FijiL" localSheetId="0">Table2[FijiL]</definedName>
    <definedName name="FijiL" localSheetId="23">Table2[FijiL]</definedName>
    <definedName name="FijiL" localSheetId="14">Table2[FijiL]</definedName>
    <definedName name="FijiL" localSheetId="6">Table2[FijiL]</definedName>
    <definedName name="FijiL" localSheetId="24">Table2[FijiL]</definedName>
    <definedName name="FijiL">Table2[FijiL]</definedName>
    <definedName name="FijiPrice">Matrix2!$L$7:$Z$7</definedName>
    <definedName name="FijiRules" localSheetId="15">#REF!</definedName>
    <definedName name="FijiRules">Pricing!$AI$20</definedName>
    <definedName name="Frame" localSheetId="18">Table3[Frames]</definedName>
    <definedName name="Frame" localSheetId="26">Table3[Frames]</definedName>
    <definedName name="Frame" localSheetId="19">Table3[Frames]</definedName>
    <definedName name="Frame" localSheetId="13">Table3[Frames]</definedName>
    <definedName name="Frame" localSheetId="12">Table3[Frames]</definedName>
    <definedName name="Frame" localSheetId="20">Table3[Frames]</definedName>
    <definedName name="Frame" localSheetId="15">[2]!Table3[Frames]</definedName>
    <definedName name="Frame" localSheetId="7">Table3[Frames]</definedName>
    <definedName name="Frame" localSheetId="22">Table3[Frames]</definedName>
    <definedName name="Frame" localSheetId="21">Table3[Frames]</definedName>
    <definedName name="Frame" localSheetId="17">Table3[Frames]</definedName>
    <definedName name="Frame" localSheetId="10">Table3[Frames]</definedName>
    <definedName name="Frame" localSheetId="3">Table3[Frames]</definedName>
    <definedName name="Frame" localSheetId="0">Table3[Frames]</definedName>
    <definedName name="Frame" localSheetId="23">Table3[Frames]</definedName>
    <definedName name="Frame" localSheetId="14">Table3[Frames]</definedName>
    <definedName name="Frame" localSheetId="6">Table3[Frames]</definedName>
    <definedName name="Frame" localSheetId="24">Table3[Frames]</definedName>
    <definedName name="Frame">Table3[Frames]</definedName>
    <definedName name="Hampton">Data!$K$2:$K$3</definedName>
    <definedName name="Hamptonf">Data!$U$8:$U$11</definedName>
    <definedName name="HamptonL" localSheetId="26">Table21[HamptonL]</definedName>
    <definedName name="HamptonL">Table21[HamptonL]</definedName>
    <definedName name="HamptonStyle" localSheetId="26">Table22[HamptonStyle]</definedName>
    <definedName name="HamptonStyle">Table22[HamptonStyle]</definedName>
    <definedName name="HamptonT">Data!$U$19</definedName>
    <definedName name="HamptonTilt" localSheetId="26">Table24[HamptonTilt]</definedName>
    <definedName name="HamptonTilt">Table24[HamptonTilt]</definedName>
    <definedName name="HorizontalPost" localSheetId="18">Table6[HorizontalPost]</definedName>
    <definedName name="HorizontalPost" localSheetId="26">Table6[HorizontalPost]</definedName>
    <definedName name="HorizontalPost" localSheetId="19">Table6[HorizontalPost]</definedName>
    <definedName name="HorizontalPost" localSheetId="13">Table6[HorizontalPost]</definedName>
    <definedName name="HorizontalPost" localSheetId="12">Table6[HorizontalPost]</definedName>
    <definedName name="HorizontalPost" localSheetId="20">Table6[HorizontalPost]</definedName>
    <definedName name="HorizontalPost" localSheetId="15">[2]!Table6[HorizontalPost]</definedName>
    <definedName name="HorizontalPost" localSheetId="7">Table6[HorizontalPost]</definedName>
    <definedName name="HorizontalPost" localSheetId="22">Table6[HorizontalPost]</definedName>
    <definedName name="HorizontalPost" localSheetId="21">Table6[HorizontalPost]</definedName>
    <definedName name="HorizontalPost" localSheetId="17">Table6[HorizontalPost]</definedName>
    <definedName name="HorizontalPost" localSheetId="10">Table6[HorizontalPost]</definedName>
    <definedName name="HorizontalPost" localSheetId="3">Table6[HorizontalPost]</definedName>
    <definedName name="HorizontalPost" localSheetId="0">Table6[HorizontalPost]</definedName>
    <definedName name="HorizontalPost" localSheetId="23">Table6[HorizontalPost]</definedName>
    <definedName name="HorizontalPost" localSheetId="14">Table6[HorizontalPost]</definedName>
    <definedName name="HorizontalPost" localSheetId="6">Table6[HorizontalPost]</definedName>
    <definedName name="HorizontalPost" localSheetId="24">Table6[HorizontalPost]</definedName>
    <definedName name="HorizontalPost">Table6[HorizontalPost]</definedName>
    <definedName name="Java" localSheetId="19">Table1[Java]</definedName>
    <definedName name="Java" localSheetId="20">Table1[Java]</definedName>
    <definedName name="Java" localSheetId="22">Table1[Java]</definedName>
    <definedName name="Java" localSheetId="21">Table1[Java]</definedName>
    <definedName name="Java" localSheetId="0">Data!$G$2:$G$25</definedName>
    <definedName name="Java" localSheetId="23">Table1[Java]</definedName>
    <definedName name="Java">Data!$G$2:$G$25</definedName>
    <definedName name="JavaH" localSheetId="0">Data!$AH$2</definedName>
    <definedName name="JavaH">Data!$AH$2</definedName>
    <definedName name="JavaL" localSheetId="18">Table2[JavaL]</definedName>
    <definedName name="JavaL" localSheetId="26">Table2[JavaL]</definedName>
    <definedName name="JavaL" localSheetId="19">Table2[JavaL]</definedName>
    <definedName name="JavaL" localSheetId="13">Table2[JavaL]</definedName>
    <definedName name="JavaL" localSheetId="12">Table2[JavaL]</definedName>
    <definedName name="JavaL" localSheetId="20">Table2[JavaL]</definedName>
    <definedName name="JavaL" localSheetId="15">[2]!Table2[JavaL]</definedName>
    <definedName name="JavaL" localSheetId="7">Table2[JavaL]</definedName>
    <definedName name="JavaL" localSheetId="22">Table2[JavaL]</definedName>
    <definedName name="JavaL" localSheetId="21">Table2[JavaL]</definedName>
    <definedName name="JavaL" localSheetId="17">Table2[JavaL]</definedName>
    <definedName name="JavaL" localSheetId="10">Table2[JavaL]</definedName>
    <definedName name="JavaL" localSheetId="3">Table2[JavaL]</definedName>
    <definedName name="JavaL" localSheetId="0">Table2[JavaL]</definedName>
    <definedName name="JavaL" localSheetId="23">Table2[JavaL]</definedName>
    <definedName name="JavaL" localSheetId="14">Table2[JavaL]</definedName>
    <definedName name="JavaL" localSheetId="6">Table2[JavaL]</definedName>
    <definedName name="JavaL" localSheetId="24">Table2[JavaL]</definedName>
    <definedName name="JavaL">Table2[JavaL]</definedName>
    <definedName name="JavaPrice">Matrix2!$L$6:$Z$6</definedName>
    <definedName name="JavaRules" localSheetId="15">#REF!</definedName>
    <definedName name="JavaRules">Pricing!$AI$17</definedName>
    <definedName name="MMaterial" localSheetId="18">Data!$D$2:$D$6</definedName>
    <definedName name="MMaterial" localSheetId="19">Table1[Material]</definedName>
    <definedName name="MMaterial" localSheetId="12">Data!$D$2:$D$6</definedName>
    <definedName name="MMaterial" localSheetId="20">Table1[Material]</definedName>
    <definedName name="MMaterial" localSheetId="7">Data!$D$2:$D$6</definedName>
    <definedName name="MMaterial" localSheetId="22">Table1[Material]</definedName>
    <definedName name="MMaterial" localSheetId="21">Table1[Material]</definedName>
    <definedName name="MMaterial" localSheetId="16">[3]Data!$D$2:$D$7</definedName>
    <definedName name="MMaterial" localSheetId="17">Data!$D$2:$D$6</definedName>
    <definedName name="MMaterial" localSheetId="10">Data!$D$2:$D$8</definedName>
    <definedName name="MMaterial" localSheetId="3">Data!$D$2:$D$8</definedName>
    <definedName name="MMaterial" localSheetId="0">Data!$D$2:$D$8</definedName>
    <definedName name="MMaterial" localSheetId="23">Table1[Material]</definedName>
    <definedName name="MMaterial" localSheetId="14">Data!$D$2:$D$6</definedName>
    <definedName name="MMaterial" localSheetId="6">Data!$D$2:$D$8</definedName>
    <definedName name="MMaterial" localSheetId="24">Data!$D$2:$D$8</definedName>
    <definedName name="MMaterial">Data!$D$2:$D$8</definedName>
    <definedName name="NickelKnobA" localSheetId="15">[1]Data!$AH$23</definedName>
    <definedName name="NickelKnobA">Data!$AO$23</definedName>
    <definedName name="NickelKnobB" localSheetId="15">[1]Data!$AH$24</definedName>
    <definedName name="NickelKnobB">Data!$AO$24</definedName>
    <definedName name="NoneStdShape" localSheetId="15">[1]Data!$AH$17</definedName>
    <definedName name="NoneStdShape">Data!$AO$17</definedName>
    <definedName name="PowerMotion" localSheetId="15">[1]Data!$AH$21</definedName>
    <definedName name="PowerMotion">Data!$AO$21</definedName>
    <definedName name="PowerMotionRemote" localSheetId="15">[1]Data!$AH$22</definedName>
    <definedName name="PowerMotionRemote">Data!$AO$22</definedName>
    <definedName name="_xlnm.Print_Area" localSheetId="5">Comparison!$A$1:$J$21</definedName>
    <definedName name="_xlnm.Print_Area" localSheetId="15">'Delivery Note'!$B$2:$AI$51</definedName>
    <definedName name="_xlnm.Print_Area" localSheetId="16">'Job Sheet'!$A$1:$W$57</definedName>
    <definedName name="_xlnm.Print_Area" localSheetId="3">'OLD Pro Quote'!$A$1:$L$54</definedName>
    <definedName name="_xlnm.Print_Area" localSheetId="0">Pricing!$A$1:$AF$90</definedName>
    <definedName name="_xlnm.Print_Area" localSheetId="2">'Pro Quote'!$A$1:$L$54</definedName>
    <definedName name="_xlnm.Print_Area" localSheetId="14">'Signoff Sheet'!$A$1:$AB$41</definedName>
    <definedName name="Reps">Data!$AD$9:$AD$15</definedName>
    <definedName name="RingPull" localSheetId="15">[1]Data!$AH$18</definedName>
    <definedName name="RingPull">Data!$AO$18</definedName>
    <definedName name="RoomLoc" localSheetId="18">Data!$B$5:$B$18</definedName>
    <definedName name="RoomLoc" localSheetId="19">Table1[Room2]</definedName>
    <definedName name="RoomLoc" localSheetId="12">Data!$B$2:$B$24</definedName>
    <definedName name="RoomLoc" localSheetId="20">Table1[Room2]</definedName>
    <definedName name="RoomLoc" localSheetId="7">Data!$B$2:$B$24</definedName>
    <definedName name="RoomLoc" localSheetId="22">Table1[Room2]</definedName>
    <definedName name="RoomLoc" localSheetId="21">Table1[Room2]</definedName>
    <definedName name="RoomLoc" localSheetId="16">[3]Data!$B$2:$B$13</definedName>
    <definedName name="RoomLoc" localSheetId="17">Data!$B$5:$B$18</definedName>
    <definedName name="RoomLoc" localSheetId="10">Data!$B$2:$B$20</definedName>
    <definedName name="RoomLoc" localSheetId="3">Data!$B$2:$B$24</definedName>
    <definedName name="RoomLoc" localSheetId="0">Data!$B$2:$B$24</definedName>
    <definedName name="RoomLoc" localSheetId="23">Table1[Room2]</definedName>
    <definedName name="RoomLoc" localSheetId="14">Data!$B$2:$B$24</definedName>
    <definedName name="RoomLoc" localSheetId="6">Data!$B$2:$B$24</definedName>
    <definedName name="RoomLoc" localSheetId="24">Data!$B$2:$B$24</definedName>
    <definedName name="RoomLoc">Data!$B$2:$B$24</definedName>
    <definedName name="rooms" localSheetId="18">Data!$A$2:$A$9</definedName>
    <definedName name="rooms" localSheetId="19">Table1[Rooms]</definedName>
    <definedName name="rooms" localSheetId="12">Data!$A$2:$A$9</definedName>
    <definedName name="rooms" localSheetId="20">Table1[Rooms]</definedName>
    <definedName name="rooms" localSheetId="15">[2]Data!$A$2:$A$8</definedName>
    <definedName name="rooms" localSheetId="7">Data!$A$2:$A$14</definedName>
    <definedName name="rooms" localSheetId="22">Table1[Rooms]</definedName>
    <definedName name="rooms" localSheetId="21">Table1[Rooms]</definedName>
    <definedName name="rooms" localSheetId="16">[3]Data!$A$2:$A$8</definedName>
    <definedName name="rooms" localSheetId="17">Data!$A$2:$A$9</definedName>
    <definedName name="rooms" localSheetId="10">Data!$A$2:$A$9</definedName>
    <definedName name="rooms" localSheetId="3">Data!$A$2:$A$14</definedName>
    <definedName name="rooms" localSheetId="0">Data!$A$2:$A$14</definedName>
    <definedName name="rooms" localSheetId="23">Table1[Rooms]</definedName>
    <definedName name="rooms" localSheetId="14">Data!$A$2:$A$9</definedName>
    <definedName name="rooms" localSheetId="6">Data!$A$2:$A$14</definedName>
    <definedName name="rooms" localSheetId="24">Data!$A$2:$A$14</definedName>
    <definedName name="rooms">Data!$A$2:$A$14</definedName>
    <definedName name="SalesTeam" localSheetId="15">[1]Data!$Y$9:$Y$15</definedName>
    <definedName name="SalesTeam">Data!$AD$9:$AD$15</definedName>
    <definedName name="Samoa" localSheetId="18">Table1[Samoa]</definedName>
    <definedName name="Samoa" localSheetId="26">Table1[Samoa]</definedName>
    <definedName name="Samoa" localSheetId="19">Table1[Samoa]</definedName>
    <definedName name="Samoa" localSheetId="13">Table1[Samoa]</definedName>
    <definedName name="Samoa" localSheetId="12">Table1[Samoa]</definedName>
    <definedName name="Samoa" localSheetId="20">Table1[Samoa]</definedName>
    <definedName name="Samoa" localSheetId="15">[2]!Table1[Samoa]</definedName>
    <definedName name="Samoa" localSheetId="7">Table1[Samoa]</definedName>
    <definedName name="Samoa" localSheetId="22">Table1[Samoa]</definedName>
    <definedName name="Samoa" localSheetId="21">Table1[Samoa]</definedName>
    <definedName name="Samoa" localSheetId="17">Table1[Samoa]</definedName>
    <definedName name="Samoa" localSheetId="10">Table1[Samoa]</definedName>
    <definedName name="Samoa" localSheetId="3">Table1[Samoa]</definedName>
    <definedName name="Samoa" localSheetId="0">Table1[Samoa]</definedName>
    <definedName name="Samoa" localSheetId="23">Table1[Samoa]</definedName>
    <definedName name="Samoa" localSheetId="14">Table1[Samoa]</definedName>
    <definedName name="Samoa" localSheetId="6">Table1[Samoa]</definedName>
    <definedName name="Samoa" localSheetId="24">Table1[Samoa]</definedName>
    <definedName name="Samoa">Table1[Samoa]</definedName>
    <definedName name="SamoaH" localSheetId="18">Table13[SamoaH]</definedName>
    <definedName name="SamoaH" localSheetId="26">Table13[SamoaH]</definedName>
    <definedName name="SamoaH" localSheetId="19">Table13[SamoaH]</definedName>
    <definedName name="SamoaH" localSheetId="13">Table13[SamoaH]</definedName>
    <definedName name="SamoaH" localSheetId="12">Table13[SamoaH]</definedName>
    <definedName name="SamoaH" localSheetId="20">Table13[SamoaH]</definedName>
    <definedName name="SamoaH" localSheetId="15">[2]!Table13[SamoaH]</definedName>
    <definedName name="SamoaH" localSheetId="7">Table13[SamoaH]</definedName>
    <definedName name="SamoaH" localSheetId="22">Table13[SamoaH]</definedName>
    <definedName name="SamoaH" localSheetId="21">Table13[SamoaH]</definedName>
    <definedName name="SamoaH" localSheetId="17">Table13[SamoaH]</definedName>
    <definedName name="SamoaH" localSheetId="10">Table13[SamoaH]</definedName>
    <definedName name="SamoaH" localSheetId="3">Table13[SamoaH]</definedName>
    <definedName name="SamoaH" localSheetId="0">Table13[SamoaH]</definedName>
    <definedName name="SamoaH" localSheetId="23">Table13[SamoaH]</definedName>
    <definedName name="SamoaH" localSheetId="14">Table13[SamoaH]</definedName>
    <definedName name="SamoaH" localSheetId="6">Table13[SamoaH]</definedName>
    <definedName name="SamoaH" localSheetId="24">Table13[SamoaH]</definedName>
    <definedName name="SamoaH">Table13[SamoaH]</definedName>
    <definedName name="SamoaL" localSheetId="18">Table2[ArubaL]</definedName>
    <definedName name="SamoaL" localSheetId="19">Table2[ArubaL]</definedName>
    <definedName name="SamoaL" localSheetId="13">Table2[ArubaL]</definedName>
    <definedName name="SamoaL" localSheetId="12">Table2[ArubaL]</definedName>
    <definedName name="SamoaL" localSheetId="20">Table2[ArubaL]</definedName>
    <definedName name="SamoaL" localSheetId="15">[2]!Table2[SamoaL]</definedName>
    <definedName name="SamoaL" localSheetId="7">Table2[ArubaL]</definedName>
    <definedName name="SamoaL" localSheetId="22">Table2[ArubaL]</definedName>
    <definedName name="SamoaL" localSheetId="21">Table2[ArubaL]</definedName>
    <definedName name="SamoaL" localSheetId="17">Table2[ArubaL]</definedName>
    <definedName name="SamoaL" localSheetId="10">Table2[ArubaL]</definedName>
    <definedName name="SamoaL" localSheetId="3">Table2[ArubaL]</definedName>
    <definedName name="SamoaL" localSheetId="0">Table2[ArubaL]</definedName>
    <definedName name="SamoaL" localSheetId="23">Table2[ArubaL]</definedName>
    <definedName name="SamoaL" localSheetId="14">Table2[ArubaL]</definedName>
    <definedName name="SamoaL" localSheetId="6">Table2[ArubaL]</definedName>
    <definedName name="SamoaL" localSheetId="24">Table2[ArubaL]</definedName>
    <definedName name="SamoaL">Table2[ArubaL]</definedName>
    <definedName name="SamoaPrice">Matrix2!$L$8:$Z$8</definedName>
    <definedName name="Shapes" localSheetId="15">[1]Data!$D$6:$D$7</definedName>
    <definedName name="Shapes">Data!$D$5:$D$6</definedName>
    <definedName name="Shuttype">Data!$C$2:$C$9</definedName>
    <definedName name="Sides" localSheetId="18">Table16[Sides]</definedName>
    <definedName name="Sides" localSheetId="26">Table16[Sides]</definedName>
    <definedName name="Sides" localSheetId="19">Table16[Sides]</definedName>
    <definedName name="Sides" localSheetId="13">Table16[Sides]</definedName>
    <definedName name="Sides" localSheetId="12">Table16[Sides]</definedName>
    <definedName name="Sides" localSheetId="20">Table16[Sides]</definedName>
    <definedName name="Sides" localSheetId="15">[2]!Table16[Sides]</definedName>
    <definedName name="Sides" localSheetId="7">Table16[Sides]</definedName>
    <definedName name="Sides" localSheetId="22">Table16[Sides]</definedName>
    <definedName name="Sides" localSheetId="21">Table16[Sides]</definedName>
    <definedName name="Sides" localSheetId="17">Table16[Sides]</definedName>
    <definedName name="Sides" localSheetId="10">Table16[Sides]</definedName>
    <definedName name="Sides" localSheetId="3">Table16[Sides]</definedName>
    <definedName name="Sides" localSheetId="0">Table16[Sides]</definedName>
    <definedName name="Sides" localSheetId="23">Table16[Sides]</definedName>
    <definedName name="Sides" localSheetId="14">Table16[Sides]</definedName>
    <definedName name="Sides" localSheetId="6">Table16[Sides]</definedName>
    <definedName name="Sides" localSheetId="24">Table16[Sides]</definedName>
    <definedName name="Sides">Table16[Sides]</definedName>
    <definedName name="SSFrame" localSheetId="15">[1]Data!$L$24</definedName>
    <definedName name="SSFrame">Data!$N$24</definedName>
    <definedName name="Style" localSheetId="18">Table4[Style]</definedName>
    <definedName name="Style" localSheetId="26">Table4[Style]</definedName>
    <definedName name="Style" localSheetId="19">Table4[Style]</definedName>
    <definedName name="Style" localSheetId="13">Table4[Style]</definedName>
    <definedName name="Style" localSheetId="12">Table4[Style]</definedName>
    <definedName name="Style" localSheetId="20">Table4[Style]</definedName>
    <definedName name="Style" localSheetId="15">[2]!Table4[Style]</definedName>
    <definedName name="Style" localSheetId="7">Table4[Style]</definedName>
    <definedName name="Style" localSheetId="22">Table4[Style]</definedName>
    <definedName name="Style" localSheetId="21">Table4[Style]</definedName>
    <definedName name="Style" localSheetId="17">Table4[Style]</definedName>
    <definedName name="Style" localSheetId="10">Table4[Style]</definedName>
    <definedName name="Style" localSheetId="3">Table4[Style]</definedName>
    <definedName name="Style" localSheetId="0">Table4[Style]</definedName>
    <definedName name="Style" localSheetId="23">Table4[Style]</definedName>
    <definedName name="Style" localSheetId="14">Table4[Style]</definedName>
    <definedName name="Style" localSheetId="6">Table4[Style]</definedName>
    <definedName name="Style" localSheetId="24">Table4[Style]</definedName>
    <definedName name="Style">Table4[Style]</definedName>
    <definedName name="Surveyors" localSheetId="18">Table17[Surveyors]</definedName>
    <definedName name="Surveyors" localSheetId="26">Table17[Surveyors]</definedName>
    <definedName name="Surveyors" localSheetId="19">Table17[Surveyors]</definedName>
    <definedName name="Surveyors" localSheetId="13">Table17[Surveyors]</definedName>
    <definedName name="Surveyors" localSheetId="12">Table17[Surveyors]</definedName>
    <definedName name="Surveyors" localSheetId="20">Table17[Surveyors]</definedName>
    <definedName name="Surveyors" localSheetId="15">[2]!Table17[Surveyors]</definedName>
    <definedName name="Surveyors" localSheetId="7">Table17[Surveyors]</definedName>
    <definedName name="Surveyors" localSheetId="22">Table17[Surveyors]</definedName>
    <definedName name="Surveyors" localSheetId="21">Table17[Surveyors]</definedName>
    <definedName name="Surveyors" localSheetId="17">Table17[Surveyors]</definedName>
    <definedName name="Surveyors" localSheetId="10">Table17[Surveyors]</definedName>
    <definedName name="Surveyors" localSheetId="3">Table17[Surveyors]</definedName>
    <definedName name="Surveyors" localSheetId="0">Table17[Surveyors]</definedName>
    <definedName name="Surveyors" localSheetId="23">Table17[Surveyors]</definedName>
    <definedName name="Surveyors" localSheetId="14">Table17[Surveyors]</definedName>
    <definedName name="Surveyors" localSheetId="6">Table17[Surveyors]</definedName>
    <definedName name="Surveyors" localSheetId="24">Table17[Surveyors]</definedName>
    <definedName name="Surveyors">Table17[Surveyors]</definedName>
    <definedName name="TelescopicWand" localSheetId="15">[1]Data!$AH$16</definedName>
    <definedName name="TelescopicWand">Data!$AO$16</definedName>
    <definedName name="TFrame" localSheetId="26">Table19[Tframes]</definedName>
    <definedName name="TFrame" localSheetId="13">Table19[Tframes]</definedName>
    <definedName name="TFrame" localSheetId="14">Table19[Tframes]</definedName>
    <definedName name="TFrame">Table19[Tframes]</definedName>
    <definedName name="TFrames" localSheetId="18">Table19[Tframes]</definedName>
    <definedName name="TFrames" localSheetId="26">Table19[Tframes]</definedName>
    <definedName name="TFrames" localSheetId="19">Table19[Tframes]</definedName>
    <definedName name="TFrames" localSheetId="13">Table19[Tframes]</definedName>
    <definedName name="TFrames" localSheetId="12">Table19[Tframes]</definedName>
    <definedName name="TFrames" localSheetId="20">Table19[Tframes]</definedName>
    <definedName name="TFrames" localSheetId="15">[2]!Table19[Tframes]</definedName>
    <definedName name="TFrames" localSheetId="7">Table19[Tframes]</definedName>
    <definedName name="TFrames" localSheetId="22">Table19[Tframes]</definedName>
    <definedName name="TFrames" localSheetId="21">Table19[Tframes]</definedName>
    <definedName name="TFrames" localSheetId="17">Table19[Tframes]</definedName>
    <definedName name="TFrames" localSheetId="10">Table19[Tframes]</definedName>
    <definedName name="TFrames" localSheetId="3">Table19[Tframes]</definedName>
    <definedName name="TFrames" localSheetId="0">Table19[Tframes]</definedName>
    <definedName name="TFrames" localSheetId="23">Table19[Tframes]</definedName>
    <definedName name="TFrames" localSheetId="14">Table19[Tframes]</definedName>
    <definedName name="TFrames" localSheetId="6">Table19[Tframes]</definedName>
    <definedName name="TFrames" localSheetId="24">Table19[Tframes]</definedName>
    <definedName name="TFrames">Table19[Tframes]</definedName>
    <definedName name="TiltRod" localSheetId="18">Table5[TiltRod]</definedName>
    <definedName name="TiltRod" localSheetId="26">Table5[TiltRod]</definedName>
    <definedName name="TiltRod" localSheetId="19">Table5[TiltRod]</definedName>
    <definedName name="TiltRod" localSheetId="13">Table5[TiltRod]</definedName>
    <definedName name="TiltRod" localSheetId="12">Table5[TiltRod]</definedName>
    <definedName name="TiltRod" localSheetId="20">Table5[TiltRod]</definedName>
    <definedName name="TiltRod" localSheetId="15">[2]!Table5[TiltRod]</definedName>
    <definedName name="TiltRod" localSheetId="7">Table5[TiltRod]</definedName>
    <definedName name="TiltRod" localSheetId="22">Table5[TiltRod]</definedName>
    <definedName name="TiltRod" localSheetId="21">Table5[TiltRod]</definedName>
    <definedName name="TiltRod" localSheetId="17">Table5[TiltRod]</definedName>
    <definedName name="TiltRod" localSheetId="10">Table5[TiltRod]</definedName>
    <definedName name="TiltRod" localSheetId="3">Table5[TiltRod]</definedName>
    <definedName name="TiltRod" localSheetId="0">Table5[TiltRod]</definedName>
    <definedName name="TiltRod" localSheetId="23">Table5[TiltRod]</definedName>
    <definedName name="TiltRod" localSheetId="14">Table5[TiltRod]</definedName>
    <definedName name="TiltRod" localSheetId="6">Table5[TiltRod]</definedName>
    <definedName name="TiltRod" localSheetId="24">Table5[TiltRod]</definedName>
    <definedName name="TiltRod">Table5[TiltRod]</definedName>
    <definedName name="Type" localSheetId="18">Data!$C$2:$C$7</definedName>
    <definedName name="Type" localSheetId="19">Table1[Type]</definedName>
    <definedName name="Type" localSheetId="12">Data!$C$2:$C$7</definedName>
    <definedName name="Type" localSheetId="20">Table1[Type]</definedName>
    <definedName name="Type" localSheetId="7">Data!$C$2:$C$7</definedName>
    <definedName name="Type" localSheetId="22">Table1[Type]</definedName>
    <definedName name="Type" localSheetId="21">Table1[Type]</definedName>
    <definedName name="Type" localSheetId="16">[3]Data!$C$2:$C$7</definedName>
    <definedName name="Type" localSheetId="17">Data!$C$2:$C$7</definedName>
    <definedName name="Type" localSheetId="10">Data!$C$2:$C$7</definedName>
    <definedName name="Type" localSheetId="3">Data!$C$2:$C$7</definedName>
    <definedName name="Type" localSheetId="0">Data!$C$2:$C$7</definedName>
    <definedName name="Type" localSheetId="23">Table1[Type]</definedName>
    <definedName name="Type" localSheetId="14">Data!$C$2:$C$7</definedName>
    <definedName name="Type" localSheetId="6">Data!$C$2:$C$7</definedName>
    <definedName name="Type" localSheetId="24">Data!$C$2:$C$7</definedName>
    <definedName name="Type">Data!$C$2:$C$7</definedName>
    <definedName name="UrbanTilt">Data!$U$19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 i="3" l="1"/>
  <c r="D12" i="3"/>
  <c r="M5" i="20"/>
  <c r="E33" i="20"/>
  <c r="N52" i="6"/>
  <c r="N51" i="6"/>
  <c r="N50" i="6"/>
  <c r="N49" i="6"/>
  <c r="P48" i="6"/>
  <c r="O48" i="6"/>
  <c r="N48" i="6"/>
  <c r="X47" i="6"/>
  <c r="W47" i="6"/>
  <c r="V47" i="6"/>
  <c r="U47" i="6"/>
  <c r="T47" i="6"/>
  <c r="S47" i="6"/>
  <c r="R47" i="6"/>
  <c r="Q47" i="6"/>
  <c r="P47" i="6"/>
  <c r="O47" i="6"/>
  <c r="N47" i="6"/>
  <c r="L22" i="6"/>
  <c r="L21" i="6"/>
  <c r="L20" i="6"/>
  <c r="L19" i="6"/>
  <c r="L18" i="6"/>
  <c r="L17" i="6"/>
  <c r="L16" i="6"/>
  <c r="M22" i="6"/>
  <c r="M21" i="6"/>
  <c r="M20" i="6"/>
  <c r="M19" i="6"/>
  <c r="M18" i="6"/>
  <c r="M17" i="6"/>
  <c r="M16" i="6"/>
  <c r="N20" i="6"/>
  <c r="N19" i="6"/>
  <c r="N18" i="6"/>
  <c r="N17" i="6"/>
  <c r="N16" i="6"/>
  <c r="N21" i="6"/>
  <c r="O19" i="6"/>
  <c r="O18" i="6"/>
  <c r="O17" i="6"/>
  <c r="O16" i="6"/>
  <c r="P20" i="6"/>
  <c r="P19" i="6"/>
  <c r="P18" i="6"/>
  <c r="P17" i="6"/>
  <c r="P16" i="6"/>
  <c r="Q20" i="6"/>
  <c r="Q19" i="6"/>
  <c r="Q18" i="6"/>
  <c r="Q17" i="6"/>
  <c r="Q16" i="6"/>
  <c r="Q21" i="6"/>
  <c r="P16" i="29"/>
  <c r="O15" i="29"/>
  <c r="O8" i="29"/>
  <c r="B14" i="29"/>
  <c r="P3" i="29"/>
  <c r="O6" i="29"/>
  <c r="B11" i="29"/>
  <c r="M12" i="3"/>
  <c r="N12" i="3"/>
  <c r="C38" i="6"/>
  <c r="C37" i="6"/>
  <c r="C36" i="6"/>
  <c r="C35" i="6"/>
  <c r="C34" i="6"/>
  <c r="C33" i="6"/>
  <c r="C32" i="6"/>
  <c r="AA40" i="6"/>
  <c r="AA39" i="6"/>
  <c r="AA38" i="6"/>
  <c r="AA37" i="6"/>
  <c r="AA36" i="6"/>
  <c r="AA35" i="6"/>
  <c r="AA34" i="6"/>
  <c r="AA33" i="6"/>
  <c r="AA32" i="6"/>
  <c r="AA31" i="6"/>
  <c r="X39" i="6"/>
  <c r="J44" i="29"/>
  <c r="V26" i="6"/>
  <c r="R26" i="6"/>
  <c r="T26" i="6"/>
  <c r="N26" i="6"/>
  <c r="L181" i="6"/>
  <c r="L194" i="6"/>
  <c r="AA26" i="6"/>
  <c r="O26" i="6"/>
  <c r="M75" i="2"/>
  <c r="F44" i="29"/>
  <c r="N27" i="6"/>
  <c r="M174" i="6"/>
  <c r="R27" i="6"/>
  <c r="T27" i="6"/>
  <c r="L9" i="6"/>
  <c r="C31" i="6"/>
  <c r="A40" i="29"/>
  <c r="A32" i="29"/>
  <c r="A29" i="29"/>
  <c r="A26" i="29"/>
  <c r="A23" i="29"/>
  <c r="A20" i="29"/>
  <c r="T63" i="2"/>
  <c r="R20" i="29"/>
  <c r="F37" i="29"/>
  <c r="R19" i="29"/>
  <c r="F36" i="29"/>
  <c r="R18" i="29"/>
  <c r="F35" i="29"/>
  <c r="R17" i="29"/>
  <c r="F34" i="29"/>
  <c r="R16" i="29"/>
  <c r="F33" i="29"/>
  <c r="R15" i="29"/>
  <c r="F32" i="29"/>
  <c r="R14" i="29"/>
  <c r="F31" i="29"/>
  <c r="R13" i="29"/>
  <c r="F30" i="29"/>
  <c r="R12" i="29"/>
  <c r="F29" i="29"/>
  <c r="R11" i="29"/>
  <c r="F28" i="29"/>
  <c r="R10" i="29"/>
  <c r="F27" i="29"/>
  <c r="R9" i="29"/>
  <c r="F26" i="29"/>
  <c r="R8" i="29"/>
  <c r="F25" i="29"/>
  <c r="R7" i="29"/>
  <c r="F24" i="29"/>
  <c r="R6" i="29"/>
  <c r="F23" i="29"/>
  <c r="R6" i="7"/>
  <c r="A6" i="29"/>
  <c r="B6" i="29"/>
  <c r="A9" i="29"/>
  <c r="D9" i="29"/>
  <c r="A18" i="29"/>
  <c r="B14" i="7"/>
  <c r="B11" i="7"/>
  <c r="B6" i="7"/>
  <c r="A6" i="7"/>
  <c r="D17" i="25"/>
  <c r="D16" i="25"/>
  <c r="D15" i="25"/>
  <c r="D14" i="25"/>
  <c r="D13" i="25"/>
  <c r="D12" i="25"/>
  <c r="D11" i="25"/>
  <c r="D10" i="25"/>
  <c r="D9" i="25"/>
  <c r="D8" i="25"/>
  <c r="D7" i="25"/>
  <c r="D6" i="25"/>
  <c r="D5" i="25"/>
  <c r="D4" i="25"/>
  <c r="C17" i="25"/>
  <c r="C16" i="25"/>
  <c r="C15" i="25"/>
  <c r="C14" i="25"/>
  <c r="C13" i="25"/>
  <c r="C12" i="25"/>
  <c r="C11" i="25"/>
  <c r="C10" i="25"/>
  <c r="C9" i="25"/>
  <c r="C8" i="25"/>
  <c r="C7" i="25"/>
  <c r="C6" i="25"/>
  <c r="C5" i="25"/>
  <c r="C4" i="25"/>
  <c r="B17" i="25"/>
  <c r="B16" i="25"/>
  <c r="B15" i="25"/>
  <c r="F15" i="25"/>
  <c r="B14" i="25"/>
  <c r="B13" i="25"/>
  <c r="B12" i="25"/>
  <c r="B11" i="25"/>
  <c r="F11" i="25"/>
  <c r="B10" i="25"/>
  <c r="B9" i="25"/>
  <c r="B8" i="25"/>
  <c r="F8" i="25"/>
  <c r="B7" i="25"/>
  <c r="B6" i="25"/>
  <c r="B5" i="25"/>
  <c r="B4" i="25"/>
  <c r="F4" i="25"/>
  <c r="D3" i="25"/>
  <c r="C3" i="25"/>
  <c r="B3" i="25"/>
  <c r="K60" i="2" a="1"/>
  <c r="K60" i="2"/>
  <c r="N68" i="6"/>
  <c r="L103" i="6"/>
  <c r="L114" i="6"/>
  <c r="Z58" i="6"/>
  <c r="Z64" i="6"/>
  <c r="Z62" i="6"/>
  <c r="Z61" i="6"/>
  <c r="Z60" i="6"/>
  <c r="Z59" i="6"/>
  <c r="Y64" i="6"/>
  <c r="Y62" i="6"/>
  <c r="X64" i="6"/>
  <c r="X62" i="6"/>
  <c r="X61" i="6"/>
  <c r="X58" i="6"/>
  <c r="W64" i="6"/>
  <c r="W63" i="6"/>
  <c r="W62" i="6"/>
  <c r="W61" i="6"/>
  <c r="W60" i="6"/>
  <c r="W59" i="6"/>
  <c r="V64" i="6"/>
  <c r="V62" i="6"/>
  <c r="V61" i="6"/>
  <c r="V60" i="6"/>
  <c r="V58" i="6"/>
  <c r="U64" i="6"/>
  <c r="U62" i="6"/>
  <c r="U60" i="6"/>
  <c r="U59" i="6"/>
  <c r="U58" i="6"/>
  <c r="T64" i="6"/>
  <c r="T62" i="6"/>
  <c r="T61" i="6"/>
  <c r="T60" i="6"/>
  <c r="T58" i="6"/>
  <c r="S64" i="6"/>
  <c r="S62" i="6"/>
  <c r="S61" i="6"/>
  <c r="S60" i="6"/>
  <c r="S59" i="6"/>
  <c r="S58" i="6"/>
  <c r="R64" i="6"/>
  <c r="R62" i="6"/>
  <c r="R61" i="6"/>
  <c r="R60" i="6"/>
  <c r="R58" i="6"/>
  <c r="Q64" i="6"/>
  <c r="Q62" i="6"/>
  <c r="Q61" i="6"/>
  <c r="Q60" i="6"/>
  <c r="Q58" i="6"/>
  <c r="P62" i="6"/>
  <c r="P58" i="6"/>
  <c r="O62" i="6"/>
  <c r="N62" i="6"/>
  <c r="M62" i="6"/>
  <c r="L62" i="6"/>
  <c r="V52" i="6"/>
  <c r="V50" i="6"/>
  <c r="V49" i="6"/>
  <c r="V48" i="6"/>
  <c r="W52" i="6"/>
  <c r="W50" i="6"/>
  <c r="W49" i="6"/>
  <c r="W48" i="6"/>
  <c r="X52" i="6"/>
  <c r="X50" i="6"/>
  <c r="Y52" i="6"/>
  <c r="Y50" i="6"/>
  <c r="U52" i="6"/>
  <c r="U48" i="6"/>
  <c r="T52" i="6"/>
  <c r="T50" i="6"/>
  <c r="T49" i="6"/>
  <c r="T48" i="6"/>
  <c r="S52" i="6"/>
  <c r="S50" i="6"/>
  <c r="S49" i="6"/>
  <c r="R52" i="6"/>
  <c r="P50" i="6"/>
  <c r="Q48" i="6"/>
  <c r="Q49" i="6"/>
  <c r="Q50" i="6"/>
  <c r="Q52" i="6"/>
  <c r="R50" i="6"/>
  <c r="R49" i="6"/>
  <c r="R48" i="6"/>
  <c r="M50" i="6"/>
  <c r="L50" i="6"/>
  <c r="Q22" i="6"/>
  <c r="Y22" i="6"/>
  <c r="Y20" i="6"/>
  <c r="X22" i="6"/>
  <c r="X20" i="6"/>
  <c r="W22" i="6"/>
  <c r="W18" i="6"/>
  <c r="W19" i="6"/>
  <c r="W20" i="6"/>
  <c r="V22" i="6"/>
  <c r="V18" i="6"/>
  <c r="V19" i="6"/>
  <c r="V20" i="6"/>
  <c r="U22" i="6"/>
  <c r="U18" i="6"/>
  <c r="T22" i="6"/>
  <c r="T18" i="6"/>
  <c r="T19" i="6"/>
  <c r="T20" i="6"/>
  <c r="S22" i="6"/>
  <c r="S19" i="6"/>
  <c r="S20" i="6"/>
  <c r="R22" i="6"/>
  <c r="R18" i="6"/>
  <c r="R19" i="6"/>
  <c r="R20" i="6"/>
  <c r="X10" i="6"/>
  <c r="Y10" i="6"/>
  <c r="Y8" i="6"/>
  <c r="X8" i="6"/>
  <c r="W10" i="6"/>
  <c r="W6" i="6"/>
  <c r="W7" i="6"/>
  <c r="V10" i="6"/>
  <c r="V6" i="6"/>
  <c r="V7" i="6"/>
  <c r="V8" i="6"/>
  <c r="S10" i="6"/>
  <c r="T10" i="6"/>
  <c r="U10" i="6"/>
  <c r="U6" i="6"/>
  <c r="T6" i="6"/>
  <c r="T7" i="6"/>
  <c r="T8" i="6"/>
  <c r="S7" i="6"/>
  <c r="S8" i="6"/>
  <c r="R10" i="6"/>
  <c r="R6" i="6"/>
  <c r="R8" i="6"/>
  <c r="Q10" i="6"/>
  <c r="Q8" i="6"/>
  <c r="P8" i="6"/>
  <c r="N8" i="6"/>
  <c r="M8" i="6"/>
  <c r="L8" i="6"/>
  <c r="Y104" i="6"/>
  <c r="Y115" i="6"/>
  <c r="Y106" i="6"/>
  <c r="Y117" i="6"/>
  <c r="X104" i="6"/>
  <c r="X115" i="6"/>
  <c r="X106" i="6"/>
  <c r="X117" i="6"/>
  <c r="W102" i="6"/>
  <c r="W103" i="6"/>
  <c r="W114" i="6"/>
  <c r="W106" i="6"/>
  <c r="W117" i="6"/>
  <c r="V102" i="6"/>
  <c r="V113" i="6"/>
  <c r="V104" i="6"/>
  <c r="V115" i="6"/>
  <c r="V106" i="6"/>
  <c r="V117" i="6"/>
  <c r="U106" i="6"/>
  <c r="U117" i="6"/>
  <c r="T102" i="6"/>
  <c r="T113" i="6"/>
  <c r="T103" i="6"/>
  <c r="T114" i="6"/>
  <c r="T104" i="6"/>
  <c r="T115" i="6"/>
  <c r="T106" i="6"/>
  <c r="T117" i="6"/>
  <c r="S103" i="6"/>
  <c r="S114" i="6"/>
  <c r="S104" i="6"/>
  <c r="S106" i="6"/>
  <c r="S117" i="6"/>
  <c r="R102" i="6"/>
  <c r="R113" i="6"/>
  <c r="R104" i="6"/>
  <c r="R115" i="6"/>
  <c r="R106" i="6"/>
  <c r="R117" i="6"/>
  <c r="Q104" i="6"/>
  <c r="Q115" i="6"/>
  <c r="Q106" i="6"/>
  <c r="Q117" i="6"/>
  <c r="P104" i="6"/>
  <c r="P115" i="6"/>
  <c r="N104" i="6"/>
  <c r="N115" i="6"/>
  <c r="M104" i="6"/>
  <c r="M115" i="6"/>
  <c r="L106" i="6"/>
  <c r="L117" i="6"/>
  <c r="L104" i="6"/>
  <c r="L115" i="6"/>
  <c r="L102" i="6"/>
  <c r="L113" i="6"/>
  <c r="P66" i="2"/>
  <c r="Q94" i="6"/>
  <c r="R94" i="6"/>
  <c r="S94" i="6"/>
  <c r="T94" i="6"/>
  <c r="U94" i="6"/>
  <c r="V94" i="6"/>
  <c r="W94" i="6"/>
  <c r="X94" i="6"/>
  <c r="Y94" i="6"/>
  <c r="O68" i="6"/>
  <c r="L68" i="6"/>
  <c r="M68" i="6"/>
  <c r="L26" i="6"/>
  <c r="M26" i="6"/>
  <c r="W136" i="6"/>
  <c r="S13" i="3"/>
  <c r="T13" i="3"/>
  <c r="T24" i="3"/>
  <c r="U36" i="3"/>
  <c r="S15" i="3"/>
  <c r="T15" i="3"/>
  <c r="U15" i="3"/>
  <c r="V15" i="3"/>
  <c r="W15" i="3"/>
  <c r="X15" i="3"/>
  <c r="Q3" i="24"/>
  <c r="L3" i="24"/>
  <c r="D3" i="24"/>
  <c r="T18" i="3"/>
  <c r="I12" i="3"/>
  <c r="AD54" i="3"/>
  <c r="AD51" i="3"/>
  <c r="AD42" i="3"/>
  <c r="AA146" i="6"/>
  <c r="AD36" i="3"/>
  <c r="AD33" i="3"/>
  <c r="AD30" i="3"/>
  <c r="AD27" i="3"/>
  <c r="AD24" i="3"/>
  <c r="AA140" i="6"/>
  <c r="AD21" i="3"/>
  <c r="AA139" i="6"/>
  <c r="AD18" i="3"/>
  <c r="AA138" i="6"/>
  <c r="AD15" i="3"/>
  <c r="AD12" i="3"/>
  <c r="L46" i="9"/>
  <c r="U13" i="3"/>
  <c r="V13" i="3"/>
  <c r="W13" i="3"/>
  <c r="X13" i="3"/>
  <c r="Y13" i="3"/>
  <c r="Z13" i="3"/>
  <c r="AA13" i="3"/>
  <c r="AB13" i="3"/>
  <c r="M13" i="23"/>
  <c r="M14" i="23"/>
  <c r="M15" i="23"/>
  <c r="M16" i="23"/>
  <c r="M17" i="23"/>
  <c r="M18" i="23"/>
  <c r="M19" i="23"/>
  <c r="M20" i="23"/>
  <c r="M21" i="23"/>
  <c r="M22" i="23"/>
  <c r="M23" i="23"/>
  <c r="M24" i="23"/>
  <c r="M25" i="23"/>
  <c r="M12" i="23"/>
  <c r="L13" i="23"/>
  <c r="L14" i="23"/>
  <c r="L15" i="23"/>
  <c r="L16" i="23"/>
  <c r="L17" i="23"/>
  <c r="L18" i="23"/>
  <c r="L19" i="23"/>
  <c r="L20" i="23"/>
  <c r="L21" i="23"/>
  <c r="L22" i="23"/>
  <c r="L23" i="23"/>
  <c r="L24" i="23"/>
  <c r="L25" i="23"/>
  <c r="L12" i="23"/>
  <c r="K14" i="23"/>
  <c r="K15" i="23"/>
  <c r="K16" i="23"/>
  <c r="K17" i="23"/>
  <c r="K18" i="23"/>
  <c r="K19" i="23"/>
  <c r="K20" i="23"/>
  <c r="K21" i="23"/>
  <c r="K22" i="23"/>
  <c r="K23" i="23"/>
  <c r="K24" i="23"/>
  <c r="K25" i="23"/>
  <c r="G13" i="23"/>
  <c r="G14" i="23"/>
  <c r="G15" i="23"/>
  <c r="G16" i="23"/>
  <c r="G17" i="23"/>
  <c r="G18" i="23"/>
  <c r="G19" i="23"/>
  <c r="G20" i="23"/>
  <c r="G21" i="23"/>
  <c r="G22" i="23"/>
  <c r="G23" i="23"/>
  <c r="G24" i="23"/>
  <c r="G25" i="23"/>
  <c r="G12" i="23"/>
  <c r="F13" i="23"/>
  <c r="F14" i="23"/>
  <c r="F15" i="23"/>
  <c r="F16" i="23"/>
  <c r="F17" i="23"/>
  <c r="F18" i="23"/>
  <c r="F19" i="23"/>
  <c r="F20" i="23"/>
  <c r="F21" i="23"/>
  <c r="F22" i="23"/>
  <c r="F23" i="23"/>
  <c r="F24" i="23"/>
  <c r="F25" i="23"/>
  <c r="F12" i="23"/>
  <c r="E13" i="23"/>
  <c r="E14" i="23"/>
  <c r="E15" i="23"/>
  <c r="E16" i="23"/>
  <c r="E17" i="23"/>
  <c r="E18" i="23"/>
  <c r="E19" i="23"/>
  <c r="E20" i="23"/>
  <c r="E21" i="23"/>
  <c r="E22" i="23"/>
  <c r="E23" i="23"/>
  <c r="E24" i="23"/>
  <c r="E25" i="23"/>
  <c r="E12" i="23"/>
  <c r="D14" i="23"/>
  <c r="D15" i="23"/>
  <c r="D16" i="23"/>
  <c r="D17" i="23"/>
  <c r="D18" i="23"/>
  <c r="D21" i="23"/>
  <c r="D22" i="23"/>
  <c r="D23" i="23"/>
  <c r="D24" i="23"/>
  <c r="D25" i="23"/>
  <c r="C14" i="23"/>
  <c r="C17" i="23"/>
  <c r="C21" i="23"/>
  <c r="C22" i="23"/>
  <c r="C23" i="23"/>
  <c r="C24" i="23"/>
  <c r="C25" i="23"/>
  <c r="B25" i="23"/>
  <c r="B24" i="23"/>
  <c r="B23" i="23"/>
  <c r="B22" i="23"/>
  <c r="B21" i="23"/>
  <c r="B20" i="23"/>
  <c r="B19" i="23"/>
  <c r="B18" i="23"/>
  <c r="B17" i="23"/>
  <c r="B16" i="23"/>
  <c r="B15" i="23"/>
  <c r="B14" i="23"/>
  <c r="B13" i="23"/>
  <c r="B12" i="23"/>
  <c r="L9" i="23"/>
  <c r="C9" i="23"/>
  <c r="L8" i="23"/>
  <c r="C8" i="23"/>
  <c r="L7" i="23"/>
  <c r="C7" i="23"/>
  <c r="M15" i="3"/>
  <c r="M18" i="3"/>
  <c r="M21" i="3"/>
  <c r="E12" i="3"/>
  <c r="F6" i="24"/>
  <c r="Y6" i="22"/>
  <c r="H8" i="22"/>
  <c r="H6" i="22"/>
  <c r="R32" i="22"/>
  <c r="A26" i="7"/>
  <c r="A20" i="7"/>
  <c r="AD18" i="6"/>
  <c r="AD17" i="6"/>
  <c r="AD16" i="6"/>
  <c r="AD15" i="6"/>
  <c r="AD14" i="6"/>
  <c r="AD13" i="6"/>
  <c r="AD12" i="6"/>
  <c r="AD11" i="6"/>
  <c r="AD10" i="6"/>
  <c r="AD9" i="6"/>
  <c r="AD8" i="6"/>
  <c r="AD7" i="6"/>
  <c r="AD6" i="6"/>
  <c r="AD5" i="6"/>
  <c r="AD4" i="6"/>
  <c r="AD3" i="6"/>
  <c r="AD2" i="6"/>
  <c r="I54" i="3"/>
  <c r="I51" i="3"/>
  <c r="I48" i="3"/>
  <c r="I45" i="3"/>
  <c r="I42" i="3"/>
  <c r="I39" i="3"/>
  <c r="I36" i="3"/>
  <c r="I33" i="3"/>
  <c r="I30" i="3"/>
  <c r="I27" i="3"/>
  <c r="I24" i="3"/>
  <c r="I21" i="3"/>
  <c r="I18" i="3"/>
  <c r="I15" i="3"/>
  <c r="AD45" i="3"/>
  <c r="AD48" i="3"/>
  <c r="D15" i="3"/>
  <c r="G40" i="9"/>
  <c r="D18" i="3"/>
  <c r="W138" i="6"/>
  <c r="D21" i="3"/>
  <c r="D54" i="3"/>
  <c r="D51" i="3"/>
  <c r="D48" i="3"/>
  <c r="D45" i="3"/>
  <c r="W147" i="6"/>
  <c r="D42" i="3"/>
  <c r="D39" i="3"/>
  <c r="P145" i="6"/>
  <c r="D36" i="3"/>
  <c r="D33" i="3"/>
  <c r="D30" i="3"/>
  <c r="D27" i="3"/>
  <c r="R141" i="6"/>
  <c r="T141" i="6"/>
  <c r="D24" i="3"/>
  <c r="L12" i="3"/>
  <c r="P6" i="24"/>
  <c r="L15" i="3"/>
  <c r="F40" i="9"/>
  <c r="L18" i="3"/>
  <c r="U138" i="6"/>
  <c r="L21" i="3"/>
  <c r="L24" i="3"/>
  <c r="F43" i="9"/>
  <c r="L27" i="3"/>
  <c r="F44" i="9"/>
  <c r="H12" i="3"/>
  <c r="J6" i="24"/>
  <c r="H30" i="3"/>
  <c r="L9" i="19"/>
  <c r="L8" i="19"/>
  <c r="AA145" i="6"/>
  <c r="W150" i="6"/>
  <c r="W149" i="6"/>
  <c r="W148" i="6"/>
  <c r="W146" i="6"/>
  <c r="W145" i="6"/>
  <c r="W144" i="6"/>
  <c r="W142" i="6"/>
  <c r="W141" i="6"/>
  <c r="W140" i="6"/>
  <c r="U139" i="6"/>
  <c r="Q145" i="6"/>
  <c r="K121" i="6"/>
  <c r="X40" i="6"/>
  <c r="X38" i="6"/>
  <c r="X37" i="6"/>
  <c r="X36" i="6"/>
  <c r="X35" i="6"/>
  <c r="X34" i="6"/>
  <c r="X33" i="6"/>
  <c r="X32" i="6"/>
  <c r="X31" i="6"/>
  <c r="X30" i="6"/>
  <c r="X29" i="6"/>
  <c r="X28" i="6"/>
  <c r="X27" i="6"/>
  <c r="X26" i="6"/>
  <c r="C8" i="21"/>
  <c r="C7" i="21"/>
  <c r="K4" i="21"/>
  <c r="C6" i="21"/>
  <c r="C5" i="21"/>
  <c r="O40" i="6"/>
  <c r="O39" i="6"/>
  <c r="O38" i="6"/>
  <c r="O37" i="6"/>
  <c r="O36" i="6"/>
  <c r="O35" i="6"/>
  <c r="O34" i="6"/>
  <c r="O33" i="6"/>
  <c r="O32" i="6"/>
  <c r="O31" i="6"/>
  <c r="U40" i="6"/>
  <c r="U39" i="6"/>
  <c r="U38" i="6"/>
  <c r="U37" i="6"/>
  <c r="U36" i="6"/>
  <c r="U35" i="6"/>
  <c r="U34" i="6"/>
  <c r="U33" i="6"/>
  <c r="U32" i="6"/>
  <c r="U31" i="6"/>
  <c r="U30" i="6"/>
  <c r="U29" i="6"/>
  <c r="U28" i="6"/>
  <c r="U27" i="6"/>
  <c r="U26" i="6"/>
  <c r="D7" i="7"/>
  <c r="Q40" i="6"/>
  <c r="Q39" i="6"/>
  <c r="Q38" i="6"/>
  <c r="Q37" i="6"/>
  <c r="Q35" i="6"/>
  <c r="Q34" i="6"/>
  <c r="Q36" i="6"/>
  <c r="V73" i="6"/>
  <c r="N15" i="3"/>
  <c r="N18" i="3"/>
  <c r="N21" i="3"/>
  <c r="N24" i="3"/>
  <c r="N27" i="3"/>
  <c r="N30" i="3"/>
  <c r="M24" i="3"/>
  <c r="M27" i="3"/>
  <c r="M30" i="3"/>
  <c r="E30" i="3"/>
  <c r="F12" i="3"/>
  <c r="V6" i="24"/>
  <c r="Q13" i="2"/>
  <c r="S17" i="3"/>
  <c r="Q16" i="2"/>
  <c r="S20" i="3"/>
  <c r="Q19" i="2"/>
  <c r="S23" i="3"/>
  <c r="Q22" i="2"/>
  <c r="S26" i="3"/>
  <c r="Q52" i="2"/>
  <c r="S56" i="3"/>
  <c r="Q49" i="2"/>
  <c r="S53" i="3"/>
  <c r="Q46" i="2"/>
  <c r="S50" i="3"/>
  <c r="Q43" i="2"/>
  <c r="S47" i="3"/>
  <c r="Q40" i="2"/>
  <c r="S44" i="3"/>
  <c r="Q34" i="2"/>
  <c r="S38" i="3"/>
  <c r="Q31" i="2"/>
  <c r="S35" i="3"/>
  <c r="Q28" i="2"/>
  <c r="S32" i="3"/>
  <c r="S29" i="3"/>
  <c r="C15" i="3"/>
  <c r="C14" i="3"/>
  <c r="C13" i="3"/>
  <c r="C12" i="3"/>
  <c r="AC53" i="2"/>
  <c r="AE53" i="2"/>
  <c r="F24" i="2"/>
  <c r="F28" i="3"/>
  <c r="L7" i="19"/>
  <c r="C9" i="19"/>
  <c r="C8" i="19"/>
  <c r="C7" i="19"/>
  <c r="R142" i="6"/>
  <c r="T142" i="6"/>
  <c r="J6" i="3"/>
  <c r="E6" i="3"/>
  <c r="E24" i="3"/>
  <c r="Q37" i="2"/>
  <c r="S41" i="3"/>
  <c r="L82" i="6"/>
  <c r="M82" i="6"/>
  <c r="L81" i="6"/>
  <c r="M81" i="6"/>
  <c r="L80" i="6"/>
  <c r="M80" i="6"/>
  <c r="L79" i="6"/>
  <c r="M79" i="6"/>
  <c r="L78" i="6"/>
  <c r="M78" i="6"/>
  <c r="L77" i="6"/>
  <c r="M77" i="6"/>
  <c r="L76" i="6"/>
  <c r="M76" i="6"/>
  <c r="L75" i="6"/>
  <c r="M75" i="6"/>
  <c r="L73" i="6"/>
  <c r="M73" i="6"/>
  <c r="L72" i="6"/>
  <c r="M72" i="6"/>
  <c r="L71" i="6"/>
  <c r="M71" i="6"/>
  <c r="L70" i="6"/>
  <c r="M70" i="6"/>
  <c r="L69" i="6"/>
  <c r="M69" i="6"/>
  <c r="L40" i="6"/>
  <c r="M40" i="6"/>
  <c r="L39" i="6"/>
  <c r="M39" i="6"/>
  <c r="L38" i="6"/>
  <c r="M38" i="6"/>
  <c r="L37" i="6"/>
  <c r="M37" i="6"/>
  <c r="L36" i="6"/>
  <c r="M36" i="6"/>
  <c r="L35" i="6"/>
  <c r="M35" i="6"/>
  <c r="L34" i="6"/>
  <c r="M34" i="6"/>
  <c r="L32" i="6"/>
  <c r="M32" i="6"/>
  <c r="L33" i="6"/>
  <c r="M33" i="6"/>
  <c r="L31" i="6"/>
  <c r="M31" i="6"/>
  <c r="L30" i="6"/>
  <c r="M30" i="6"/>
  <c r="L28" i="6"/>
  <c r="M28" i="6"/>
  <c r="L27" i="6"/>
  <c r="M27" i="6"/>
  <c r="L29" i="6"/>
  <c r="M29" i="6"/>
  <c r="P75" i="2"/>
  <c r="E15" i="3"/>
  <c r="Y137" i="6"/>
  <c r="H15" i="3"/>
  <c r="R140" i="6"/>
  <c r="T140" i="6"/>
  <c r="T22" i="3"/>
  <c r="U22" i="3"/>
  <c r="V22" i="3"/>
  <c r="W22" i="3"/>
  <c r="X22" i="3"/>
  <c r="Y22" i="3"/>
  <c r="Z22" i="3"/>
  <c r="AA22" i="3"/>
  <c r="AB22" i="3"/>
  <c r="S22" i="3"/>
  <c r="T19" i="3"/>
  <c r="U19" i="3"/>
  <c r="V19" i="3"/>
  <c r="W19" i="3"/>
  <c r="X19" i="3"/>
  <c r="Y19" i="3"/>
  <c r="Z19" i="3"/>
  <c r="AA19" i="3"/>
  <c r="AB19" i="3"/>
  <c r="S19" i="3"/>
  <c r="T16" i="3"/>
  <c r="U16" i="3"/>
  <c r="V16" i="3"/>
  <c r="W16" i="3"/>
  <c r="X16" i="3"/>
  <c r="Y16" i="3"/>
  <c r="Z16" i="3"/>
  <c r="AA16" i="3"/>
  <c r="AB16" i="3"/>
  <c r="S16" i="3"/>
  <c r="C56" i="3"/>
  <c r="C54" i="3"/>
  <c r="C53" i="3"/>
  <c r="C51" i="3"/>
  <c r="C50" i="3"/>
  <c r="C48" i="3"/>
  <c r="C47" i="3"/>
  <c r="C45" i="3"/>
  <c r="C44" i="3"/>
  <c r="C42" i="3"/>
  <c r="C39" i="3"/>
  <c r="C36" i="3"/>
  <c r="C33" i="3"/>
  <c r="C30" i="3"/>
  <c r="C27" i="3"/>
  <c r="C24" i="3"/>
  <c r="C22" i="3"/>
  <c r="C21" i="3"/>
  <c r="C18" i="3"/>
  <c r="H25" i="4"/>
  <c r="H48" i="4"/>
  <c r="AA48" i="4"/>
  <c r="AA25" i="4"/>
  <c r="AA2" i="4"/>
  <c r="H2" i="4"/>
  <c r="Q3" i="8"/>
  <c r="AG8" i="6"/>
  <c r="AH8" i="6"/>
  <c r="AI8" i="6"/>
  <c r="AQ8" i="6"/>
  <c r="AJ8" i="6"/>
  <c r="AK8" i="6"/>
  <c r="AL8" i="6"/>
  <c r="AM8" i="6"/>
  <c r="AN8" i="6"/>
  <c r="AO8" i="6"/>
  <c r="AP8" i="6"/>
  <c r="AG9" i="6"/>
  <c r="AH9" i="6"/>
  <c r="AI9" i="6"/>
  <c r="AQ9" i="6"/>
  <c r="AJ9" i="6"/>
  <c r="AR9" i="6"/>
  <c r="AK9" i="6"/>
  <c r="AL9" i="6"/>
  <c r="AM9" i="6"/>
  <c r="AN9" i="6"/>
  <c r="AO9" i="6"/>
  <c r="AP9" i="6"/>
  <c r="AG10" i="6"/>
  <c r="AH10" i="6"/>
  <c r="AI10" i="6"/>
  <c r="AQ10" i="6"/>
  <c r="AJ10" i="6"/>
  <c r="AR10" i="6"/>
  <c r="AK10" i="6"/>
  <c r="AL10" i="6"/>
  <c r="AM10" i="6"/>
  <c r="AN10" i="6"/>
  <c r="AO10" i="6"/>
  <c r="AP10" i="6"/>
  <c r="AG11" i="6"/>
  <c r="AH11" i="6"/>
  <c r="AI11" i="6"/>
  <c r="AQ11" i="6"/>
  <c r="AJ11" i="6"/>
  <c r="AR11" i="6"/>
  <c r="AK11" i="6"/>
  <c r="AL11" i="6"/>
  <c r="AM11" i="6"/>
  <c r="AN11" i="6"/>
  <c r="AO11" i="6"/>
  <c r="AP11" i="6"/>
  <c r="AG12" i="6"/>
  <c r="AH12" i="6"/>
  <c r="AI12" i="6"/>
  <c r="AQ12" i="6"/>
  <c r="AJ12" i="6"/>
  <c r="AR12" i="6"/>
  <c r="AK12" i="6"/>
  <c r="AL12" i="6"/>
  <c r="AM12" i="6"/>
  <c r="AN12" i="6"/>
  <c r="AO12" i="6"/>
  <c r="AP12" i="6"/>
  <c r="AG13" i="6"/>
  <c r="AH13" i="6"/>
  <c r="AI13" i="6"/>
  <c r="AQ13" i="6"/>
  <c r="AJ13" i="6"/>
  <c r="AR13" i="6"/>
  <c r="AK13" i="6"/>
  <c r="AL13" i="6"/>
  <c r="AM13" i="6"/>
  <c r="AN13" i="6"/>
  <c r="AO13" i="6"/>
  <c r="AP13" i="6"/>
  <c r="AG14" i="6"/>
  <c r="AH14" i="6"/>
  <c r="AI14" i="6"/>
  <c r="AQ14" i="6"/>
  <c r="AJ14" i="6"/>
  <c r="AR14" i="6"/>
  <c r="AK14" i="6"/>
  <c r="AL14" i="6"/>
  <c r="AM14" i="6"/>
  <c r="AN14" i="6"/>
  <c r="AO14" i="6"/>
  <c r="AP14" i="6"/>
  <c r="AG15" i="6"/>
  <c r="AH15" i="6"/>
  <c r="AI15" i="6"/>
  <c r="AQ15" i="6"/>
  <c r="AJ15" i="6"/>
  <c r="AR15" i="6"/>
  <c r="AK15" i="6"/>
  <c r="AL15" i="6"/>
  <c r="AM15" i="6"/>
  <c r="AN15" i="6"/>
  <c r="AO15" i="6"/>
  <c r="AP15" i="6"/>
  <c r="AG16" i="6"/>
  <c r="AH16" i="6"/>
  <c r="AI16" i="6"/>
  <c r="AQ16" i="6"/>
  <c r="AJ16" i="6"/>
  <c r="AR16" i="6"/>
  <c r="AK16" i="6"/>
  <c r="AL16" i="6"/>
  <c r="AM16" i="6"/>
  <c r="AN16" i="6"/>
  <c r="AO16" i="6"/>
  <c r="AP16" i="6"/>
  <c r="AG17" i="6"/>
  <c r="AH17" i="6"/>
  <c r="AI17" i="6"/>
  <c r="AQ17" i="6"/>
  <c r="AJ17" i="6"/>
  <c r="AR17" i="6"/>
  <c r="AK17" i="6"/>
  <c r="AL17" i="6"/>
  <c r="AM17" i="6"/>
  <c r="AN17" i="6"/>
  <c r="AO17" i="6"/>
  <c r="AP17" i="6"/>
  <c r="AG18" i="6"/>
  <c r="AH18" i="6"/>
  <c r="AI18" i="6"/>
  <c r="AQ18" i="6"/>
  <c r="AJ18" i="6"/>
  <c r="AR18" i="6"/>
  <c r="AK18" i="6"/>
  <c r="AL18" i="6"/>
  <c r="AM18" i="6"/>
  <c r="AN18" i="6"/>
  <c r="AO18" i="6"/>
  <c r="AP18" i="6"/>
  <c r="AF8" i="6"/>
  <c r="AF9" i="6"/>
  <c r="AF10" i="6"/>
  <c r="AF11" i="6"/>
  <c r="AF12" i="6"/>
  <c r="AF13" i="6"/>
  <c r="AF14" i="6"/>
  <c r="AF15" i="6"/>
  <c r="AF16" i="6"/>
  <c r="AF17" i="6"/>
  <c r="AF18" i="6"/>
  <c r="AE8" i="6"/>
  <c r="AE9" i="6"/>
  <c r="AE10" i="6"/>
  <c r="AE11" i="6"/>
  <c r="AE12" i="6"/>
  <c r="AE13" i="6"/>
  <c r="AE14" i="6"/>
  <c r="AE15" i="6"/>
  <c r="AE16" i="6"/>
  <c r="AE17" i="6"/>
  <c r="AE18" i="6"/>
  <c r="F51" i="2"/>
  <c r="F55" i="3"/>
  <c r="F48" i="2"/>
  <c r="F52" i="3"/>
  <c r="F45" i="2"/>
  <c r="F49" i="3"/>
  <c r="F42" i="2"/>
  <c r="F46" i="3"/>
  <c r="F39" i="2"/>
  <c r="F43" i="3"/>
  <c r="F36" i="2"/>
  <c r="F40" i="3"/>
  <c r="F33" i="2"/>
  <c r="F37" i="3"/>
  <c r="F30" i="2"/>
  <c r="F34" i="3"/>
  <c r="F27" i="2"/>
  <c r="F31" i="3"/>
  <c r="F21" i="2"/>
  <c r="F25" i="3"/>
  <c r="F13" i="3"/>
  <c r="F22" i="3"/>
  <c r="AB55" i="3"/>
  <c r="AA55" i="3"/>
  <c r="Z55" i="3"/>
  <c r="Y55" i="3"/>
  <c r="X55" i="3"/>
  <c r="W55" i="3"/>
  <c r="V55" i="3"/>
  <c r="U55" i="3"/>
  <c r="T55" i="3"/>
  <c r="S55" i="3"/>
  <c r="AB52" i="3"/>
  <c r="AA52" i="3"/>
  <c r="Z52" i="3"/>
  <c r="Y52" i="3"/>
  <c r="X52" i="3"/>
  <c r="W52" i="3"/>
  <c r="V52" i="3"/>
  <c r="U52" i="3"/>
  <c r="T52" i="3"/>
  <c r="S52" i="3"/>
  <c r="AB49" i="3"/>
  <c r="AA49" i="3"/>
  <c r="Z49" i="3"/>
  <c r="Y49" i="3"/>
  <c r="X49" i="3"/>
  <c r="W49" i="3"/>
  <c r="V49" i="3"/>
  <c r="U49" i="3"/>
  <c r="T49" i="3"/>
  <c r="S49" i="3"/>
  <c r="AB46" i="3"/>
  <c r="AA46" i="3"/>
  <c r="Z46" i="3"/>
  <c r="Y46" i="3"/>
  <c r="X46" i="3"/>
  <c r="W46" i="3"/>
  <c r="V46" i="3"/>
  <c r="U46" i="3"/>
  <c r="T46" i="3"/>
  <c r="S46" i="3"/>
  <c r="AB43" i="3"/>
  <c r="AA43" i="3"/>
  <c r="Z43" i="3"/>
  <c r="Y43" i="3"/>
  <c r="X43" i="3"/>
  <c r="W43" i="3"/>
  <c r="V43" i="3"/>
  <c r="U43" i="3"/>
  <c r="T43" i="3"/>
  <c r="S43" i="3"/>
  <c r="AB40" i="3"/>
  <c r="AA40" i="3"/>
  <c r="Z40" i="3"/>
  <c r="Y40" i="3"/>
  <c r="X40" i="3"/>
  <c r="W40" i="3"/>
  <c r="V40" i="3"/>
  <c r="U40" i="3"/>
  <c r="T40" i="3"/>
  <c r="S40" i="3"/>
  <c r="AB37" i="3"/>
  <c r="AA37" i="3"/>
  <c r="Z37" i="3"/>
  <c r="Y37" i="3"/>
  <c r="X37" i="3"/>
  <c r="W37" i="3"/>
  <c r="V37" i="3"/>
  <c r="U37" i="3"/>
  <c r="T37" i="3"/>
  <c r="S37" i="3"/>
  <c r="AB34" i="3"/>
  <c r="AA34" i="3"/>
  <c r="Z34" i="3"/>
  <c r="Y34" i="3"/>
  <c r="X34" i="3"/>
  <c r="W34" i="3"/>
  <c r="V34" i="3"/>
  <c r="U34" i="3"/>
  <c r="T34" i="3"/>
  <c r="S34" i="3"/>
  <c r="AB31" i="3"/>
  <c r="AA31" i="3"/>
  <c r="Z31" i="3"/>
  <c r="Y31" i="3"/>
  <c r="X31" i="3"/>
  <c r="W31" i="3"/>
  <c r="V31" i="3"/>
  <c r="U31" i="3"/>
  <c r="T31" i="3"/>
  <c r="S31" i="3"/>
  <c r="AB28" i="3"/>
  <c r="AA28" i="3"/>
  <c r="Z28" i="3"/>
  <c r="Y28" i="3"/>
  <c r="X28" i="3"/>
  <c r="W28" i="3"/>
  <c r="V28" i="3"/>
  <c r="U28" i="3"/>
  <c r="T28" i="3"/>
  <c r="S28" i="3"/>
  <c r="AB25" i="3"/>
  <c r="AA25" i="3"/>
  <c r="Z25" i="3"/>
  <c r="Y25" i="3"/>
  <c r="X25" i="3"/>
  <c r="W25" i="3"/>
  <c r="V25" i="3"/>
  <c r="U25" i="3"/>
  <c r="T25" i="3"/>
  <c r="S25" i="3"/>
  <c r="G14" i="3"/>
  <c r="BB10" i="4"/>
  <c r="BA10" i="4"/>
  <c r="AZ10" i="4"/>
  <c r="AY10" i="4"/>
  <c r="AX10" i="4"/>
  <c r="AW10" i="4"/>
  <c r="BG5" i="4"/>
  <c r="AC12" i="3"/>
  <c r="BF5" i="4"/>
  <c r="AB15" i="3"/>
  <c r="BE5" i="4"/>
  <c r="AA12" i="3"/>
  <c r="BD5" i="4"/>
  <c r="Z15" i="3"/>
  <c r="BC5" i="4"/>
  <c r="Y12" i="3"/>
  <c r="BB5" i="4"/>
  <c r="X24" i="3"/>
  <c r="BA5" i="4"/>
  <c r="W39" i="3"/>
  <c r="AZ5" i="4"/>
  <c r="V24" i="3"/>
  <c r="AY5" i="4"/>
  <c r="AW5" i="4"/>
  <c r="AX5" i="4"/>
  <c r="T12" i="3"/>
  <c r="O8" i="7"/>
  <c r="B90" i="2"/>
  <c r="E18" i="3"/>
  <c r="K13" i="6"/>
  <c r="AP7" i="6"/>
  <c r="AO7" i="6"/>
  <c r="AN7" i="6"/>
  <c r="AM7" i="6"/>
  <c r="AL7" i="6"/>
  <c r="AP6" i="6"/>
  <c r="AO6" i="6"/>
  <c r="AN6" i="6"/>
  <c r="AM6" i="6"/>
  <c r="AL6" i="6"/>
  <c r="AP4" i="6"/>
  <c r="AO4" i="6"/>
  <c r="AN4" i="6"/>
  <c r="AN19" i="6"/>
  <c r="AM4" i="6"/>
  <c r="AL4" i="6"/>
  <c r="AP5" i="6"/>
  <c r="AO5" i="6"/>
  <c r="AN5" i="6"/>
  <c r="AM5" i="6"/>
  <c r="AL5" i="6"/>
  <c r="C41" i="3"/>
  <c r="C38" i="3"/>
  <c r="C35" i="3"/>
  <c r="C32" i="3"/>
  <c r="C29" i="3"/>
  <c r="C26" i="3"/>
  <c r="C23" i="3"/>
  <c r="C20" i="3"/>
  <c r="C17" i="3"/>
  <c r="C16" i="3"/>
  <c r="O54" i="3"/>
  <c r="O51" i="3"/>
  <c r="O48" i="3"/>
  <c r="O45" i="3"/>
  <c r="O42" i="3"/>
  <c r="O39" i="3"/>
  <c r="O36" i="3"/>
  <c r="O33" i="3"/>
  <c r="O30" i="3"/>
  <c r="O27" i="3"/>
  <c r="O24" i="3"/>
  <c r="O21" i="3"/>
  <c r="O18" i="3"/>
  <c r="O15" i="3"/>
  <c r="O12" i="3"/>
  <c r="N54" i="3"/>
  <c r="N51" i="3"/>
  <c r="N48" i="3"/>
  <c r="N45" i="3"/>
  <c r="N42" i="3"/>
  <c r="N39" i="3"/>
  <c r="N36" i="3"/>
  <c r="N33" i="3"/>
  <c r="M54" i="3"/>
  <c r="M51" i="3"/>
  <c r="M48" i="3"/>
  <c r="M45" i="3"/>
  <c r="M42" i="3"/>
  <c r="M39" i="3"/>
  <c r="AE40" i="3"/>
  <c r="M36" i="3"/>
  <c r="M33" i="3"/>
  <c r="E45" i="9"/>
  <c r="H44" i="9"/>
  <c r="H43" i="9"/>
  <c r="H42" i="9"/>
  <c r="H41" i="9"/>
  <c r="H40" i="9"/>
  <c r="J6" i="8"/>
  <c r="F15" i="3"/>
  <c r="V6" i="8"/>
  <c r="E21" i="3"/>
  <c r="E27" i="3"/>
  <c r="Y141" i="6"/>
  <c r="E33" i="3"/>
  <c r="E36" i="3"/>
  <c r="E39" i="3"/>
  <c r="E42" i="3"/>
  <c r="Y146" i="6"/>
  <c r="E45" i="3"/>
  <c r="E48" i="3"/>
  <c r="E51" i="3"/>
  <c r="E54" i="3"/>
  <c r="Y150" i="6"/>
  <c r="G41" i="9"/>
  <c r="C19" i="3"/>
  <c r="C25" i="3"/>
  <c r="C28" i="3"/>
  <c r="C31" i="3"/>
  <c r="C34" i="3"/>
  <c r="C37" i="3"/>
  <c r="C40" i="3"/>
  <c r="C43" i="3"/>
  <c r="C46" i="3"/>
  <c r="C49" i="3"/>
  <c r="C52" i="3"/>
  <c r="C55" i="3"/>
  <c r="V54" i="3"/>
  <c r="U51" i="3"/>
  <c r="U48" i="3"/>
  <c r="AC48" i="3"/>
  <c r="Y45" i="3"/>
  <c r="T30" i="3"/>
  <c r="AA30" i="3"/>
  <c r="W27" i="3"/>
  <c r="Y24" i="3"/>
  <c r="AV30" i="4"/>
  <c r="AV25" i="4"/>
  <c r="AV20" i="4"/>
  <c r="AV15" i="4"/>
  <c r="AV10" i="4"/>
  <c r="AV5" i="4"/>
  <c r="AW30" i="4"/>
  <c r="AA54" i="3"/>
  <c r="W54" i="3"/>
  <c r="W51" i="3"/>
  <c r="AC45" i="3"/>
  <c r="U45" i="3"/>
  <c r="AB42" i="3"/>
  <c r="W42" i="3"/>
  <c r="AC42" i="3"/>
  <c r="Y42" i="3"/>
  <c r="U42" i="3"/>
  <c r="Y36" i="3"/>
  <c r="AC36" i="3"/>
  <c r="AA36" i="3"/>
  <c r="W33" i="3"/>
  <c r="U33" i="3"/>
  <c r="AC30" i="3"/>
  <c r="Y30" i="3"/>
  <c r="Y27" i="3"/>
  <c r="AX30" i="4"/>
  <c r="AY30" i="4"/>
  <c r="AZ30" i="4"/>
  <c r="BA30" i="4"/>
  <c r="BB30" i="4"/>
  <c r="BC30" i="4"/>
  <c r="BD30" i="4"/>
  <c r="BE30" i="4"/>
  <c r="BF30" i="4"/>
  <c r="BG30" i="4"/>
  <c r="AW20" i="4"/>
  <c r="AW25" i="4"/>
  <c r="AX25" i="4"/>
  <c r="AY25" i="4"/>
  <c r="AZ25" i="4"/>
  <c r="BA25" i="4"/>
  <c r="BB25" i="4"/>
  <c r="BC25" i="4"/>
  <c r="BD25" i="4"/>
  <c r="BE25" i="4"/>
  <c r="BF25" i="4"/>
  <c r="BG25" i="4"/>
  <c r="AX20" i="4"/>
  <c r="AY20" i="4"/>
  <c r="AZ20" i="4"/>
  <c r="BA20" i="4"/>
  <c r="BB20" i="4"/>
  <c r="BC20" i="4"/>
  <c r="BD20" i="4"/>
  <c r="BE20" i="4"/>
  <c r="BF20" i="4"/>
  <c r="BG20" i="4"/>
  <c r="AW15" i="4"/>
  <c r="AX15" i="4"/>
  <c r="AY15" i="4"/>
  <c r="AZ15" i="4"/>
  <c r="BA15" i="4"/>
  <c r="BB15" i="4"/>
  <c r="BC15" i="4"/>
  <c r="BD15" i="4"/>
  <c r="BE15" i="4"/>
  <c r="BF15" i="4"/>
  <c r="BG15" i="4"/>
  <c r="BC10" i="4"/>
  <c r="BD10" i="4"/>
  <c r="BE10" i="4"/>
  <c r="BF10" i="4"/>
  <c r="BG10" i="4"/>
  <c r="AB12" i="3"/>
  <c r="AX31" i="4"/>
  <c r="AX32" i="4"/>
  <c r="AY31" i="4"/>
  <c r="AY32" i="4"/>
  <c r="AZ31" i="4"/>
  <c r="AZ32" i="4"/>
  <c r="BA31" i="4"/>
  <c r="BA32" i="4"/>
  <c r="BB31" i="4"/>
  <c r="BB32" i="4"/>
  <c r="BC31" i="4"/>
  <c r="BC32" i="4"/>
  <c r="BD31" i="4"/>
  <c r="BD32" i="4"/>
  <c r="BE31" i="4"/>
  <c r="BE32" i="4"/>
  <c r="BF31" i="4"/>
  <c r="BF32" i="4"/>
  <c r="BG31" i="4"/>
  <c r="BG32" i="4"/>
  <c r="AW31" i="4"/>
  <c r="AW32" i="4"/>
  <c r="AX26" i="4"/>
  <c r="AX27" i="4"/>
  <c r="AY26" i="4"/>
  <c r="AY27" i="4"/>
  <c r="AZ26" i="4"/>
  <c r="AZ27" i="4"/>
  <c r="BA26" i="4"/>
  <c r="BA27" i="4"/>
  <c r="BB26" i="4"/>
  <c r="BB27" i="4"/>
  <c r="BC26" i="4"/>
  <c r="BC27" i="4"/>
  <c r="BD26" i="4"/>
  <c r="BD27" i="4"/>
  <c r="BE26" i="4"/>
  <c r="BE27" i="4"/>
  <c r="BF26" i="4"/>
  <c r="BF27" i="4"/>
  <c r="BG26" i="4"/>
  <c r="BG27" i="4"/>
  <c r="AW26" i="4"/>
  <c r="AW27" i="4"/>
  <c r="AX21" i="4"/>
  <c r="AX22" i="4"/>
  <c r="AY21" i="4"/>
  <c r="AY22" i="4"/>
  <c r="AZ21" i="4"/>
  <c r="BA21" i="4"/>
  <c r="BA22" i="4"/>
  <c r="BB21" i="4"/>
  <c r="BC21" i="4"/>
  <c r="BC22" i="4"/>
  <c r="BD21" i="4"/>
  <c r="BE21" i="4"/>
  <c r="BE22" i="4"/>
  <c r="BF21" i="4"/>
  <c r="BF22" i="4"/>
  <c r="BG21" i="4"/>
  <c r="BG22" i="4"/>
  <c r="AW21" i="4"/>
  <c r="AW22" i="4"/>
  <c r="AX16" i="4"/>
  <c r="AX17" i="4"/>
  <c r="AY16" i="4"/>
  <c r="AY17" i="4"/>
  <c r="AZ16" i="4"/>
  <c r="AZ17" i="4"/>
  <c r="BA16" i="4"/>
  <c r="BB16" i="4"/>
  <c r="BB17" i="4"/>
  <c r="BC16" i="4"/>
  <c r="BD16" i="4"/>
  <c r="BD17" i="4"/>
  <c r="BE16" i="4"/>
  <c r="BF16" i="4"/>
  <c r="BF17" i="4"/>
  <c r="BG16" i="4"/>
  <c r="AW16" i="4"/>
  <c r="AW17" i="4"/>
  <c r="R20" i="7"/>
  <c r="F37" i="7"/>
  <c r="R19" i="7"/>
  <c r="F36" i="7"/>
  <c r="R18" i="7"/>
  <c r="F35" i="7"/>
  <c r="R17" i="7"/>
  <c r="F34" i="7"/>
  <c r="R16" i="7"/>
  <c r="F33" i="7"/>
  <c r="R15" i="7"/>
  <c r="F32" i="7"/>
  <c r="R14" i="7"/>
  <c r="F31" i="7"/>
  <c r="R13" i="7"/>
  <c r="F30" i="7"/>
  <c r="R12" i="7"/>
  <c r="F29" i="7"/>
  <c r="R11" i="7"/>
  <c r="F28" i="7"/>
  <c r="R10" i="7"/>
  <c r="F27" i="7"/>
  <c r="R9" i="7"/>
  <c r="F26" i="7"/>
  <c r="R8" i="7"/>
  <c r="F25" i="7"/>
  <c r="R7" i="7"/>
  <c r="F24" i="7"/>
  <c r="F23" i="7"/>
  <c r="O82" i="6"/>
  <c r="O81" i="6"/>
  <c r="O80" i="6"/>
  <c r="O79" i="6"/>
  <c r="O78" i="6"/>
  <c r="O77" i="6"/>
  <c r="O76" i="6"/>
  <c r="O75" i="6"/>
  <c r="O74" i="6"/>
  <c r="O73" i="6"/>
  <c r="O72" i="6"/>
  <c r="O71" i="6"/>
  <c r="O70" i="6"/>
  <c r="U82" i="6"/>
  <c r="U81" i="6"/>
  <c r="U80" i="6"/>
  <c r="U79" i="6"/>
  <c r="U78" i="6"/>
  <c r="U77" i="6"/>
  <c r="U76" i="6"/>
  <c r="U75" i="6"/>
  <c r="U74" i="6"/>
  <c r="U73" i="6"/>
  <c r="U72" i="6"/>
  <c r="U71" i="6"/>
  <c r="U70" i="6"/>
  <c r="A32" i="7"/>
  <c r="A29" i="7"/>
  <c r="A23" i="7"/>
  <c r="AA82" i="6"/>
  <c r="AA81" i="6"/>
  <c r="AA80" i="6"/>
  <c r="AA79" i="6"/>
  <c r="AA78" i="6"/>
  <c r="AA77" i="6"/>
  <c r="AA76" i="6"/>
  <c r="AA75" i="6"/>
  <c r="AA74" i="6"/>
  <c r="AA73" i="6"/>
  <c r="AA72" i="6"/>
  <c r="AA71" i="6"/>
  <c r="AA70" i="6"/>
  <c r="AA69" i="6"/>
  <c r="AA68" i="6"/>
  <c r="L45" i="6"/>
  <c r="Y82" i="6"/>
  <c r="Y81" i="6"/>
  <c r="Y80" i="6"/>
  <c r="Y79" i="6"/>
  <c r="Y78" i="6"/>
  <c r="Y77" i="6"/>
  <c r="Y76" i="6"/>
  <c r="Y74" i="6"/>
  <c r="Y73" i="6"/>
  <c r="Y72" i="6"/>
  <c r="Y70" i="6"/>
  <c r="Y68" i="6"/>
  <c r="X82" i="6"/>
  <c r="X81" i="6"/>
  <c r="X80" i="6"/>
  <c r="X79" i="6"/>
  <c r="X78" i="6"/>
  <c r="X77" i="6"/>
  <c r="X76" i="6"/>
  <c r="X75" i="6"/>
  <c r="X74" i="6"/>
  <c r="X73" i="6"/>
  <c r="X72" i="6"/>
  <c r="X71" i="6"/>
  <c r="X70" i="6"/>
  <c r="X69" i="6"/>
  <c r="X68" i="6"/>
  <c r="W82" i="6"/>
  <c r="W81" i="6"/>
  <c r="W80" i="6"/>
  <c r="W79" i="6"/>
  <c r="W78" i="6"/>
  <c r="W77" i="6"/>
  <c r="W76" i="6"/>
  <c r="W75" i="6"/>
  <c r="W74" i="6"/>
  <c r="W73" i="6"/>
  <c r="W72" i="6"/>
  <c r="W71" i="6"/>
  <c r="W70" i="6"/>
  <c r="W69" i="6"/>
  <c r="W68" i="6"/>
  <c r="V82" i="6"/>
  <c r="V81" i="6"/>
  <c r="V80" i="6"/>
  <c r="V79" i="6"/>
  <c r="V78" i="6"/>
  <c r="V77" i="6"/>
  <c r="V76" i="6"/>
  <c r="V75" i="6"/>
  <c r="V74" i="6"/>
  <c r="V72" i="6"/>
  <c r="V71" i="6"/>
  <c r="V70" i="6"/>
  <c r="V69" i="6"/>
  <c r="V68" i="6"/>
  <c r="R78" i="6"/>
  <c r="T78" i="6"/>
  <c r="P82" i="6"/>
  <c r="P81" i="6"/>
  <c r="P80" i="6"/>
  <c r="P79" i="6"/>
  <c r="P78" i="6"/>
  <c r="P77" i="6"/>
  <c r="P76" i="6"/>
  <c r="P75" i="6"/>
  <c r="P74" i="6"/>
  <c r="P73" i="6"/>
  <c r="P72" i="6"/>
  <c r="P71" i="6"/>
  <c r="P70" i="6"/>
  <c r="P69" i="6"/>
  <c r="P68" i="6"/>
  <c r="AA30" i="6"/>
  <c r="AA29" i="6"/>
  <c r="AA28" i="6"/>
  <c r="AA27" i="6"/>
  <c r="Y40" i="6"/>
  <c r="Y39" i="6"/>
  <c r="Y38" i="6"/>
  <c r="Y37" i="6"/>
  <c r="Y36" i="6"/>
  <c r="Y35" i="6"/>
  <c r="Y34" i="6"/>
  <c r="Y32" i="6"/>
  <c r="Y31" i="6"/>
  <c r="Y30" i="6"/>
  <c r="Y28" i="6"/>
  <c r="Y26" i="6"/>
  <c r="W40" i="6"/>
  <c r="W39" i="6"/>
  <c r="Y187" i="6"/>
  <c r="W38" i="6"/>
  <c r="W37" i="6"/>
  <c r="W36" i="6"/>
  <c r="W35" i="6"/>
  <c r="U187" i="6"/>
  <c r="W34" i="6"/>
  <c r="W33" i="6"/>
  <c r="W32" i="6"/>
  <c r="W31" i="6"/>
  <c r="W30" i="6"/>
  <c r="W29" i="6"/>
  <c r="W28" i="6"/>
  <c r="W27" i="6"/>
  <c r="W26" i="6"/>
  <c r="V40" i="6"/>
  <c r="V39" i="6"/>
  <c r="V38" i="6"/>
  <c r="V37" i="6"/>
  <c r="V36" i="6"/>
  <c r="V34" i="6"/>
  <c r="V33" i="6"/>
  <c r="V32" i="6"/>
  <c r="V31" i="6"/>
  <c r="V30" i="6"/>
  <c r="V29" i="6"/>
  <c r="V28" i="6"/>
  <c r="V27" i="6"/>
  <c r="P40" i="6"/>
  <c r="P39" i="6"/>
  <c r="P38" i="6"/>
  <c r="P37" i="6"/>
  <c r="P36" i="6"/>
  <c r="P35" i="6"/>
  <c r="P34" i="6"/>
  <c r="P33" i="6"/>
  <c r="P31" i="6"/>
  <c r="P30" i="6"/>
  <c r="AP24" i="1"/>
  <c r="AP23" i="1"/>
  <c r="AP22" i="1"/>
  <c r="AP21" i="1"/>
  <c r="AP20" i="1"/>
  <c r="AP19" i="1"/>
  <c r="AP18" i="1"/>
  <c r="AP17" i="1"/>
  <c r="AP16" i="1"/>
  <c r="AP15" i="1"/>
  <c r="AP14" i="1"/>
  <c r="A40" i="7"/>
  <c r="O17" i="7"/>
  <c r="D9" i="7"/>
  <c r="O15" i="7"/>
  <c r="O6" i="7"/>
  <c r="O4" i="7"/>
  <c r="A9" i="7"/>
  <c r="A45" i="7"/>
  <c r="A44" i="7"/>
  <c r="A43" i="7"/>
  <c r="AV4" i="6"/>
  <c r="AW4" i="6"/>
  <c r="AX4" i="6"/>
  <c r="AY4" i="6"/>
  <c r="AZ4" i="6"/>
  <c r="BA4" i="6"/>
  <c r="BB4" i="6"/>
  <c r="BC4" i="6"/>
  <c r="BD4" i="6"/>
  <c r="AU4" i="6"/>
  <c r="AV3" i="6"/>
  <c r="AW3" i="6"/>
  <c r="AX3" i="6"/>
  <c r="AY3" i="6"/>
  <c r="AZ3" i="6"/>
  <c r="BA3" i="6"/>
  <c r="BB3" i="6"/>
  <c r="BC3" i="6"/>
  <c r="BD3" i="6"/>
  <c r="BE3" i="6"/>
  <c r="AU3" i="6"/>
  <c r="AD33" i="6"/>
  <c r="S115" i="6"/>
  <c r="W113" i="6"/>
  <c r="W91" i="6"/>
  <c r="W90" i="6"/>
  <c r="V90" i="6"/>
  <c r="T90" i="6"/>
  <c r="S92" i="6"/>
  <c r="R92" i="6"/>
  <c r="R90" i="6"/>
  <c r="Q92" i="6"/>
  <c r="P92" i="6"/>
  <c r="Q68" i="6"/>
  <c r="Q30" i="6"/>
  <c r="Q26" i="6"/>
  <c r="P26" i="6"/>
  <c r="Q82" i="6"/>
  <c r="Q81" i="6"/>
  <c r="Q80" i="6"/>
  <c r="Q79" i="6"/>
  <c r="Q78" i="6"/>
  <c r="Q77" i="6"/>
  <c r="Q76" i="6"/>
  <c r="Q75" i="6"/>
  <c r="Q74" i="6"/>
  <c r="Q73" i="6"/>
  <c r="Q72" i="6"/>
  <c r="Q71" i="6"/>
  <c r="Q70" i="6"/>
  <c r="Q69" i="6"/>
  <c r="Q33" i="6"/>
  <c r="Q32" i="6"/>
  <c r="P32" i="6"/>
  <c r="Q31" i="6"/>
  <c r="Q29" i="6"/>
  <c r="P29" i="6"/>
  <c r="Q28" i="6"/>
  <c r="P28" i="6"/>
  <c r="Q27" i="6"/>
  <c r="P27" i="6"/>
  <c r="K18" i="5" a="1"/>
  <c r="K18" i="5"/>
  <c r="K19" i="5" a="1"/>
  <c r="K19" i="5"/>
  <c r="K20" i="5" a="1"/>
  <c r="K20" i="5"/>
  <c r="K21" i="5" a="1"/>
  <c r="K21" i="5"/>
  <c r="K17" i="5" a="1"/>
  <c r="K17" i="5"/>
  <c r="H18" i="5" a="1"/>
  <c r="H18" i="5"/>
  <c r="H19" i="5" a="1"/>
  <c r="H19" i="5"/>
  <c r="H20" i="5" a="1"/>
  <c r="H20" i="5"/>
  <c r="H21" i="5" a="1"/>
  <c r="H21" i="5"/>
  <c r="H17" i="5" a="1"/>
  <c r="H17" i="5"/>
  <c r="G18" i="5" a="1"/>
  <c r="G18" i="5"/>
  <c r="G19" i="5" a="1"/>
  <c r="G19" i="5"/>
  <c r="G20" i="5" a="1"/>
  <c r="G20" i="5"/>
  <c r="G21" i="5" a="1"/>
  <c r="G21" i="5"/>
  <c r="G17" i="5" a="1"/>
  <c r="G17" i="5"/>
  <c r="E18" i="5" a="1"/>
  <c r="E18" i="5"/>
  <c r="E19" i="5" a="1"/>
  <c r="E19" i="5"/>
  <c r="E20" i="5" a="1"/>
  <c r="E20" i="5"/>
  <c r="E21" i="5" a="1"/>
  <c r="E21" i="5"/>
  <c r="E17" i="5" a="1"/>
  <c r="E17" i="5"/>
  <c r="C18" i="5" a="1"/>
  <c r="C18" i="5"/>
  <c r="C19" i="5" a="1"/>
  <c r="C19" i="5"/>
  <c r="C20" i="5" a="1"/>
  <c r="C20" i="5"/>
  <c r="C21" i="5" a="1"/>
  <c r="C21" i="5"/>
  <c r="C17" i="5" a="1"/>
  <c r="C17" i="5"/>
  <c r="B17" i="5" a="1"/>
  <c r="B17" i="5"/>
  <c r="O6" i="5" a="1"/>
  <c r="O10" i="5"/>
  <c r="N6" i="5" a="1"/>
  <c r="N8" i="5"/>
  <c r="M6" i="5" a="1"/>
  <c r="M9" i="5"/>
  <c r="L6" i="5" a="1"/>
  <c r="L8" i="5"/>
  <c r="K6" i="5" a="1"/>
  <c r="K10" i="5"/>
  <c r="J6" i="5" a="1"/>
  <c r="J8" i="5"/>
  <c r="I6" i="5" a="1"/>
  <c r="I10" i="5"/>
  <c r="H6" i="5" a="1"/>
  <c r="H8" i="5"/>
  <c r="G6" i="5" a="1"/>
  <c r="G8" i="5"/>
  <c r="F6" i="5" a="1"/>
  <c r="F8" i="5"/>
  <c r="E6" i="5" a="1"/>
  <c r="E10" i="5"/>
  <c r="D6" i="5" a="1"/>
  <c r="D8" i="5"/>
  <c r="B6" i="5" a="1"/>
  <c r="B9" i="5"/>
  <c r="Z76" i="9"/>
  <c r="Y76" i="9"/>
  <c r="X76" i="9"/>
  <c r="W76" i="9"/>
  <c r="V76" i="9"/>
  <c r="U76" i="9"/>
  <c r="T76" i="9"/>
  <c r="S76" i="9"/>
  <c r="R76" i="9"/>
  <c r="Q76" i="9"/>
  <c r="I53" i="9"/>
  <c r="H53" i="9"/>
  <c r="G53" i="9"/>
  <c r="F53" i="9"/>
  <c r="E53" i="9"/>
  <c r="Z40" i="9"/>
  <c r="I52" i="9"/>
  <c r="H52" i="9"/>
  <c r="G52" i="9"/>
  <c r="F52" i="9"/>
  <c r="E52" i="9"/>
  <c r="Y41" i="9"/>
  <c r="I51" i="9"/>
  <c r="H51" i="9"/>
  <c r="G51" i="9"/>
  <c r="F51" i="9"/>
  <c r="E51" i="9"/>
  <c r="X41" i="9"/>
  <c r="I50" i="9"/>
  <c r="H50" i="9"/>
  <c r="G50" i="9"/>
  <c r="F50" i="9"/>
  <c r="E50" i="9"/>
  <c r="W44" i="9"/>
  <c r="I49" i="9"/>
  <c r="H49" i="9"/>
  <c r="G49" i="9"/>
  <c r="F49" i="9"/>
  <c r="E49" i="9"/>
  <c r="V40" i="9"/>
  <c r="I48" i="9"/>
  <c r="H48" i="9"/>
  <c r="G48" i="9"/>
  <c r="F48" i="9"/>
  <c r="E48" i="9"/>
  <c r="U41" i="9"/>
  <c r="I47" i="9"/>
  <c r="H47" i="9"/>
  <c r="G47" i="9"/>
  <c r="F47" i="9"/>
  <c r="E47" i="9"/>
  <c r="T44" i="9"/>
  <c r="Z46" i="9"/>
  <c r="Y46" i="9"/>
  <c r="X46" i="9"/>
  <c r="W46" i="9"/>
  <c r="T46" i="9"/>
  <c r="Y45" i="9"/>
  <c r="X45" i="9"/>
  <c r="H45" i="9"/>
  <c r="G45" i="9"/>
  <c r="AF25" i="9"/>
  <c r="AF24" i="9"/>
  <c r="AF23" i="9"/>
  <c r="AF22" i="9"/>
  <c r="AF21" i="9"/>
  <c r="AF20" i="9"/>
  <c r="AF19" i="9"/>
  <c r="C47" i="9"/>
  <c r="D47" i="9"/>
  <c r="AT11" i="9"/>
  <c r="AP24" i="9"/>
  <c r="AP22" i="9"/>
  <c r="AP20" i="9"/>
  <c r="AP18" i="9"/>
  <c r="AP16" i="9"/>
  <c r="AP14" i="9"/>
  <c r="AP12" i="9"/>
  <c r="Z85" i="9"/>
  <c r="Y85" i="9"/>
  <c r="X85" i="9"/>
  <c r="W85" i="9"/>
  <c r="V85" i="9"/>
  <c r="T85" i="9"/>
  <c r="S85" i="9"/>
  <c r="R85" i="9"/>
  <c r="Q85" i="9"/>
  <c r="P85" i="9"/>
  <c r="O85" i="9"/>
  <c r="N85" i="9"/>
  <c r="M85" i="9"/>
  <c r="Z84" i="9"/>
  <c r="X84" i="9"/>
  <c r="W84" i="9"/>
  <c r="V84" i="9"/>
  <c r="U84" i="9"/>
  <c r="T84" i="9"/>
  <c r="R84" i="9"/>
  <c r="Q84" i="9"/>
  <c r="P84" i="9"/>
  <c r="O84" i="9"/>
  <c r="Z83" i="9"/>
  <c r="Y83" i="9"/>
  <c r="X83" i="9"/>
  <c r="W83" i="9"/>
  <c r="V83" i="9"/>
  <c r="T83" i="9"/>
  <c r="S83" i="9"/>
  <c r="R83" i="9"/>
  <c r="Q83" i="9"/>
  <c r="P83" i="9"/>
  <c r="O83" i="9"/>
  <c r="N83" i="9"/>
  <c r="M83" i="9"/>
  <c r="Z82" i="9"/>
  <c r="W82" i="9"/>
  <c r="U82" i="9"/>
  <c r="S82" i="9"/>
  <c r="O82" i="9"/>
  <c r="O81" i="9"/>
  <c r="Z74" i="9"/>
  <c r="Y74" i="9"/>
  <c r="X74" i="9"/>
  <c r="W74" i="9"/>
  <c r="V74" i="9"/>
  <c r="U74" i="9"/>
  <c r="T74" i="9"/>
  <c r="S74" i="9"/>
  <c r="R74" i="9"/>
  <c r="Q74" i="9"/>
  <c r="P74" i="9"/>
  <c r="O74" i="9"/>
  <c r="N74" i="9"/>
  <c r="M74" i="9"/>
  <c r="L74" i="9"/>
  <c r="Z73" i="9"/>
  <c r="Y73" i="9"/>
  <c r="X73" i="9"/>
  <c r="W73" i="9"/>
  <c r="V73" i="9"/>
  <c r="U73" i="9"/>
  <c r="T73" i="9"/>
  <c r="S73" i="9"/>
  <c r="R73" i="9"/>
  <c r="Q73" i="9"/>
  <c r="P73" i="9"/>
  <c r="O73" i="9"/>
  <c r="N73" i="9"/>
  <c r="L73" i="9"/>
  <c r="Z72" i="9"/>
  <c r="Y72" i="9"/>
  <c r="X72" i="9"/>
  <c r="W72" i="9"/>
  <c r="V72" i="9"/>
  <c r="U72" i="9"/>
  <c r="T72" i="9"/>
  <c r="S72" i="9"/>
  <c r="R72" i="9"/>
  <c r="Q72" i="9"/>
  <c r="P72" i="9"/>
  <c r="O72" i="9"/>
  <c r="N72" i="9"/>
  <c r="M72" i="9"/>
  <c r="L72" i="9"/>
  <c r="Z71" i="9"/>
  <c r="Y71" i="9"/>
  <c r="X71" i="9"/>
  <c r="W71" i="9"/>
  <c r="V71" i="9"/>
  <c r="U71" i="9"/>
  <c r="T71" i="9"/>
  <c r="S71" i="9"/>
  <c r="R71" i="9"/>
  <c r="Q71" i="9"/>
  <c r="P71" i="9"/>
  <c r="O71" i="9"/>
  <c r="N71" i="9"/>
  <c r="M71" i="9"/>
  <c r="L71" i="9"/>
  <c r="Z70" i="9"/>
  <c r="Y70" i="9"/>
  <c r="X70" i="9"/>
  <c r="W70" i="9"/>
  <c r="V70" i="9"/>
  <c r="U70" i="9"/>
  <c r="T70" i="9"/>
  <c r="S70" i="9"/>
  <c r="R70" i="9"/>
  <c r="Q70" i="9"/>
  <c r="P70" i="9"/>
  <c r="O70" i="9"/>
  <c r="N70" i="9"/>
  <c r="H100" i="9"/>
  <c r="G100" i="9"/>
  <c r="F100" i="9"/>
  <c r="E100" i="9"/>
  <c r="I100" i="9"/>
  <c r="H99" i="9"/>
  <c r="G99" i="9"/>
  <c r="F99" i="9"/>
  <c r="E99" i="9"/>
  <c r="I99" i="9"/>
  <c r="H98" i="9"/>
  <c r="G98" i="9"/>
  <c r="F98" i="9"/>
  <c r="E98" i="9"/>
  <c r="I98" i="9"/>
  <c r="H97" i="9"/>
  <c r="G97" i="9"/>
  <c r="F97" i="9"/>
  <c r="E97" i="9"/>
  <c r="I97" i="9"/>
  <c r="H96" i="9"/>
  <c r="G96" i="9"/>
  <c r="F96" i="9"/>
  <c r="E96" i="9"/>
  <c r="I96" i="9"/>
  <c r="H95" i="9"/>
  <c r="G95" i="9"/>
  <c r="F95" i="9"/>
  <c r="E95" i="9"/>
  <c r="I95" i="9"/>
  <c r="H94" i="9"/>
  <c r="G94" i="9"/>
  <c r="F94" i="9"/>
  <c r="E94" i="9"/>
  <c r="I94" i="9"/>
  <c r="H93" i="9"/>
  <c r="G93" i="9"/>
  <c r="F93" i="9"/>
  <c r="E93" i="9"/>
  <c r="I93" i="9"/>
  <c r="H92" i="9"/>
  <c r="G92" i="9"/>
  <c r="F92" i="9"/>
  <c r="E92" i="9"/>
  <c r="I92" i="9"/>
  <c r="H91" i="9"/>
  <c r="G91" i="9"/>
  <c r="F91" i="9"/>
  <c r="E91" i="9"/>
  <c r="I91" i="9"/>
  <c r="H90" i="9"/>
  <c r="G90" i="9"/>
  <c r="F90" i="9"/>
  <c r="E90" i="9"/>
  <c r="I90" i="9"/>
  <c r="H89" i="9"/>
  <c r="G89" i="9"/>
  <c r="F89" i="9"/>
  <c r="E89" i="9"/>
  <c r="I89" i="9"/>
  <c r="H88" i="9"/>
  <c r="G88" i="9"/>
  <c r="F88" i="9"/>
  <c r="E88" i="9"/>
  <c r="I88" i="9"/>
  <c r="I87" i="9"/>
  <c r="H87" i="9"/>
  <c r="G87" i="9"/>
  <c r="F87" i="9"/>
  <c r="E87" i="9"/>
  <c r="H86" i="9"/>
  <c r="G86" i="9"/>
  <c r="F86" i="9"/>
  <c r="E86" i="9"/>
  <c r="I86" i="9"/>
  <c r="G83" i="9"/>
  <c r="E83" i="9"/>
  <c r="F83" i="9"/>
  <c r="G82" i="9"/>
  <c r="E82" i="9"/>
  <c r="F82" i="9"/>
  <c r="G81" i="9"/>
  <c r="E81" i="9"/>
  <c r="F81" i="9"/>
  <c r="G80" i="9"/>
  <c r="E80" i="9"/>
  <c r="F80" i="9"/>
  <c r="G79" i="9"/>
  <c r="E79" i="9"/>
  <c r="F79" i="9"/>
  <c r="G78" i="9"/>
  <c r="E78" i="9"/>
  <c r="F78" i="9"/>
  <c r="G77" i="9"/>
  <c r="E77" i="9"/>
  <c r="F77" i="9"/>
  <c r="G76" i="9"/>
  <c r="E76" i="9"/>
  <c r="F76" i="9"/>
  <c r="G75" i="9"/>
  <c r="E75" i="9"/>
  <c r="F75" i="9"/>
  <c r="G74" i="9"/>
  <c r="E74" i="9"/>
  <c r="F74" i="9"/>
  <c r="G73" i="9"/>
  <c r="E73" i="9"/>
  <c r="F73" i="9"/>
  <c r="G72" i="9"/>
  <c r="E72" i="9"/>
  <c r="F72" i="9"/>
  <c r="E71" i="9"/>
  <c r="F71" i="9"/>
  <c r="G70" i="9"/>
  <c r="E70" i="9"/>
  <c r="F70" i="9"/>
  <c r="E69" i="9"/>
  <c r="F69" i="9"/>
  <c r="Z55" i="9"/>
  <c r="Y55" i="9"/>
  <c r="X55" i="9"/>
  <c r="W55" i="9"/>
  <c r="V55" i="9"/>
  <c r="U55" i="9"/>
  <c r="T55" i="9"/>
  <c r="S55" i="9"/>
  <c r="R55" i="9"/>
  <c r="Q55" i="9"/>
  <c r="P55" i="9"/>
  <c r="O55" i="9"/>
  <c r="N55" i="9"/>
  <c r="M55" i="9"/>
  <c r="L55" i="9"/>
  <c r="Z54" i="9"/>
  <c r="Y54" i="9"/>
  <c r="X54" i="9"/>
  <c r="W54" i="9"/>
  <c r="V54" i="9"/>
  <c r="U54" i="9"/>
  <c r="T54" i="9"/>
  <c r="S54" i="9"/>
  <c r="R54" i="9"/>
  <c r="Q54" i="9"/>
  <c r="P54" i="9"/>
  <c r="O54" i="9"/>
  <c r="N54" i="9"/>
  <c r="M54" i="9"/>
  <c r="L54" i="9"/>
  <c r="Z53" i="9"/>
  <c r="Y53" i="9"/>
  <c r="X53" i="9"/>
  <c r="W53" i="9"/>
  <c r="V53" i="9"/>
  <c r="U53" i="9"/>
  <c r="T53" i="9"/>
  <c r="S53" i="9"/>
  <c r="R53" i="9"/>
  <c r="Q53" i="9"/>
  <c r="P53" i="9"/>
  <c r="O53" i="9"/>
  <c r="N53" i="9"/>
  <c r="M53" i="9"/>
  <c r="L53" i="9"/>
  <c r="Z52" i="9"/>
  <c r="Y52" i="9"/>
  <c r="X52" i="9"/>
  <c r="W52" i="9"/>
  <c r="V52" i="9"/>
  <c r="U52" i="9"/>
  <c r="T52" i="9"/>
  <c r="S52" i="9"/>
  <c r="R52" i="9"/>
  <c r="Q52" i="9"/>
  <c r="P52" i="9"/>
  <c r="O52" i="9"/>
  <c r="N52" i="9"/>
  <c r="M52" i="9"/>
  <c r="L52" i="9"/>
  <c r="Z51" i="9"/>
  <c r="Y51" i="9"/>
  <c r="X51" i="9"/>
  <c r="W51" i="9"/>
  <c r="V51" i="9"/>
  <c r="U51" i="9"/>
  <c r="T51" i="9"/>
  <c r="S51" i="9"/>
  <c r="R51" i="9"/>
  <c r="Q51" i="9"/>
  <c r="P51" i="9"/>
  <c r="O51" i="9"/>
  <c r="N51" i="9"/>
  <c r="M51" i="9"/>
  <c r="L51" i="9"/>
  <c r="Z50" i="9"/>
  <c r="Y50" i="9"/>
  <c r="X50" i="9"/>
  <c r="W50" i="9"/>
  <c r="V50" i="9"/>
  <c r="U50" i="9"/>
  <c r="T50" i="9"/>
  <c r="S50" i="9"/>
  <c r="R50" i="9"/>
  <c r="Q50" i="9"/>
  <c r="P50" i="9"/>
  <c r="O50" i="9"/>
  <c r="N50" i="9"/>
  <c r="M50" i="9"/>
  <c r="L50" i="9"/>
  <c r="AF44" i="9"/>
  <c r="C83" i="9"/>
  <c r="D83" i="9"/>
  <c r="AF43" i="9"/>
  <c r="C82" i="9"/>
  <c r="D82" i="9"/>
  <c r="AF42" i="9"/>
  <c r="C81" i="9"/>
  <c r="D81" i="9"/>
  <c r="AF41" i="9"/>
  <c r="C80" i="9"/>
  <c r="D80" i="9"/>
  <c r="AF37" i="9"/>
  <c r="C76" i="9"/>
  <c r="D76" i="9"/>
  <c r="AF36" i="9"/>
  <c r="C75" i="9"/>
  <c r="D75" i="9"/>
  <c r="AF35" i="9"/>
  <c r="C53" i="9"/>
  <c r="D53" i="9"/>
  <c r="AF34" i="9"/>
  <c r="C52" i="9"/>
  <c r="D52" i="9"/>
  <c r="AF33" i="9"/>
  <c r="C72" i="9"/>
  <c r="D72" i="9"/>
  <c r="AF32" i="9"/>
  <c r="C50" i="9"/>
  <c r="D50" i="9"/>
  <c r="AF31" i="9"/>
  <c r="C70" i="9"/>
  <c r="D70" i="9"/>
  <c r="AF30" i="9"/>
  <c r="C69" i="9"/>
  <c r="D69" i="9"/>
  <c r="H35" i="9"/>
  <c r="H83" i="9"/>
  <c r="G35" i="9"/>
  <c r="E35" i="9"/>
  <c r="I35" i="9"/>
  <c r="I83" i="9"/>
  <c r="F35" i="9"/>
  <c r="C35" i="9"/>
  <c r="D35" i="9"/>
  <c r="H34" i="9"/>
  <c r="H82" i="9"/>
  <c r="G34" i="9"/>
  <c r="F34" i="9"/>
  <c r="E34" i="9"/>
  <c r="I34" i="9"/>
  <c r="I82" i="9"/>
  <c r="C34" i="9"/>
  <c r="D34" i="9"/>
  <c r="H33" i="9"/>
  <c r="H81" i="9"/>
  <c r="G33" i="9"/>
  <c r="F33" i="9"/>
  <c r="E33" i="9"/>
  <c r="I33" i="9"/>
  <c r="I81" i="9"/>
  <c r="C33" i="9"/>
  <c r="D33" i="9"/>
  <c r="H32" i="9"/>
  <c r="H80" i="9"/>
  <c r="G32" i="9"/>
  <c r="E32" i="9"/>
  <c r="I32" i="9"/>
  <c r="K32" i="9"/>
  <c r="F32" i="9"/>
  <c r="C32" i="9"/>
  <c r="D32" i="9"/>
  <c r="I31" i="9"/>
  <c r="K31" i="9"/>
  <c r="H31" i="9"/>
  <c r="H79" i="9"/>
  <c r="G31" i="9"/>
  <c r="E31" i="9"/>
  <c r="F31" i="9"/>
  <c r="C31" i="9"/>
  <c r="D31" i="9"/>
  <c r="H30" i="9"/>
  <c r="H78" i="9"/>
  <c r="G30" i="9"/>
  <c r="E30" i="9"/>
  <c r="I30" i="9"/>
  <c r="I78" i="9"/>
  <c r="F30" i="9"/>
  <c r="C30" i="9"/>
  <c r="D30" i="9"/>
  <c r="H29" i="9"/>
  <c r="H77" i="9"/>
  <c r="G29" i="9"/>
  <c r="E29" i="9"/>
  <c r="I29" i="9"/>
  <c r="I77" i="9"/>
  <c r="F29" i="9"/>
  <c r="C29" i="9"/>
  <c r="D29" i="9"/>
  <c r="H28" i="9"/>
  <c r="H76" i="9"/>
  <c r="G28" i="9"/>
  <c r="E28" i="9"/>
  <c r="I28" i="9"/>
  <c r="K28" i="9"/>
  <c r="C28" i="9"/>
  <c r="D28" i="9"/>
  <c r="H27" i="9"/>
  <c r="H75" i="9"/>
  <c r="G27" i="9"/>
  <c r="F27" i="9"/>
  <c r="E27" i="9"/>
  <c r="I27" i="9"/>
  <c r="K27" i="9"/>
  <c r="C27" i="9"/>
  <c r="D27" i="9"/>
  <c r="E26" i="9"/>
  <c r="I26" i="9"/>
  <c r="K26" i="9"/>
  <c r="H26" i="9"/>
  <c r="H74" i="9"/>
  <c r="G26" i="9"/>
  <c r="C26" i="9"/>
  <c r="D26" i="9"/>
  <c r="H25" i="9"/>
  <c r="H73" i="9"/>
  <c r="G25" i="9"/>
  <c r="E25" i="9"/>
  <c r="I25" i="9"/>
  <c r="I73" i="9"/>
  <c r="C25" i="9"/>
  <c r="D25" i="9"/>
  <c r="H24" i="9"/>
  <c r="H72" i="9"/>
  <c r="G24" i="9"/>
  <c r="F24" i="9"/>
  <c r="E24" i="9"/>
  <c r="I24" i="9"/>
  <c r="I72" i="9"/>
  <c r="C24" i="9"/>
  <c r="D24" i="9"/>
  <c r="H23" i="9"/>
  <c r="H71" i="9"/>
  <c r="G71" i="9"/>
  <c r="G23" i="9"/>
  <c r="E23" i="9"/>
  <c r="L14" i="9"/>
  <c r="I23" i="9"/>
  <c r="C23" i="9"/>
  <c r="D23" i="9"/>
  <c r="H22" i="9"/>
  <c r="H70" i="9"/>
  <c r="G22" i="9"/>
  <c r="E22" i="9"/>
  <c r="F22" i="9"/>
  <c r="C22" i="9"/>
  <c r="D22" i="9"/>
  <c r="H21" i="9"/>
  <c r="H69" i="9"/>
  <c r="G69" i="9"/>
  <c r="G21" i="9"/>
  <c r="E21" i="9"/>
  <c r="L80" i="9"/>
  <c r="C21" i="9"/>
  <c r="D21" i="9"/>
  <c r="AJ8" i="9"/>
  <c r="AI8" i="9"/>
  <c r="AH8" i="9"/>
  <c r="AG8" i="9"/>
  <c r="AF8" i="9"/>
  <c r="AE8" i="9"/>
  <c r="AD8" i="9"/>
  <c r="AC8" i="9"/>
  <c r="AJ7" i="9"/>
  <c r="AI7" i="9"/>
  <c r="AH7" i="9"/>
  <c r="AG7" i="9"/>
  <c r="AF7" i="9"/>
  <c r="AE7" i="9"/>
  <c r="AD7" i="9"/>
  <c r="AC7" i="9"/>
  <c r="AJ6" i="9"/>
  <c r="AI6" i="9"/>
  <c r="AH6" i="9"/>
  <c r="AG6" i="9"/>
  <c r="AF6" i="9"/>
  <c r="AE6" i="9"/>
  <c r="AD6" i="9"/>
  <c r="AC6" i="9"/>
  <c r="AJ5" i="9"/>
  <c r="AI5" i="9"/>
  <c r="AH5" i="9"/>
  <c r="AG5" i="9"/>
  <c r="AF5" i="9"/>
  <c r="AE5" i="9"/>
  <c r="AD5" i="9"/>
  <c r="AC5" i="9"/>
  <c r="AJ4" i="9"/>
  <c r="AI4" i="9"/>
  <c r="AH4" i="9"/>
  <c r="AG4" i="9"/>
  <c r="AF4" i="9"/>
  <c r="AE4" i="9"/>
  <c r="AD4" i="9"/>
  <c r="AC4" i="9"/>
  <c r="AJ3" i="9"/>
  <c r="AI3" i="9"/>
  <c r="AH3" i="9"/>
  <c r="AG3" i="9"/>
  <c r="AF3" i="9"/>
  <c r="AE3" i="9"/>
  <c r="AD3" i="9"/>
  <c r="AC3" i="9"/>
  <c r="AC9" i="9"/>
  <c r="J21" i="9"/>
  <c r="F2" i="5"/>
  <c r="L3" i="8"/>
  <c r="D3" i="8"/>
  <c r="N82" i="6"/>
  <c r="R82" i="6"/>
  <c r="T82" i="6"/>
  <c r="N81" i="6"/>
  <c r="R81" i="6"/>
  <c r="T81" i="6"/>
  <c r="N80" i="6"/>
  <c r="Z80" i="6"/>
  <c r="X102" i="6"/>
  <c r="X113" i="6"/>
  <c r="N79" i="6"/>
  <c r="W99" i="6"/>
  <c r="W110" i="6"/>
  <c r="W105" i="6"/>
  <c r="W116" i="6"/>
  <c r="N78" i="6"/>
  <c r="V57" i="6"/>
  <c r="V105" i="6"/>
  <c r="V116" i="6"/>
  <c r="N77" i="6"/>
  <c r="Z77" i="6"/>
  <c r="U105" i="6"/>
  <c r="U116" i="6"/>
  <c r="N76" i="6"/>
  <c r="R76" i="6"/>
  <c r="T76" i="6"/>
  <c r="N75" i="6"/>
  <c r="S45" i="6"/>
  <c r="S105" i="6"/>
  <c r="S116" i="6"/>
  <c r="N74" i="6"/>
  <c r="R45" i="6"/>
  <c r="R74" i="6"/>
  <c r="T74" i="6"/>
  <c r="N73" i="6"/>
  <c r="Q57" i="6"/>
  <c r="R73" i="6"/>
  <c r="T73" i="6"/>
  <c r="N72" i="6"/>
  <c r="P99" i="6"/>
  <c r="P110" i="6"/>
  <c r="P102" i="6"/>
  <c r="P113" i="6"/>
  <c r="N71" i="6"/>
  <c r="O102" i="6"/>
  <c r="O113" i="6"/>
  <c r="N70" i="6"/>
  <c r="N57" i="6"/>
  <c r="N102" i="6"/>
  <c r="N113" i="6"/>
  <c r="N69" i="6"/>
  <c r="R69" i="6"/>
  <c r="T69" i="6"/>
  <c r="R68" i="6"/>
  <c r="T68" i="6"/>
  <c r="AD36" i="6"/>
  <c r="N40" i="6"/>
  <c r="R40" i="6"/>
  <c r="T40" i="6"/>
  <c r="AD35" i="6"/>
  <c r="N39" i="6"/>
  <c r="Y179" i="6"/>
  <c r="Y192" i="6"/>
  <c r="R39" i="6"/>
  <c r="T39" i="6"/>
  <c r="AD34" i="6"/>
  <c r="N38" i="6"/>
  <c r="R38" i="6"/>
  <c r="T38" i="6"/>
  <c r="N37" i="6"/>
  <c r="R37" i="6"/>
  <c r="T37" i="6"/>
  <c r="AD32" i="6"/>
  <c r="N36" i="6"/>
  <c r="V15" i="6"/>
  <c r="R36" i="6"/>
  <c r="T36" i="6"/>
  <c r="AD31" i="6"/>
  <c r="AF40" i="9"/>
  <c r="C79" i="9"/>
  <c r="D79" i="9"/>
  <c r="N35" i="6"/>
  <c r="R35" i="6"/>
  <c r="T35" i="6"/>
  <c r="AD30" i="6"/>
  <c r="N34" i="6"/>
  <c r="T15" i="6"/>
  <c r="R34" i="6"/>
  <c r="T34" i="6"/>
  <c r="AD29" i="6"/>
  <c r="AF38" i="9"/>
  <c r="C77" i="9"/>
  <c r="D77" i="9"/>
  <c r="N33" i="6"/>
  <c r="S181" i="6"/>
  <c r="S194" i="6"/>
  <c r="R33" i="6"/>
  <c r="T33" i="6"/>
  <c r="AD28" i="6"/>
  <c r="N32" i="6"/>
  <c r="R179" i="6"/>
  <c r="R192" i="6"/>
  <c r="R32" i="6"/>
  <c r="T32" i="6"/>
  <c r="AD27" i="6"/>
  <c r="AI2" i="6"/>
  <c r="AQ2" i="6"/>
  <c r="AI3" i="6"/>
  <c r="AQ3" i="6"/>
  <c r="AI4" i="6"/>
  <c r="AQ4" i="6"/>
  <c r="AI5" i="6"/>
  <c r="AI6" i="6"/>
  <c r="AQ6" i="6"/>
  <c r="AI7" i="6"/>
  <c r="AQ7" i="6"/>
  <c r="N31" i="6"/>
  <c r="AD26" i="6"/>
  <c r="AH2" i="6"/>
  <c r="AH3" i="6"/>
  <c r="AH4" i="6"/>
  <c r="AH19" i="6"/>
  <c r="AH5" i="6"/>
  <c r="AH6" i="6"/>
  <c r="AH7" i="6"/>
  <c r="N30" i="6"/>
  <c r="O30" i="6"/>
  <c r="AD25" i="6"/>
  <c r="N29" i="6"/>
  <c r="AD24" i="6"/>
  <c r="AF2" i="6"/>
  <c r="AF3" i="6"/>
  <c r="AF4" i="6"/>
  <c r="AF5" i="6"/>
  <c r="AF6" i="6"/>
  <c r="AF7" i="6"/>
  <c r="N28" i="6"/>
  <c r="N174" i="6"/>
  <c r="AD23" i="6"/>
  <c r="AE2" i="6"/>
  <c r="AE3" i="6"/>
  <c r="AE4" i="6"/>
  <c r="AE5" i="6"/>
  <c r="AE19" i="6"/>
  <c r="AE6" i="6"/>
  <c r="AE7" i="6"/>
  <c r="AD22" i="6"/>
  <c r="AK7" i="6"/>
  <c r="AJ7" i="6"/>
  <c r="AR7" i="6"/>
  <c r="AG7" i="6"/>
  <c r="AK6" i="6"/>
  <c r="AJ6" i="6"/>
  <c r="AR6" i="6"/>
  <c r="AG6" i="6"/>
  <c r="AK5" i="6"/>
  <c r="AJ5" i="6"/>
  <c r="AR5" i="6"/>
  <c r="AG5" i="6"/>
  <c r="AK4" i="6"/>
  <c r="AK19" i="6"/>
  <c r="AJ4" i="6"/>
  <c r="AR4" i="6"/>
  <c r="AG4" i="6"/>
  <c r="AP3" i="6"/>
  <c r="AO3" i="6"/>
  <c r="AN3" i="6"/>
  <c r="AM3" i="6"/>
  <c r="AL3" i="6"/>
  <c r="AK3" i="6"/>
  <c r="AJ3" i="6"/>
  <c r="AR3" i="6"/>
  <c r="AG3" i="6"/>
  <c r="AP2" i="6"/>
  <c r="AP19" i="6"/>
  <c r="AO2" i="6"/>
  <c r="AN2" i="6"/>
  <c r="AM2" i="6"/>
  <c r="AL2" i="6"/>
  <c r="AK2" i="6"/>
  <c r="AJ2" i="6"/>
  <c r="AG2" i="6"/>
  <c r="G56" i="3"/>
  <c r="P76" i="9"/>
  <c r="L54" i="3"/>
  <c r="H54" i="3"/>
  <c r="F54" i="3"/>
  <c r="X150" i="6"/>
  <c r="G53" i="3"/>
  <c r="L51" i="3"/>
  <c r="H51" i="3"/>
  <c r="F51" i="3"/>
  <c r="G50" i="3"/>
  <c r="L48" i="3"/>
  <c r="H48" i="3"/>
  <c r="F48" i="3"/>
  <c r="G47" i="3"/>
  <c r="L45" i="3"/>
  <c r="H45" i="3"/>
  <c r="F45" i="3"/>
  <c r="G44" i="3"/>
  <c r="L76" i="9"/>
  <c r="L42" i="3"/>
  <c r="H42" i="3"/>
  <c r="F42" i="3"/>
  <c r="X146" i="6"/>
  <c r="G41" i="3"/>
  <c r="L39" i="3"/>
  <c r="H39" i="3"/>
  <c r="F39" i="3"/>
  <c r="X145" i="6"/>
  <c r="G38" i="3"/>
  <c r="L36" i="3"/>
  <c r="H36" i="3"/>
  <c r="F36" i="3"/>
  <c r="G35" i="3"/>
  <c r="L33" i="3"/>
  <c r="W45" i="9"/>
  <c r="H33" i="3"/>
  <c r="F33" i="3"/>
  <c r="G32" i="3"/>
  <c r="Y142" i="6"/>
  <c r="L30" i="3"/>
  <c r="F45" i="9"/>
  <c r="F30" i="3"/>
  <c r="G29" i="3"/>
  <c r="H27" i="3"/>
  <c r="F27" i="3"/>
  <c r="G26" i="3"/>
  <c r="Y140" i="6"/>
  <c r="H24" i="3"/>
  <c r="F24" i="3"/>
  <c r="G23" i="3"/>
  <c r="F42" i="9"/>
  <c r="H21" i="3"/>
  <c r="F21" i="3"/>
  <c r="X139" i="6"/>
  <c r="G20" i="3"/>
  <c r="F41" i="9"/>
  <c r="H18" i="3"/>
  <c r="F18" i="3"/>
  <c r="G17" i="3"/>
  <c r="U7" i="16"/>
  <c r="P7" i="16"/>
  <c r="J5" i="16"/>
  <c r="C37" i="9"/>
  <c r="AT23" i="9"/>
  <c r="AU23" i="9"/>
  <c r="AT21" i="9"/>
  <c r="AT19" i="9"/>
  <c r="AT17" i="9"/>
  <c r="AT15" i="9"/>
  <c r="AT13" i="9"/>
  <c r="AU13" i="9"/>
  <c r="I11" i="9"/>
  <c r="X9" i="9"/>
  <c r="W9" i="9"/>
  <c r="V9" i="9"/>
  <c r="U9" i="9"/>
  <c r="T9" i="9"/>
  <c r="S9" i="9"/>
  <c r="R9" i="9"/>
  <c r="Q9" i="9"/>
  <c r="P9" i="9"/>
  <c r="O9" i="9"/>
  <c r="N9" i="9"/>
  <c r="M9" i="9"/>
  <c r="L9" i="9"/>
  <c r="K9" i="9"/>
  <c r="J9" i="9"/>
  <c r="X8" i="9"/>
  <c r="W8" i="9"/>
  <c r="V8" i="9"/>
  <c r="U8" i="9"/>
  <c r="T8" i="9"/>
  <c r="S8" i="9"/>
  <c r="R8" i="9"/>
  <c r="Q8" i="9"/>
  <c r="P8" i="9"/>
  <c r="O8" i="9"/>
  <c r="N8" i="9"/>
  <c r="M8" i="9"/>
  <c r="L8" i="9"/>
  <c r="K8" i="9"/>
  <c r="M73" i="9"/>
  <c r="J8" i="9"/>
  <c r="X7" i="9"/>
  <c r="W7" i="9"/>
  <c r="V7" i="9"/>
  <c r="U7" i="9"/>
  <c r="T7" i="9"/>
  <c r="S7" i="9"/>
  <c r="R7" i="9"/>
  <c r="Q7" i="9"/>
  <c r="P7" i="9"/>
  <c r="O7" i="9"/>
  <c r="N7" i="9"/>
  <c r="M7" i="9"/>
  <c r="L7" i="9"/>
  <c r="K7" i="9"/>
  <c r="J7" i="9"/>
  <c r="X6" i="9"/>
  <c r="W6" i="9"/>
  <c r="V6" i="9"/>
  <c r="U6" i="9"/>
  <c r="T6" i="9"/>
  <c r="S6" i="9"/>
  <c r="R6" i="9"/>
  <c r="Q6" i="9"/>
  <c r="P6" i="9"/>
  <c r="O6" i="9"/>
  <c r="N6" i="9"/>
  <c r="M6" i="9"/>
  <c r="L6" i="9"/>
  <c r="K6" i="9"/>
  <c r="J6" i="9"/>
  <c r="X5" i="9"/>
  <c r="W5" i="9"/>
  <c r="V5" i="9"/>
  <c r="U5" i="9"/>
  <c r="T5" i="9"/>
  <c r="S5" i="9"/>
  <c r="R5" i="9"/>
  <c r="Q5" i="9"/>
  <c r="P5" i="9"/>
  <c r="O5" i="9"/>
  <c r="N5" i="9"/>
  <c r="M5" i="9"/>
  <c r="L5" i="9"/>
  <c r="K5" i="9"/>
  <c r="M70" i="9"/>
  <c r="J5" i="9"/>
  <c r="L70" i="9"/>
  <c r="X4" i="9"/>
  <c r="W4" i="9"/>
  <c r="V4" i="9"/>
  <c r="U4" i="9"/>
  <c r="T4" i="9"/>
  <c r="S4" i="9"/>
  <c r="R4" i="9"/>
  <c r="Q4" i="9"/>
  <c r="S69" i="9"/>
  <c r="P4" i="9"/>
  <c r="R69" i="9"/>
  <c r="R75" i="9"/>
  <c r="O4" i="9"/>
  <c r="N4" i="9"/>
  <c r="M4" i="9"/>
  <c r="L4" i="9"/>
  <c r="K4" i="9"/>
  <c r="J4" i="9"/>
  <c r="A18" i="7"/>
  <c r="BD22" i="4"/>
  <c r="BB22" i="4"/>
  <c r="AZ22" i="4"/>
  <c r="BG17" i="4"/>
  <c r="BE17" i="4"/>
  <c r="BC17" i="4"/>
  <c r="BA17" i="4"/>
  <c r="BG11" i="4"/>
  <c r="BF11" i="4"/>
  <c r="BE11" i="4"/>
  <c r="BE12" i="4"/>
  <c r="BD11" i="4"/>
  <c r="BC11" i="4"/>
  <c r="BB11" i="4"/>
  <c r="BA11" i="4"/>
  <c r="BA12" i="4"/>
  <c r="AZ11" i="4"/>
  <c r="AY11" i="4"/>
  <c r="AX11" i="4"/>
  <c r="AW11" i="4"/>
  <c r="AW12" i="4"/>
  <c r="BG6" i="4"/>
  <c r="BG7" i="4"/>
  <c r="BF6" i="4"/>
  <c r="BE6" i="4"/>
  <c r="BE7" i="4"/>
  <c r="BD6" i="4"/>
  <c r="BD7" i="4"/>
  <c r="BC6" i="4"/>
  <c r="BC7" i="4"/>
  <c r="BB6" i="4"/>
  <c r="BA6" i="4"/>
  <c r="AZ6" i="4"/>
  <c r="AZ7" i="4"/>
  <c r="AY6" i="4"/>
  <c r="AX6" i="4"/>
  <c r="AW6" i="4"/>
  <c r="AW7" i="4"/>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I21" i="9"/>
  <c r="K21" i="9"/>
  <c r="F28" i="9"/>
  <c r="F25" i="9"/>
  <c r="Y81" i="9"/>
  <c r="M81" i="9"/>
  <c r="X81" i="9"/>
  <c r="R81" i="9"/>
  <c r="P81" i="9"/>
  <c r="AS11" i="9"/>
  <c r="S81" i="9"/>
  <c r="L85" i="9"/>
  <c r="U81" i="9"/>
  <c r="V81" i="9"/>
  <c r="U88" i="6"/>
  <c r="Y33" i="6"/>
  <c r="Y75" i="6"/>
  <c r="R88" i="6"/>
  <c r="R31" i="6"/>
  <c r="T31" i="6"/>
  <c r="N91" i="6"/>
  <c r="U91" i="6"/>
  <c r="T91" i="6"/>
  <c r="S91" i="6"/>
  <c r="Q91" i="6"/>
  <c r="M91" i="6"/>
  <c r="R28" i="6"/>
  <c r="T28" i="6"/>
  <c r="U68" i="6"/>
  <c r="F21" i="9"/>
  <c r="N92" i="6"/>
  <c r="V35" i="6"/>
  <c r="T92" i="6"/>
  <c r="U92" i="6"/>
  <c r="X92" i="6"/>
  <c r="Y92" i="6"/>
  <c r="P89" i="6"/>
  <c r="V92" i="6"/>
  <c r="O91" i="6"/>
  <c r="R91" i="6"/>
  <c r="W92" i="6"/>
  <c r="P88" i="6"/>
  <c r="O88" i="6"/>
  <c r="O46" i="9"/>
  <c r="F23" i="9"/>
  <c r="Z92" i="6"/>
  <c r="P91" i="6"/>
  <c r="L92" i="6"/>
  <c r="M92" i="6"/>
  <c r="O80" i="9"/>
  <c r="N90" i="6"/>
  <c r="N84" i="9"/>
  <c r="L81" i="9"/>
  <c r="L84" i="9"/>
  <c r="Q88" i="6"/>
  <c r="F26" i="9"/>
  <c r="AA13" i="9"/>
  <c r="E39" i="9"/>
  <c r="AE13" i="3"/>
  <c r="M9" i="3"/>
  <c r="AE9" i="3"/>
  <c r="H39" i="9"/>
  <c r="R29" i="6"/>
  <c r="T29" i="6"/>
  <c r="R80" i="6"/>
  <c r="T80" i="6"/>
  <c r="R79" i="6"/>
  <c r="T79" i="6"/>
  <c r="R77" i="6"/>
  <c r="T77" i="6"/>
  <c r="R75" i="6"/>
  <c r="T75" i="6"/>
  <c r="R30" i="6"/>
  <c r="T30" i="6"/>
  <c r="R72" i="6"/>
  <c r="T72" i="6"/>
  <c r="R71" i="6"/>
  <c r="T71" i="6"/>
  <c r="R70" i="6"/>
  <c r="T70" i="6"/>
  <c r="R137" i="6"/>
  <c r="T137" i="6"/>
  <c r="I22" i="9"/>
  <c r="I70" i="9"/>
  <c r="P90" i="6"/>
  <c r="Z94" i="6"/>
  <c r="Z187" i="6"/>
  <c r="Y103" i="6"/>
  <c r="Y114" i="6"/>
  <c r="Y105" i="6"/>
  <c r="Y116" i="6"/>
  <c r="Y88" i="6"/>
  <c r="Y93" i="6"/>
  <c r="X89" i="6"/>
  <c r="W88" i="6"/>
  <c r="W93" i="6"/>
  <c r="V88" i="6"/>
  <c r="V93" i="6"/>
  <c r="U93" i="6"/>
  <c r="T63" i="6"/>
  <c r="T105" i="6"/>
  <c r="T116" i="6"/>
  <c r="T187" i="6"/>
  <c r="T93" i="6"/>
  <c r="S89" i="6"/>
  <c r="S93" i="6"/>
  <c r="R89" i="6"/>
  <c r="Q89" i="6"/>
  <c r="Q93" i="6"/>
  <c r="Q63" i="6"/>
  <c r="Q105" i="6"/>
  <c r="Q116" i="6"/>
  <c r="O29" i="6"/>
  <c r="N94" i="6"/>
  <c r="O28" i="6"/>
  <c r="M94" i="6"/>
  <c r="O106" i="6"/>
  <c r="O117" i="6"/>
  <c r="O103" i="6"/>
  <c r="O114" i="6"/>
  <c r="P106" i="6"/>
  <c r="P117" i="6"/>
  <c r="P103" i="6"/>
  <c r="P114" i="6"/>
  <c r="N103" i="6"/>
  <c r="N114" i="6"/>
  <c r="N106" i="6"/>
  <c r="N117" i="6"/>
  <c r="Y69" i="6"/>
  <c r="M103" i="6"/>
  <c r="M114" i="6"/>
  <c r="Y27" i="6"/>
  <c r="N93" i="6"/>
  <c r="N60" i="6"/>
  <c r="N105" i="6"/>
  <c r="N116" i="6"/>
  <c r="M105" i="6"/>
  <c r="M116" i="6"/>
  <c r="M106" i="6"/>
  <c r="M117" i="6"/>
  <c r="X90" i="6"/>
  <c r="Y91" i="6"/>
  <c r="M93" i="6"/>
  <c r="P94" i="6"/>
  <c r="P105" i="6"/>
  <c r="P116" i="6"/>
  <c r="O89" i="6"/>
  <c r="O94" i="6"/>
  <c r="L94" i="6"/>
  <c r="M89" i="6"/>
  <c r="N89" i="6"/>
  <c r="L101" i="6"/>
  <c r="L112" i="6"/>
  <c r="M45" i="6"/>
  <c r="Z106" i="6"/>
  <c r="Z117" i="6"/>
  <c r="Z63" i="6"/>
  <c r="Y45" i="6"/>
  <c r="Y51" i="6"/>
  <c r="Y63" i="6"/>
  <c r="X48" i="6"/>
  <c r="V63" i="6"/>
  <c r="S51" i="6"/>
  <c r="S63" i="6"/>
  <c r="O45" i="6"/>
  <c r="O58" i="6"/>
  <c r="W51" i="6"/>
  <c r="V45" i="6"/>
  <c r="T45" i="6"/>
  <c r="N101" i="6"/>
  <c r="N112" i="6"/>
  <c r="N59" i="6"/>
  <c r="U103" i="6"/>
  <c r="U114" i="6"/>
  <c r="X91" i="6"/>
  <c r="X103" i="6"/>
  <c r="X114" i="6"/>
  <c r="X49" i="6"/>
  <c r="X88" i="6"/>
  <c r="S75" i="9"/>
  <c r="T45" i="9"/>
  <c r="U145" i="6"/>
  <c r="O145" i="6"/>
  <c r="O150" i="6"/>
  <c r="U147" i="6"/>
  <c r="F46" i="9"/>
  <c r="U143" i="6"/>
  <c r="Z89" i="6"/>
  <c r="Z93" i="6"/>
  <c r="Z104" i="6"/>
  <c r="Z115" i="6"/>
  <c r="Z105" i="6"/>
  <c r="Z116" i="6"/>
  <c r="Z91" i="6"/>
  <c r="Z102" i="6"/>
  <c r="Z113" i="6"/>
  <c r="Z103" i="6"/>
  <c r="Z114" i="6"/>
  <c r="Z90" i="6"/>
  <c r="Z101" i="6"/>
  <c r="Z112" i="6"/>
  <c r="Y89" i="6"/>
  <c r="Y101" i="6"/>
  <c r="Y112" i="6"/>
  <c r="X101" i="6"/>
  <c r="X112" i="6"/>
  <c r="W89" i="6"/>
  <c r="W101" i="6"/>
  <c r="W112" i="6"/>
  <c r="U101" i="6"/>
  <c r="U112" i="6"/>
  <c r="U89" i="6"/>
  <c r="S46" i="6"/>
  <c r="S101" i="6"/>
  <c r="S112" i="6"/>
  <c r="R101" i="6"/>
  <c r="R112" i="6"/>
  <c r="Q101" i="6"/>
  <c r="Q112" i="6"/>
  <c r="O101" i="6"/>
  <c r="O112" i="6"/>
  <c r="M101" i="6"/>
  <c r="M112" i="6"/>
  <c r="L100" i="6"/>
  <c r="L111" i="6"/>
  <c r="N46" i="6"/>
  <c r="T88" i="6"/>
  <c r="T178" i="6"/>
  <c r="T191" i="6"/>
  <c r="T46" i="6"/>
  <c r="Z88" i="6"/>
  <c r="Y48" i="6"/>
  <c r="Y100" i="6"/>
  <c r="Y111" i="6"/>
  <c r="Y46" i="6"/>
  <c r="X100" i="6"/>
  <c r="X111" i="6"/>
  <c r="X46" i="6"/>
  <c r="X93" i="6"/>
  <c r="W46" i="6"/>
  <c r="W100" i="6"/>
  <c r="W111" i="6"/>
  <c r="W87" i="6"/>
  <c r="V91" i="6"/>
  <c r="V100" i="6"/>
  <c r="V111" i="6"/>
  <c r="V46" i="6"/>
  <c r="U50" i="6"/>
  <c r="U100" i="6"/>
  <c r="U111" i="6"/>
  <c r="U46" i="6"/>
  <c r="U90" i="6"/>
  <c r="R93" i="6"/>
  <c r="R51" i="6"/>
  <c r="R100" i="6"/>
  <c r="R111" i="6"/>
  <c r="R46" i="6"/>
  <c r="P100" i="6"/>
  <c r="P111" i="6"/>
  <c r="P46" i="6"/>
  <c r="O50" i="6"/>
  <c r="O100" i="6"/>
  <c r="O111" i="6"/>
  <c r="O46" i="6"/>
  <c r="M100" i="6"/>
  <c r="M111" i="6"/>
  <c r="S88" i="6"/>
  <c r="Y90" i="6"/>
  <c r="S48" i="6"/>
  <c r="Z52" i="6"/>
  <c r="X51" i="6"/>
  <c r="O93" i="6"/>
  <c r="N88" i="6"/>
  <c r="M48" i="6"/>
  <c r="Q51" i="6"/>
  <c r="Q45" i="6"/>
  <c r="Q100" i="6"/>
  <c r="Q111" i="6"/>
  <c r="Q46" i="6"/>
  <c r="Z100" i="6"/>
  <c r="Z111" i="6"/>
  <c r="X105" i="6"/>
  <c r="X116" i="6"/>
  <c r="Q102" i="6"/>
  <c r="Q113" i="6"/>
  <c r="P93" i="6"/>
  <c r="P101" i="6"/>
  <c r="P112" i="6"/>
  <c r="N100" i="6"/>
  <c r="N111" i="6"/>
  <c r="M102" i="6"/>
  <c r="M113" i="6"/>
  <c r="L105" i="6"/>
  <c r="L116" i="6"/>
  <c r="Y102" i="6"/>
  <c r="Y113" i="6"/>
  <c r="W104" i="6"/>
  <c r="W115" i="6"/>
  <c r="V103" i="6"/>
  <c r="V114" i="6"/>
  <c r="V101" i="6"/>
  <c r="V112" i="6"/>
  <c r="V89" i="6"/>
  <c r="U102" i="6"/>
  <c r="U113" i="6"/>
  <c r="U104" i="6"/>
  <c r="U115" i="6"/>
  <c r="T101" i="6"/>
  <c r="T112" i="6"/>
  <c r="T100" i="6"/>
  <c r="T111" i="6"/>
  <c r="S90" i="6"/>
  <c r="S100" i="6"/>
  <c r="S111" i="6"/>
  <c r="S102" i="6"/>
  <c r="S113" i="6"/>
  <c r="R103" i="6"/>
  <c r="R114" i="6"/>
  <c r="R105" i="6"/>
  <c r="R116" i="6"/>
  <c r="Q7" i="6"/>
  <c r="Q6" i="6"/>
  <c r="Q90" i="6"/>
  <c r="T89" i="6"/>
  <c r="Q103" i="6"/>
  <c r="Q114" i="6"/>
  <c r="O105" i="6"/>
  <c r="O116" i="6"/>
  <c r="O104" i="6"/>
  <c r="O115" i="6"/>
  <c r="O92" i="6"/>
  <c r="M90" i="6"/>
  <c r="L93" i="6"/>
  <c r="S27" i="3"/>
  <c r="S12" i="3"/>
  <c r="U24" i="3"/>
  <c r="U12" i="3"/>
  <c r="BG12" i="4"/>
  <c r="BF12" i="4"/>
  <c r="BD12" i="4"/>
  <c r="BC12" i="4"/>
  <c r="BB12" i="4"/>
  <c r="AZ12" i="4"/>
  <c r="AY12" i="4"/>
  <c r="AX12" i="4"/>
  <c r="BF7" i="4"/>
  <c r="BB7" i="4"/>
  <c r="BA7" i="4"/>
  <c r="AY7" i="4"/>
  <c r="AX7" i="4"/>
  <c r="AC51" i="3"/>
  <c r="AA39" i="3"/>
  <c r="Y33" i="3"/>
  <c r="V30" i="3"/>
  <c r="U30" i="3"/>
  <c r="X30" i="3"/>
  <c r="Z12" i="3"/>
  <c r="L90" i="6"/>
  <c r="T54" i="3"/>
  <c r="Z54" i="3"/>
  <c r="AA48" i="3"/>
  <c r="T48" i="3"/>
  <c r="W48" i="3"/>
  <c r="T45" i="3"/>
  <c r="W45" i="3"/>
  <c r="V42" i="3"/>
  <c r="T39" i="3"/>
  <c r="V39" i="3"/>
  <c r="S33" i="3"/>
  <c r="W30" i="3"/>
  <c r="Z27" i="3"/>
  <c r="AA24" i="3"/>
  <c r="W24" i="3"/>
  <c r="Z21" i="3"/>
  <c r="Y148" i="6"/>
  <c r="Y147" i="6"/>
  <c r="Y145" i="6"/>
  <c r="N145" i="6"/>
  <c r="Z145" i="6"/>
  <c r="Y144" i="6"/>
  <c r="Y143" i="6"/>
  <c r="Y138" i="6"/>
  <c r="R138" i="6"/>
  <c r="T138" i="6"/>
  <c r="X54" i="3"/>
  <c r="AB54" i="3"/>
  <c r="AB51" i="3"/>
  <c r="Z51" i="3"/>
  <c r="X51" i="3"/>
  <c r="S48" i="3"/>
  <c r="X48" i="3"/>
  <c r="Y48" i="3"/>
  <c r="AB48" i="3"/>
  <c r="AB45" i="3"/>
  <c r="S45" i="3"/>
  <c r="X45" i="3"/>
  <c r="AO44" i="6"/>
  <c r="Y39" i="3"/>
  <c r="AC39" i="3"/>
  <c r="X39" i="3"/>
  <c r="S39" i="3"/>
  <c r="U39" i="3"/>
  <c r="AB39" i="3"/>
  <c r="W36" i="3"/>
  <c r="X36" i="3"/>
  <c r="T36" i="3"/>
  <c r="AB36" i="3"/>
  <c r="X33" i="3"/>
  <c r="AB33" i="3"/>
  <c r="S30" i="3"/>
  <c r="AB30" i="3"/>
  <c r="U27" i="3"/>
  <c r="AE55" i="3"/>
  <c r="X27" i="3"/>
  <c r="AB27" i="3"/>
  <c r="AB21" i="3"/>
  <c r="AC21" i="3"/>
  <c r="AA18" i="3"/>
  <c r="AC15" i="3"/>
  <c r="AC54" i="3"/>
  <c r="U54" i="3"/>
  <c r="Y54" i="3"/>
  <c r="S24" i="3"/>
  <c r="S54" i="3"/>
  <c r="Y51" i="3"/>
  <c r="T51" i="3"/>
  <c r="AA51" i="3"/>
  <c r="V51" i="3"/>
  <c r="S51" i="3"/>
  <c r="V48" i="3"/>
  <c r="Z48" i="3"/>
  <c r="Z45" i="3"/>
  <c r="AA45" i="3"/>
  <c r="AO55" i="6"/>
  <c r="V45" i="3"/>
  <c r="S42" i="3"/>
  <c r="X42" i="3"/>
  <c r="Z42" i="3"/>
  <c r="AG42" i="3"/>
  <c r="T42" i="3"/>
  <c r="AA42" i="3"/>
  <c r="Z39" i="3"/>
  <c r="Z36" i="3"/>
  <c r="S36" i="3"/>
  <c r="V36" i="3"/>
  <c r="V33" i="3"/>
  <c r="AC33" i="3"/>
  <c r="AK47" i="6"/>
  <c r="AA33" i="3"/>
  <c r="T33" i="3"/>
  <c r="Z33" i="3"/>
  <c r="Z30" i="3"/>
  <c r="AJ28" i="6"/>
  <c r="V27" i="3"/>
  <c r="AA27" i="3"/>
  <c r="T27" i="3"/>
  <c r="AC27" i="3"/>
  <c r="AI50" i="6"/>
  <c r="AB24" i="3"/>
  <c r="Z24" i="3"/>
  <c r="AC24" i="3"/>
  <c r="T21" i="3"/>
  <c r="W18" i="3"/>
  <c r="W21" i="3"/>
  <c r="Y21" i="3"/>
  <c r="S18" i="3"/>
  <c r="AF40" i="6"/>
  <c r="S21" i="3"/>
  <c r="X18" i="3"/>
  <c r="X21" i="3"/>
  <c r="U18" i="3"/>
  <c r="AG18" i="3"/>
  <c r="U21" i="3"/>
  <c r="AA21" i="3"/>
  <c r="V18" i="3"/>
  <c r="V21" i="3"/>
  <c r="AF21" i="3"/>
  <c r="Z18" i="3"/>
  <c r="Y18" i="3"/>
  <c r="AC18" i="3"/>
  <c r="AB18" i="3"/>
  <c r="AF48" i="6"/>
  <c r="W12" i="3"/>
  <c r="V12" i="3"/>
  <c r="X12" i="3"/>
  <c r="Y15" i="3"/>
  <c r="AE44" i="6"/>
  <c r="AA15" i="3"/>
  <c r="AN22" i="6"/>
  <c r="AO22" i="6"/>
  <c r="V43" i="9"/>
  <c r="AE46" i="3"/>
  <c r="AE43" i="3"/>
  <c r="U42" i="9"/>
  <c r="V87" i="6"/>
  <c r="AE52" i="3"/>
  <c r="Z39" i="9"/>
  <c r="AG9" i="9"/>
  <c r="M88" i="6"/>
  <c r="AH9" i="9"/>
  <c r="W58" i="6"/>
  <c r="E12" i="20"/>
  <c r="I12" i="20"/>
  <c r="E11" i="20"/>
  <c r="I11" i="20"/>
  <c r="E8" i="20"/>
  <c r="I8" i="20"/>
  <c r="E6" i="20"/>
  <c r="K6" i="20"/>
  <c r="E7" i="20"/>
  <c r="I7" i="20"/>
  <c r="E22" i="20"/>
  <c r="I22" i="20"/>
  <c r="E21" i="20"/>
  <c r="J21" i="20"/>
  <c r="L89" i="6"/>
  <c r="Q59" i="6"/>
  <c r="Z87" i="6"/>
  <c r="Z41" i="9"/>
  <c r="V41" i="9"/>
  <c r="Z44" i="9"/>
  <c r="V44" i="9"/>
  <c r="Z42" i="9"/>
  <c r="V42" i="9"/>
  <c r="T39" i="9"/>
  <c r="V39" i="9"/>
  <c r="C73" i="9"/>
  <c r="D73" i="9"/>
  <c r="T87" i="6"/>
  <c r="O69" i="6"/>
  <c r="U69" i="6"/>
  <c r="X42" i="9"/>
  <c r="M8" i="5"/>
  <c r="I45" i="9"/>
  <c r="Y44" i="9"/>
  <c r="E6" i="5"/>
  <c r="M7" i="5"/>
  <c r="W39" i="9"/>
  <c r="U44" i="9"/>
  <c r="G43" i="9"/>
  <c r="T59" i="6"/>
  <c r="V59" i="6"/>
  <c r="K29" i="9"/>
  <c r="P59" i="6"/>
  <c r="X59" i="6"/>
  <c r="L91" i="6"/>
  <c r="I40" i="9"/>
  <c r="Z45" i="9"/>
  <c r="I44" i="9"/>
  <c r="AM19" i="6"/>
  <c r="AJ9" i="9"/>
  <c r="I9" i="5"/>
  <c r="E8" i="5"/>
  <c r="I7" i="5"/>
  <c r="Z81" i="9"/>
  <c r="Y40" i="9"/>
  <c r="U43" i="9"/>
  <c r="U40" i="9"/>
  <c r="AE49" i="3"/>
  <c r="AE34" i="3"/>
  <c r="E46" i="9"/>
  <c r="S41" i="9"/>
  <c r="H46" i="9"/>
  <c r="E42" i="9"/>
  <c r="AE22" i="3"/>
  <c r="L88" i="6"/>
  <c r="I43" i="9"/>
  <c r="I41" i="9"/>
  <c r="AD9" i="9"/>
  <c r="AF9" i="9"/>
  <c r="AL19" i="6"/>
  <c r="AI9" i="9"/>
  <c r="AO19" i="6"/>
  <c r="Y42" i="9"/>
  <c r="Y43" i="9"/>
  <c r="U39" i="9"/>
  <c r="I6" i="5"/>
  <c r="E9" i="5"/>
  <c r="I8" i="5"/>
  <c r="B8" i="5"/>
  <c r="E7" i="5"/>
  <c r="G7" i="5"/>
  <c r="Y39" i="9"/>
  <c r="W42" i="9"/>
  <c r="W43" i="9"/>
  <c r="R14" i="9"/>
  <c r="T81" i="9"/>
  <c r="U83" i="9"/>
  <c r="X44" i="9"/>
  <c r="AE9" i="9"/>
  <c r="Y29" i="6"/>
  <c r="Y71" i="6"/>
  <c r="N7" i="5"/>
  <c r="J10" i="5"/>
  <c r="N10" i="5"/>
  <c r="N6" i="5"/>
  <c r="F10" i="5"/>
  <c r="F7" i="5"/>
  <c r="F6" i="5"/>
  <c r="O7" i="5"/>
  <c r="K7" i="5"/>
  <c r="H7" i="5"/>
  <c r="L7" i="5"/>
  <c r="K9" i="5"/>
  <c r="G6" i="5"/>
  <c r="O9" i="5"/>
  <c r="O8" i="5"/>
  <c r="B6" i="5"/>
  <c r="O6" i="5"/>
  <c r="K8" i="5"/>
  <c r="K6" i="5"/>
  <c r="B18" i="5"/>
  <c r="B21" i="5"/>
  <c r="B20" i="5"/>
  <c r="D10" i="5"/>
  <c r="H10" i="5"/>
  <c r="L6" i="5"/>
  <c r="L9" i="5"/>
  <c r="D6" i="5"/>
  <c r="H6" i="5"/>
  <c r="D7" i="5"/>
  <c r="D9" i="5"/>
  <c r="B19" i="5"/>
  <c r="H9" i="5"/>
  <c r="L10" i="5"/>
  <c r="AG19" i="6"/>
  <c r="C51" i="9"/>
  <c r="D51" i="9"/>
  <c r="AF19" i="6"/>
  <c r="N81" i="9"/>
  <c r="C49" i="9"/>
  <c r="D49" i="9"/>
  <c r="O90" i="6"/>
  <c r="C48" i="9"/>
  <c r="D48" i="9"/>
  <c r="U85" i="9"/>
  <c r="F9" i="5"/>
  <c r="N9" i="5"/>
  <c r="T43" i="9"/>
  <c r="X40" i="9"/>
  <c r="Y82" i="9"/>
  <c r="C71" i="9"/>
  <c r="D71" i="9"/>
  <c r="Y69" i="9"/>
  <c r="Y75" i="9"/>
  <c r="X39" i="9"/>
  <c r="X43" i="9"/>
  <c r="P82" i="9"/>
  <c r="T40" i="9"/>
  <c r="T42" i="9"/>
  <c r="AR2" i="6"/>
  <c r="AI20" i="2"/>
  <c r="J7" i="5"/>
  <c r="J9" i="5"/>
  <c r="J6" i="5"/>
  <c r="T41" i="9"/>
  <c r="X82" i="9"/>
  <c r="AC34" i="2"/>
  <c r="Z79" i="6"/>
  <c r="C74" i="9"/>
  <c r="D74" i="9"/>
  <c r="W41" i="9"/>
  <c r="W40" i="9"/>
  <c r="M10" i="5"/>
  <c r="M6" i="5"/>
  <c r="Z43" i="9"/>
  <c r="W69" i="9"/>
  <c r="W75" i="9"/>
  <c r="O69" i="9"/>
  <c r="O75" i="9"/>
  <c r="T82" i="9"/>
  <c r="B7" i="5"/>
  <c r="B10" i="5"/>
  <c r="G10" i="5"/>
  <c r="G9" i="5"/>
  <c r="L69" i="9"/>
  <c r="L75" i="9"/>
  <c r="T69" i="9"/>
  <c r="T75" i="9"/>
  <c r="AU21" i="9"/>
  <c r="W81" i="9"/>
  <c r="U69" i="9"/>
  <c r="U75" i="9"/>
  <c r="Z69" i="9"/>
  <c r="Z75" i="9"/>
  <c r="Y7" i="9"/>
  <c r="AU15" i="9"/>
  <c r="AV15" i="9"/>
  <c r="Y84" i="9"/>
  <c r="N69" i="9"/>
  <c r="N75" i="9"/>
  <c r="X69" i="9"/>
  <c r="X75" i="9"/>
  <c r="AU17" i="9"/>
  <c r="P69" i="9"/>
  <c r="P75" i="9"/>
  <c r="AU19" i="9"/>
  <c r="AV19" i="9"/>
  <c r="Y5" i="9"/>
  <c r="Y8" i="9"/>
  <c r="E40" i="9"/>
  <c r="M41" i="9"/>
  <c r="E43" i="9"/>
  <c r="AE25" i="3"/>
  <c r="AE37" i="3"/>
  <c r="R42" i="9"/>
  <c r="R44" i="9"/>
  <c r="R43" i="9"/>
  <c r="AE31" i="3"/>
  <c r="E41" i="9"/>
  <c r="AE19" i="3"/>
  <c r="BI5" i="4"/>
  <c r="BJ5" i="4"/>
  <c r="AU11" i="9"/>
  <c r="R41" i="9"/>
  <c r="R40" i="9"/>
  <c r="AE16" i="3"/>
  <c r="AE28" i="3"/>
  <c r="AV23" i="9"/>
  <c r="AW23" i="9"/>
  <c r="AX23" i="9"/>
  <c r="E44" i="9"/>
  <c r="R39" i="9"/>
  <c r="L83" i="9"/>
  <c r="L82" i="9"/>
  <c r="M69" i="9"/>
  <c r="M75" i="9"/>
  <c r="Y4" i="9"/>
  <c r="M84" i="9"/>
  <c r="Q69" i="9"/>
  <c r="Q75" i="9"/>
  <c r="O13" i="9"/>
  <c r="Q80" i="9"/>
  <c r="O18" i="9"/>
  <c r="O17" i="9"/>
  <c r="Q81" i="9"/>
  <c r="Q82" i="9"/>
  <c r="V69" i="9"/>
  <c r="V75" i="9"/>
  <c r="V82" i="9"/>
  <c r="R82" i="9"/>
  <c r="S84" i="9"/>
  <c r="Y9" i="9"/>
  <c r="Y6" i="9"/>
  <c r="AV13" i="9"/>
  <c r="Z10" i="6"/>
  <c r="R150" i="6"/>
  <c r="T150" i="6"/>
  <c r="X18" i="6"/>
  <c r="X6" i="6"/>
  <c r="R149" i="6"/>
  <c r="T149" i="6"/>
  <c r="W9" i="6"/>
  <c r="W21" i="6"/>
  <c r="R148" i="6"/>
  <c r="T148" i="6"/>
  <c r="V21" i="6"/>
  <c r="V9" i="6"/>
  <c r="U9" i="6"/>
  <c r="U21" i="6"/>
  <c r="R146" i="6"/>
  <c r="T146" i="6"/>
  <c r="T9" i="6"/>
  <c r="R145" i="6"/>
  <c r="T145" i="6"/>
  <c r="S9" i="6"/>
  <c r="S21" i="6"/>
  <c r="R144" i="6"/>
  <c r="T144" i="6"/>
  <c r="R17" i="6"/>
  <c r="Q9" i="6"/>
  <c r="O6" i="6"/>
  <c r="O139" i="6"/>
  <c r="P61" i="6"/>
  <c r="P60" i="6"/>
  <c r="P7" i="6"/>
  <c r="P6" i="6"/>
  <c r="O59" i="6"/>
  <c r="Y19" i="6"/>
  <c r="Y21" i="6"/>
  <c r="Y7" i="6"/>
  <c r="Y9" i="6"/>
  <c r="X60" i="6"/>
  <c r="X63" i="6"/>
  <c r="V51" i="6"/>
  <c r="U61" i="6"/>
  <c r="U63" i="6"/>
  <c r="U49" i="6"/>
  <c r="U51" i="6"/>
  <c r="T17" i="6"/>
  <c r="T21" i="6"/>
  <c r="T51" i="6"/>
  <c r="R59" i="6"/>
  <c r="R63" i="6"/>
  <c r="O61" i="6"/>
  <c r="O60" i="6"/>
  <c r="O9" i="6"/>
  <c r="O7" i="6"/>
  <c r="O51" i="6"/>
  <c r="O49" i="6"/>
  <c r="O21" i="6"/>
  <c r="P52" i="6"/>
  <c r="P49" i="6"/>
  <c r="L59" i="6"/>
  <c r="L48" i="6"/>
  <c r="N10" i="6"/>
  <c r="N6" i="6"/>
  <c r="M59" i="6"/>
  <c r="N61" i="6"/>
  <c r="N64" i="6"/>
  <c r="N9" i="6"/>
  <c r="N7" i="6"/>
  <c r="N63" i="6"/>
  <c r="N58" i="6"/>
  <c r="M52" i="6"/>
  <c r="M49" i="6"/>
  <c r="M64" i="6"/>
  <c r="M60" i="6"/>
  <c r="M9" i="6"/>
  <c r="M10" i="6"/>
  <c r="Y61" i="6"/>
  <c r="Y58" i="6"/>
  <c r="Y47" i="6"/>
  <c r="Y49" i="6"/>
  <c r="O64" i="6"/>
  <c r="O63" i="6"/>
  <c r="M47" i="6"/>
  <c r="M51" i="6"/>
  <c r="M58" i="6"/>
  <c r="M63" i="6"/>
  <c r="P63" i="6"/>
  <c r="P64" i="6"/>
  <c r="P9" i="6"/>
  <c r="P10" i="6"/>
  <c r="P21" i="6"/>
  <c r="P22" i="6"/>
  <c r="P51" i="6"/>
  <c r="O22" i="6"/>
  <c r="O5" i="6"/>
  <c r="O10" i="6"/>
  <c r="O52" i="6"/>
  <c r="L58" i="6"/>
  <c r="L60" i="6"/>
  <c r="L10" i="6"/>
  <c r="L6" i="6"/>
  <c r="M46" i="6"/>
  <c r="S5" i="6"/>
  <c r="Z22" i="6"/>
  <c r="Y59" i="6"/>
  <c r="Y60" i="6"/>
  <c r="L52" i="6"/>
  <c r="L63" i="6"/>
  <c r="L64" i="6"/>
  <c r="N82" i="9"/>
  <c r="M82" i="9"/>
  <c r="U17" i="6"/>
  <c r="U19" i="6"/>
  <c r="U5" i="6"/>
  <c r="U7" i="6"/>
  <c r="X5" i="6"/>
  <c r="X7" i="6"/>
  <c r="X17" i="6"/>
  <c r="X19" i="6"/>
  <c r="Z20" i="6"/>
  <c r="Z21" i="6"/>
  <c r="Z50" i="6"/>
  <c r="Z51" i="6"/>
  <c r="Z8" i="6"/>
  <c r="Z9" i="6"/>
  <c r="Z6" i="6"/>
  <c r="Z7" i="6"/>
  <c r="Z18" i="6"/>
  <c r="Z19" i="6"/>
  <c r="Z48" i="6"/>
  <c r="Z49" i="6"/>
  <c r="Z16" i="6"/>
  <c r="Z17" i="6"/>
  <c r="Z46" i="6"/>
  <c r="Z47" i="6"/>
  <c r="Z4" i="6"/>
  <c r="Z5" i="6"/>
  <c r="Y4" i="6"/>
  <c r="Y5" i="6"/>
  <c r="Y16" i="6"/>
  <c r="Y17" i="6"/>
  <c r="W4" i="6"/>
  <c r="W5" i="6"/>
  <c r="W16" i="6"/>
  <c r="W17" i="6"/>
  <c r="T4" i="6"/>
  <c r="T5" i="6"/>
  <c r="S16" i="6"/>
  <c r="S17" i="6"/>
  <c r="R4" i="6"/>
  <c r="R5" i="6"/>
  <c r="Q4" i="6"/>
  <c r="Q5" i="6"/>
  <c r="N4" i="6"/>
  <c r="N5" i="6"/>
  <c r="M4" i="6"/>
  <c r="M5" i="6"/>
  <c r="L4" i="6"/>
  <c r="L5" i="6"/>
  <c r="L47" i="6"/>
  <c r="T16" i="6"/>
  <c r="X9" i="6"/>
  <c r="X4" i="6"/>
  <c r="X21" i="6"/>
  <c r="X16" i="6"/>
  <c r="V5" i="6"/>
  <c r="V4" i="6"/>
  <c r="V17" i="6"/>
  <c r="V16" i="6"/>
  <c r="U8" i="6"/>
  <c r="U4" i="6"/>
  <c r="U20" i="6"/>
  <c r="U16" i="6"/>
  <c r="R21" i="6"/>
  <c r="R16" i="6"/>
  <c r="P5" i="6"/>
  <c r="P4" i="6"/>
  <c r="O20" i="6"/>
  <c r="O8" i="6"/>
  <c r="O4" i="6"/>
  <c r="L46" i="6"/>
  <c r="Y18" i="6"/>
  <c r="M6" i="6"/>
  <c r="Y6" i="6"/>
  <c r="S18" i="6"/>
  <c r="W8" i="6"/>
  <c r="L51" i="6"/>
  <c r="S4" i="6"/>
  <c r="S6" i="6"/>
  <c r="R7" i="6"/>
  <c r="R9" i="6"/>
  <c r="AM50" i="6"/>
  <c r="AJ46" i="6"/>
  <c r="AF17" i="9"/>
  <c r="C45" i="9"/>
  <c r="D45" i="9"/>
  <c r="AJ50" i="6"/>
  <c r="AJ41" i="6"/>
  <c r="AM59" i="6"/>
  <c r="AO40" i="6"/>
  <c r="AR51" i="6"/>
  <c r="AM41" i="6"/>
  <c r="AQ56" i="6"/>
  <c r="AN50" i="6"/>
  <c r="AQ51" i="6"/>
  <c r="AL45" i="6"/>
  <c r="AQ53" i="6"/>
  <c r="AN43" i="6"/>
  <c r="AL44" i="6"/>
  <c r="AP59" i="6"/>
  <c r="AN60" i="6"/>
  <c r="AO46" i="6"/>
  <c r="AO51" i="6"/>
  <c r="AJ60" i="6"/>
  <c r="AL40" i="6"/>
  <c r="AP44" i="6"/>
  <c r="AP51" i="6"/>
  <c r="AP52" i="6"/>
  <c r="AG36" i="3"/>
  <c r="AO56" i="6"/>
  <c r="AF48" i="3"/>
  <c r="AL56" i="6"/>
  <c r="AJ26" i="6"/>
  <c r="AK45" i="6"/>
  <c r="AK54" i="6"/>
  <c r="AJ29" i="6"/>
  <c r="AK58" i="6"/>
  <c r="AG33" i="3"/>
  <c r="V46" i="9"/>
  <c r="AF24" i="3"/>
  <c r="AF41" i="6"/>
  <c r="AG24" i="3"/>
  <c r="AI53" i="6"/>
  <c r="AH44" i="6"/>
  <c r="AG49" i="6"/>
  <c r="AH53" i="6"/>
  <c r="AH41" i="6"/>
  <c r="AI45" i="6"/>
  <c r="AH40" i="6"/>
  <c r="AH51" i="6"/>
  <c r="AH42" i="6"/>
  <c r="AH47" i="6"/>
  <c r="AI46" i="6"/>
  <c r="AI54" i="6"/>
  <c r="AH58" i="6"/>
  <c r="AH48" i="6"/>
  <c r="AF15" i="9"/>
  <c r="C43" i="9"/>
  <c r="D43" i="9"/>
  <c r="AH45" i="6"/>
  <c r="AG40" i="6"/>
  <c r="AH50" i="6"/>
  <c r="AI51" i="6"/>
  <c r="AI55" i="6"/>
  <c r="AH52" i="6"/>
  <c r="AI59" i="6"/>
  <c r="AI58" i="6"/>
  <c r="AH56" i="6"/>
  <c r="AH57" i="6"/>
  <c r="AI56" i="6"/>
  <c r="AH54" i="6"/>
  <c r="AH55" i="6"/>
  <c r="AF12" i="9"/>
  <c r="C40" i="9"/>
  <c r="D40" i="9"/>
  <c r="AG58" i="6"/>
  <c r="AF43" i="6"/>
  <c r="AG57" i="6"/>
  <c r="AG53" i="6"/>
  <c r="AF50" i="6"/>
  <c r="AG59" i="6"/>
  <c r="AG43" i="6"/>
  <c r="AF47" i="6"/>
  <c r="AG46" i="6"/>
  <c r="AF13" i="9"/>
  <c r="C41" i="9"/>
  <c r="D41" i="9"/>
  <c r="AF52" i="6"/>
  <c r="AE46" i="6"/>
  <c r="AF53" i="6"/>
  <c r="AG54" i="6"/>
  <c r="AE58" i="6"/>
  <c r="AF58" i="6"/>
  <c r="AF54" i="6"/>
  <c r="AE40" i="6"/>
  <c r="AE55" i="6"/>
  <c r="AF12" i="3"/>
  <c r="AE56" i="6"/>
  <c r="AG12" i="3"/>
  <c r="AE47" i="6"/>
  <c r="AE51" i="6"/>
  <c r="AE59" i="6"/>
  <c r="AE60" i="6"/>
  <c r="AD56" i="6"/>
  <c r="AE48" i="6"/>
  <c r="S42" i="9"/>
  <c r="S44" i="9"/>
  <c r="S40" i="9"/>
  <c r="S43" i="9"/>
  <c r="J6" i="20"/>
  <c r="I21" i="20"/>
  <c r="O41" i="9"/>
  <c r="P39" i="9"/>
  <c r="Q41" i="9"/>
  <c r="AD49" i="6"/>
  <c r="AD44" i="6"/>
  <c r="AD46" i="6"/>
  <c r="AD51" i="6"/>
  <c r="AD60" i="6"/>
  <c r="AD45" i="6"/>
  <c r="AD50" i="6"/>
  <c r="AD41" i="6"/>
  <c r="AD55" i="6"/>
  <c r="AD48" i="6"/>
  <c r="AD57" i="6"/>
  <c r="AD54" i="6"/>
  <c r="AD43" i="6"/>
  <c r="AD61" i="6"/>
  <c r="AD59" i="6"/>
  <c r="AD52" i="6"/>
  <c r="AD42" i="6"/>
  <c r="AD58" i="6"/>
  <c r="AD47" i="6"/>
  <c r="AD53" i="6"/>
  <c r="O42" i="9"/>
  <c r="O43" i="9"/>
  <c r="O44" i="9"/>
  <c r="O39" i="9"/>
  <c r="M39" i="9"/>
  <c r="S39" i="9"/>
  <c r="O40" i="9"/>
  <c r="AE54" i="2"/>
  <c r="AW19" i="9"/>
  <c r="AW15" i="9"/>
  <c r="AX15" i="9"/>
  <c r="AV17" i="9"/>
  <c r="AV21" i="9"/>
  <c r="M43" i="9"/>
  <c r="M44" i="9"/>
  <c r="M42" i="9"/>
  <c r="M40" i="9"/>
  <c r="P41" i="9"/>
  <c r="P40" i="9"/>
  <c r="P44" i="9"/>
  <c r="P42" i="9"/>
  <c r="P43" i="9"/>
  <c r="N41" i="9"/>
  <c r="N40" i="9"/>
  <c r="N43" i="9"/>
  <c r="N42" i="9"/>
  <c r="N44" i="9"/>
  <c r="AY23" i="9"/>
  <c r="AZ23" i="9"/>
  <c r="AD40" i="6"/>
  <c r="AF11" i="9"/>
  <c r="AJ11" i="9"/>
  <c r="AJ22" i="6"/>
  <c r="Q40" i="9"/>
  <c r="Q43" i="9"/>
  <c r="Q44" i="9"/>
  <c r="Q39" i="9"/>
  <c r="Q42" i="9"/>
  <c r="AV11" i="9"/>
  <c r="AW13" i="9"/>
  <c r="AX13" i="9"/>
  <c r="AY13" i="9"/>
  <c r="N61" i="2"/>
  <c r="O61" i="2"/>
  <c r="N63" i="2"/>
  <c r="O63" i="2"/>
  <c r="N64" i="2"/>
  <c r="O64" i="2"/>
  <c r="M64" i="2"/>
  <c r="N62" i="2"/>
  <c r="O62" i="2"/>
  <c r="M63" i="2"/>
  <c r="M61" i="2"/>
  <c r="P61" i="2"/>
  <c r="P62" i="2"/>
  <c r="P63" i="2"/>
  <c r="P64" i="2"/>
  <c r="M62" i="2"/>
  <c r="AI8" i="2"/>
  <c r="AI11" i="2"/>
  <c r="BA23" i="9"/>
  <c r="BB23" i="9"/>
  <c r="AX19" i="9"/>
  <c r="AY15" i="9"/>
  <c r="AW21" i="9"/>
  <c r="AW17" i="9"/>
  <c r="AX17" i="9"/>
  <c r="AY17" i="9"/>
  <c r="AI11" i="9"/>
  <c r="C39" i="9"/>
  <c r="D39" i="9"/>
  <c r="AW11" i="9"/>
  <c r="AZ13" i="9"/>
  <c r="BA13" i="9"/>
  <c r="AI17" i="2"/>
  <c r="BC23" i="9"/>
  <c r="BD23" i="9"/>
  <c r="AY19" i="9"/>
  <c r="AZ17" i="9"/>
  <c r="AX21" i="9"/>
  <c r="AY21" i="9"/>
  <c r="AZ15" i="9"/>
  <c r="AX11" i="9"/>
  <c r="AY11" i="9"/>
  <c r="BB13" i="9"/>
  <c r="BC13" i="9"/>
  <c r="AZ21" i="9"/>
  <c r="BA21" i="9"/>
  <c r="BB21" i="9"/>
  <c r="AZ19" i="9"/>
  <c r="BA19" i="9"/>
  <c r="BA15" i="9"/>
  <c r="BB15" i="9"/>
  <c r="BC15" i="9"/>
  <c r="BD15" i="9"/>
  <c r="BA17" i="9"/>
  <c r="AZ11" i="9"/>
  <c r="BD13" i="9"/>
  <c r="BB19" i="9"/>
  <c r="BC21" i="9"/>
  <c r="BD21" i="9"/>
  <c r="BB17" i="9"/>
  <c r="BC17" i="9"/>
  <c r="BA11" i="9"/>
  <c r="BC19" i="9"/>
  <c r="BD19" i="9"/>
  <c r="BD17" i="9"/>
  <c r="BB11" i="9"/>
  <c r="BC11" i="9"/>
  <c r="BD11" i="9"/>
  <c r="T64" i="2"/>
  <c r="B42" i="7"/>
  <c r="T66" i="2"/>
  <c r="B43" i="29"/>
  <c r="T67" i="2"/>
  <c r="B44" i="7"/>
  <c r="T68" i="2"/>
  <c r="P74" i="2"/>
  <c r="F16" i="3"/>
  <c r="F19" i="3"/>
  <c r="L15" i="6"/>
  <c r="W137" i="6"/>
  <c r="E24" i="20"/>
  <c r="K24" i="20"/>
  <c r="K24" i="9"/>
  <c r="N39" i="9"/>
  <c r="V138" i="6"/>
  <c r="O27" i="6"/>
  <c r="M66" i="2"/>
  <c r="L49" i="6"/>
  <c r="AA49" i="6"/>
  <c r="J22" i="20"/>
  <c r="J7" i="20"/>
  <c r="K7" i="20"/>
  <c r="I6" i="20"/>
  <c r="L15" i="9"/>
  <c r="L18" i="9"/>
  <c r="K25" i="9"/>
  <c r="L13" i="9"/>
  <c r="N80" i="9"/>
  <c r="I39" i="9"/>
  <c r="G39" i="9"/>
  <c r="L176" i="6"/>
  <c r="L189" i="6"/>
  <c r="R136" i="6"/>
  <c r="T136" i="6"/>
  <c r="AG45" i="6"/>
  <c r="AG51" i="3"/>
  <c r="AQ40" i="6"/>
  <c r="AQ49" i="6"/>
  <c r="AQ47" i="6"/>
  <c r="AQ50" i="6"/>
  <c r="AQ59" i="6"/>
  <c r="AQ43" i="6"/>
  <c r="AQ48" i="6"/>
  <c r="AQ55" i="6"/>
  <c r="AQ41" i="6"/>
  <c r="AF51" i="3"/>
  <c r="AQ44" i="6"/>
  <c r="AQ58" i="6"/>
  <c r="AQ42" i="6"/>
  <c r="AQ46" i="6"/>
  <c r="AJ35" i="6"/>
  <c r="AQ60" i="6"/>
  <c r="AR57" i="6"/>
  <c r="AR40" i="6"/>
  <c r="AR60" i="6"/>
  <c r="AR43" i="6"/>
  <c r="AR47" i="6"/>
  <c r="AR52" i="6"/>
  <c r="AR54" i="6"/>
  <c r="AR59" i="6"/>
  <c r="AG54" i="3"/>
  <c r="AR48" i="6"/>
  <c r="AR44" i="6"/>
  <c r="AK48" i="6"/>
  <c r="AK41" i="6"/>
  <c r="AK53" i="6"/>
  <c r="AK51" i="6"/>
  <c r="AF18" i="9"/>
  <c r="C46" i="9"/>
  <c r="D46" i="9"/>
  <c r="AK52" i="6"/>
  <c r="AK59" i="6"/>
  <c r="AK57" i="6"/>
  <c r="AK43" i="6"/>
  <c r="AF33" i="3"/>
  <c r="AK50" i="6"/>
  <c r="AK44" i="6"/>
  <c r="AF36" i="3"/>
  <c r="AL47" i="6"/>
  <c r="AL55" i="6"/>
  <c r="AL50" i="6"/>
  <c r="AL51" i="6"/>
  <c r="AL52" i="6"/>
  <c r="AL58" i="6"/>
  <c r="AL54" i="6"/>
  <c r="AL57" i="6"/>
  <c r="AJ30" i="6"/>
  <c r="AL49" i="6"/>
  <c r="AL53" i="6"/>
  <c r="AL42" i="6"/>
  <c r="AL43" i="6"/>
  <c r="AL59" i="6"/>
  <c r="AM47" i="6"/>
  <c r="AM55" i="6"/>
  <c r="AM45" i="6"/>
  <c r="AM40" i="6"/>
  <c r="AG39" i="3"/>
  <c r="AM56" i="6"/>
  <c r="AM43" i="6"/>
  <c r="AM52" i="6"/>
  <c r="AM44" i="6"/>
  <c r="AM46" i="6"/>
  <c r="AM58" i="6"/>
  <c r="AM42" i="6"/>
  <c r="AF39" i="3"/>
  <c r="AM49" i="6"/>
  <c r="AP49" i="6"/>
  <c r="AP55" i="6"/>
  <c r="AP41" i="6"/>
  <c r="AP58" i="6"/>
  <c r="AP57" i="6"/>
  <c r="AP54" i="6"/>
  <c r="AP43" i="6"/>
  <c r="AG48" i="3"/>
  <c r="AP60" i="6"/>
  <c r="R143" i="6"/>
  <c r="T143" i="6"/>
  <c r="G46" i="9"/>
  <c r="W143" i="6"/>
  <c r="I46" i="9"/>
  <c r="I42" i="9"/>
  <c r="V139" i="6"/>
  <c r="Q139" i="6"/>
  <c r="G42" i="9"/>
  <c r="R139" i="6"/>
  <c r="T139" i="6"/>
  <c r="W139" i="6"/>
  <c r="P139" i="6"/>
  <c r="V147" i="6"/>
  <c r="N147" i="6"/>
  <c r="Z147" i="6"/>
  <c r="L147" i="6"/>
  <c r="M147" i="6"/>
  <c r="AA147" i="6"/>
  <c r="M76" i="9"/>
  <c r="O147" i="6"/>
  <c r="AE43" i="6"/>
  <c r="AH49" i="6"/>
  <c r="AH59" i="6"/>
  <c r="AH43" i="6"/>
  <c r="AH60" i="6"/>
  <c r="AH46" i="6"/>
  <c r="AE52" i="6"/>
  <c r="AJ24" i="6"/>
  <c r="AK56" i="6"/>
  <c r="AK49" i="6"/>
  <c r="AI49" i="6"/>
  <c r="AO57" i="6"/>
  <c r="AF42" i="3"/>
  <c r="AN54" i="6"/>
  <c r="AJ59" i="6"/>
  <c r="AP45" i="6"/>
  <c r="AJ33" i="6"/>
  <c r="AN40" i="6"/>
  <c r="AR56" i="6"/>
  <c r="AJ36" i="6"/>
  <c r="AO50" i="6"/>
  <c r="AN49" i="6"/>
  <c r="AQ54" i="6"/>
  <c r="AP50" i="6"/>
  <c r="AR58" i="6"/>
  <c r="AL41" i="6"/>
  <c r="AL61" i="6"/>
  <c r="AO45" i="6"/>
  <c r="AR49" i="6"/>
  <c r="AM53" i="6"/>
  <c r="AJ56" i="6"/>
  <c r="AJ47" i="6"/>
  <c r="AF30" i="3"/>
  <c r="AJ48" i="6"/>
  <c r="AG27" i="3"/>
  <c r="AQ5" i="6"/>
  <c r="AI19" i="6"/>
  <c r="AF39" i="9"/>
  <c r="C78" i="9"/>
  <c r="D78" i="9"/>
  <c r="X181" i="6"/>
  <c r="X194" i="6"/>
  <c r="X174" i="6"/>
  <c r="T99" i="6"/>
  <c r="T110" i="6"/>
  <c r="Z76" i="6"/>
  <c r="AN46" i="6"/>
  <c r="AN47" i="6"/>
  <c r="AN58" i="6"/>
  <c r="AN44" i="6"/>
  <c r="AN57" i="6"/>
  <c r="AN41" i="6"/>
  <c r="AN45" i="6"/>
  <c r="AN59" i="6"/>
  <c r="AN55" i="6"/>
  <c r="AR8" i="6"/>
  <c r="AJ19" i="6"/>
  <c r="AJ23" i="6"/>
  <c r="AF16" i="9"/>
  <c r="C44" i="9"/>
  <c r="D44" i="9"/>
  <c r="AE41" i="6"/>
  <c r="AE61" i="6"/>
  <c r="AE45" i="6"/>
  <c r="AF15" i="3"/>
  <c r="E10" i="20"/>
  <c r="AE42" i="6"/>
  <c r="AE49" i="6"/>
  <c r="AE54" i="6"/>
  <c r="AG52" i="6"/>
  <c r="AF51" i="6"/>
  <c r="AG55" i="6"/>
  <c r="AG50" i="6"/>
  <c r="AF57" i="6"/>
  <c r="AF49" i="6"/>
  <c r="AF45" i="6"/>
  <c r="AF56" i="6"/>
  <c r="AG47" i="6"/>
  <c r="AF55" i="6"/>
  <c r="AG51" i="6"/>
  <c r="AI52" i="6"/>
  <c r="AF59" i="6"/>
  <c r="AI47" i="6"/>
  <c r="AI42" i="6"/>
  <c r="AG41" i="6"/>
  <c r="AI48" i="6"/>
  <c r="AI40" i="6"/>
  <c r="AF44" i="6"/>
  <c r="AK55" i="6"/>
  <c r="AK42" i="6"/>
  <c r="AI41" i="6"/>
  <c r="AJ27" i="6"/>
  <c r="AN53" i="6"/>
  <c r="AO43" i="6"/>
  <c r="AL60" i="6"/>
  <c r="AN48" i="6"/>
  <c r="AJ32" i="6"/>
  <c r="AI44" i="6"/>
  <c r="AR55" i="6"/>
  <c r="AR42" i="6"/>
  <c r="AR41" i="6"/>
  <c r="AP48" i="6"/>
  <c r="AR53" i="6"/>
  <c r="AQ45" i="6"/>
  <c r="AP42" i="6"/>
  <c r="AP46" i="6"/>
  <c r="AJ34" i="6"/>
  <c r="AN51" i="6"/>
  <c r="AM48" i="6"/>
  <c r="AM57" i="6"/>
  <c r="AP56" i="6"/>
  <c r="AP47" i="6"/>
  <c r="AM60" i="6"/>
  <c r="AJ40" i="6"/>
  <c r="AJ53" i="6"/>
  <c r="AM51" i="6"/>
  <c r="E25" i="20"/>
  <c r="I25" i="20"/>
  <c r="AO54" i="6"/>
  <c r="AO60" i="6"/>
  <c r="AO53" i="6"/>
  <c r="AO47" i="6"/>
  <c r="AO59" i="6"/>
  <c r="AF45" i="3"/>
  <c r="AG45" i="3"/>
  <c r="AO48" i="6"/>
  <c r="AO58" i="6"/>
  <c r="AJ49" i="6"/>
  <c r="AG30" i="3"/>
  <c r="AJ58" i="6"/>
  <c r="AJ52" i="6"/>
  <c r="AJ43" i="6"/>
  <c r="AJ45" i="6"/>
  <c r="AJ44" i="6"/>
  <c r="AJ51" i="6"/>
  <c r="AJ57" i="6"/>
  <c r="AJ55" i="6"/>
  <c r="R175" i="6"/>
  <c r="R188" i="6"/>
  <c r="Q187" i="6"/>
  <c r="AG44" i="6"/>
  <c r="V45" i="9"/>
  <c r="AE57" i="6"/>
  <c r="AG15" i="3"/>
  <c r="AE50" i="6"/>
  <c r="AE53" i="6"/>
  <c r="AF18" i="3"/>
  <c r="AG60" i="6"/>
  <c r="AG21" i="3"/>
  <c r="E15" i="20"/>
  <c r="AF60" i="6"/>
  <c r="L139" i="6"/>
  <c r="M139" i="6"/>
  <c r="AG42" i="6"/>
  <c r="AF46" i="6"/>
  <c r="AF42" i="6"/>
  <c r="AF61" i="6"/>
  <c r="AG48" i="6"/>
  <c r="AJ25" i="6"/>
  <c r="AI57" i="6"/>
  <c r="AI43" i="6"/>
  <c r="AI60" i="6"/>
  <c r="AF14" i="9"/>
  <c r="C42" i="9"/>
  <c r="D42" i="9"/>
  <c r="AG56" i="6"/>
  <c r="AK46" i="6"/>
  <c r="AK60" i="6"/>
  <c r="AK40" i="6"/>
  <c r="AP53" i="6"/>
  <c r="AO49" i="6"/>
  <c r="AN56" i="6"/>
  <c r="AP40" i="6"/>
  <c r="AN42" i="6"/>
  <c r="AN52" i="6"/>
  <c r="AQ57" i="6"/>
  <c r="AO41" i="6"/>
  <c r="AO61" i="6"/>
  <c r="AR50" i="6"/>
  <c r="AO52" i="6"/>
  <c r="AO42" i="6"/>
  <c r="AR46" i="6"/>
  <c r="AQ52" i="6"/>
  <c r="AF54" i="3"/>
  <c r="AL48" i="6"/>
  <c r="AM54" i="6"/>
  <c r="AR45" i="6"/>
  <c r="AL46" i="6"/>
  <c r="AJ54" i="6"/>
  <c r="AJ42" i="6"/>
  <c r="AJ31" i="6"/>
  <c r="R147" i="6"/>
  <c r="T147" i="6"/>
  <c r="F39" i="9"/>
  <c r="AC54" i="2"/>
  <c r="O187" i="6"/>
  <c r="L17" i="9"/>
  <c r="U18" i="9"/>
  <c r="P187" i="6"/>
  <c r="F3" i="25"/>
  <c r="AF27" i="3"/>
  <c r="X147" i="6"/>
  <c r="W187" i="6"/>
  <c r="F14" i="25"/>
  <c r="U15" i="6"/>
  <c r="AD19" i="6"/>
  <c r="Q10" i="2"/>
  <c r="S14" i="3"/>
  <c r="F7" i="25"/>
  <c r="AR19" i="6"/>
  <c r="N14" i="9"/>
  <c r="N16" i="9"/>
  <c r="N13" i="9"/>
  <c r="P80" i="9"/>
  <c r="N18" i="9"/>
  <c r="AQ19" i="6"/>
  <c r="AA8" i="3"/>
  <c r="P16" i="9"/>
  <c r="P14" i="9"/>
  <c r="P18" i="9"/>
  <c r="AI14" i="2"/>
  <c r="R13" i="9"/>
  <c r="T80" i="9"/>
  <c r="L63" i="9"/>
  <c r="L145" i="6"/>
  <c r="M145" i="6"/>
  <c r="Q141" i="6"/>
  <c r="T3" i="6"/>
  <c r="T180" i="6"/>
  <c r="T193" i="6"/>
  <c r="S187" i="6"/>
  <c r="Q13" i="9"/>
  <c r="S80" i="9"/>
  <c r="T14" i="9"/>
  <c r="U16" i="9"/>
  <c r="G44" i="9"/>
  <c r="Y149" i="6"/>
  <c r="Y139" i="6"/>
  <c r="P146" i="6"/>
  <c r="O148" i="6"/>
  <c r="Q142" i="6"/>
  <c r="P149" i="6"/>
  <c r="F5" i="25"/>
  <c r="F9" i="25"/>
  <c r="F12" i="25"/>
  <c r="F16" i="25"/>
  <c r="S26" i="6"/>
  <c r="E16" i="20"/>
  <c r="I16" i="20"/>
  <c r="Z34" i="6"/>
  <c r="T175" i="6"/>
  <c r="T188" i="6"/>
  <c r="V187" i="6"/>
  <c r="K18" i="9"/>
  <c r="N17" i="9"/>
  <c r="O15" i="9"/>
  <c r="P13" i="9"/>
  <c r="R80" i="9"/>
  <c r="W13" i="9"/>
  <c r="Y80" i="9"/>
  <c r="X16" i="9"/>
  <c r="L62" i="9"/>
  <c r="L65" i="9"/>
  <c r="V145" i="6"/>
  <c r="Q147" i="6"/>
  <c r="V143" i="6"/>
  <c r="Q150" i="6"/>
  <c r="F6" i="25"/>
  <c r="F10" i="25"/>
  <c r="F13" i="25"/>
  <c r="F17" i="25"/>
  <c r="U179" i="6"/>
  <c r="U192" i="6"/>
  <c r="T177" i="6"/>
  <c r="T190" i="6"/>
  <c r="M13" i="9"/>
  <c r="S17" i="9"/>
  <c r="V15" i="9"/>
  <c r="L64" i="9"/>
  <c r="X136" i="6"/>
  <c r="Q144" i="6"/>
  <c r="AK11" i="9"/>
  <c r="M15" i="9"/>
  <c r="N187" i="6"/>
  <c r="N15" i="9"/>
  <c r="P63" i="9"/>
  <c r="Y3" i="6"/>
  <c r="Q60" i="9"/>
  <c r="Z31" i="6"/>
  <c r="Z15" i="6"/>
  <c r="Q87" i="6"/>
  <c r="AC25" i="2"/>
  <c r="Q181" i="6"/>
  <c r="Q194" i="6"/>
  <c r="P15" i="6"/>
  <c r="M18" i="9"/>
  <c r="M16" i="9"/>
  <c r="M17" i="9"/>
  <c r="M14" i="9"/>
  <c r="K14" i="9"/>
  <c r="K33" i="9"/>
  <c r="Q17" i="9"/>
  <c r="R87" i="6"/>
  <c r="R178" i="6"/>
  <c r="R191" i="6"/>
  <c r="I74" i="9"/>
  <c r="O61" i="9"/>
  <c r="L187" i="6"/>
  <c r="J14" i="9"/>
  <c r="J18" i="9"/>
  <c r="F6" i="8"/>
  <c r="O65" i="9"/>
  <c r="Z78" i="6"/>
  <c r="R18" i="9"/>
  <c r="AC46" i="2"/>
  <c r="X177" i="6"/>
  <c r="X190" i="6"/>
  <c r="R187" i="6"/>
  <c r="X180" i="6"/>
  <c r="X193" i="6"/>
  <c r="T57" i="6"/>
  <c r="O158" i="6"/>
  <c r="O160" i="6"/>
  <c r="W15" i="6"/>
  <c r="P60" i="9"/>
  <c r="I76" i="9"/>
  <c r="R176" i="6"/>
  <c r="R189" i="6"/>
  <c r="X178" i="6"/>
  <c r="X191" i="6"/>
  <c r="X187" i="6"/>
  <c r="R65" i="9"/>
  <c r="W17" i="9"/>
  <c r="W15" i="9"/>
  <c r="X13" i="9"/>
  <c r="Z80" i="9"/>
  <c r="K35" i="9"/>
  <c r="Q61" i="9"/>
  <c r="P65" i="9"/>
  <c r="P64" i="9"/>
  <c r="N139" i="6"/>
  <c r="Z139" i="6"/>
  <c r="O45" i="9"/>
  <c r="O60" i="9"/>
  <c r="Z70" i="6"/>
  <c r="AA52" i="9"/>
  <c r="AC52" i="2"/>
  <c r="AC49" i="2"/>
  <c r="I80" i="9"/>
  <c r="U13" i="9"/>
  <c r="W80" i="9"/>
  <c r="AC43" i="2"/>
  <c r="U14" i="9"/>
  <c r="W64" i="9"/>
  <c r="P147" i="6"/>
  <c r="W3" i="6"/>
  <c r="W176" i="6"/>
  <c r="W189" i="6"/>
  <c r="V123" i="6"/>
  <c r="V60" i="9"/>
  <c r="T16" i="9"/>
  <c r="V176" i="6"/>
  <c r="V189" i="6"/>
  <c r="U17" i="9"/>
  <c r="T18" i="9"/>
  <c r="T13" i="9"/>
  <c r="V80" i="9"/>
  <c r="T15" i="9"/>
  <c r="AC40" i="2"/>
  <c r="O146" i="6"/>
  <c r="V99" i="6"/>
  <c r="V110" i="6"/>
  <c r="V63" i="9"/>
  <c r="K30" i="9"/>
  <c r="U158" i="6"/>
  <c r="U164" i="6"/>
  <c r="U175" i="6"/>
  <c r="U188" i="6"/>
  <c r="U87" i="6"/>
  <c r="U3" i="6"/>
  <c r="U178" i="6"/>
  <c r="U191" i="6"/>
  <c r="U181" i="6"/>
  <c r="U194" i="6"/>
  <c r="S13" i="9"/>
  <c r="U80" i="9"/>
  <c r="T123" i="6"/>
  <c r="R16" i="9"/>
  <c r="R15" i="9"/>
  <c r="U144" i="6"/>
  <c r="X144" i="6"/>
  <c r="R17" i="9"/>
  <c r="T62" i="9"/>
  <c r="T64" i="9"/>
  <c r="N144" i="6"/>
  <c r="Z144" i="6"/>
  <c r="L144" i="6"/>
  <c r="M144" i="6"/>
  <c r="O144" i="6"/>
  <c r="V144" i="6"/>
  <c r="S62" i="9"/>
  <c r="S158" i="6"/>
  <c r="S165" i="6"/>
  <c r="S63" i="9"/>
  <c r="S60" i="9"/>
  <c r="Z33" i="6"/>
  <c r="S87" i="6"/>
  <c r="S175" i="6"/>
  <c r="S188" i="6"/>
  <c r="R181" i="6"/>
  <c r="R194" i="6"/>
  <c r="R180" i="6"/>
  <c r="R193" i="6"/>
  <c r="R61" i="9"/>
  <c r="Z32" i="6"/>
  <c r="R177" i="6"/>
  <c r="R190" i="6"/>
  <c r="R174" i="6"/>
  <c r="Q65" i="9"/>
  <c r="P62" i="9"/>
  <c r="P179" i="6"/>
  <c r="P192" i="6"/>
  <c r="P61" i="9"/>
  <c r="P87" i="6"/>
  <c r="V140" i="6"/>
  <c r="P45" i="9"/>
  <c r="U140" i="6"/>
  <c r="O140" i="6"/>
  <c r="P140" i="6"/>
  <c r="O174" i="6"/>
  <c r="O179" i="6"/>
  <c r="O192" i="6"/>
  <c r="Z29" i="6"/>
  <c r="O175" i="6"/>
  <c r="O188" i="6"/>
  <c r="O177" i="6"/>
  <c r="O190" i="6"/>
  <c r="O87" i="6"/>
  <c r="O176" i="6"/>
  <c r="O189" i="6"/>
  <c r="O178" i="6"/>
  <c r="O191" i="6"/>
  <c r="O180" i="6"/>
  <c r="O193" i="6"/>
  <c r="O64" i="9"/>
  <c r="AC19" i="2"/>
  <c r="Z71" i="6"/>
  <c r="O3" i="6"/>
  <c r="O181" i="6"/>
  <c r="O194" i="6"/>
  <c r="N87" i="6"/>
  <c r="N176" i="6"/>
  <c r="N189" i="6"/>
  <c r="N61" i="9"/>
  <c r="Z28" i="6"/>
  <c r="N62" i="9"/>
  <c r="AC16" i="2"/>
  <c r="M175" i="6"/>
  <c r="M188" i="6"/>
  <c r="Z27" i="6"/>
  <c r="M87" i="6"/>
  <c r="J13" i="9"/>
  <c r="L174" i="6"/>
  <c r="L180" i="6"/>
  <c r="L193" i="6"/>
  <c r="L178" i="6"/>
  <c r="L191" i="6"/>
  <c r="Z26" i="6"/>
  <c r="L179" i="6"/>
  <c r="L192" i="6"/>
  <c r="L177" i="6"/>
  <c r="L190" i="6"/>
  <c r="L87" i="6"/>
  <c r="L175" i="6"/>
  <c r="L188" i="6"/>
  <c r="Y99" i="6"/>
  <c r="Y110" i="6"/>
  <c r="Y57" i="6"/>
  <c r="Z81" i="6"/>
  <c r="Y15" i="6"/>
  <c r="X87" i="6"/>
  <c r="Z38" i="6"/>
  <c r="X179" i="6"/>
  <c r="X192" i="6"/>
  <c r="X176" i="6"/>
  <c r="X189" i="6"/>
  <c r="X99" i="6"/>
  <c r="X110" i="6"/>
  <c r="X57" i="6"/>
  <c r="X175" i="6"/>
  <c r="X188" i="6"/>
  <c r="X158" i="6"/>
  <c r="X163" i="6"/>
  <c r="V149" i="6"/>
  <c r="Y177" i="6"/>
  <c r="Y190" i="6"/>
  <c r="O76" i="9"/>
  <c r="W14" i="9"/>
  <c r="W18" i="9"/>
  <c r="U149" i="6"/>
  <c r="Q149" i="6"/>
  <c r="AA149" i="6"/>
  <c r="K34" i="9"/>
  <c r="O149" i="6"/>
  <c r="X149" i="6"/>
  <c r="Y65" i="9"/>
  <c r="L149" i="6"/>
  <c r="M149" i="6"/>
  <c r="W16" i="9"/>
  <c r="N149" i="6"/>
  <c r="Z149" i="6"/>
  <c r="Y62" i="9"/>
  <c r="Y181" i="6"/>
  <c r="Y194" i="6"/>
  <c r="Y175" i="6"/>
  <c r="Y188" i="6"/>
  <c r="Y61" i="9"/>
  <c r="Y123" i="6"/>
  <c r="Z62" i="9"/>
  <c r="Z45" i="6"/>
  <c r="Z180" i="6"/>
  <c r="Z193" i="6"/>
  <c r="Z40" i="6"/>
  <c r="X17" i="9"/>
  <c r="Z177" i="6"/>
  <c r="Z190" i="6"/>
  <c r="Z179" i="6"/>
  <c r="Z192" i="6"/>
  <c r="Z176" i="6"/>
  <c r="Z189" i="6"/>
  <c r="AA150" i="6"/>
  <c r="X18" i="9"/>
  <c r="X14" i="9"/>
  <c r="Z178" i="6"/>
  <c r="Z191" i="6"/>
  <c r="Z158" i="6"/>
  <c r="Z123" i="6"/>
  <c r="P150" i="6"/>
  <c r="V150" i="6"/>
  <c r="L150" i="6"/>
  <c r="M150" i="6"/>
  <c r="X15" i="9"/>
  <c r="Z3" i="6"/>
  <c r="Z174" i="6"/>
  <c r="Z175" i="6"/>
  <c r="Z188" i="6"/>
  <c r="U150" i="6"/>
  <c r="V13" i="9"/>
  <c r="X80" i="9"/>
  <c r="X62" i="9"/>
  <c r="V17" i="9"/>
  <c r="X64" i="9"/>
  <c r="X65" i="9"/>
  <c r="X3" i="6"/>
  <c r="V16" i="9"/>
  <c r="U148" i="6"/>
  <c r="X61" i="9"/>
  <c r="X45" i="6"/>
  <c r="V148" i="6"/>
  <c r="AA148" i="6"/>
  <c r="V14" i="9"/>
  <c r="X63" i="9"/>
  <c r="V18" i="9"/>
  <c r="X148" i="6"/>
  <c r="N76" i="9"/>
  <c r="P148" i="6"/>
  <c r="L148" i="6"/>
  <c r="M148" i="6"/>
  <c r="X60" i="9"/>
  <c r="X123" i="6"/>
  <c r="Q148" i="6"/>
  <c r="N148" i="6"/>
  <c r="Z148" i="6"/>
  <c r="U15" i="9"/>
  <c r="W65" i="9"/>
  <c r="W57" i="6"/>
  <c r="Z37" i="6"/>
  <c r="W61" i="9"/>
  <c r="W63" i="9"/>
  <c r="W123" i="6"/>
  <c r="W178" i="6"/>
  <c r="W191" i="6"/>
  <c r="W158" i="6"/>
  <c r="W179" i="6"/>
  <c r="W192" i="6"/>
  <c r="W62" i="9"/>
  <c r="W180" i="6"/>
  <c r="W193" i="6"/>
  <c r="W175" i="6"/>
  <c r="W188" i="6"/>
  <c r="W181" i="6"/>
  <c r="W194" i="6"/>
  <c r="W60" i="9"/>
  <c r="W174" i="6"/>
  <c r="W177" i="6"/>
  <c r="W190" i="6"/>
  <c r="W45" i="6"/>
  <c r="N146" i="6"/>
  <c r="U146" i="6"/>
  <c r="Q146" i="6"/>
  <c r="L146" i="6"/>
  <c r="M146" i="6"/>
  <c r="V146" i="6"/>
  <c r="V177" i="6"/>
  <c r="V190" i="6"/>
  <c r="T17" i="9"/>
  <c r="V62" i="9"/>
  <c r="V65" i="9"/>
  <c r="V61" i="9"/>
  <c r="I79" i="9"/>
  <c r="V179" i="6"/>
  <c r="V192" i="6"/>
  <c r="V64" i="9"/>
  <c r="Z36" i="6"/>
  <c r="V181" i="6"/>
  <c r="V194" i="6"/>
  <c r="U65" i="9"/>
  <c r="S15" i="9"/>
  <c r="U61" i="9"/>
  <c r="S18" i="9"/>
  <c r="S16" i="9"/>
  <c r="U45" i="6"/>
  <c r="S14" i="9"/>
  <c r="U64" i="9"/>
  <c r="U63" i="9"/>
  <c r="AC37" i="2"/>
  <c r="AD40" i="2"/>
  <c r="W16" i="29"/>
  <c r="K33" i="29"/>
  <c r="U123" i="6"/>
  <c r="U174" i="6"/>
  <c r="U176" i="6"/>
  <c r="U189" i="6"/>
  <c r="U57" i="6"/>
  <c r="U62" i="9"/>
  <c r="U60" i="9"/>
  <c r="Z35" i="6"/>
  <c r="U177" i="6"/>
  <c r="U190" i="6"/>
  <c r="U180" i="6"/>
  <c r="U193" i="6"/>
  <c r="U99" i="6"/>
  <c r="U110" i="6"/>
  <c r="T179" i="6"/>
  <c r="T192" i="6"/>
  <c r="T176" i="6"/>
  <c r="T189" i="6"/>
  <c r="T174" i="6"/>
  <c r="T158" i="6"/>
  <c r="T181" i="6"/>
  <c r="T194" i="6"/>
  <c r="AD33" i="2"/>
  <c r="AD34" i="2"/>
  <c r="W14" i="29"/>
  <c r="K31" i="29"/>
  <c r="T65" i="9"/>
  <c r="P69" i="2"/>
  <c r="P144" i="6"/>
  <c r="AA144" i="6"/>
  <c r="T60" i="9"/>
  <c r="T61" i="9"/>
  <c r="T63" i="9"/>
  <c r="S45" i="9"/>
  <c r="P143" i="6"/>
  <c r="X143" i="6"/>
  <c r="Q143" i="6"/>
  <c r="AA143" i="6"/>
  <c r="L143" i="6"/>
  <c r="M143" i="6"/>
  <c r="N143" i="6"/>
  <c r="Z143" i="6"/>
  <c r="O143" i="6"/>
  <c r="S46" i="9"/>
  <c r="S15" i="6"/>
  <c r="Q16" i="9"/>
  <c r="Q18" i="9"/>
  <c r="Q15" i="9"/>
  <c r="Q14" i="9"/>
  <c r="S99" i="6"/>
  <c r="S110" i="6"/>
  <c r="S176" i="6"/>
  <c r="S189" i="6"/>
  <c r="S57" i="6"/>
  <c r="S64" i="9"/>
  <c r="S65" i="9"/>
  <c r="S61" i="9"/>
  <c r="Z75" i="6"/>
  <c r="S3" i="6"/>
  <c r="S178" i="6"/>
  <c r="S191" i="6"/>
  <c r="S180" i="6"/>
  <c r="S193" i="6"/>
  <c r="S179" i="6"/>
  <c r="S192" i="6"/>
  <c r="AC31" i="2"/>
  <c r="S123" i="6"/>
  <c r="S177" i="6"/>
  <c r="S190" i="6"/>
  <c r="S174" i="6"/>
  <c r="R62" i="9"/>
  <c r="Z74" i="6"/>
  <c r="AC28" i="2"/>
  <c r="O142" i="6"/>
  <c r="R63" i="9"/>
  <c r="I75" i="9"/>
  <c r="R99" i="6"/>
  <c r="R110" i="6"/>
  <c r="U142" i="6"/>
  <c r="R57" i="6"/>
  <c r="R46" i="9"/>
  <c r="N142" i="6"/>
  <c r="Z142" i="6"/>
  <c r="P142" i="6"/>
  <c r="V142" i="6"/>
  <c r="AA142" i="6"/>
  <c r="L142" i="6"/>
  <c r="M142" i="6"/>
  <c r="R45" i="9"/>
  <c r="R123" i="6"/>
  <c r="X142" i="6"/>
  <c r="O14" i="9"/>
  <c r="Q63" i="9"/>
  <c r="Q62" i="9"/>
  <c r="O16" i="9"/>
  <c r="Z73" i="6"/>
  <c r="Q64" i="9"/>
  <c r="Q45" i="9"/>
  <c r="Q178" i="6"/>
  <c r="Q191" i="6"/>
  <c r="Q177" i="6"/>
  <c r="Q190" i="6"/>
  <c r="X141" i="6"/>
  <c r="Q46" i="9"/>
  <c r="O141" i="6"/>
  <c r="U141" i="6"/>
  <c r="V141" i="6"/>
  <c r="N141" i="6"/>
  <c r="Q175" i="6"/>
  <c r="Q188" i="6"/>
  <c r="P141" i="6"/>
  <c r="AA141" i="6"/>
  <c r="L141" i="6"/>
  <c r="M141" i="6"/>
  <c r="Q179" i="6"/>
  <c r="Q192" i="6"/>
  <c r="Q180" i="6"/>
  <c r="Q193" i="6"/>
  <c r="Q176" i="6"/>
  <c r="Q189" i="6"/>
  <c r="Q174" i="6"/>
  <c r="P158" i="6"/>
  <c r="P163" i="6"/>
  <c r="P180" i="6"/>
  <c r="P193" i="6"/>
  <c r="P57" i="6"/>
  <c r="M70" i="2"/>
  <c r="N70" i="2"/>
  <c r="O70" i="2"/>
  <c r="AC22" i="2"/>
  <c r="L140" i="6"/>
  <c r="M140" i="6"/>
  <c r="P174" i="6"/>
  <c r="Z181" i="6"/>
  <c r="Z194" i="6"/>
  <c r="N140" i="6"/>
  <c r="Z140" i="6"/>
  <c r="Q140" i="6"/>
  <c r="Z30" i="6"/>
  <c r="P178" i="6"/>
  <c r="P191" i="6"/>
  <c r="P175" i="6"/>
  <c r="P188" i="6"/>
  <c r="P177" i="6"/>
  <c r="P190" i="6"/>
  <c r="P45" i="6"/>
  <c r="X140" i="6"/>
  <c r="P46" i="9"/>
  <c r="Z72" i="6"/>
  <c r="P3" i="6"/>
  <c r="P176" i="6"/>
  <c r="P189" i="6"/>
  <c r="P181" i="6"/>
  <c r="P194" i="6"/>
  <c r="O63" i="9"/>
  <c r="O62" i="9"/>
  <c r="O15" i="6"/>
  <c r="O99" i="6"/>
  <c r="O110" i="6"/>
  <c r="O57" i="6"/>
  <c r="Z61" i="9"/>
  <c r="Z60" i="9"/>
  <c r="Z57" i="6"/>
  <c r="Z82" i="6"/>
  <c r="Z99" i="6"/>
  <c r="Z110" i="6"/>
  <c r="Z63" i="9"/>
  <c r="N150" i="6"/>
  <c r="Z65" i="9"/>
  <c r="Z64" i="9"/>
  <c r="Y60" i="9"/>
  <c r="Z39" i="6"/>
  <c r="Y87" i="6"/>
  <c r="Y180" i="6"/>
  <c r="Y193" i="6"/>
  <c r="Y64" i="9"/>
  <c r="Y63" i="9"/>
  <c r="Y174" i="6"/>
  <c r="Y176" i="6"/>
  <c r="Y189" i="6"/>
  <c r="Y178" i="6"/>
  <c r="Y191" i="6"/>
  <c r="Y158" i="6"/>
  <c r="X15" i="6"/>
  <c r="V3" i="6"/>
  <c r="V180" i="6"/>
  <c r="V193" i="6"/>
  <c r="V174" i="6"/>
  <c r="V178" i="6"/>
  <c r="V191" i="6"/>
  <c r="V175" i="6"/>
  <c r="V188" i="6"/>
  <c r="V158" i="6"/>
  <c r="R60" i="9"/>
  <c r="R64" i="9"/>
  <c r="P15" i="9"/>
  <c r="P17" i="9"/>
  <c r="AA72" i="9"/>
  <c r="M65" i="2"/>
  <c r="Q99" i="6"/>
  <c r="Q110" i="6"/>
  <c r="N178" i="6"/>
  <c r="N191" i="6"/>
  <c r="N180" i="6"/>
  <c r="N193" i="6"/>
  <c r="N64" i="9"/>
  <c r="N3" i="6"/>
  <c r="O138" i="6"/>
  <c r="N177" i="6"/>
  <c r="N190" i="6"/>
  <c r="N179" i="6"/>
  <c r="N192" i="6"/>
  <c r="N181" i="6"/>
  <c r="N194" i="6"/>
  <c r="X138" i="6"/>
  <c r="N46" i="9"/>
  <c r="L138" i="6"/>
  <c r="M138" i="6"/>
  <c r="N175" i="6"/>
  <c r="N188" i="6"/>
  <c r="X41" i="6"/>
  <c r="M69" i="2"/>
  <c r="N69" i="2"/>
  <c r="O69" i="2"/>
  <c r="N45" i="6"/>
  <c r="N45" i="9"/>
  <c r="N22" i="6"/>
  <c r="N60" i="9"/>
  <c r="I71" i="9"/>
  <c r="L16" i="9"/>
  <c r="N138" i="6"/>
  <c r="P138" i="6"/>
  <c r="K23" i="9"/>
  <c r="AA83" i="9"/>
  <c r="N65" i="9"/>
  <c r="N63" i="9"/>
  <c r="N99" i="6"/>
  <c r="N110" i="6"/>
  <c r="N158" i="6"/>
  <c r="AA70" i="9"/>
  <c r="N15" i="6"/>
  <c r="Q138" i="6"/>
  <c r="M57" i="6"/>
  <c r="M61" i="6"/>
  <c r="P70" i="2"/>
  <c r="M71" i="2"/>
  <c r="N71" i="2"/>
  <c r="O71" i="2"/>
  <c r="M99" i="6"/>
  <c r="M110" i="6"/>
  <c r="M46" i="9"/>
  <c r="X137" i="6"/>
  <c r="P137" i="6"/>
  <c r="U137" i="6"/>
  <c r="AA104" i="6"/>
  <c r="K16" i="9"/>
  <c r="N137" i="6"/>
  <c r="Z137" i="6"/>
  <c r="Q137" i="6"/>
  <c r="V137" i="6"/>
  <c r="AA137" i="6"/>
  <c r="L137" i="6"/>
  <c r="M137" i="6"/>
  <c r="M45" i="9"/>
  <c r="K15" i="9"/>
  <c r="Z69" i="6"/>
  <c r="AC13" i="2"/>
  <c r="AA136" i="6"/>
  <c r="AA69" i="9"/>
  <c r="L136" i="6"/>
  <c r="M136" i="6"/>
  <c r="U136" i="6"/>
  <c r="AC10" i="2"/>
  <c r="L60" i="9"/>
  <c r="L57" i="6"/>
  <c r="L61" i="6"/>
  <c r="AA71" i="9"/>
  <c r="N66" i="2"/>
  <c r="O66" i="2"/>
  <c r="AA62" i="6"/>
  <c r="AA89" i="6"/>
  <c r="AD88" i="6"/>
  <c r="AE88" i="6"/>
  <c r="AA50" i="9"/>
  <c r="AA82" i="9"/>
  <c r="AA74" i="9"/>
  <c r="AA8" i="6"/>
  <c r="AA73" i="9"/>
  <c r="AA9" i="6"/>
  <c r="J16" i="9"/>
  <c r="J15" i="9"/>
  <c r="J17" i="9"/>
  <c r="Q136" i="6"/>
  <c r="P136" i="6"/>
  <c r="L3" i="6"/>
  <c r="L7" i="6"/>
  <c r="B6" i="24"/>
  <c r="L158" i="6"/>
  <c r="L160" i="6"/>
  <c r="B6" i="8"/>
  <c r="V136" i="6"/>
  <c r="AA81" i="9"/>
  <c r="P6" i="8"/>
  <c r="Z68" i="6"/>
  <c r="N65" i="2"/>
  <c r="O65" i="2"/>
  <c r="AA75" i="9"/>
  <c r="AA91" i="6"/>
  <c r="AD90" i="6"/>
  <c r="AE90" i="6"/>
  <c r="N60" i="2"/>
  <c r="O60" i="2"/>
  <c r="Y136" i="6"/>
  <c r="L99" i="6"/>
  <c r="N136" i="6"/>
  <c r="AA64" i="6"/>
  <c r="I69" i="9"/>
  <c r="AA114" i="6"/>
  <c r="AA52" i="6"/>
  <c r="AA59" i="6"/>
  <c r="AA115" i="6"/>
  <c r="AA48" i="6"/>
  <c r="AA4" i="6"/>
  <c r="AA10" i="6"/>
  <c r="M60" i="2"/>
  <c r="AA47" i="6"/>
  <c r="AA46" i="6"/>
  <c r="AA51" i="6"/>
  <c r="AA113" i="6"/>
  <c r="P68" i="2"/>
  <c r="AA51" i="9"/>
  <c r="AA55" i="9"/>
  <c r="AA116" i="6"/>
  <c r="AA105" i="6"/>
  <c r="AA6" i="6"/>
  <c r="AA63" i="6"/>
  <c r="AA60" i="6"/>
  <c r="AA88" i="6"/>
  <c r="AD87" i="6"/>
  <c r="AE87" i="6"/>
  <c r="M67" i="2"/>
  <c r="N67" i="2"/>
  <c r="O67" i="2"/>
  <c r="AA92" i="6"/>
  <c r="AD91" i="6"/>
  <c r="AE91" i="6"/>
  <c r="P67" i="2"/>
  <c r="AA54" i="9"/>
  <c r="AA50" i="6"/>
  <c r="AA84" i="9"/>
  <c r="L61" i="9"/>
  <c r="AA90" i="6"/>
  <c r="AD89" i="6"/>
  <c r="AE89" i="6"/>
  <c r="AA111" i="6"/>
  <c r="AA112" i="6"/>
  <c r="AA93" i="6"/>
  <c r="AD92" i="6"/>
  <c r="AE92" i="6"/>
  <c r="AA117" i="6"/>
  <c r="N68" i="2"/>
  <c r="O68" i="2"/>
  <c r="AA94" i="6"/>
  <c r="AD93" i="6"/>
  <c r="AE93" i="6"/>
  <c r="AA53" i="9"/>
  <c r="AA85" i="9"/>
  <c r="K13" i="9"/>
  <c r="M80" i="9"/>
  <c r="K17" i="9"/>
  <c r="AA58" i="6"/>
  <c r="M60" i="9"/>
  <c r="AA5" i="6"/>
  <c r="AA101" i="6"/>
  <c r="B43" i="7"/>
  <c r="M68" i="2"/>
  <c r="M65" i="9"/>
  <c r="P65" i="2"/>
  <c r="AA106" i="6"/>
  <c r="B44" i="29"/>
  <c r="AA100" i="6"/>
  <c r="B45" i="7"/>
  <c r="B45" i="29"/>
  <c r="AA102" i="6"/>
  <c r="M61" i="9"/>
  <c r="M63" i="9"/>
  <c r="M177" i="6"/>
  <c r="M179" i="6"/>
  <c r="M187" i="6"/>
  <c r="M3" i="6"/>
  <c r="M7" i="6"/>
  <c r="M62" i="9"/>
  <c r="K22" i="9"/>
  <c r="AD54" i="2"/>
  <c r="M181" i="6"/>
  <c r="M158" i="6"/>
  <c r="B41" i="7"/>
  <c r="AA103" i="6"/>
  <c r="P60" i="2"/>
  <c r="M64" i="9"/>
  <c r="M176" i="6"/>
  <c r="M178" i="6"/>
  <c r="M180" i="6"/>
  <c r="M15" i="6"/>
  <c r="I24" i="20"/>
  <c r="J24" i="20"/>
  <c r="O137" i="6"/>
  <c r="AA61" i="6"/>
  <c r="AA7" i="6"/>
  <c r="L39" i="9"/>
  <c r="L45" i="9"/>
  <c r="L41" i="9"/>
  <c r="L42" i="9"/>
  <c r="L40" i="9"/>
  <c r="L44" i="9"/>
  <c r="L43" i="9"/>
  <c r="J25" i="20"/>
  <c r="J15" i="20"/>
  <c r="I15" i="20"/>
  <c r="K10" i="20"/>
  <c r="K26" i="20"/>
  <c r="I10" i="20"/>
  <c r="J10" i="20"/>
  <c r="AA19" i="6"/>
  <c r="AP61" i="6"/>
  <c r="AK61" i="6"/>
  <c r="AG61" i="6"/>
  <c r="AC8" i="3"/>
  <c r="E14" i="20"/>
  <c r="AI61" i="6"/>
  <c r="AH61" i="6"/>
  <c r="AM61" i="6"/>
  <c r="AR61" i="6"/>
  <c r="AJ61" i="6"/>
  <c r="AN61" i="6"/>
  <c r="U46" i="9"/>
  <c r="U45" i="9"/>
  <c r="AQ61" i="6"/>
  <c r="U161" i="6"/>
  <c r="U163" i="6"/>
  <c r="O123" i="6"/>
  <c r="O129" i="6"/>
  <c r="U159" i="6"/>
  <c r="AA17" i="6"/>
  <c r="AA18" i="6"/>
  <c r="AD9" i="2"/>
  <c r="V6" i="29"/>
  <c r="J23" i="29"/>
  <c r="AD46" i="2"/>
  <c r="W18" i="7"/>
  <c r="K35" i="7"/>
  <c r="AD52" i="2"/>
  <c r="W20" i="29"/>
  <c r="K37" i="29"/>
  <c r="P164" i="6"/>
  <c r="O161" i="6"/>
  <c r="O164" i="6"/>
  <c r="O159" i="6"/>
  <c r="O163" i="6"/>
  <c r="O165" i="6"/>
  <c r="AD37" i="2"/>
  <c r="W15" i="7"/>
  <c r="K32" i="7"/>
  <c r="AD30" i="2"/>
  <c r="V13" i="29"/>
  <c r="J30" i="29"/>
  <c r="AD16" i="2"/>
  <c r="V9" i="29"/>
  <c r="J26" i="29"/>
  <c r="AD48" i="2"/>
  <c r="V19" i="29"/>
  <c r="J36" i="29"/>
  <c r="W14" i="7"/>
  <c r="K31" i="7"/>
  <c r="S160" i="6"/>
  <c r="S159" i="6"/>
  <c r="S162" i="6"/>
  <c r="AA187" i="6"/>
  <c r="P159" i="6"/>
  <c r="AD18" i="2"/>
  <c r="V9" i="7"/>
  <c r="J26" i="7"/>
  <c r="O162" i="6"/>
  <c r="U165" i="6"/>
  <c r="T126" i="6"/>
  <c r="S163" i="6"/>
  <c r="P161" i="6"/>
  <c r="AD22" i="2"/>
  <c r="AD21" i="2"/>
  <c r="V10" i="29"/>
  <c r="J27" i="29"/>
  <c r="AA76" i="9"/>
  <c r="AD15" i="2"/>
  <c r="V8" i="29"/>
  <c r="J25" i="29"/>
  <c r="AD51" i="2"/>
  <c r="V20" i="29"/>
  <c r="J37" i="29"/>
  <c r="AD49" i="2"/>
  <c r="W19" i="29"/>
  <c r="K36" i="29"/>
  <c r="Y129" i="6"/>
  <c r="AD43" i="2"/>
  <c r="AD42" i="2"/>
  <c r="V17" i="29"/>
  <c r="J34" i="29"/>
  <c r="AD39" i="2"/>
  <c r="V16" i="29"/>
  <c r="J33" i="29"/>
  <c r="U160" i="6"/>
  <c r="U162" i="6"/>
  <c r="AA80" i="9"/>
  <c r="AD36" i="2"/>
  <c r="V15" i="7"/>
  <c r="J32" i="7"/>
  <c r="T124" i="6"/>
  <c r="T130" i="6"/>
  <c r="T125" i="6"/>
  <c r="T128" i="6"/>
  <c r="T129" i="6"/>
  <c r="T127" i="6"/>
  <c r="S164" i="6"/>
  <c r="S161" i="6"/>
  <c r="AD19" i="2"/>
  <c r="W9" i="7"/>
  <c r="K26" i="7"/>
  <c r="AA21" i="6"/>
  <c r="AA20" i="6"/>
  <c r="AA45" i="6"/>
  <c r="AA46" i="9"/>
  <c r="AD10" i="2"/>
  <c r="W6" i="7"/>
  <c r="K23" i="7"/>
  <c r="AA87" i="6"/>
  <c r="AD86" i="6"/>
  <c r="AE86" i="6"/>
  <c r="X165" i="6"/>
  <c r="X164" i="6"/>
  <c r="X161" i="6"/>
  <c r="X159" i="6"/>
  <c r="X162" i="6"/>
  <c r="X160" i="6"/>
  <c r="Y124" i="6"/>
  <c r="W64" i="2"/>
  <c r="AA64" i="2"/>
  <c r="AD63" i="2"/>
  <c r="Y125" i="6"/>
  <c r="Y130" i="6"/>
  <c r="Y128" i="6"/>
  <c r="Y126" i="6"/>
  <c r="Y127" i="6"/>
  <c r="Z163" i="6"/>
  <c r="Z161" i="6"/>
  <c r="Z159" i="6"/>
  <c r="Z160" i="6"/>
  <c r="Z162" i="6"/>
  <c r="Z164" i="6"/>
  <c r="Z165" i="6"/>
  <c r="AD45" i="2"/>
  <c r="X129" i="6"/>
  <c r="X125" i="6"/>
  <c r="X127" i="6"/>
  <c r="X130" i="6"/>
  <c r="X124" i="6"/>
  <c r="X126" i="6"/>
  <c r="X128" i="6"/>
  <c r="W126" i="6"/>
  <c r="W128" i="6"/>
  <c r="W129" i="6"/>
  <c r="W125" i="6"/>
  <c r="W130" i="6"/>
  <c r="W127" i="6"/>
  <c r="W124" i="6"/>
  <c r="W164" i="6"/>
  <c r="W162" i="6"/>
  <c r="W165" i="6"/>
  <c r="W160" i="6"/>
  <c r="W163" i="6"/>
  <c r="W161" i="6"/>
  <c r="W159" i="6"/>
  <c r="V124" i="6"/>
  <c r="V129" i="6"/>
  <c r="V126" i="6"/>
  <c r="V128" i="6"/>
  <c r="Z146" i="6"/>
  <c r="V130" i="6"/>
  <c r="V125" i="6"/>
  <c r="V127" i="6"/>
  <c r="AA174" i="6"/>
  <c r="U130" i="6"/>
  <c r="U127" i="6"/>
  <c r="U129" i="6"/>
  <c r="U125" i="6"/>
  <c r="U128" i="6"/>
  <c r="U124" i="6"/>
  <c r="U126" i="6"/>
  <c r="T161" i="6"/>
  <c r="T165" i="6"/>
  <c r="T162" i="6"/>
  <c r="T160" i="6"/>
  <c r="T159" i="6"/>
  <c r="T163" i="6"/>
  <c r="T164" i="6"/>
  <c r="AA57" i="6"/>
  <c r="AB51" i="6"/>
  <c r="S129" i="6"/>
  <c r="S125" i="6"/>
  <c r="S130" i="6"/>
  <c r="S127" i="6"/>
  <c r="S128" i="6"/>
  <c r="S124" i="6"/>
  <c r="S126" i="6"/>
  <c r="AD31" i="2"/>
  <c r="R126" i="6"/>
  <c r="R125" i="6"/>
  <c r="R124" i="6"/>
  <c r="R127" i="6"/>
  <c r="R130" i="6"/>
  <c r="R129" i="6"/>
  <c r="R128" i="6"/>
  <c r="Q123" i="6"/>
  <c r="Z141" i="6"/>
  <c r="AA175" i="6"/>
  <c r="P123" i="6"/>
  <c r="P130" i="6"/>
  <c r="P165" i="6"/>
  <c r="P160" i="6"/>
  <c r="P162" i="6"/>
  <c r="Z130" i="6"/>
  <c r="Z127" i="6"/>
  <c r="Z124" i="6"/>
  <c r="Z129" i="6"/>
  <c r="Z126" i="6"/>
  <c r="Z125" i="6"/>
  <c r="Z150" i="6"/>
  <c r="Z128" i="6"/>
  <c r="Y160" i="6"/>
  <c r="Y159" i="6"/>
  <c r="Y163" i="6"/>
  <c r="Y161" i="6"/>
  <c r="Y165" i="6"/>
  <c r="Y162" i="6"/>
  <c r="Y164" i="6"/>
  <c r="W16" i="7"/>
  <c r="K33" i="7"/>
  <c r="AA188" i="6"/>
  <c r="V161" i="6"/>
  <c r="V164" i="6"/>
  <c r="V163" i="6"/>
  <c r="V159" i="6"/>
  <c r="V160" i="6"/>
  <c r="V162" i="6"/>
  <c r="V165" i="6"/>
  <c r="V14" i="29"/>
  <c r="J31" i="29"/>
  <c r="V14" i="7"/>
  <c r="J31" i="7"/>
  <c r="AA22" i="6"/>
  <c r="N123" i="6"/>
  <c r="Z138" i="6"/>
  <c r="AA16" i="6"/>
  <c r="N163" i="6"/>
  <c r="N164" i="6"/>
  <c r="N162" i="6"/>
  <c r="N161" i="6"/>
  <c r="N159" i="6"/>
  <c r="N165" i="6"/>
  <c r="N160" i="6"/>
  <c r="M123" i="6"/>
  <c r="M124" i="6"/>
  <c r="P72" i="2"/>
  <c r="AA99" i="6"/>
  <c r="L110" i="6"/>
  <c r="AA110" i="6"/>
  <c r="AD12" i="2"/>
  <c r="V7" i="7"/>
  <c r="AD13" i="2"/>
  <c r="W7" i="29"/>
  <c r="L162" i="6"/>
  <c r="L159" i="6"/>
  <c r="L161" i="6"/>
  <c r="L163" i="6"/>
  <c r="L165" i="6"/>
  <c r="L164" i="6"/>
  <c r="A35" i="29"/>
  <c r="O136" i="6"/>
  <c r="Z136" i="6"/>
  <c r="L123" i="6"/>
  <c r="R60" i="2"/>
  <c r="W62" i="2"/>
  <c r="AA62" i="2"/>
  <c r="K40" i="7"/>
  <c r="M189" i="6"/>
  <c r="AA189" i="6"/>
  <c r="AA176" i="6"/>
  <c r="AA181" i="6"/>
  <c r="M194" i="6"/>
  <c r="AA194" i="6"/>
  <c r="AE7" i="3"/>
  <c r="M59" i="2"/>
  <c r="M191" i="6"/>
  <c r="AA191" i="6"/>
  <c r="AA178" i="6"/>
  <c r="M160" i="6"/>
  <c r="M161" i="6"/>
  <c r="M164" i="6"/>
  <c r="M163" i="6"/>
  <c r="M165" i="6"/>
  <c r="M159" i="6"/>
  <c r="M162" i="6"/>
  <c r="AA177" i="6"/>
  <c r="M190" i="6"/>
  <c r="AA190" i="6"/>
  <c r="M193" i="6"/>
  <c r="AA193" i="6"/>
  <c r="AA180" i="6"/>
  <c r="AA179" i="6"/>
  <c r="M192" i="6"/>
  <c r="AA192" i="6"/>
  <c r="AA45" i="9"/>
  <c r="O127" i="6"/>
  <c r="J14" i="20"/>
  <c r="J26" i="20"/>
  <c r="I14" i="20"/>
  <c r="I26" i="20"/>
  <c r="O125" i="6"/>
  <c r="O124" i="6"/>
  <c r="O126" i="6"/>
  <c r="O128" i="6"/>
  <c r="O130" i="6"/>
  <c r="W20" i="7"/>
  <c r="K37" i="7"/>
  <c r="W18" i="29"/>
  <c r="K35" i="29"/>
  <c r="V6" i="7"/>
  <c r="J23" i="7"/>
  <c r="W8" i="29"/>
  <c r="K25" i="29"/>
  <c r="V19" i="7"/>
  <c r="J36" i="7"/>
  <c r="W15" i="29"/>
  <c r="K32" i="29"/>
  <c r="V13" i="7"/>
  <c r="J30" i="7"/>
  <c r="W8" i="7"/>
  <c r="K25" i="7"/>
  <c r="V16" i="7"/>
  <c r="J33" i="7"/>
  <c r="P126" i="6"/>
  <c r="V10" i="7"/>
  <c r="J27" i="7"/>
  <c r="V8" i="7"/>
  <c r="J25" i="7"/>
  <c r="V20" i="7"/>
  <c r="J37" i="7"/>
  <c r="W6" i="29"/>
  <c r="K23" i="29"/>
  <c r="V17" i="7"/>
  <c r="J34" i="7"/>
  <c r="P125" i="6"/>
  <c r="M125" i="6"/>
  <c r="M128" i="6"/>
  <c r="W17" i="7"/>
  <c r="K34" i="7"/>
  <c r="W17" i="29"/>
  <c r="K34" i="29"/>
  <c r="V15" i="29"/>
  <c r="J32" i="29"/>
  <c r="P124" i="6"/>
  <c r="P128" i="6"/>
  <c r="P129" i="6"/>
  <c r="P127" i="6"/>
  <c r="W9" i="29"/>
  <c r="K26" i="29"/>
  <c r="M130" i="6"/>
  <c r="M129" i="6"/>
  <c r="M126" i="6"/>
  <c r="M127" i="6"/>
  <c r="W19" i="7"/>
  <c r="K36" i="7"/>
  <c r="V18" i="29"/>
  <c r="J35" i="29"/>
  <c r="V18" i="7"/>
  <c r="J35" i="7"/>
  <c r="W13" i="29"/>
  <c r="K30" i="29"/>
  <c r="W13" i="7"/>
  <c r="K30" i="7"/>
  <c r="P59" i="2"/>
  <c r="Q127" i="6"/>
  <c r="Q128" i="6"/>
  <c r="Q126" i="6"/>
  <c r="Q125" i="6"/>
  <c r="Q129" i="6"/>
  <c r="Q130" i="6"/>
  <c r="Q124" i="6"/>
  <c r="N130" i="6"/>
  <c r="N126" i="6"/>
  <c r="N129" i="6"/>
  <c r="N128" i="6"/>
  <c r="N127" i="6"/>
  <c r="N125" i="6"/>
  <c r="N124" i="6"/>
  <c r="W7" i="7"/>
  <c r="K24" i="7"/>
  <c r="V7" i="29"/>
  <c r="J24" i="29"/>
  <c r="K40" i="29"/>
  <c r="L127" i="6"/>
  <c r="AA123" i="6"/>
  <c r="L125" i="6"/>
  <c r="L128" i="6"/>
  <c r="L130" i="6"/>
  <c r="L126" i="6"/>
  <c r="L124" i="6"/>
  <c r="L129" i="6"/>
  <c r="AD61" i="2"/>
  <c r="K24" i="29"/>
  <c r="J24" i="7"/>
  <c r="AA125" i="6"/>
  <c r="AA130" i="6"/>
  <c r="AA128" i="6"/>
  <c r="AA129" i="6"/>
  <c r="AA126" i="6"/>
  <c r="AA127" i="6"/>
  <c r="S136" i="6"/>
  <c r="AA124" i="6"/>
  <c r="W10" i="7"/>
  <c r="W10" i="29"/>
  <c r="K27" i="29"/>
  <c r="K27" i="7"/>
  <c r="L74" i="6"/>
  <c r="M74" i="6"/>
  <c r="P71" i="2"/>
  <c r="P73" i="2"/>
  <c r="AD24" i="2"/>
  <c r="V11" i="29"/>
  <c r="Q3" i="6"/>
  <c r="Q158" i="6"/>
  <c r="Q165" i="6"/>
  <c r="Q15" i="6"/>
  <c r="Q162" i="6"/>
  <c r="Q163" i="6"/>
  <c r="Q161" i="6"/>
  <c r="Q164" i="6"/>
  <c r="Q159" i="6"/>
  <c r="J28" i="29"/>
  <c r="V11" i="7"/>
  <c r="AD25" i="2"/>
  <c r="Q160" i="6"/>
  <c r="W11" i="7"/>
  <c r="W11" i="29"/>
  <c r="J28" i="7"/>
  <c r="K28" i="29"/>
  <c r="K28" i="7"/>
  <c r="R3" i="6"/>
  <c r="AD27" i="2"/>
  <c r="V12" i="7"/>
  <c r="R15" i="6"/>
  <c r="AA15" i="6"/>
  <c r="R158" i="6"/>
  <c r="R165" i="6"/>
  <c r="AA165" i="6"/>
  <c r="AA3" i="6"/>
  <c r="N59" i="2"/>
  <c r="N73" i="2"/>
  <c r="AB13" i="6"/>
  <c r="O59" i="2"/>
  <c r="J29" i="7"/>
  <c r="J39" i="7"/>
  <c r="V22" i="7"/>
  <c r="R163" i="6"/>
  <c r="AA163" i="6"/>
  <c r="R162" i="6"/>
  <c r="AA162" i="6"/>
  <c r="AD28" i="2"/>
  <c r="V12" i="29"/>
  <c r="R159" i="6"/>
  <c r="AA159" i="6"/>
  <c r="R160" i="6"/>
  <c r="AA160" i="6"/>
  <c r="R161" i="6"/>
  <c r="AA161" i="6"/>
  <c r="AA158" i="6"/>
  <c r="R164" i="6"/>
  <c r="AA164" i="6"/>
  <c r="W69" i="2"/>
  <c r="AD69" i="2"/>
  <c r="AA69" i="2"/>
  <c r="W59" i="2"/>
  <c r="W66" i="2"/>
  <c r="J29" i="29"/>
  <c r="J39" i="29"/>
  <c r="V22" i="29"/>
  <c r="W12" i="7"/>
  <c r="W12" i="29"/>
  <c r="AA59" i="2"/>
  <c r="AA66" i="2"/>
  <c r="O73" i="2"/>
  <c r="AD58" i="2"/>
  <c r="R59" i="2"/>
  <c r="AD66" i="2"/>
  <c r="K75" i="2"/>
  <c r="M76" i="2"/>
  <c r="P76" i="2"/>
  <c r="AA72" i="2"/>
  <c r="AA74" i="2"/>
  <c r="R8" i="3"/>
  <c r="T62" i="2"/>
  <c r="W22" i="29"/>
  <c r="K29" i="29"/>
  <c r="K39" i="29"/>
  <c r="J41" i="29"/>
  <c r="J43" i="7"/>
  <c r="AA17" i="9"/>
  <c r="AA15" i="9"/>
  <c r="W22" i="7"/>
  <c r="K29" i="7"/>
  <c r="K39" i="7"/>
  <c r="E22" i="6"/>
  <c r="T65" i="2"/>
  <c r="K43" i="29"/>
  <c r="J41" i="7"/>
  <c r="K43" i="7"/>
  <c r="R76" i="2"/>
  <c r="R5" i="3"/>
  <c r="K44" i="29"/>
  <c r="J43"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<sst xmlns="http://schemas.openxmlformats.org/spreadsheetml/2006/main" count="3464" uniqueCount="1029">
  <si>
    <t xml:space="preserve"> </t>
  </si>
  <si>
    <t>Location</t>
  </si>
  <si>
    <t>Type</t>
  </si>
  <si>
    <t>Material</t>
  </si>
  <si>
    <t>Colour</t>
  </si>
  <si>
    <t>Louvre Size</t>
  </si>
  <si>
    <t>Frame</t>
  </si>
  <si>
    <t>Tilt Rod</t>
  </si>
  <si>
    <t>Drawing</t>
  </si>
  <si>
    <t>Width</t>
  </si>
  <si>
    <t>Height</t>
  </si>
  <si>
    <t>Midrail</t>
  </si>
  <si>
    <t>Configuration &amp; positions</t>
  </si>
  <si>
    <t>Build Out</t>
  </si>
  <si>
    <t>Square Meters</t>
  </si>
  <si>
    <t>Antigua Rules</t>
  </si>
  <si>
    <t>Configuration:</t>
  </si>
  <si>
    <t>Price</t>
  </si>
  <si>
    <t>Posts Positions:</t>
  </si>
  <si>
    <t>ROL</t>
  </si>
  <si>
    <t>B/OUT</t>
  </si>
  <si>
    <t>SQM</t>
  </si>
  <si>
    <t>Notes:</t>
  </si>
  <si>
    <t>NO</t>
  </si>
  <si>
    <t>Bermuda Rules</t>
  </si>
  <si>
    <t>Please Select</t>
  </si>
  <si>
    <t>Cuba Rules</t>
  </si>
  <si>
    <t>Java Rules</t>
  </si>
  <si>
    <t>Hinge:</t>
  </si>
  <si>
    <t>Fiji Rules</t>
  </si>
  <si>
    <t>Samoa Rules</t>
  </si>
  <si>
    <t>Total SQM</t>
  </si>
  <si>
    <t>Customer:</t>
  </si>
  <si>
    <t>Ref No:</t>
  </si>
  <si>
    <t>Follow Up</t>
  </si>
  <si>
    <t>Pricing Matrix</t>
  </si>
  <si>
    <t>SQM/QTY/LNR</t>
  </si>
  <si>
    <t>Promotion</t>
  </si>
  <si>
    <t>Quoted Lines</t>
  </si>
  <si>
    <t>Discount %</t>
  </si>
  <si>
    <t>RRP</t>
  </si>
  <si>
    <t>Antigua</t>
  </si>
  <si>
    <t>Installation Required?</t>
  </si>
  <si>
    <t>Bermuda</t>
  </si>
  <si>
    <t>Source:</t>
  </si>
  <si>
    <t>Rep:</t>
  </si>
  <si>
    <t>Please select</t>
  </si>
  <si>
    <t>Cuba</t>
  </si>
  <si>
    <t>Had other quote</t>
  </si>
  <si>
    <t>Java</t>
  </si>
  <si>
    <t>Value: £</t>
  </si>
  <si>
    <t>Fiji</t>
  </si>
  <si>
    <t>Deposit: £</t>
  </si>
  <si>
    <t>Survey &amp; Installation</t>
  </si>
  <si>
    <t>Details</t>
  </si>
  <si>
    <t>Samoa</t>
  </si>
  <si>
    <t>Deposit %</t>
  </si>
  <si>
    <t>Telephone:</t>
  </si>
  <si>
    <t>Date:</t>
  </si>
  <si>
    <t>Total</t>
  </si>
  <si>
    <t>Total Price</t>
  </si>
  <si>
    <t>Final Price</t>
  </si>
  <si>
    <t>Saving</t>
  </si>
  <si>
    <t>Tracked</t>
  </si>
  <si>
    <t>12 Months</t>
  </si>
  <si>
    <t>Shutter &amp; Shade</t>
  </si>
  <si>
    <t>24 Months</t>
  </si>
  <si>
    <t>Address</t>
  </si>
  <si>
    <t>Hinge Upgrades</t>
  </si>
  <si>
    <t>36 Months</t>
  </si>
  <si>
    <t>Custom Colour</t>
  </si>
  <si>
    <t>HV Notes</t>
  </si>
  <si>
    <t>Shape</t>
  </si>
  <si>
    <t>Custom Bay post</t>
  </si>
  <si>
    <t>Pro Quote
Required?</t>
  </si>
  <si>
    <t>Deposit Required</t>
  </si>
  <si>
    <t>Select Method</t>
  </si>
  <si>
    <t>TOTAL</t>
  </si>
  <si>
    <t>Balance</t>
  </si>
  <si>
    <t>Other:</t>
  </si>
  <si>
    <t>Please Select:</t>
  </si>
  <si>
    <t>Survey Date:</t>
  </si>
  <si>
    <t xml:space="preserve">Notes: </t>
  </si>
  <si>
    <t>Name:</t>
  </si>
  <si>
    <t>Telephone Number:</t>
  </si>
  <si>
    <t>LOCATIONS</t>
  </si>
  <si>
    <t>QTY</t>
  </si>
  <si>
    <t>PRICE - £</t>
  </si>
  <si>
    <t>HOME DESIGNER:</t>
  </si>
  <si>
    <t>Address:</t>
  </si>
  <si>
    <t>CUSTOMER NAME:</t>
  </si>
  <si>
    <t xml:space="preserve">Quote Ref - </t>
  </si>
  <si>
    <t>MOBILE / TEL:</t>
  </si>
  <si>
    <t>ADDRESS:</t>
  </si>
  <si>
    <t>Home Designer:</t>
  </si>
  <si>
    <t>Quote Ref:</t>
  </si>
  <si>
    <t>Description</t>
  </si>
  <si>
    <t>PRICE SUMMARY</t>
  </si>
  <si>
    <t>MATERIAL:</t>
  </si>
  <si>
    <t>Total:</t>
  </si>
  <si>
    <t>TILT OPTION:</t>
  </si>
  <si>
    <t>LOUVRE SIZE:</t>
  </si>
  <si>
    <t>FINISH:</t>
  </si>
  <si>
    <t>FURTHER INFORMATION:</t>
  </si>
  <si>
    <t>FINANCE OPTION</t>
  </si>
  <si>
    <t>DEPOSIT £:</t>
  </si>
  <si>
    <t>Upgrades &amp; Extras:</t>
  </si>
  <si>
    <t>PerfectShutters Ltd. Head Office : Unit 3a Bechers Drive, Aintree Racecourse Retail Park (By ScrewFix), Aintree, Merseyside, L9 5AY.</t>
  </si>
  <si>
    <t>Range:</t>
  </si>
  <si>
    <t>Material:</t>
  </si>
  <si>
    <t>Louvre Clearances (From Back of frame)</t>
  </si>
  <si>
    <t>Max Single Panel Width</t>
  </si>
  <si>
    <t>Max Bifold Panel Width</t>
  </si>
  <si>
    <t>Max Panels Hinged together</t>
  </si>
  <si>
    <t>Max Panel Height</t>
  </si>
  <si>
    <t>Special Shapes</t>
  </si>
  <si>
    <t>Custom Bayposts</t>
  </si>
  <si>
    <t>Stile Type</t>
  </si>
  <si>
    <t>Silent Tilt Split</t>
  </si>
  <si>
    <t>Mid Rail Tollerance (Up /Down)</t>
  </si>
  <si>
    <t>Max Louvres (Silent Tilt)</t>
  </si>
  <si>
    <t>Fixed Louvres</t>
  </si>
  <si>
    <t>Solid Panels</t>
  </si>
  <si>
    <t>Full</t>
  </si>
  <si>
    <t>5.4 mm</t>
  </si>
  <si>
    <t>11.7 mm</t>
  </si>
  <si>
    <t>18.7mm</t>
  </si>
  <si>
    <t>Max Panel Width (Top &amp; Bottom Track)</t>
  </si>
  <si>
    <t>Max Panel Width (Top Track Only)</t>
  </si>
  <si>
    <t>Midrail Height</t>
  </si>
  <si>
    <t xml:space="preserve">Mid Rail Required at: </t>
  </si>
  <si>
    <t>Bi-Fold / Bi-Pass</t>
  </si>
  <si>
    <t>SHUTTER COMPARISON CHART</t>
  </si>
  <si>
    <t>Paint Colours</t>
  </si>
  <si>
    <t>Stain Colours</t>
  </si>
  <si>
    <t>X</t>
  </si>
  <si>
    <t>Custom Colours</t>
  </si>
  <si>
    <t>P</t>
  </si>
  <si>
    <t>Louvre sizes</t>
  </si>
  <si>
    <t>47mm 64mm 76mm 89mm 114mm</t>
  </si>
  <si>
    <t>47mm 63mm 76mm 89mm 114mm</t>
  </si>
  <si>
    <t>47mm 63mm 76mm 89mm</t>
  </si>
  <si>
    <t>Max single hung panel width</t>
  </si>
  <si>
    <r>
      <rPr>
        <sz val="9"/>
        <color theme="1"/>
        <rFont val="Arial"/>
        <family val="2"/>
      </rPr>
      <t>Bi-fold hinged shutter/ Multi-fold with
Top and Bottom track</t>
    </r>
  </si>
  <si>
    <t>Multi-fold hinged shutters &amp; multi-fold with Top track only</t>
  </si>
  <si>
    <t>N/A</t>
  </si>
  <si>
    <t>Office Use Only</t>
  </si>
  <si>
    <t>Ref no:</t>
  </si>
  <si>
    <t>U</t>
  </si>
  <si>
    <t>C</t>
  </si>
  <si>
    <t>Sales: Panels</t>
  </si>
  <si>
    <t>Survey: Panels</t>
  </si>
  <si>
    <t>Sales SQM:</t>
  </si>
  <si>
    <t>Postcode:</t>
  </si>
  <si>
    <t>Number of  Installers:</t>
  </si>
  <si>
    <t>Surveyor:</t>
  </si>
  <si>
    <t>Survey SQM:</t>
  </si>
  <si>
    <t>Sides</t>
  </si>
  <si>
    <t>Style</t>
  </si>
  <si>
    <t>Split</t>
  </si>
  <si>
    <t>TOT 
(Mid2)</t>
  </si>
  <si>
    <t>Quoted?</t>
  </si>
  <si>
    <t>Tposts</t>
  </si>
  <si>
    <t>Bay Posts</t>
  </si>
  <si>
    <t>CFG</t>
  </si>
  <si>
    <t>Posts</t>
  </si>
  <si>
    <t>Buildout</t>
  </si>
  <si>
    <t>No HTP</t>
  </si>
  <si>
    <t>Misc</t>
  </si>
  <si>
    <t>Line No:</t>
  </si>
  <si>
    <t>Select</t>
  </si>
  <si>
    <t>Blockout</t>
  </si>
  <si>
    <t>Shutter Notes:</t>
  </si>
  <si>
    <t>Qty</t>
  </si>
  <si>
    <t>Size</t>
  </si>
  <si>
    <t>Cover Strips</t>
  </si>
  <si>
    <t>None</t>
  </si>
  <si>
    <t>Panels</t>
  </si>
  <si>
    <t>C,B,T,G</t>
  </si>
  <si>
    <t>Custom Angle</t>
  </si>
  <si>
    <t>Config:</t>
  </si>
  <si>
    <t>Mid</t>
  </si>
  <si>
    <t xml:space="preserve">Info: </t>
  </si>
  <si>
    <t>Info:</t>
  </si>
  <si>
    <t>C/S</t>
  </si>
  <si>
    <t>Issue Report</t>
  </si>
  <si>
    <t>Customer Name:</t>
  </si>
  <si>
    <t>Issue Date:</t>
  </si>
  <si>
    <t>Issue Code:</t>
  </si>
  <si>
    <t>Order Processed By:</t>
  </si>
  <si>
    <t>Description:</t>
  </si>
  <si>
    <t>Survey Image</t>
  </si>
  <si>
    <t>Install Image:</t>
  </si>
  <si>
    <t>Install Issues:</t>
  </si>
  <si>
    <t>Resolution:</t>
  </si>
  <si>
    <t>Cost:</t>
  </si>
  <si>
    <t>Shutter Installation Type</t>
  </si>
  <si>
    <t>Installation Time</t>
  </si>
  <si>
    <t>SNR + JNR</t>
  </si>
  <si>
    <t>SNR Alone</t>
  </si>
  <si>
    <t>Standard Flat</t>
  </si>
  <si>
    <t>&lt;2000</t>
  </si>
  <si>
    <t>2000-2500</t>
  </si>
  <si>
    <t>2500-3500</t>
  </si>
  <si>
    <t>Standard Flat With T-Posts</t>
  </si>
  <si>
    <t>Bay / Bow Bay</t>
  </si>
  <si>
    <t>2000-3000</t>
  </si>
  <si>
    <t>3000-4500</t>
  </si>
  <si>
    <t>2500-3000</t>
  </si>
  <si>
    <t>1.8m+ Height</t>
  </si>
  <si>
    <t>&lt;1600</t>
  </si>
  <si>
    <t>1600-2400</t>
  </si>
  <si>
    <t>Top Track</t>
  </si>
  <si>
    <t>&lt;1500</t>
  </si>
  <si>
    <t>1500-3000</t>
  </si>
  <si>
    <t>Cutouts</t>
  </si>
  <si>
    <t>Other</t>
  </si>
  <si>
    <t>List Price X Square Meters + Custom Bays + Buildout + French Door Cutout</t>
  </si>
  <si>
    <t>Panel Count</t>
  </si>
  <si>
    <t>Line 1</t>
  </si>
  <si>
    <t>Line 2</t>
  </si>
  <si>
    <t>Line 3</t>
  </si>
  <si>
    <t>Line 4</t>
  </si>
  <si>
    <t>Line 5</t>
  </si>
  <si>
    <t>Line 6</t>
  </si>
  <si>
    <t>Line 7</t>
  </si>
  <si>
    <t>Line 8</t>
  </si>
  <si>
    <t>Line 9</t>
  </si>
  <si>
    <t>Line 10</t>
  </si>
  <si>
    <t>Line 11</t>
  </si>
  <si>
    <t>Line 12</t>
  </si>
  <si>
    <t>Line 13</t>
  </si>
  <si>
    <t>Line 14</t>
  </si>
  <si>
    <t>Line 15</t>
  </si>
  <si>
    <t>Character Count per cell in config</t>
  </si>
  <si>
    <t>PLM</t>
  </si>
  <si>
    <t>L</t>
  </si>
  <si>
    <t>Cell 1</t>
  </si>
  <si>
    <t>Cell 2</t>
  </si>
  <si>
    <t>Cell 3</t>
  </si>
  <si>
    <t>Cell 4</t>
  </si>
  <si>
    <t>Cell 5</t>
  </si>
  <si>
    <t>Cell 6</t>
  </si>
  <si>
    <t>Cell 7</t>
  </si>
  <si>
    <t>Cell 8</t>
  </si>
  <si>
    <t>Cell 9</t>
  </si>
  <si>
    <t>Cell 10</t>
  </si>
  <si>
    <t>Cell 11</t>
  </si>
  <si>
    <t>S/Shade</t>
  </si>
  <si>
    <t>Per SQM</t>
  </si>
  <si>
    <t>R</t>
  </si>
  <si>
    <t>French Door Cut Out</t>
  </si>
  <si>
    <t>Each</t>
  </si>
  <si>
    <t>LL</t>
  </si>
  <si>
    <t>TGBC LOC</t>
  </si>
  <si>
    <t>Ring Pull</t>
  </si>
  <si>
    <t>RR</t>
  </si>
  <si>
    <t>Work/Error</t>
  </si>
  <si>
    <t>Bolt</t>
  </si>
  <si>
    <t>FF</t>
  </si>
  <si>
    <t>Adjustable Hinge (Samoa)</t>
  </si>
  <si>
    <t>LR</t>
  </si>
  <si>
    <t>Custom Angles</t>
  </si>
  <si>
    <t>Power Motion</t>
  </si>
  <si>
    <t>Per Section</t>
  </si>
  <si>
    <t>L(T)L</t>
  </si>
  <si>
    <t>Silent Tilt</t>
  </si>
  <si>
    <t>Fitting Under 2sqm</t>
  </si>
  <si>
    <t>L(T)R</t>
  </si>
  <si>
    <t>Power Motion Remote</t>
  </si>
  <si>
    <t>R(T)R</t>
  </si>
  <si>
    <t>Track System</t>
  </si>
  <si>
    <t>Custom Colour (Per Colour)</t>
  </si>
  <si>
    <t>Per Colour</t>
  </si>
  <si>
    <t>R(T)L</t>
  </si>
  <si>
    <t>Deposit</t>
  </si>
  <si>
    <t>Hinges Stainless Steel</t>
  </si>
  <si>
    <t>IFC DC</t>
  </si>
  <si>
    <t>L(C)L</t>
  </si>
  <si>
    <t>Auto Close</t>
  </si>
  <si>
    <t>Hinges Brushed Nickel</t>
  </si>
  <si>
    <t>L(C)R</t>
  </si>
  <si>
    <t>Concealed Hinge (Not Antigua)</t>
  </si>
  <si>
    <t>Build Out (No Window Cill)</t>
  </si>
  <si>
    <t>Per PLM</t>
  </si>
  <si>
    <t>R(C)R</t>
  </si>
  <si>
    <t>Telescopic Wand (2m)</t>
  </si>
  <si>
    <t>Nickel Plated Knob A</t>
  </si>
  <si>
    <t>R(C)L</t>
  </si>
  <si>
    <t>Max 2</t>
  </si>
  <si>
    <t>Shape Charge (Upto 2 Panels)</t>
  </si>
  <si>
    <t>Nickel Plated Knob B</t>
  </si>
  <si>
    <t>L(G)L</t>
  </si>
  <si>
    <t>Additional shape Panel</t>
  </si>
  <si>
    <t>Push Button Catch (Hardwood Only)</t>
  </si>
  <si>
    <t>L(G)R</t>
  </si>
  <si>
    <t>None standard shape</t>
  </si>
  <si>
    <t>R(G)R</t>
  </si>
  <si>
    <t>PSqm</t>
  </si>
  <si>
    <t>Survey/Delivery/Install</t>
  </si>
  <si>
    <t>Price Calculation Area &amp; Upgrades</t>
  </si>
  <si>
    <t>Configs</t>
  </si>
  <si>
    <t>IFC</t>
  </si>
  <si>
    <t>CB's</t>
  </si>
  <si>
    <t>CB'sCost</t>
  </si>
  <si>
    <t>Top Track or FF</t>
  </si>
  <si>
    <t>Linear Meterage</t>
  </si>
  <si>
    <t>S/Shade SqM</t>
  </si>
  <si>
    <t>S/Tilt SQM</t>
  </si>
  <si>
    <t>Fr/D Cutout</t>
  </si>
  <si>
    <t>CstmColour</t>
  </si>
  <si>
    <t>Hinges</t>
  </si>
  <si>
    <t>Surv/del/inst</t>
  </si>
  <si>
    <t>Sales line 1 Config</t>
  </si>
  <si>
    <t>Survey line 1 Config</t>
  </si>
  <si>
    <t>Sales line 2 Config</t>
  </si>
  <si>
    <t>Survey line 2 Config</t>
  </si>
  <si>
    <t>Sales line 3 Config</t>
  </si>
  <si>
    <t>Survey line 3 Config</t>
  </si>
  <si>
    <t>Sales line 4 Config</t>
  </si>
  <si>
    <t>Survey line 4 Config</t>
  </si>
  <si>
    <t>Sales line 5 Config</t>
  </si>
  <si>
    <t>Survey line 5 Config</t>
  </si>
  <si>
    <t>Sales line 6 Config</t>
  </si>
  <si>
    <t>Survey line 6 Config</t>
  </si>
  <si>
    <t>Deposite Value</t>
  </si>
  <si>
    <t>Sales line 7 Config</t>
  </si>
  <si>
    <t>Survey line 7 Config</t>
  </si>
  <si>
    <t>Sales line 8 Config</t>
  </si>
  <si>
    <t>Survey line 8 Config</t>
  </si>
  <si>
    <t>Sales line 9 Config</t>
  </si>
  <si>
    <t>Survey line 9 Config</t>
  </si>
  <si>
    <t>Sales line 10 Config</t>
  </si>
  <si>
    <t>Survey line 10 Config</t>
  </si>
  <si>
    <t>Sales line 11 Config</t>
  </si>
  <si>
    <t>Survey line 11 Config</t>
  </si>
  <si>
    <t>Sales line 12 Config</t>
  </si>
  <si>
    <t>Survey line 12 Config</t>
  </si>
  <si>
    <t>Sales line 13 Config</t>
  </si>
  <si>
    <t>Survey line 13 Config</t>
  </si>
  <si>
    <t>Sales line 14 Config</t>
  </si>
  <si>
    <t>Survey line 14 Config</t>
  </si>
  <si>
    <t>Sales line 15 Config</t>
  </si>
  <si>
    <t>Survey line 15 Config</t>
  </si>
  <si>
    <t>Survey Panels</t>
  </si>
  <si>
    <t>Quoted Price X Square Meters + Custom Bay &amp; Std Shapes</t>
  </si>
  <si>
    <t>Quoted Price - 25% Discount + Bay Posts + Std Shapes + Custom Colours + Hinges</t>
  </si>
  <si>
    <t>L(CB)L</t>
  </si>
  <si>
    <t>Quoted Calculation Area &amp; Upgrades</t>
  </si>
  <si>
    <t>L(CB)R</t>
  </si>
  <si>
    <t>R(CB)R</t>
  </si>
  <si>
    <t>R(CB)L</t>
  </si>
  <si>
    <t>Square Meters per material</t>
  </si>
  <si>
    <t>Survey Price</t>
  </si>
  <si>
    <t>Rooms</t>
  </si>
  <si>
    <t>Room2</t>
  </si>
  <si>
    <t>AntiguaL</t>
  </si>
  <si>
    <t>CubaL</t>
  </si>
  <si>
    <t>JavaL</t>
  </si>
  <si>
    <t>FijiL</t>
  </si>
  <si>
    <t>BermudaL</t>
  </si>
  <si>
    <t>Frames</t>
  </si>
  <si>
    <t>Frame alowance</t>
  </si>
  <si>
    <t>TiltRod</t>
  </si>
  <si>
    <t>HorizontalPost</t>
  </si>
  <si>
    <t>AntiguaH</t>
  </si>
  <si>
    <t>CubaH</t>
  </si>
  <si>
    <t>JavaH</t>
  </si>
  <si>
    <t>FijiH</t>
  </si>
  <si>
    <t>BermudaH</t>
  </si>
  <si>
    <t>SamoaH</t>
  </si>
  <si>
    <t>Samoa Hinged P</t>
  </si>
  <si>
    <t>Fiji Hinged P</t>
  </si>
  <si>
    <t>Java Hinged P</t>
  </si>
  <si>
    <t>Cuba Hinged P</t>
  </si>
  <si>
    <t>Bermuda Hinged P</t>
  </si>
  <si>
    <t>Antigua Hinged P</t>
  </si>
  <si>
    <t>Living room</t>
  </si>
  <si>
    <t>Left</t>
  </si>
  <si>
    <t>Full Height</t>
  </si>
  <si>
    <t>Pure White</t>
  </si>
  <si>
    <t>47mm</t>
  </si>
  <si>
    <t>Plain L</t>
  </si>
  <si>
    <t>B</t>
  </si>
  <si>
    <t>Central</t>
  </si>
  <si>
    <t>HTP</t>
  </si>
  <si>
    <t>Stainless Steel</t>
  </si>
  <si>
    <t>Dining room</t>
  </si>
  <si>
    <t>Centre</t>
  </si>
  <si>
    <t>Café</t>
  </si>
  <si>
    <t>Silk White</t>
  </si>
  <si>
    <t>Extra White</t>
  </si>
  <si>
    <t>63mm</t>
  </si>
  <si>
    <t>Z Frame</t>
  </si>
  <si>
    <t>DM</t>
  </si>
  <si>
    <t>Silent</t>
  </si>
  <si>
    <t>White</t>
  </si>
  <si>
    <t>Kitchen</t>
  </si>
  <si>
    <t>Right</t>
  </si>
  <si>
    <t>Café (Full Height)</t>
  </si>
  <si>
    <t>Pearl</t>
  </si>
  <si>
    <t>76mm</t>
  </si>
  <si>
    <t>Rebate</t>
  </si>
  <si>
    <t>Silent Split Tilt</t>
  </si>
  <si>
    <t>Hall</t>
  </si>
  <si>
    <t>Front</t>
  </si>
  <si>
    <t>Tier on Tier</t>
  </si>
  <si>
    <t>Crisp Linen</t>
  </si>
  <si>
    <t>Bright White</t>
  </si>
  <si>
    <t>89mm</t>
  </si>
  <si>
    <t>Camber Deco</t>
  </si>
  <si>
    <t>Sea Mist</t>
  </si>
  <si>
    <t>Bisque</t>
  </si>
  <si>
    <t>Samoa Config</t>
  </si>
  <si>
    <t>Master Bedroom</t>
  </si>
  <si>
    <t>Back</t>
  </si>
  <si>
    <t>String</t>
  </si>
  <si>
    <t>114mm</t>
  </si>
  <si>
    <t>Insert L</t>
  </si>
  <si>
    <t>Split Offset</t>
  </si>
  <si>
    <t>Antique-Brass</t>
  </si>
  <si>
    <t>Bedroom</t>
  </si>
  <si>
    <t>Bay</t>
  </si>
  <si>
    <t>Ivory Lace</t>
  </si>
  <si>
    <t>Split Custom</t>
  </si>
  <si>
    <t>Bright Brass</t>
  </si>
  <si>
    <t>Bathroom</t>
  </si>
  <si>
    <t>Front Left</t>
  </si>
  <si>
    <t>Stone Grey</t>
  </si>
  <si>
    <t>Creamy</t>
  </si>
  <si>
    <t>Tframes</t>
  </si>
  <si>
    <t>Offset</t>
  </si>
  <si>
    <t>SalesTeam</t>
  </si>
  <si>
    <t>Bright-Brass</t>
  </si>
  <si>
    <t>Conservatory</t>
  </si>
  <si>
    <t>Front Right</t>
  </si>
  <si>
    <t>French Door Cutout</t>
  </si>
  <si>
    <t>Brown Grey</t>
  </si>
  <si>
    <t>Cameo</t>
  </si>
  <si>
    <t>M Track</t>
  </si>
  <si>
    <t>Discount Reason</t>
  </si>
  <si>
    <t>Custom</t>
  </si>
  <si>
    <t>Nickel Plated</t>
  </si>
  <si>
    <t>Black</t>
  </si>
  <si>
    <t>Landing</t>
  </si>
  <si>
    <t>Front Centre</t>
  </si>
  <si>
    <t>Taupe Grey</t>
  </si>
  <si>
    <t>Track and Board</t>
  </si>
  <si>
    <t>Chris</t>
  </si>
  <si>
    <t>Ensuite</t>
  </si>
  <si>
    <t>Back Left</t>
  </si>
  <si>
    <t>Surveyors</t>
  </si>
  <si>
    <t>Track Inside</t>
  </si>
  <si>
    <t>Jack</t>
  </si>
  <si>
    <t>Brushed Nickel Plated</t>
  </si>
  <si>
    <t>Box Room</t>
  </si>
  <si>
    <t>Back Right</t>
  </si>
  <si>
    <t>Alabaster</t>
  </si>
  <si>
    <t>L,T,R</t>
  </si>
  <si>
    <t>Track Outside</t>
  </si>
  <si>
    <t>Jezz</t>
  </si>
  <si>
    <t>Porch</t>
  </si>
  <si>
    <t>Back Centre</t>
  </si>
  <si>
    <t>Butter</t>
  </si>
  <si>
    <t>L,R,B</t>
  </si>
  <si>
    <t>Paul Nixon</t>
  </si>
  <si>
    <t>Joe</t>
  </si>
  <si>
    <t>Office</t>
  </si>
  <si>
    <t>Patio Doors</t>
  </si>
  <si>
    <t>T,R,B</t>
  </si>
  <si>
    <t>Steve Holland</t>
  </si>
  <si>
    <t>Antique Brass</t>
  </si>
  <si>
    <t>Nickel Knob B,Nickel Knob A,Auto Close,</t>
  </si>
  <si>
    <t>Moondust</t>
  </si>
  <si>
    <t>John Costello</t>
  </si>
  <si>
    <t>Lisa</t>
  </si>
  <si>
    <t>Concealed Hinge</t>
  </si>
  <si>
    <t>Brushed Nikel Plated</t>
  </si>
  <si>
    <t>Telescopic Wand</t>
  </si>
  <si>
    <t>Chai</t>
  </si>
  <si>
    <t>None Std Shape</t>
  </si>
  <si>
    <t>Andy Spark</t>
  </si>
  <si>
    <t>Clay</t>
  </si>
  <si>
    <t>Roller(Blind)</t>
  </si>
  <si>
    <t>Winchester White 2010</t>
  </si>
  <si>
    <t>Samoa_Config</t>
  </si>
  <si>
    <t>Samoa_Tracked</t>
  </si>
  <si>
    <t>Venetian (Blind)</t>
  </si>
  <si>
    <t>Mattingley 2671</t>
  </si>
  <si>
    <t>Vertical (Blind)</t>
  </si>
  <si>
    <t>SSFrame</t>
  </si>
  <si>
    <t>Nickel Knob A</t>
  </si>
  <si>
    <t>Roman (Blind)</t>
  </si>
  <si>
    <t>Classic Black (S/Chg)</t>
  </si>
  <si>
    <t>FFrame</t>
  </si>
  <si>
    <t>Nickel Knob B</t>
  </si>
  <si>
    <t>Rustic Grey</t>
  </si>
  <si>
    <t>Weathered Teak</t>
  </si>
  <si>
    <t>Limed White</t>
  </si>
  <si>
    <t>(C)</t>
  </si>
  <si>
    <t>Pebble</t>
  </si>
  <si>
    <t>(B)</t>
  </si>
  <si>
    <t>LLLL</t>
  </si>
  <si>
    <t>Taupe</t>
  </si>
  <si>
    <t>(CB)</t>
  </si>
  <si>
    <t>RRRR</t>
  </si>
  <si>
    <t>Golden Oak</t>
  </si>
  <si>
    <t>(T)</t>
  </si>
  <si>
    <t>Oak Mantel</t>
  </si>
  <si>
    <t>Oak Mantle</t>
  </si>
  <si>
    <t>(G)</t>
  </si>
  <si>
    <t>Goldenrod</t>
  </si>
  <si>
    <t>Cherry</t>
  </si>
  <si>
    <t>Dark Teak</t>
  </si>
  <si>
    <t>Cordovan</t>
  </si>
  <si>
    <t>Mahogany</t>
  </si>
  <si>
    <t>New Ebony</t>
  </si>
  <si>
    <t>Black Walnut</t>
  </si>
  <si>
    <t>Red Oak</t>
  </si>
  <si>
    <t>Rich Walnut</t>
  </si>
  <si>
    <t>Old Teak</t>
  </si>
  <si>
    <t>Red Mahogany</t>
  </si>
  <si>
    <t>Dark Mahogany</t>
  </si>
  <si>
    <t>Wenge</t>
  </si>
  <si>
    <t>Auburn</t>
  </si>
  <si>
    <t>Matte Black (S/Chg)</t>
  </si>
  <si>
    <t>Toffee</t>
  </si>
  <si>
    <t>Driftwood</t>
  </si>
  <si>
    <t>Silver Grey</t>
  </si>
  <si>
    <t>Mist</t>
  </si>
  <si>
    <t>French Oak</t>
  </si>
  <si>
    <r>
      <t xml:space="preserve">CUSTOMER SUMMARY </t>
    </r>
    <r>
      <rPr>
        <b/>
        <sz val="11"/>
        <color theme="0" tint="-0.249977111117893"/>
        <rFont val="Calibri"/>
        <family val="2"/>
        <scheme val="minor"/>
      </rPr>
      <t>DESIGN SURVEY</t>
    </r>
  </si>
  <si>
    <t>Order Ref:</t>
  </si>
  <si>
    <t>STYLE</t>
  </si>
  <si>
    <t>MATERIAL</t>
  </si>
  <si>
    <t>LOUVRE SIZE</t>
  </si>
  <si>
    <t>TILT OPTION</t>
  </si>
  <si>
    <t>COLOUR</t>
  </si>
  <si>
    <t>Additional Notes:</t>
  </si>
  <si>
    <t>CHECK</t>
  </si>
  <si>
    <t>No of Shutters</t>
  </si>
  <si>
    <t>Second Measure</t>
  </si>
  <si>
    <t>No</t>
  </si>
  <si>
    <t>Bay Angles</t>
  </si>
  <si>
    <t>B-Outs / C-Strips</t>
  </si>
  <si>
    <t>I Agree and confirm the above choices</t>
  </si>
  <si>
    <t>Configuration</t>
  </si>
  <si>
    <t>Obstructions</t>
  </si>
  <si>
    <t>3 Louvres</t>
  </si>
  <si>
    <t>Split Tilt</t>
  </si>
  <si>
    <t>Customers Signature:</t>
  </si>
  <si>
    <t xml:space="preserve">Our Estimated delivery times are currently </t>
  </si>
  <si>
    <t>-</t>
  </si>
  <si>
    <t xml:space="preserve"> Weeks</t>
  </si>
  <si>
    <t>Sales Amount:</t>
  </si>
  <si>
    <t>Deposit:</t>
  </si>
  <si>
    <t>Balance Due</t>
  </si>
  <si>
    <t>The estimated delivery time is correct at the time of survey.</t>
  </si>
  <si>
    <t>TBC</t>
  </si>
  <si>
    <t>Prior to installation there will be no structural or cosmetic works undertaken around the specified window area for my products, including windows, sills and flooring, tiling or plastering of the property as this could compromise installation.</t>
  </si>
  <si>
    <t>Customer Signature:</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</si>
  <si>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</si>
  <si>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t>52 STAFFORD STREET, LIVERPOOL, MERSEYSIDE, L3 8LX</t>
  </si>
  <si>
    <t>TEL: 0151 298 2000</t>
  </si>
  <si>
    <t>BLIND SURVEY</t>
  </si>
  <si>
    <t>perfectblinds.co.uk</t>
  </si>
  <si>
    <t>sales@perfectblinds.co.uk</t>
  </si>
  <si>
    <t>Name</t>
  </si>
  <si>
    <t>Customer Ref:</t>
  </si>
  <si>
    <t>Measure Date:</t>
  </si>
  <si>
    <t>Telephone</t>
  </si>
  <si>
    <t>Blind No</t>
  </si>
  <si>
    <t>Room</t>
  </si>
  <si>
    <t>Variety</t>
  </si>
  <si>
    <t>Ref</t>
  </si>
  <si>
    <t>Drop</t>
  </si>
  <si>
    <t>Controls</t>
  </si>
  <si>
    <t>Brackets</t>
  </si>
  <si>
    <t>Surface</t>
  </si>
  <si>
    <t>Price Band</t>
  </si>
  <si>
    <t>Additional Comments:</t>
  </si>
  <si>
    <r>
      <t xml:space="preserve">Customer Signature
</t>
    </r>
    <r>
      <rPr>
        <u/>
        <sz val="8"/>
        <color theme="1"/>
        <rFont val="Calibri"/>
        <family val="2"/>
        <scheme val="minor"/>
      </rPr>
      <t xml:space="preserve">I HAVE CHECKED AND AGREE WITH THE ABOVE CHOICES                   </t>
    </r>
    <r>
      <rPr>
        <sz val="8"/>
        <color theme="1"/>
        <rFont val="Calibri"/>
        <family val="2"/>
        <scheme val="minor"/>
      </rPr>
      <t xml:space="preserve">
</t>
    </r>
    <r>
      <rPr>
        <sz val="9"/>
        <color theme="1"/>
        <rFont val="Calibri"/>
        <family val="2"/>
        <scheme val="minor"/>
      </rPr>
      <t>PROVISIONAL FITTING DATE:</t>
    </r>
  </si>
  <si>
    <t>Sub Total</t>
  </si>
  <si>
    <t>Sale Amount</t>
  </si>
  <si>
    <t>Method</t>
  </si>
  <si>
    <t>Delivery Note</t>
  </si>
  <si>
    <t>Custoner Ref:</t>
  </si>
  <si>
    <t>Job completion form</t>
  </si>
  <si>
    <t>Installers:</t>
  </si>
  <si>
    <t>Fitters Checklist</t>
  </si>
  <si>
    <t>Installation report:</t>
  </si>
  <si>
    <t>Photo's &amp; Marketing Permission</t>
  </si>
  <si>
    <t xml:space="preserve">  Before /After Photo's Taken   YES / NO</t>
  </si>
  <si>
    <t>Permission to use photographs solely for Perfect Shutters marketing activities.  Privacy is protected.</t>
  </si>
  <si>
    <t>Product Demonstration</t>
  </si>
  <si>
    <t>Customer Handover Pack</t>
  </si>
  <si>
    <t>Revisit Required:      YES  /  NO
Reason for revisit / Work to be completed:</t>
  </si>
  <si>
    <t>The above information is coverd in greater detail within the Customer Handover Pack</t>
  </si>
  <si>
    <t>Additional product /tools required at revisit:</t>
  </si>
  <si>
    <t>Payment</t>
  </si>
  <si>
    <t>Additional Window Measurements</t>
  </si>
  <si>
    <t>Curved Bay, Track Required etc,</t>
  </si>
  <si>
    <t>Office Notes:</t>
  </si>
  <si>
    <t>OFFICE USE ONLY</t>
  </si>
  <si>
    <t>Revisit Booked for:</t>
  </si>
  <si>
    <t>Booked By:</t>
  </si>
  <si>
    <t>Date Booked:</t>
  </si>
  <si>
    <t>EDR Code:</t>
  </si>
  <si>
    <t>I (Print Name)___________________________Confirm that I am happy with my shutter installation and have received the customer</t>
  </si>
  <si>
    <t>handover pack, and I have been given instruction on how to operate and maintain my Perfect Shutters.</t>
  </si>
  <si>
    <t>Signature:</t>
  </si>
  <si>
    <t>List Price</t>
  </si>
  <si>
    <t>Base Price</t>
  </si>
  <si>
    <t>F</t>
  </si>
  <si>
    <t>Discount</t>
  </si>
  <si>
    <t>C,B,T,CB,G</t>
  </si>
  <si>
    <t>Width Issue</t>
  </si>
  <si>
    <t>Count Items</t>
  </si>
  <si>
    <t>Additional Discount</t>
  </si>
  <si>
    <t>Survey Line 1 Config:</t>
  </si>
  <si>
    <t>Survey Drawing 1 Config:</t>
  </si>
  <si>
    <t>Order Value</t>
  </si>
  <si>
    <t>Survey Line 2 Config:</t>
  </si>
  <si>
    <t>Survey Drawing 1 Positions</t>
  </si>
  <si>
    <t>Survey Line 3 Config:</t>
  </si>
  <si>
    <t>Survey Drawing 2 Config:</t>
  </si>
  <si>
    <t>(B)(C)(CB)(T)(T)(C)LRLLR(T)R</t>
  </si>
  <si>
    <t>Manual Discount</t>
  </si>
  <si>
    <t>Survey Line 4 Config:</t>
  </si>
  <si>
    <t>Survey Drawing 2 Positions</t>
  </si>
  <si>
    <t>Survey Line 5 Config:</t>
  </si>
  <si>
    <t>Survey Drawing 3 Config:</t>
  </si>
  <si>
    <t>(B)(C)L(G)RRR(T)FFFFR</t>
  </si>
  <si>
    <t>Percent</t>
  </si>
  <si>
    <t>Survey Line 6 Config:</t>
  </si>
  <si>
    <t>Survey Drawing 3 Positions</t>
  </si>
  <si>
    <t>Survey Line 7 Config:</t>
  </si>
  <si>
    <t>Survey Drawing 4 Config:</t>
  </si>
  <si>
    <t>(C)(B)(B)(T)(G)FFRRLLLRRL</t>
  </si>
  <si>
    <t>Survey Line 8 Config:</t>
  </si>
  <si>
    <t>Survey Drawing 4 Positions</t>
  </si>
  <si>
    <t>Survey Line 9 Config:</t>
  </si>
  <si>
    <t>Survey Drawing 5 Config:</t>
  </si>
  <si>
    <t>LRLRLLRR(C)(B)(CB)(T)(G)FF</t>
  </si>
  <si>
    <t>Survey Line 10 Config:</t>
  </si>
  <si>
    <t>Survey Drawing 5 Positions</t>
  </si>
  <si>
    <t>Survey Line 11 Config:</t>
  </si>
  <si>
    <t>(C)(B)(CB)(T)(G)FFRRLLLR(C)(CB)</t>
  </si>
  <si>
    <t>Survey Line 12 Config:</t>
  </si>
  <si>
    <t>Survey Line 6 Positions</t>
  </si>
  <si>
    <t>Survey Line 13 Config:</t>
  </si>
  <si>
    <t>(B)(C)(CB)(T)FF(B)R(C)(G)(T)LR</t>
  </si>
  <si>
    <t>Survey Line 14 Config:</t>
  </si>
  <si>
    <t>Survey Line 7 Positions</t>
  </si>
  <si>
    <t>Survey Line 15 Config:</t>
  </si>
  <si>
    <t>Survey Line 8 Positions</t>
  </si>
  <si>
    <t>Survey Line 9 Positions</t>
  </si>
  <si>
    <t>Survey Line 10 Positions</t>
  </si>
  <si>
    <t>Survey Line 11 Positions</t>
  </si>
  <si>
    <t>Survey Line 12 Positions</t>
  </si>
  <si>
    <t>Survey Line 13 Positions</t>
  </si>
  <si>
    <t>Survey Line 14 Positions</t>
  </si>
  <si>
    <t>Survey Line 15 Positions</t>
  </si>
  <si>
    <t>Survey Value:</t>
  </si>
  <si>
    <t>Survey Quoted</t>
  </si>
  <si>
    <t>Window List Price Per Window (Retail) with Bay post</t>
  </si>
  <si>
    <t>Sales Addons</t>
  </si>
  <si>
    <t>Sales Values (Retail) no Addons</t>
  </si>
  <si>
    <t>SOLD</t>
  </si>
  <si>
    <t>QuotedSales Values (Retail) no Addons</t>
  </si>
  <si>
    <t>Quoted</t>
  </si>
  <si>
    <t>Quoted Items</t>
  </si>
  <si>
    <t>Min Width</t>
  </si>
  <si>
    <t>Max Width Single</t>
  </si>
  <si>
    <t>Max Width Bfold</t>
  </si>
  <si>
    <t>Max Width Multifold</t>
  </si>
  <si>
    <t>Max Width Tracked</t>
  </si>
  <si>
    <t>Min Height</t>
  </si>
  <si>
    <t>Max Height</t>
  </si>
  <si>
    <t>Midrail Required</t>
  </si>
  <si>
    <t>Custom Bay Posts</t>
  </si>
  <si>
    <t>Fixed Luvres</t>
  </si>
  <si>
    <t>Midrail Tollerance</t>
  </si>
  <si>
    <t>Max Louvre Split</t>
  </si>
  <si>
    <t>Top Track Only</t>
  </si>
  <si>
    <t>Bifold/Bipass</t>
  </si>
  <si>
    <t>Column1</t>
  </si>
  <si>
    <t>47 mm</t>
  </si>
  <si>
    <t>152 mm</t>
  </si>
  <si>
    <t>600 mm</t>
  </si>
  <si>
    <t>600 mm (2 Max) (Not for doors)</t>
  </si>
  <si>
    <t>600 mm (2 Max)</t>
  </si>
  <si>
    <t>250 mm</t>
  </si>
  <si>
    <t>3000 mm (See Tech Spech if Over 2500mm)</t>
  </si>
  <si>
    <t>&gt;1879 mm</t>
  </si>
  <si>
    <t>MDF</t>
  </si>
  <si>
    <t>2 (1 If Doorway)</t>
  </si>
  <si>
    <t>Yes</t>
  </si>
  <si>
    <t>Beaded or Plain</t>
  </si>
  <si>
    <t>+/- 19 mm</t>
  </si>
  <si>
    <t>&gt;1385 mm</t>
  </si>
  <si>
    <t>Yes / Yes</t>
  </si>
  <si>
    <t>63 mm</t>
  </si>
  <si>
    <t>750 mm</t>
  </si>
  <si>
    <t>+/- 25 mm</t>
  </si>
  <si>
    <t>&gt;1372 mm</t>
  </si>
  <si>
    <t>76 mm</t>
  </si>
  <si>
    <t>+/- 31 mm</t>
  </si>
  <si>
    <t>89 mm</t>
  </si>
  <si>
    <t>+/- 38 mm</t>
  </si>
  <si>
    <t>114 mm</t>
  </si>
  <si>
    <t>+/- 51 mm</t>
  </si>
  <si>
    <t>610 mm</t>
  </si>
  <si>
    <t>3378 mm (See Tech Spech if Over 1981 mm)</t>
  </si>
  <si>
    <t>&gt;1981 mm</t>
  </si>
  <si>
    <t>MDF with ABS Louvres (acrylonitrile butadiene styrene)</t>
  </si>
  <si>
    <t>76.2 mm</t>
  </si>
  <si>
    <t>915 mm</t>
  </si>
  <si>
    <t>660 mm</t>
  </si>
  <si>
    <t>MDF Frame with Hardwood Panels</t>
  </si>
  <si>
    <t>4 (1 If Doorway)</t>
  </si>
  <si>
    <t>Beaded or Chamfer</t>
  </si>
  <si>
    <t>Max 4 Panels upto 550mm Each</t>
  </si>
  <si>
    <t>Yes/Yes</t>
  </si>
  <si>
    <t>Fixed 76.2 mm</t>
  </si>
  <si>
    <t>890 mm</t>
  </si>
  <si>
    <t>+/- 32 mm</t>
  </si>
  <si>
    <t>114 (N/A)</t>
  </si>
  <si>
    <t>550 mm</t>
  </si>
  <si>
    <t>3000 mm (See Tech Spech if Over 1828.8 mm)</t>
  </si>
  <si>
    <t>&gt;1828.8 mm</t>
  </si>
  <si>
    <t>ABS (Hard Lightweight Plastic) (Acrylonitrile Butadiene Styrene)</t>
  </si>
  <si>
    <t>800 mm</t>
  </si>
  <si>
    <t>3001 mm (See Tech Spech if Over 1828.8 mm)</t>
  </si>
  <si>
    <t>3002 mm (See Tech Spech if Over 1828.8 mm)</t>
  </si>
  <si>
    <t>3003 mm (See Tech Spech if Over 1828.8 mm)</t>
  </si>
  <si>
    <t>3004 mm (See Tech Spech if Over 1828.8 mm)</t>
  </si>
  <si>
    <t>Skylight</t>
  </si>
  <si>
    <t>660 mm (4 Panels)</t>
  </si>
  <si>
    <t>Premium Hardwoods (Painted) or Paulownia (Stained)</t>
  </si>
  <si>
    <t>Yes (See spec sheet)</t>
  </si>
  <si>
    <t>550mm ( maximum of four panels)</t>
  </si>
  <si>
    <t>661 mm (4 Panels)</t>
  </si>
  <si>
    <t>662 mm (4 Panels)</t>
  </si>
  <si>
    <t>1047 mm</t>
  </si>
  <si>
    <t>663 mm (4 Panels)</t>
  </si>
  <si>
    <t>664 mm (4 Panels)</t>
  </si>
  <si>
    <t>762 mm</t>
  </si>
  <si>
    <t>660.4 mm</t>
  </si>
  <si>
    <t>508 mm</t>
  </si>
  <si>
    <t>304 mm</t>
  </si>
  <si>
    <t>3657 mm (See Tech Spech if Over 2133mm)</t>
  </si>
  <si>
    <t>Hardwoods (Painted), White Teak (Stained)</t>
  </si>
  <si>
    <t>Plain</t>
  </si>
  <si>
    <t>914 mm</t>
  </si>
  <si>
    <t>3658 mm (See Tech Spech if Over 2133mm)</t>
  </si>
  <si>
    <t>3659 mm (See Tech Spech if Over 2133mm)</t>
  </si>
  <si>
    <t>1219 mm</t>
  </si>
  <si>
    <t>3660 mm (See Tech Spech if Over 2133mm)</t>
  </si>
  <si>
    <t>3661 mm (See Tech Spech if Over 2133mm)</t>
  </si>
  <si>
    <t>Upgrade &amp; Extras</t>
  </si>
  <si>
    <t>TOTAL (Inc. Installation):</t>
  </si>
  <si>
    <t>SHUTTER TYPE:</t>
  </si>
  <si>
    <t>Fitters Checklist:</t>
  </si>
  <si>
    <t>Photo &amp; Marketing:</t>
  </si>
  <si>
    <t>Before / After photo's taken:</t>
  </si>
  <si>
    <t>Permission to use photographs solely for Perfect Shutters</t>
  </si>
  <si>
    <t>marketing activities.  Privacy is protected.</t>
  </si>
  <si>
    <t>Open / Close Panels</t>
  </si>
  <si>
    <t>Louvre Adjustment</t>
  </si>
  <si>
    <t>Cleaning Shutters</t>
  </si>
  <si>
    <t>Removing Panels</t>
  </si>
  <si>
    <t>Payment:</t>
  </si>
  <si>
    <t>Installation:</t>
  </si>
  <si>
    <t>Payment Received:</t>
  </si>
  <si>
    <t>Payment Method:</t>
  </si>
  <si>
    <t>Balance Payable:</t>
  </si>
  <si>
    <t>Outstanding Balance:</t>
  </si>
  <si>
    <t>Authorisation:</t>
  </si>
  <si>
    <t>Installation Report:</t>
  </si>
  <si>
    <t>I (Print Name)_______________________Confirm that I am happy with my shutter installation and have received the customer handover pack, and I have been given instruction on how to operate and maintain my Perfect Shutters.</t>
  </si>
  <si>
    <t xml:space="preserve">Day: </t>
  </si>
  <si>
    <t>Price per window</t>
  </si>
  <si>
    <t>L,T,R + S/Plate</t>
  </si>
  <si>
    <t>T,R,B + S/Plate</t>
  </si>
  <si>
    <t>L,T,B + S/Plate</t>
  </si>
  <si>
    <t>T,L,B</t>
  </si>
  <si>
    <t>Amy</t>
  </si>
  <si>
    <t>Jack L</t>
  </si>
  <si>
    <t>I confirm that I have been advised on how each of my shutters / Panels will function when installed and I am happy to proceed with the final design choices.</t>
  </si>
  <si>
    <t>Robert Henderson</t>
  </si>
  <si>
    <t>Hampton</t>
  </si>
  <si>
    <t>Aruba</t>
  </si>
  <si>
    <t>HamptonL</t>
  </si>
  <si>
    <t>ArubaL</t>
  </si>
  <si>
    <t>89mm Urban</t>
  </si>
  <si>
    <t>HamptonF</t>
  </si>
  <si>
    <t>L Frame</t>
  </si>
  <si>
    <t>Deco Frame</t>
  </si>
  <si>
    <t>HamptonStyle</t>
  </si>
  <si>
    <t>HamptonTilt</t>
  </si>
  <si>
    <t>Clearview</t>
  </si>
  <si>
    <t>Offsset</t>
  </si>
  <si>
    <t>Vivid White</t>
  </si>
  <si>
    <t>Survey Price Calculation Area &amp; Upgrades</t>
  </si>
  <si>
    <t>Quoted LinesSquare Meters per material</t>
  </si>
  <si>
    <t>Quoted LinesPrice per material</t>
  </si>
  <si>
    <t>Upgrade All to one material</t>
  </si>
  <si>
    <t>Retail</t>
  </si>
  <si>
    <t>Upgrade each material</t>
  </si>
  <si>
    <t>Kelly</t>
  </si>
  <si>
    <t>Upgrade / Downgrade each material</t>
  </si>
  <si>
    <t>ArubaTilt</t>
  </si>
  <si>
    <t>Material Price</t>
  </si>
  <si>
    <t>Tilt</t>
  </si>
  <si>
    <t>210mm</t>
  </si>
  <si>
    <t>800mm</t>
  </si>
  <si>
    <t>266mm</t>
  </si>
  <si>
    <t>856mm</t>
  </si>
  <si>
    <t>Panel Specification</t>
  </si>
  <si>
    <t>Composition</t>
  </si>
  <si>
    <t>Finsh</t>
  </si>
  <si>
    <t>Colours</t>
  </si>
  <si>
    <t>Design</t>
  </si>
  <si>
    <t>Full Height split tilt</t>
  </si>
  <si>
    <t>Full Height Mid Rail</t>
  </si>
  <si>
    <t>Tier on Tier H/T Post</t>
  </si>
  <si>
    <t>Bifold Track</t>
  </si>
  <si>
    <t>Bypass Track</t>
  </si>
  <si>
    <t>Tilt Option</t>
  </si>
  <si>
    <t>Centre Tilt</t>
  </si>
  <si>
    <t>Offset Tilt</t>
  </si>
  <si>
    <t>Clearview (Silent tilt)</t>
  </si>
  <si>
    <t>Louvres</t>
  </si>
  <si>
    <t>63mm Urban</t>
  </si>
  <si>
    <t>76mm Urban</t>
  </si>
  <si>
    <t>Stiles</t>
  </si>
  <si>
    <t>Beaded</t>
  </si>
  <si>
    <t>Flat</t>
  </si>
  <si>
    <t>Faux Wood (HSPVC)</t>
  </si>
  <si>
    <t>UV Stable Paint</t>
  </si>
  <si>
    <t>Two</t>
  </si>
  <si>
    <t>Yes (Clearview Only)</t>
  </si>
  <si>
    <t>Max Panel Bifold</t>
  </si>
  <si>
    <t>600mm Each</t>
  </si>
  <si>
    <t>Trifold</t>
  </si>
  <si>
    <t>Min Panel Height</t>
  </si>
  <si>
    <t>410mm</t>
  </si>
  <si>
    <t>2450mm</t>
  </si>
  <si>
    <t>1 x Midrail required above</t>
  </si>
  <si>
    <t>1700MM</t>
  </si>
  <si>
    <t>2 x Midrail</t>
  </si>
  <si>
    <t>Panels Wider than 609mm Require a mid rail above</t>
  </si>
  <si>
    <t>1524mm</t>
  </si>
  <si>
    <t>Shutter Specification</t>
  </si>
  <si>
    <t>Min Shutter Width</t>
  </si>
  <si>
    <t>Max Shutter Width bi fold</t>
  </si>
  <si>
    <t>2463mm</t>
  </si>
  <si>
    <t>Max Width shutter with T-Post</t>
  </si>
  <si>
    <t>3500mm</t>
  </si>
  <si>
    <t>Min Height with 3 sided frame</t>
  </si>
  <si>
    <t>440mm</t>
  </si>
  <si>
    <t>Min Height with 4 sided frame</t>
  </si>
  <si>
    <t>466mm</t>
  </si>
  <si>
    <t>Max shutter height</t>
  </si>
  <si>
    <t>2506mm</t>
  </si>
  <si>
    <t>901mm</t>
  </si>
  <si>
    <t>Max Width Track Shutter</t>
  </si>
  <si>
    <t>1 Panel Shutter</t>
  </si>
  <si>
    <t>Max Width</t>
  </si>
  <si>
    <t>2 Panel Shutter (LR)</t>
  </si>
  <si>
    <t>3 Panel Shutter</t>
  </si>
  <si>
    <t>3 Panel shutter Trifold</t>
  </si>
  <si>
    <t>4 Panel Shutter</t>
  </si>
  <si>
    <t>5 Panel Shutter</t>
  </si>
  <si>
    <t>6 Panel Shutter</t>
  </si>
  <si>
    <t>479mm</t>
  </si>
  <si>
    <t>691mm</t>
  </si>
  <si>
    <t>Need a T-Post</t>
  </si>
  <si>
    <t>1658mm</t>
  </si>
  <si>
    <t>1258mm</t>
  </si>
  <si>
    <t>1861mm</t>
  </si>
  <si>
    <t>Clearview Split</t>
  </si>
  <si>
    <t>1200mm</t>
  </si>
  <si>
    <t>Tier on Tier +HTP</t>
  </si>
  <si>
    <t>Answer</t>
  </si>
  <si>
    <t>Min height Tier on Tier with H T-Post</t>
  </si>
  <si>
    <t>Snow White</t>
  </si>
  <si>
    <t>USA White</t>
  </si>
  <si>
    <t>Slate</t>
  </si>
  <si>
    <t>Storm</t>
  </si>
  <si>
    <t>Merabau</t>
  </si>
  <si>
    <t>Brick</t>
  </si>
  <si>
    <t>Seaweed</t>
  </si>
  <si>
    <t>Coco</t>
  </si>
  <si>
    <t>Graphite</t>
  </si>
  <si>
    <t>Stone Wash</t>
  </si>
  <si>
    <t>ArubaF</t>
  </si>
  <si>
    <t>R-Frame</t>
  </si>
  <si>
    <t>Face Frame</t>
  </si>
  <si>
    <t>Z-Frame</t>
  </si>
  <si>
    <t>Décor Frame</t>
  </si>
  <si>
    <t>Premium White Teak</t>
  </si>
  <si>
    <t>Matt</t>
  </si>
  <si>
    <t>8 Paint / 7 Stained (Matt)</t>
  </si>
  <si>
    <t>????????</t>
  </si>
  <si>
    <t>950mm</t>
  </si>
  <si>
    <t>3000mm</t>
  </si>
  <si>
    <t>??????</t>
  </si>
  <si>
    <t>1799MM</t>
  </si>
  <si>
    <t>2500mm</t>
  </si>
  <si>
    <t xml:space="preserve">2 x Midrail required above </t>
  </si>
  <si>
    <t>Supatili Split</t>
  </si>
  <si>
    <t>Supatilt (Silent tilt)</t>
  </si>
  <si>
    <t>1850mm</t>
  </si>
  <si>
    <t>250mm</t>
  </si>
  <si>
    <t>170mm + Surcharge</t>
  </si>
  <si>
    <t>Max Panel Bifold Track</t>
  </si>
  <si>
    <t>700mm Each</t>
  </si>
  <si>
    <t>Merseyside: 0151 525 0050</t>
  </si>
  <si>
    <t>Manchester: 0161 641 3095</t>
  </si>
  <si>
    <t>Today you've saved</t>
  </si>
  <si>
    <t>HamptonH</t>
  </si>
  <si>
    <t>ArubaH</t>
  </si>
  <si>
    <t>Off White</t>
  </si>
  <si>
    <t>Grey</t>
  </si>
  <si>
    <t>Chrome</t>
  </si>
  <si>
    <t>Gold</t>
  </si>
  <si>
    <t>Bronze</t>
  </si>
  <si>
    <t>Matt Black</t>
  </si>
  <si>
    <t>Stainless Steel *</t>
  </si>
  <si>
    <t>Matching *</t>
  </si>
  <si>
    <t xml:space="preserve">      SHUTTERS Total</t>
  </si>
  <si>
    <r>
      <t xml:space="preserve">Prices quoted are valid for 30 days  from the date stated on the quotation.
</t>
    </r>
    <r>
      <rPr>
        <i/>
        <sz val="10"/>
        <color theme="1"/>
        <rFont val="Calibri"/>
        <family val="2"/>
        <scheme val="minor"/>
      </rPr>
      <t>TO DISCUSS ANY FURTHER DETAILS OR PLACE YOUR ORDER</t>
    </r>
    <r>
      <rPr>
        <sz val="10"/>
        <color theme="1"/>
        <rFont val="Calibri"/>
        <family val="2"/>
        <scheme val="minor"/>
      </rPr>
      <t xml:space="preserve"> by debit or credit card PLEASE CALL 0151  525 0050, Alternatively, deposit can be paid by bank transfer quoting your surname and referance number.
Bank Details: Perfect Shutters Ltd- Sort code: 60-13-19 / Acc Number: 45247218</t>
    </r>
  </si>
  <si>
    <t xml:space="preserve">            Wirral: 0151 363 9797</t>
  </si>
  <si>
    <r>
      <t>Showrooms:    Aintree</t>
    </r>
    <r>
      <rPr>
        <sz val="26"/>
        <color theme="0"/>
        <rFont val="Calibri"/>
        <family val="2"/>
        <scheme val="minor"/>
      </rPr>
      <t xml:space="preserve">    </t>
    </r>
    <r>
      <rPr>
        <sz val="20"/>
        <color theme="0"/>
        <rFont val="Calibri"/>
        <family val="2"/>
        <scheme val="minor"/>
      </rPr>
      <t xml:space="preserve"> Altrincham       Allerton      Moreton      Wigan     </t>
    </r>
  </si>
  <si>
    <t xml:space="preserve"> Your Local Showrooms:    Aintree     Altrincham       Allerton      Moreton      Wigan     </t>
  </si>
  <si>
    <t>Today you've saved :</t>
  </si>
  <si>
    <t>TOTAL (Fitted) :</t>
  </si>
  <si>
    <t xml:space="preserve">      SHUTTERS RRP/PROMO Total :</t>
  </si>
  <si>
    <t>RRP Fully Fitted</t>
  </si>
  <si>
    <t>QUOTE SUMMARY</t>
  </si>
  <si>
    <t xml:space="preserve">          Wirral: 0151 363 9797</t>
  </si>
  <si>
    <t/>
  </si>
  <si>
    <t>Promo Price</t>
  </si>
  <si>
    <t>UPGRADES &amp; EXTRAS</t>
  </si>
  <si>
    <t>Finance Please Select</t>
  </si>
  <si>
    <t>Price Match</t>
  </si>
  <si>
    <t>Friends &amp; Family</t>
  </si>
  <si>
    <t>Managers Discretion</t>
  </si>
  <si>
    <t>5% Promo</t>
  </si>
  <si>
    <t>10% Promo</t>
  </si>
  <si>
    <t>&lt;-</t>
  </si>
  <si>
    <t>DO NOT CHANGE HERE (Change C10)</t>
  </si>
  <si>
    <t>Including upgrades &amp; extras :</t>
  </si>
  <si>
    <t>Special Offer % Off Antigua Base</t>
  </si>
  <si>
    <t>Dep Date:</t>
  </si>
  <si>
    <t>EFD:</t>
  </si>
  <si>
    <t>SC Code:</t>
  </si>
  <si>
    <t>Version: 8F7E</t>
  </si>
  <si>
    <r>
      <t xml:space="preserve">Prices quoted are valid for </t>
    </r>
    <r>
      <rPr>
        <b/>
        <sz val="12"/>
        <color rgb="FFFF0000"/>
        <rFont val="Calibri"/>
        <family val="2"/>
        <scheme val="minor"/>
      </rPr>
      <t xml:space="preserve">14 days </t>
    </r>
    <r>
      <rPr>
        <b/>
        <sz val="11"/>
        <color theme="1"/>
        <rFont val="Calibri"/>
        <family val="2"/>
        <scheme val="minor"/>
      </rPr>
      <t xml:space="preserve"> from the date stated on the quotation.
TO DISCUSS ANY FURTHER DETAILS OR PLACE YOUR ORDER by debit or credit card PLEASE CALL 0151  525 0050. Alternatively, deposit can be paid by bank transfer quoting your surname and referance number.
Bank Details: Perfect Shutters Ltd- Sort code: 60-13-19 / Acc Number: 45247218</t>
    </r>
  </si>
  <si>
    <t>Survey Notes:</t>
  </si>
  <si>
    <t>Surveyor Notes:</t>
  </si>
  <si>
    <t>Installation Time:</t>
  </si>
  <si>
    <t>Ladders Req</t>
  </si>
  <si>
    <t>Note:</t>
  </si>
  <si>
    <t>Tiara Z</t>
  </si>
  <si>
    <t>L(B)L</t>
  </si>
  <si>
    <t>L(B)R</t>
  </si>
  <si>
    <t>R(B)R</t>
  </si>
  <si>
    <t>R(B)L</t>
  </si>
  <si>
    <t>Decorator's White</t>
  </si>
  <si>
    <t>Aura White</t>
  </si>
  <si>
    <t>Anthracite</t>
  </si>
  <si>
    <t>Polaris</t>
  </si>
  <si>
    <t>Chalk White</t>
  </si>
  <si>
    <t>Cotswold White</t>
  </si>
  <si>
    <t>Dover White</t>
  </si>
  <si>
    <t>Summer HAZE</t>
  </si>
  <si>
    <t>Steam</t>
  </si>
  <si>
    <t>Harris</t>
  </si>
  <si>
    <t>Calico</t>
  </si>
  <si>
    <t>Platter</t>
  </si>
  <si>
    <t>Magma (S/Chg)</t>
  </si>
  <si>
    <t>Coltrane (S/Chg)</t>
  </si>
  <si>
    <t>Officer (S/Chg)</t>
  </si>
  <si>
    <t>Matt Black (S/Chg)</t>
  </si>
  <si>
    <t>White Matt (S/Chg)</t>
  </si>
  <si>
    <t>Oak Antique (S/Chg)</t>
  </si>
  <si>
    <t>Silk Grey (S/Chg)</t>
  </si>
  <si>
    <t>Granite Grey (S/Chg)</t>
  </si>
  <si>
    <t>Oak (S/Chg)</t>
  </si>
  <si>
    <t>Teak (S/Chg)</t>
  </si>
  <si>
    <t>Nickel-Plated</t>
  </si>
  <si>
    <t>ANTIGUA</t>
  </si>
  <si>
    <t>BERMUDA</t>
  </si>
  <si>
    <t>CUBA</t>
  </si>
  <si>
    <t>JAVA</t>
  </si>
  <si>
    <t>FIJI</t>
  </si>
  <si>
    <t>Polymer coted MDF</t>
  </si>
  <si>
    <t>MDF with
ABS Louvres</t>
  </si>
  <si>
    <t>MDF Frames &amp;
Hardwood Panels</t>
  </si>
  <si>
    <t>Waterproof ABS
(Acrylonitrile
butadiene styrene)</t>
  </si>
  <si>
    <t>Paulownia (Stained &amp;
OSMO)
Premium
Hardwood
(Painted)</t>
  </si>
  <si>
    <t>600 : 47
750 : 63
914 : All other
louvres</t>
  </si>
  <si>
    <t>610 : 47
915 : All other
louvres</t>
  </si>
  <si>
    <t>750 : 47
890 : All other
louvres</t>
  </si>
  <si>
    <t>500 : 47
800 : 63
800 : 76
890 : 89
890 : 114</t>
  </si>
  <si>
    <t>750 : 47
890 : 63
890 : 76
1047 : 89
1047 : 114</t>
  </si>
  <si>
    <t>550 : 47
610 : REST</t>
  </si>
  <si>
    <t>*Max number of
panels hinged
together Frame</t>
  </si>
  <si>
    <t>*Max and min
panel heights</t>
  </si>
  <si>
    <t>3000
250</t>
  </si>
  <si>
    <t>*Water resistant</t>
  </si>
  <si>
    <t>*Solid Panels
available</t>
  </si>
  <si>
    <r>
      <rPr>
        <b/>
        <sz val="14.5"/>
        <color theme="1"/>
        <rFont val="Wingdings 2"/>
        <family val="1"/>
        <charset val="2"/>
      </rPr>
      <t>P</t>
    </r>
    <r>
      <rPr>
        <b/>
        <sz val="14.5"/>
        <color theme="1"/>
        <rFont val="Calibri"/>
        <family val="2"/>
        <scheme val="minor"/>
      </rPr>
      <t xml:space="preserve">
</t>
    </r>
    <r>
      <rPr>
        <b/>
        <sz val="8.5"/>
        <color theme="1"/>
        <rFont val="Calibri"/>
        <family val="2"/>
        <scheme val="minor"/>
      </rPr>
      <t>(shaker-stain only)</t>
    </r>
  </si>
  <si>
    <t>Max panel Height
without Mid Rail</t>
  </si>
  <si>
    <t>H &gt; 1879</t>
  </si>
  <si>
    <t>H &gt; 1981</t>
  </si>
  <si>
    <t>H &gt; 1828</t>
  </si>
  <si>
    <t xml:space="preserve">Front Right Bedroom </t>
  </si>
  <si>
    <t>Roller</t>
  </si>
  <si>
    <t>RHC</t>
  </si>
  <si>
    <t xml:space="preserve">Top Fix </t>
  </si>
  <si>
    <t>LHC</t>
  </si>
  <si>
    <t>BOTH BLINDS ARE BLIND SIZE</t>
  </si>
  <si>
    <t>If Fascias are required below are the sizes we'd need but will need Trimming:</t>
  </si>
  <si>
    <t>1180mm</t>
  </si>
  <si>
    <t>1690mm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</si>
</sst>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_);\(&quot;£&quot;#,##0.00\)"/>
    <numFmt numFmtId="165" formatCode="_(&quot;£&quot;* #,##0.00_);_(&quot;£&quot;* \(#,##0.00\);_(&quot;£&quot;* &quot;-&quot;??_);_(@_)"/>
    <numFmt numFmtId="166" formatCode="&quot;£&quot;#,##0"/>
    <numFmt numFmtId="167" formatCode="&quot;£&quot;#,##0.00"/>
    <numFmt numFmtId="168" formatCode="0.0"/>
    <numFmt numFmtId="169" formatCode="0.000"/>
    <numFmt numFmtId="170" formatCode="[h]:mm"/>
  </numFmts>
  <fonts count="60" x14ac:knownFonts="1">
    <font>
      <sz val="11"/>
      <color theme="1"/>
      <name val="Calibri"/>
      <family val="2"/>
      <scheme val="minor"/>
    </font>
    <font>
      <sz val="11"/>
      <color theme="1"/>
      <name val="Calibri"/>
      <family val="2"/>
      <scheme val="minor"/>
    </font>
    <font>
      <sz val="11"/>
      <color rgb="FF006100"/>
      <name val="Calibri"/>
      <family val="2"/>
      <scheme val="minor"/>
    </font>
    <font>
      <b/>
      <sz val="11"/>
      <color theme="0"/>
      <name val="Calibri"/>
      <family val="2"/>
      <scheme val="minor"/>
    </font>
    <font>
      <b/>
      <sz val="11"/>
      <color theme="1"/>
      <name val="Calibri"/>
      <family val="2"/>
      <scheme val="minor"/>
    </font>
    <font>
      <sz val="11"/>
      <color theme="1"/>
      <name val="Calibri"/>
      <family val="2"/>
    </font>
    <font>
      <b/>
      <sz val="16"/>
      <color theme="1"/>
      <name val="Calibri"/>
      <family val="2"/>
      <scheme val="minor"/>
    </font>
    <font>
      <u/>
      <sz val="11"/>
      <color theme="10"/>
      <name val="Calibri"/>
      <family val="2"/>
      <scheme val="minor"/>
    </font>
    <font>
      <b/>
      <sz val="10"/>
      <color theme="1"/>
      <name val="Calibri"/>
      <family val="2"/>
      <scheme val="minor"/>
    </font>
    <font>
      <b/>
      <sz val="11"/>
      <color theme="0" tint="-0.249977111117893"/>
      <name val="Calibri"/>
      <family val="2"/>
      <scheme val="minor"/>
    </font>
    <font>
      <sz val="11"/>
      <name val="Calibri"/>
      <family val="2"/>
      <scheme val="minor"/>
    </font>
    <font>
      <sz val="11"/>
      <color theme="1"/>
      <name val="Calisto MT"/>
      <family val="1"/>
    </font>
    <font>
      <b/>
      <sz val="9"/>
      <color theme="1"/>
      <name val="Calibri"/>
      <family val="2"/>
      <scheme val="minor"/>
    </font>
    <font>
      <sz val="9"/>
      <color theme="1"/>
      <name val="Calibri"/>
      <family val="2"/>
      <scheme val="minor"/>
    </font>
    <font>
      <b/>
      <sz val="11"/>
      <color rgb="FFFF0000"/>
      <name val="Calibri"/>
      <family val="2"/>
      <scheme val="minor"/>
    </font>
    <font>
      <b/>
      <u/>
      <sz val="20"/>
      <color theme="1"/>
      <name val="Calibri"/>
      <family val="2"/>
      <scheme val="minor"/>
    </font>
    <font>
      <b/>
      <sz val="12"/>
      <color theme="1"/>
      <name val="Calibri"/>
      <family val="2"/>
      <scheme val="minor"/>
    </font>
    <font>
      <sz val="8"/>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0"/>
      <color rgb="FF000000"/>
      <name val="Times New Roman"/>
      <family val="1"/>
    </font>
    <font>
      <b/>
      <sz val="24"/>
      <color rgb="FFFFFFFF"/>
      <name val="Arial"/>
      <family val="2"/>
    </font>
    <font>
      <b/>
      <sz val="34"/>
      <name val="Arial"/>
      <family val="2"/>
    </font>
    <font>
      <b/>
      <sz val="10"/>
      <name val="Arial"/>
      <family val="2"/>
    </font>
    <font>
      <b/>
      <sz val="10"/>
      <color rgb="FF696A6D"/>
      <name val="Arial"/>
      <family val="2"/>
    </font>
    <font>
      <b/>
      <sz val="10"/>
      <color rgb="FF636466"/>
      <name val="Arial"/>
      <family val="2"/>
    </font>
    <font>
      <sz val="9"/>
      <color theme="1"/>
      <name val="Arial"/>
      <family val="2"/>
    </font>
    <font>
      <sz val="8.5"/>
      <color theme="1"/>
      <name val="Arial"/>
      <family val="2"/>
    </font>
    <font>
      <sz val="8"/>
      <color theme="1"/>
      <name val="Arial"/>
      <family val="2"/>
    </font>
    <font>
      <b/>
      <sz val="14.5"/>
      <color theme="1"/>
      <name val="Calibri"/>
      <family val="2"/>
      <scheme val="minor"/>
    </font>
    <font>
      <b/>
      <sz val="14.5"/>
      <color theme="1"/>
      <name val="Wingdings 2"/>
      <family val="1"/>
      <charset val="2"/>
    </font>
    <font>
      <sz val="14.5"/>
      <color theme="1"/>
      <name val="Webdings"/>
      <family val="1"/>
      <charset val="2"/>
    </font>
    <font>
      <sz val="10"/>
      <color theme="1"/>
      <name val="Times New Roman"/>
      <family val="1"/>
    </font>
    <font>
      <sz val="24"/>
      <color theme="1"/>
      <name val="Calibri"/>
      <family val="2"/>
      <scheme val="minor"/>
    </font>
    <font>
      <sz val="8"/>
      <color theme="1"/>
      <name val="Calibri"/>
      <family val="2"/>
      <scheme val="minor"/>
    </font>
    <font>
      <u/>
      <sz val="8"/>
      <color theme="1"/>
      <name val="Calibri"/>
      <family val="2"/>
      <scheme val="minor"/>
    </font>
    <font>
      <i/>
      <sz val="10"/>
      <color theme="1"/>
      <name val="Calibri"/>
      <family val="2"/>
      <scheme val="minor"/>
    </font>
    <font>
      <sz val="11"/>
      <color rgb="FF9C5700"/>
      <name val="Calibri"/>
      <family val="2"/>
      <scheme val="minor"/>
    </font>
    <font>
      <sz val="11"/>
      <color theme="0"/>
      <name val="Calibri"/>
      <family val="2"/>
      <scheme val="minor"/>
    </font>
    <font>
      <b/>
      <sz val="16"/>
      <name val="Calibri"/>
      <family val="2"/>
      <scheme val="minor"/>
    </font>
    <font>
      <b/>
      <sz val="14"/>
      <name val="Calibri"/>
      <family val="2"/>
      <scheme val="minor"/>
    </font>
    <font>
      <b/>
      <sz val="12"/>
      <color theme="1"/>
      <name val="Calibri Light"/>
      <family val="2"/>
      <scheme val="major"/>
    </font>
    <font>
      <sz val="11"/>
      <color rgb="FF9C0006"/>
      <name val="Calibri"/>
      <family val="2"/>
      <scheme val="minor"/>
    </font>
    <font>
      <sz val="20"/>
      <color theme="0"/>
      <name val="Calibri"/>
      <family val="2"/>
      <scheme val="minor"/>
    </font>
    <font>
      <sz val="26"/>
      <color theme="0"/>
      <name val="Calibri"/>
      <family val="2"/>
      <scheme val="minor"/>
    </font>
    <font>
      <b/>
      <sz val="16"/>
      <color theme="0"/>
      <name val="Calibri"/>
      <family val="2"/>
      <scheme val="minor"/>
    </font>
    <font>
      <b/>
      <sz val="18"/>
      <color theme="1"/>
      <name val="Calibri"/>
      <family val="2"/>
      <scheme val="minor"/>
    </font>
    <font>
      <b/>
      <sz val="14"/>
      <name val="Lucida Handwriting"/>
      <family val="4"/>
    </font>
    <font>
      <sz val="11"/>
      <color theme="5" tint="-0.249977111117893"/>
      <name val="Calibri"/>
      <family val="2"/>
      <scheme val="minor"/>
    </font>
    <font>
      <b/>
      <sz val="22"/>
      <color theme="1"/>
      <name val="Calibri"/>
      <family val="2"/>
      <scheme val="minor"/>
    </font>
    <font>
      <b/>
      <sz val="24"/>
      <color theme="1"/>
      <name val="Calibri"/>
      <family val="2"/>
      <scheme val="minor"/>
    </font>
    <font>
      <b/>
      <sz val="14"/>
      <color rgb="FFFF0000"/>
      <name val="Calibri"/>
      <family val="2"/>
      <scheme val="minor"/>
    </font>
    <font>
      <b/>
      <sz val="10"/>
      <name val="Calibri"/>
      <family val="2"/>
      <scheme val="minor"/>
    </font>
    <font>
      <b/>
      <sz val="28"/>
      <color theme="1"/>
      <name val="Calibri"/>
      <family val="2"/>
      <scheme val="minor"/>
    </font>
    <font>
      <sz val="16"/>
      <color theme="1"/>
      <name val="Calibri"/>
      <family val="2"/>
      <scheme val="minor"/>
    </font>
    <font>
      <b/>
      <i/>
      <sz val="16"/>
      <name val="Calibri"/>
      <family val="2"/>
      <scheme val="minor"/>
    </font>
    <font>
      <b/>
      <sz val="12"/>
      <color rgb="FFFF0000"/>
      <name val="Calibri"/>
      <family val="2"/>
      <scheme val="minor"/>
    </font>
    <font>
      <b/>
      <sz val="8.5"/>
      <color theme="1"/>
      <name val="Calibri"/>
      <family val="2"/>
      <scheme val="minor"/>
    </font>
    <font>
      <b/>
      <sz val="10"/>
      <color theme="1"/>
      <name val="Times New Roman"/>
      <family val="1"/>
      <charset val="2"/>
    </font>
  </fonts>
  <fills count="40">
    <fill>
      <patternFill patternType="none"/>
    </fill>
    <fill>
      <patternFill patternType="gray125"/>
    </fill>
    <fill>
      <patternFill patternType="solid">
        <fgColor rgb="FFC6EFCE"/>
      </patternFill>
    </fill>
    <fill>
      <patternFill patternType="solid">
        <fgColor theme="4"/>
        <bgColor theme="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9999FF"/>
        <bgColor indexed="64"/>
      </patternFill>
    </fill>
    <fill>
      <patternFill patternType="solid">
        <fgColor rgb="FFFF6699"/>
        <bgColor indexed="64"/>
      </patternFill>
    </fill>
    <fill>
      <patternFill patternType="solid">
        <fgColor theme="6" tint="0.39997558519241921"/>
        <bgColor indexed="64"/>
      </patternFill>
    </fill>
    <fill>
      <patternFill patternType="solid">
        <fgColor rgb="FF00B0F0"/>
        <bgColor indexed="64"/>
      </patternFill>
    </fill>
    <fill>
      <patternFill patternType="solid">
        <fgColor theme="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8EA9DB"/>
        <bgColor indexed="64"/>
      </patternFill>
    </fill>
    <fill>
      <patternFill patternType="solid">
        <fgColor rgb="FFFFE699"/>
        <bgColor indexed="64"/>
      </patternFill>
    </fill>
    <fill>
      <patternFill patternType="solid">
        <fgColor rgb="FF92D050"/>
        <bgColor indexed="64"/>
      </patternFill>
    </fill>
    <fill>
      <patternFill patternType="solid">
        <fgColor rgb="FFD1A3BF"/>
        <bgColor indexed="64"/>
      </patternFill>
    </fill>
    <fill>
      <patternFill patternType="solid">
        <fgColor rgb="FF0070C0"/>
        <bgColor indexed="64"/>
      </patternFill>
    </fill>
    <fill>
      <patternFill patternType="solid">
        <fgColor theme="7" tint="0.59999389629810485"/>
        <bgColor indexed="64"/>
      </patternFill>
    </fill>
    <fill>
      <patternFill patternType="solid">
        <fgColor rgb="FFC1C0C0"/>
      </patternFill>
    </fill>
    <fill>
      <patternFill patternType="solid">
        <fgColor rgb="FFE6E9EA"/>
      </patternFill>
    </fill>
    <fill>
      <patternFill patternType="solid">
        <fgColor theme="4" tint="0.79998168889431442"/>
        <bgColor theme="4" tint="0.79998168889431442"/>
      </patternFill>
    </fill>
    <fill>
      <patternFill patternType="solid">
        <fgColor rgb="FFFFEB9C"/>
      </patternFill>
    </fill>
    <fill>
      <patternFill patternType="solid">
        <fgColor rgb="FFFFC7CE"/>
      </patternFill>
    </fill>
    <fill>
      <patternFill patternType="solid">
        <fgColor theme="4" tint="0.59999389629810485"/>
        <bgColor indexed="64"/>
      </patternFill>
    </fill>
    <fill>
      <patternFill patternType="solid">
        <fgColor theme="0" tint="-0.499984740745262"/>
        <bgColor indexed="64"/>
      </patternFill>
    </fill>
    <fill>
      <patternFill patternType="solid">
        <fgColor theme="0" tint="-9.9978637043366805E-2"/>
        <bgColor indexed="64"/>
      </patternFill>
    </fill>
    <fill>
      <patternFill patternType="solid">
        <fgColor rgb="FFE6E9EA"/>
        <bgColor indexed="64"/>
      </patternFill>
    </fill>
  </fills>
  <borders count="232">
    <border>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ck">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ck">
        <color auto="1"/>
      </right>
      <top style="thick">
        <color indexed="64"/>
      </top>
      <bottom style="thick">
        <color indexed="64"/>
      </bottom>
      <diagonal/>
    </border>
    <border>
      <left style="thick">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auto="1"/>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ck">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ck">
        <color auto="1"/>
      </right>
      <top style="medium">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ck">
        <color indexed="64"/>
      </right>
      <top style="thin">
        <color indexed="64"/>
      </top>
      <bottom/>
      <diagonal/>
    </border>
    <border>
      <left style="thick">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ck">
        <color auto="1"/>
      </right>
      <top/>
      <bottom style="medium">
        <color indexed="64"/>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thick">
        <color auto="1"/>
      </right>
      <top style="medium">
        <color indexed="64"/>
      </top>
      <bottom style="thick">
        <color auto="1"/>
      </bottom>
      <diagonal/>
    </border>
    <border>
      <left style="thick">
        <color indexed="64"/>
      </left>
      <right/>
      <top style="thick">
        <color indexed="64"/>
      </top>
      <bottom/>
      <diagonal/>
    </border>
    <border>
      <left/>
      <right/>
      <top style="thick">
        <color indexed="64"/>
      </top>
      <bottom/>
      <diagonal/>
    </border>
    <border>
      <left style="thick">
        <color indexed="64"/>
      </left>
      <right/>
      <top style="thick">
        <color indexed="64"/>
      </top>
      <bottom style="thin">
        <color indexed="64"/>
      </bottom>
      <diagonal/>
    </border>
    <border>
      <left/>
      <right/>
      <top style="dotted">
        <color theme="0" tint="-0.14996795556505021"/>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thick">
        <color indexed="64"/>
      </left>
      <right/>
      <top/>
      <bottom style="thin">
        <color indexed="64"/>
      </bottom>
      <diagonal/>
    </border>
    <border>
      <left/>
      <right/>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auto="1"/>
      </right>
      <top/>
      <bottom style="thick">
        <color auto="1"/>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auto="1"/>
      </right>
      <top style="thick">
        <color auto="1"/>
      </top>
      <bottom/>
      <diagonal/>
    </border>
    <border>
      <left style="thin">
        <color indexed="64"/>
      </left>
      <right style="thin">
        <color indexed="64"/>
      </right>
      <top style="medium">
        <color indexed="64"/>
      </top>
      <bottom/>
      <diagonal/>
    </border>
    <border>
      <left style="thin">
        <color indexed="64"/>
      </left>
      <right style="thick">
        <color auto="1"/>
      </right>
      <top/>
      <bottom style="medium">
        <color indexed="64"/>
      </bottom>
      <diagonal/>
    </border>
    <border>
      <left style="thick">
        <color indexed="64"/>
      </left>
      <right style="thin">
        <color indexed="64"/>
      </right>
      <top style="thick">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n">
        <color indexed="64"/>
      </right>
      <top style="medium">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ck">
        <color theme="9" tint="0.39994506668294322"/>
      </right>
      <top style="thick">
        <color theme="9" tint="0.39994506668294322"/>
      </top>
      <bottom style="thick">
        <color theme="9" tint="0.39994506668294322"/>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medium">
        <color indexed="64"/>
      </top>
      <bottom style="thin">
        <color indexed="64"/>
      </bottom>
      <diagonal/>
    </border>
    <border>
      <left/>
      <right style="medium">
        <color auto="1"/>
      </right>
      <top style="medium">
        <color indexed="64"/>
      </top>
      <bottom style="thin">
        <color indexed="64"/>
      </bottom>
      <diagonal/>
    </border>
    <border>
      <left/>
      <right style="medium">
        <color auto="1"/>
      </right>
      <top style="thin">
        <color indexed="64"/>
      </top>
      <bottom style="medium">
        <color auto="1"/>
      </bottom>
      <diagonal/>
    </border>
    <border>
      <left style="thick">
        <color auto="1"/>
      </left>
      <right style="thick">
        <color auto="1"/>
      </right>
      <top style="thick">
        <color auto="1"/>
      </top>
      <bottom style="thin">
        <color auto="1"/>
      </bottom>
      <diagonal/>
    </border>
    <border>
      <left style="thick">
        <color indexed="64"/>
      </left>
      <right style="thick">
        <color indexed="64"/>
      </right>
      <top style="thin">
        <color indexed="64"/>
      </top>
      <bottom style="thin">
        <color indexed="64"/>
      </bottom>
      <diagonal/>
    </border>
    <border>
      <left style="thick">
        <color auto="1"/>
      </left>
      <right style="thick">
        <color auto="1"/>
      </right>
      <top style="thin">
        <color auto="1"/>
      </top>
      <bottom style="thick">
        <color auto="1"/>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C000"/>
      </top>
      <bottom/>
      <diagonal/>
    </border>
    <border>
      <left/>
      <right/>
      <top/>
      <bottom style="thick">
        <color theme="0"/>
      </bottom>
      <diagonal/>
    </border>
    <border>
      <left/>
      <right/>
      <top/>
      <bottom style="medium">
        <color rgb="FFFFC000"/>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thin">
        <color indexed="64"/>
      </left>
      <right style="thin">
        <color indexed="64"/>
      </right>
      <top/>
      <bottom style="thick">
        <color indexed="64"/>
      </bottom>
      <diagonal/>
    </border>
    <border>
      <left style="medium">
        <color auto="1"/>
      </left>
      <right style="medium">
        <color auto="1"/>
      </right>
      <top style="thin">
        <color auto="1"/>
      </top>
      <bottom style="medium">
        <color auto="1"/>
      </bottom>
      <diagonal/>
    </border>
    <border>
      <left style="medium">
        <color theme="0"/>
      </left>
      <right style="medium">
        <color theme="0"/>
      </right>
      <top style="medium">
        <color theme="0"/>
      </top>
      <bottom/>
      <diagonal/>
    </border>
    <border>
      <left style="thin">
        <color indexed="64"/>
      </left>
      <right/>
      <top style="medium">
        <color indexed="64"/>
      </top>
      <bottom style="medium">
        <color indexed="64"/>
      </bottom>
      <diagonal/>
    </border>
    <border>
      <left style="medium">
        <color auto="1"/>
      </left>
      <right/>
      <top/>
      <bottom style="medium">
        <color theme="0"/>
      </bottom>
      <diagonal/>
    </border>
    <border>
      <left/>
      <right style="medium">
        <color auto="1"/>
      </right>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top style="medium">
        <color theme="0"/>
      </top>
      <bottom style="medium">
        <color auto="1"/>
      </bottom>
      <diagonal/>
    </border>
    <border>
      <left/>
      <right/>
      <top style="medium">
        <color theme="0"/>
      </top>
      <bottom style="medium">
        <color auto="1"/>
      </bottom>
      <diagonal/>
    </border>
    <border>
      <left/>
      <right style="medium">
        <color auto="1"/>
      </right>
      <top style="medium">
        <color theme="0"/>
      </top>
      <bottom style="medium">
        <color auto="1"/>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thin">
        <color indexed="64"/>
      </right>
      <top style="thin">
        <color indexed="64"/>
      </top>
      <bottom style="medium">
        <color auto="1"/>
      </bottom>
      <diagonal/>
    </border>
    <border>
      <left/>
      <right style="medium">
        <color indexed="64"/>
      </right>
      <top style="thin">
        <color indexed="64"/>
      </top>
      <bottom/>
      <diagonal/>
    </border>
    <border>
      <left/>
      <right style="medium">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medium">
        <color auto="1"/>
      </right>
      <top style="medium">
        <color indexed="64"/>
      </top>
      <bottom style="thin">
        <color indexed="64"/>
      </bottom>
      <diagonal/>
    </border>
    <border>
      <left style="thin">
        <color indexed="64"/>
      </left>
      <right style="medium">
        <color auto="1"/>
      </right>
      <top style="thick">
        <color indexed="64"/>
      </top>
      <bottom style="thin">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n">
        <color indexed="64"/>
      </bottom>
      <diagonal/>
    </border>
    <border>
      <left/>
      <right style="thick">
        <color auto="1"/>
      </right>
      <top style="thin">
        <color indexed="64"/>
      </top>
      <bottom style="medium">
        <color indexed="64"/>
      </bottom>
      <diagonal/>
    </border>
    <border>
      <left/>
      <right style="thick">
        <color auto="1"/>
      </right>
      <top style="medium">
        <color indexed="64"/>
      </top>
      <bottom style="thin">
        <color indexed="64"/>
      </bottom>
      <diagonal/>
    </border>
    <border>
      <left/>
      <right style="thick">
        <color auto="1"/>
      </right>
      <top style="thick">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right/>
      <top/>
      <bottom style="medium">
        <color rgb="FF000000"/>
      </bottom>
      <diagonal/>
    </border>
    <border>
      <left/>
      <right/>
      <top style="medium">
        <color rgb="FF000000"/>
      </top>
      <bottom/>
      <diagonal/>
    </border>
    <border>
      <left style="medium">
        <color rgb="FF000000"/>
      </left>
      <right/>
      <top style="medium">
        <color rgb="FF000000"/>
      </top>
      <bottom style="medium">
        <color indexed="64"/>
      </bottom>
      <diagonal/>
    </border>
    <border>
      <left/>
      <right style="thin">
        <color indexed="64"/>
      </right>
      <top style="medium">
        <color rgb="FF000000"/>
      </top>
      <bottom style="medium">
        <color indexed="64"/>
      </bottom>
      <diagonal/>
    </border>
    <border>
      <left style="thin">
        <color indexed="64"/>
      </left>
      <right style="thin">
        <color indexed="64"/>
      </right>
      <top style="medium">
        <color rgb="FF000000"/>
      </top>
      <bottom style="medium">
        <color indexed="64"/>
      </bottom>
      <diagonal/>
    </border>
    <border>
      <left style="thin">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thin">
        <color indexed="64"/>
      </left>
      <right style="medium">
        <color rgb="FF000000"/>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style="thin">
        <color indexed="64"/>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thin">
        <color rgb="FF000000"/>
      </top>
      <bottom style="thin">
        <color rgb="FF000000"/>
      </bottom>
      <diagonal/>
    </border>
    <border>
      <left/>
      <right style="medium">
        <color rgb="FF000000"/>
      </right>
      <top style="thick">
        <color indexed="64"/>
      </top>
      <bottom style="medium">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636466"/>
      </bottom>
      <diagonal/>
    </border>
    <border>
      <left style="thin">
        <color rgb="FF636466"/>
      </left>
      <right style="thin">
        <color rgb="FF636466"/>
      </right>
      <top style="thin">
        <color rgb="FF636466"/>
      </top>
      <bottom style="thin">
        <color rgb="FF636466"/>
      </bottom>
      <diagonal/>
    </border>
    <border>
      <left style="thin">
        <color rgb="FF636466"/>
      </left>
      <right/>
      <top style="thin">
        <color rgb="FF636466"/>
      </top>
      <bottom style="thin">
        <color rgb="FF636466"/>
      </bottom>
      <diagonal/>
    </border>
    <border>
      <left/>
      <right style="thin">
        <color rgb="FF636466"/>
      </right>
      <top style="thin">
        <color rgb="FF636466"/>
      </top>
      <bottom style="thin">
        <color rgb="FF636466"/>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right/>
      <top style="thick">
        <color indexed="64"/>
      </top>
      <bottom style="thin">
        <color indexed="64"/>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auto="1"/>
      </left>
      <right style="thin">
        <color auto="1"/>
      </right>
      <top style="medium">
        <color auto="1"/>
      </top>
      <bottom style="medium">
        <color auto="1"/>
      </bottom>
      <diagonal/>
    </border>
    <border>
      <left style="medium">
        <color auto="1"/>
      </left>
      <right style="thin">
        <color indexed="64"/>
      </right>
      <top style="medium">
        <color indexed="64"/>
      </top>
      <bottom/>
      <diagonal/>
    </border>
    <border>
      <left style="medium">
        <color indexed="64"/>
      </left>
      <right style="thin">
        <color indexed="64"/>
      </right>
      <top/>
      <bottom/>
      <diagonal/>
    </border>
    <border>
      <left style="medium">
        <color auto="1"/>
      </left>
      <right style="thin">
        <color indexed="64"/>
      </right>
      <top/>
      <bottom style="medium">
        <color indexed="64"/>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n">
        <color theme="4" tint="0.39997558519241921"/>
      </left>
      <right/>
      <top style="thin">
        <color theme="4" tint="0.39997558519241921"/>
      </top>
      <bottom style="thin">
        <color theme="4" tint="0.3999755851924192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ck">
        <color auto="1"/>
      </right>
      <top style="medium">
        <color indexed="64"/>
      </top>
      <bottom style="medium">
        <color indexed="64"/>
      </bottom>
      <diagonal/>
    </border>
    <border>
      <left/>
      <right style="medium">
        <color auto="1"/>
      </right>
      <top style="thin">
        <color auto="1"/>
      </top>
      <bottom style="thin">
        <color auto="1"/>
      </bottom>
      <diagonal/>
    </border>
    <border>
      <left/>
      <right style="thin">
        <color theme="4" tint="0.39997558519241921"/>
      </right>
      <top style="thin">
        <color theme="4" tint="0.39997558519241921"/>
      </top>
      <bottom style="thin">
        <color theme="4" tint="0.39997558519241921"/>
      </bottom>
      <diagonal/>
    </border>
    <border>
      <left style="medium">
        <color rgb="FF000000"/>
      </left>
      <right/>
      <top style="medium">
        <color indexed="64"/>
      </top>
      <bottom style="thin">
        <color indexed="64"/>
      </bottom>
      <diagonal/>
    </border>
    <border>
      <left/>
      <right/>
      <top style="thin">
        <color theme="4" tint="0.39997558519241921"/>
      </top>
      <bottom style="thin">
        <color theme="4" tint="0.39997558519241921"/>
      </bottom>
      <diagonal/>
    </border>
    <border>
      <left style="medium">
        <color theme="0"/>
      </left>
      <right style="thin">
        <color theme="0"/>
      </right>
      <top style="medium">
        <color theme="0"/>
      </top>
      <bottom style="medium">
        <color theme="0"/>
      </bottom>
      <diagonal/>
    </border>
    <border>
      <left/>
      <right style="medium">
        <color indexed="64"/>
      </right>
      <top/>
      <bottom style="thin">
        <color indexed="64"/>
      </bottom>
      <diagonal/>
    </border>
    <border>
      <left style="thin">
        <color indexed="64"/>
      </left>
      <right style="medium">
        <color auto="1"/>
      </right>
      <top style="thin">
        <color indexed="64"/>
      </top>
      <bottom/>
      <diagonal/>
    </border>
    <border>
      <left style="medium">
        <color indexed="64"/>
      </left>
      <right style="medium">
        <color indexed="64"/>
      </right>
      <top style="medium">
        <color indexed="64"/>
      </top>
      <bottom/>
      <diagonal/>
    </border>
    <border>
      <left style="medium">
        <color auto="1"/>
      </left>
      <right style="medium">
        <color auto="1"/>
      </right>
      <top style="medium">
        <color indexed="64"/>
      </top>
      <bottom style="medium">
        <color theme="0"/>
      </bottom>
      <diagonal/>
    </border>
    <border>
      <left style="medium">
        <color auto="1"/>
      </left>
      <right style="medium">
        <color auto="1"/>
      </right>
      <top/>
      <bottom style="medium">
        <color theme="0"/>
      </bottom>
      <diagonal/>
    </border>
    <border>
      <left style="thin">
        <color rgb="FF505050"/>
      </left>
      <right style="thin">
        <color rgb="FF505050"/>
      </right>
      <top style="thin">
        <color rgb="FF505050"/>
      </top>
      <bottom/>
      <diagonal/>
    </border>
    <border>
      <left style="thin">
        <color indexed="64"/>
      </left>
      <right style="medium">
        <color auto="1"/>
      </right>
      <top/>
      <bottom style="thin">
        <color indexed="64"/>
      </bottom>
      <diagonal/>
    </border>
    <border>
      <left style="thin">
        <color rgb="FF505050"/>
      </left>
      <right style="thin">
        <color rgb="FF505050"/>
      </right>
      <top style="thin">
        <color rgb="FF505050"/>
      </top>
      <bottom style="thin">
        <color rgb="FF50505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medium">
        <color auto="1"/>
      </left>
      <right style="medium">
        <color auto="1"/>
      </right>
      <top style="medium">
        <color theme="0"/>
      </top>
      <bottom style="medium">
        <color theme="0"/>
      </bottom>
      <diagonal/>
    </border>
    <border>
      <left/>
      <right style="thin">
        <color rgb="FF505050"/>
      </right>
      <top style="thin">
        <color indexed="64"/>
      </top>
      <bottom/>
      <diagonal/>
    </border>
    <border>
      <left style="thin">
        <color rgb="FF505050"/>
      </left>
      <right style="medium">
        <color indexed="64"/>
      </right>
      <top style="thin">
        <color indexed="64"/>
      </top>
      <bottom/>
      <diagonal/>
    </border>
    <border>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style="thin">
        <color auto="1"/>
      </left>
      <right style="medium">
        <color rgb="FFFF0000"/>
      </right>
      <top style="medium">
        <color rgb="FFFF0000"/>
      </top>
      <bottom/>
      <diagonal/>
    </border>
    <border>
      <left style="thin">
        <color auto="1"/>
      </left>
      <right style="medium">
        <color rgb="FFFF0000"/>
      </right>
      <top style="thin">
        <color auto="1"/>
      </top>
      <bottom style="thin">
        <color auto="1"/>
      </bottom>
      <diagonal/>
    </border>
    <border>
      <left style="thin">
        <color auto="1"/>
      </left>
      <right style="medium">
        <color rgb="FFFF0000"/>
      </right>
      <top/>
      <bottom style="medium">
        <color rgb="FFFF0000"/>
      </bottom>
      <diagonal/>
    </border>
    <border>
      <left style="medium">
        <color rgb="FFFF0000"/>
      </left>
      <right style="thin">
        <color auto="1"/>
      </right>
      <top style="medium">
        <color rgb="FFFF0000"/>
      </top>
      <bottom style="thin">
        <color indexed="64"/>
      </bottom>
      <diagonal/>
    </border>
    <border>
      <left style="medium">
        <color rgb="FFFF0000"/>
      </left>
      <right style="thin">
        <color auto="1"/>
      </right>
      <top style="thin">
        <color indexed="64"/>
      </top>
      <bottom style="thin">
        <color indexed="64"/>
      </bottom>
      <diagonal/>
    </border>
    <border>
      <left style="medium">
        <color rgb="FFFF0000"/>
      </left>
      <right style="thin">
        <color auto="1"/>
      </right>
      <top style="thin">
        <color indexed="64"/>
      </top>
      <bottom style="medium">
        <color rgb="FFFF0000"/>
      </bottom>
      <diagonal/>
    </border>
    <border>
      <left/>
      <right style="thin">
        <color rgb="FF505050"/>
      </right>
      <top/>
      <bottom/>
      <diagonal/>
    </border>
    <border>
      <left style="thin">
        <color rgb="FF505050"/>
      </left>
      <right style="thin">
        <color rgb="FF505050"/>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s>
  <cellStyleXfs count="8">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xf numFmtId="0" fontId="21" fillId="0" borderId="0"/>
    <xf numFmtId="0" fontId="38" fillId="34" borderId="0" applyNumberFormat="0" applyBorder="0" applyAlignment="0" applyProtection="0"/>
    <xf numFmtId="0" fontId="43" fillId="35" borderId="0" applyNumberFormat="0" applyBorder="0" applyAlignment="0" applyProtection="0"/>
  </cellStyleXfs>
  <cellXfs count="1335">
    <xf numFmtId="0" fontId="0" fillId="0" borderId="0" xfId="0"/>
    <xf numFmtId="0" fontId="3" fillId="3" borderId="1" xfId="0" applyFont="1" applyFill="1" applyBorder="1"/>
    <xf numFmtId="0" fontId="3" fillId="3" borderId="2" xfId="0" applyFont="1" applyFill="1" applyBorder="1"/>
    <xf numFmtId="0" fontId="3" fillId="3" borderId="3" xfId="0" applyFont="1" applyFill="1" applyBorder="1"/>
    <xf numFmtId="0" fontId="0" fillId="0" borderId="0" xfId="0" applyAlignment="1">
      <alignment horizontal="center"/>
    </xf>
    <xf numFmtId="14" fontId="0" fillId="0" borderId="0" xfId="0" applyNumberFormat="1"/>
    <xf numFmtId="49" fontId="0" fillId="0" borderId="0" xfId="0" applyNumberFormat="1"/>
    <xf numFmtId="0" fontId="0" fillId="0" borderId="0" xfId="0" applyAlignment="1">
      <alignment horizontal="center" vertical="center"/>
    </xf>
    <xf numFmtId="0" fontId="0" fillId="4" borderId="0" xfId="0" applyFill="1" applyProtection="1">
      <protection locked="0"/>
    </xf>
    <xf numFmtId="0" fontId="0" fillId="4" borderId="0" xfId="0" applyFill="1" applyAlignment="1" applyProtection="1">
      <alignment vertical="center"/>
      <protection locked="0"/>
    </xf>
    <xf numFmtId="0" fontId="0" fillId="4" borderId="11" xfId="0" applyFill="1" applyBorder="1" applyProtection="1">
      <protection locked="0" hidden="1"/>
    </xf>
    <xf numFmtId="0" fontId="0" fillId="4" borderId="18" xfId="0" applyFill="1" applyBorder="1" applyAlignment="1" applyProtection="1">
      <alignment horizontal="center"/>
      <protection locked="0" hidden="1"/>
    </xf>
    <xf numFmtId="0" fontId="0" fillId="4" borderId="19" xfId="0" applyFill="1" applyBorder="1" applyAlignment="1" applyProtection="1">
      <alignment vertical="top"/>
      <protection locked="0" hidden="1"/>
    </xf>
    <xf numFmtId="0" fontId="0" fillId="4" borderId="25" xfId="0" applyFill="1" applyBorder="1" applyProtection="1">
      <protection locked="0" hidden="1"/>
    </xf>
    <xf numFmtId="0" fontId="0" fillId="0" borderId="10" xfId="0" applyBorder="1" applyProtection="1">
      <protection locked="0"/>
    </xf>
    <xf numFmtId="166" fontId="0" fillId="4" borderId="19" xfId="0" applyNumberFormat="1" applyFill="1" applyBorder="1" applyProtection="1">
      <protection locked="0" hidden="1"/>
    </xf>
    <xf numFmtId="0" fontId="0" fillId="4" borderId="0" xfId="0" applyFill="1"/>
    <xf numFmtId="0" fontId="0" fillId="4" borderId="0" xfId="0" applyFill="1" applyAlignment="1">
      <alignment vertical="center"/>
    </xf>
    <xf numFmtId="0" fontId="0" fillId="4" borderId="0" xfId="0" applyFill="1" applyAlignment="1">
      <alignment horizontal="center"/>
    </xf>
    <xf numFmtId="0" fontId="0" fillId="4" borderId="15" xfId="0" applyFill="1" applyBorder="1" applyAlignment="1">
      <alignment vertical="top"/>
    </xf>
    <xf numFmtId="0" fontId="0" fillId="4" borderId="59" xfId="0" applyFill="1" applyBorder="1" applyAlignment="1">
      <alignment vertical="top"/>
    </xf>
    <xf numFmtId="0" fontId="0" fillId="4" borderId="38" xfId="0" applyFill="1" applyBorder="1" applyAlignment="1">
      <alignment vertical="top"/>
    </xf>
    <xf numFmtId="0" fontId="0" fillId="4" borderId="0" xfId="0" applyFill="1" applyAlignment="1">
      <alignment horizontal="left" vertical="top"/>
    </xf>
    <xf numFmtId="0" fontId="0" fillId="4" borderId="73" xfId="0" applyFill="1" applyBorder="1" applyAlignment="1">
      <alignment vertical="top"/>
    </xf>
    <xf numFmtId="0" fontId="0" fillId="4" borderId="11" xfId="0" applyFill="1" applyBorder="1" applyAlignment="1" applyProtection="1">
      <alignment horizontal="center"/>
      <protection locked="0" hidden="1"/>
    </xf>
    <xf numFmtId="0" fontId="0" fillId="4" borderId="38" xfId="0" applyFill="1" applyBorder="1" applyProtection="1">
      <protection locked="0" hidden="1"/>
    </xf>
    <xf numFmtId="0" fontId="0" fillId="4" borderId="25" xfId="0" applyFill="1" applyBorder="1" applyAlignment="1" applyProtection="1">
      <alignment horizontal="center"/>
      <protection locked="0" hidden="1"/>
    </xf>
    <xf numFmtId="0" fontId="0" fillId="4" borderId="10" xfId="0" applyFill="1" applyBorder="1"/>
    <xf numFmtId="0" fontId="0" fillId="5" borderId="19" xfId="0" applyFill="1" applyBorder="1"/>
    <xf numFmtId="0" fontId="0" fillId="0" borderId="19" xfId="0" applyBorder="1"/>
    <xf numFmtId="0" fontId="0" fillId="0" borderId="0" xfId="0" applyAlignment="1">
      <alignment horizontal="center" wrapText="1"/>
    </xf>
    <xf numFmtId="0" fontId="0" fillId="0" borderId="23" xfId="0" applyBorder="1"/>
    <xf numFmtId="0" fontId="0" fillId="0" borderId="87" xfId="0" applyBorder="1"/>
    <xf numFmtId="0" fontId="0" fillId="0" borderId="19" xfId="0" applyBorder="1" applyAlignment="1">
      <alignment horizontal="center" vertical="top"/>
    </xf>
    <xf numFmtId="0" fontId="0" fillId="0" borderId="19" xfId="0" applyBorder="1" applyAlignment="1">
      <alignment vertical="top"/>
    </xf>
    <xf numFmtId="0" fontId="0" fillId="0" borderId="85" xfId="0" applyBorder="1" applyAlignment="1">
      <alignment vertical="top"/>
    </xf>
    <xf numFmtId="0" fontId="0" fillId="0" borderId="21" xfId="0" applyBorder="1" applyAlignment="1">
      <alignment vertical="top"/>
    </xf>
    <xf numFmtId="0" fontId="0" fillId="0" borderId="22" xfId="0" applyBorder="1" applyAlignment="1">
      <alignment vertical="top"/>
    </xf>
    <xf numFmtId="0" fontId="0" fillId="4" borderId="54" xfId="0" applyFill="1" applyBorder="1" applyAlignment="1">
      <alignment vertical="top"/>
    </xf>
    <xf numFmtId="0" fontId="6" fillId="4" borderId="0" xfId="0" applyFont="1" applyFill="1" applyAlignment="1">
      <alignment horizontal="center"/>
    </xf>
    <xf numFmtId="0" fontId="0" fillId="4" borderId="0" xfId="0" applyFill="1" applyAlignment="1">
      <alignment vertical="top"/>
    </xf>
    <xf numFmtId="0" fontId="0" fillId="4" borderId="0" xfId="0" applyFill="1" applyAlignment="1">
      <alignment horizontal="center" vertical="center"/>
    </xf>
    <xf numFmtId="0" fontId="0" fillId="6" borderId="91" xfId="0" applyFill="1" applyBorder="1"/>
    <xf numFmtId="0" fontId="0" fillId="5" borderId="50" xfId="0" applyFill="1" applyBorder="1" applyAlignment="1">
      <alignment horizontal="center" vertical="center"/>
    </xf>
    <xf numFmtId="0" fontId="0" fillId="5" borderId="17" xfId="0" applyFill="1" applyBorder="1" applyAlignment="1">
      <alignment horizontal="center" vertical="center" wrapText="1"/>
    </xf>
    <xf numFmtId="0" fontId="0" fillId="5" borderId="92" xfId="0" applyFill="1" applyBorder="1" applyAlignment="1">
      <alignment horizontal="center" vertical="center" wrapText="1"/>
    </xf>
    <xf numFmtId="0" fontId="0" fillId="0" borderId="81" xfId="0" applyBorder="1" applyAlignment="1">
      <alignment horizontal="center" vertical="center"/>
    </xf>
    <xf numFmtId="0" fontId="0" fillId="0" borderId="93" xfId="0" applyBorder="1" applyAlignment="1">
      <alignment horizontal="center" vertical="center"/>
    </xf>
    <xf numFmtId="0" fontId="0" fillId="0" borderId="19" xfId="0" applyBorder="1" applyAlignment="1">
      <alignment horizontal="center" vertical="center"/>
    </xf>
    <xf numFmtId="0" fontId="0" fillId="0" borderId="72" xfId="0" applyBorder="1" applyAlignment="1">
      <alignment horizontal="center" vertical="center"/>
    </xf>
    <xf numFmtId="0" fontId="0" fillId="0" borderId="19" xfId="0" applyBorder="1" applyAlignment="1">
      <alignment horizontal="center" vertical="center" wrapText="1"/>
    </xf>
    <xf numFmtId="0" fontId="0" fillId="0" borderId="72" xfId="0" applyBorder="1" applyAlignment="1">
      <alignment horizontal="center" vertical="center" wrapText="1"/>
    </xf>
    <xf numFmtId="0" fontId="0" fillId="0" borderId="19" xfId="0" applyBorder="1" applyAlignment="1">
      <alignment vertical="center"/>
    </xf>
    <xf numFmtId="0" fontId="0" fillId="0" borderId="72" xfId="0" applyBorder="1" applyAlignment="1">
      <alignment vertical="center"/>
    </xf>
    <xf numFmtId="0" fontId="0" fillId="0" borderId="85" xfId="0" applyBorder="1" applyAlignment="1">
      <alignment horizontal="center" vertical="center"/>
    </xf>
    <xf numFmtId="0" fontId="0" fillId="0" borderId="94" xfId="0" applyBorder="1" applyAlignment="1">
      <alignment horizontal="center" vertical="center"/>
    </xf>
    <xf numFmtId="0" fontId="0" fillId="8" borderId="0" xfId="0" applyFill="1"/>
    <xf numFmtId="167" fontId="0" fillId="0" borderId="0" xfId="0" applyNumberFormat="1"/>
    <xf numFmtId="0" fontId="0" fillId="6" borderId="19" xfId="0" applyFill="1" applyBorder="1" applyAlignment="1">
      <alignment horizontal="center" vertical="center"/>
    </xf>
    <xf numFmtId="0" fontId="0" fillId="6" borderId="37" xfId="0" applyFill="1" applyBorder="1" applyAlignment="1">
      <alignment horizontal="center" vertical="center"/>
    </xf>
    <xf numFmtId="0" fontId="0" fillId="6" borderId="19" xfId="0" applyFill="1" applyBorder="1"/>
    <xf numFmtId="167" fontId="0" fillId="0" borderId="19" xfId="0" applyNumberFormat="1" applyBorder="1" applyAlignment="1">
      <alignment horizontal="center" vertical="center"/>
    </xf>
    <xf numFmtId="0" fontId="0" fillId="5" borderId="0" xfId="0" applyFill="1" applyAlignment="1">
      <alignment horizontal="center"/>
    </xf>
    <xf numFmtId="10" fontId="0" fillId="0" borderId="0" xfId="0" applyNumberFormat="1"/>
    <xf numFmtId="167" fontId="0" fillId="0" borderId="0" xfId="0" applyNumberFormat="1" applyAlignment="1">
      <alignment horizontal="center"/>
    </xf>
    <xf numFmtId="167" fontId="0" fillId="0" borderId="0" xfId="0" applyNumberFormat="1" applyAlignment="1">
      <alignment horizontal="center" vertical="center"/>
    </xf>
    <xf numFmtId="3" fontId="0" fillId="0" borderId="0" xfId="0" applyNumberFormat="1" applyAlignment="1">
      <alignment horizontal="center"/>
    </xf>
    <xf numFmtId="2" fontId="0" fillId="0" borderId="0" xfId="0" applyNumberFormat="1" applyAlignment="1">
      <alignment horizontal="center"/>
    </xf>
    <xf numFmtId="168" fontId="0" fillId="0" borderId="0" xfId="0" applyNumberFormat="1" applyAlignment="1">
      <alignment horizontal="center"/>
    </xf>
    <xf numFmtId="0" fontId="0" fillId="6" borderId="11" xfId="0" applyFill="1" applyBorder="1" applyAlignment="1">
      <alignment horizontal="center" vertical="center"/>
    </xf>
    <xf numFmtId="0" fontId="0" fillId="6" borderId="59" xfId="0" applyFill="1" applyBorder="1" applyAlignment="1">
      <alignment horizontal="center" vertical="center"/>
    </xf>
    <xf numFmtId="0" fontId="4" fillId="5" borderId="98" xfId="0" applyFont="1" applyFill="1" applyBorder="1"/>
    <xf numFmtId="2" fontId="0" fillId="0" borderId="100" xfId="0" applyNumberFormat="1" applyBorder="1"/>
    <xf numFmtId="0" fontId="4" fillId="4" borderId="0" xfId="0" applyFont="1" applyFill="1"/>
    <xf numFmtId="0" fontId="0" fillId="5" borderId="103" xfId="0" applyFill="1" applyBorder="1"/>
    <xf numFmtId="0" fontId="0" fillId="5" borderId="107" xfId="0" applyFill="1" applyBorder="1" applyAlignment="1">
      <alignment horizontal="left"/>
    </xf>
    <xf numFmtId="0" fontId="4" fillId="5" borderId="0" xfId="0" applyFont="1" applyFill="1"/>
    <xf numFmtId="0" fontId="0" fillId="5" borderId="0" xfId="0" applyFill="1"/>
    <xf numFmtId="0" fontId="10" fillId="5" borderId="0" xfId="0" applyFont="1" applyFill="1"/>
    <xf numFmtId="0" fontId="10" fillId="0" borderId="0" xfId="0" applyFont="1"/>
    <xf numFmtId="0" fontId="10" fillId="5" borderId="0" xfId="0" applyFont="1" applyFill="1" applyAlignment="1">
      <alignment horizontal="center"/>
    </xf>
    <xf numFmtId="0" fontId="6" fillId="0" borderId="0" xfId="0" applyFont="1" applyAlignment="1">
      <alignment horizontal="center"/>
    </xf>
    <xf numFmtId="0" fontId="6" fillId="5" borderId="0" xfId="0" applyFont="1" applyFill="1"/>
    <xf numFmtId="0" fontId="0" fillId="5" borderId="110" xfId="0" applyFill="1" applyBorder="1"/>
    <xf numFmtId="0" fontId="4" fillId="5" borderId="0" xfId="0" applyFont="1" applyFill="1" applyAlignment="1">
      <alignment horizontal="left" indent="3"/>
    </xf>
    <xf numFmtId="0" fontId="4" fillId="5" borderId="0" xfId="0" applyFont="1" applyFill="1" applyAlignment="1">
      <alignment horizontal="center"/>
    </xf>
    <xf numFmtId="165" fontId="0" fillId="5" borderId="0" xfId="1" applyFont="1" applyFill="1" applyAlignment="1"/>
    <xf numFmtId="165" fontId="0" fillId="4" borderId="0" xfId="1" applyFont="1" applyFill="1" applyAlignment="1">
      <alignment horizontal="center"/>
    </xf>
    <xf numFmtId="0" fontId="12" fillId="5" borderId="0" xfId="0" applyFont="1" applyFill="1" applyAlignment="1">
      <alignment horizontal="left" wrapText="1"/>
    </xf>
    <xf numFmtId="0" fontId="13" fillId="5" borderId="0" xfId="0" applyFont="1" applyFill="1" applyAlignment="1">
      <alignment horizontal="left" wrapText="1"/>
    </xf>
    <xf numFmtId="0" fontId="4" fillId="6" borderId="20" xfId="0" applyFont="1" applyFill="1" applyBorder="1" applyAlignment="1">
      <alignment horizontal="center" vertical="center"/>
    </xf>
    <xf numFmtId="0" fontId="14" fillId="0" borderId="0" xfId="0" applyFont="1"/>
    <xf numFmtId="10" fontId="14" fillId="0" borderId="0" xfId="0" applyNumberFormat="1" applyFont="1"/>
    <xf numFmtId="0" fontId="10" fillId="0" borderId="0" xfId="0" applyFont="1" applyAlignment="1">
      <alignment horizontal="center"/>
    </xf>
    <xf numFmtId="0" fontId="0" fillId="0" borderId="19" xfId="0" applyBorder="1" applyAlignment="1">
      <alignment horizontal="center"/>
    </xf>
    <xf numFmtId="0" fontId="0" fillId="0" borderId="0" xfId="0" applyAlignment="1">
      <alignment horizontal="left"/>
    </xf>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167" fontId="0" fillId="5" borderId="19" xfId="0" applyNumberFormat="1" applyFill="1" applyBorder="1" applyAlignment="1">
      <alignment horizontal="center"/>
    </xf>
    <xf numFmtId="0" fontId="0" fillId="5" borderId="19" xfId="0" applyFill="1" applyBorder="1" applyAlignment="1">
      <alignment horizontal="center"/>
    </xf>
    <xf numFmtId="167" fontId="0" fillId="5" borderId="19" xfId="0" applyNumberFormat="1" applyFill="1" applyBorder="1" applyAlignment="1">
      <alignment horizontal="center" vertical="center"/>
    </xf>
    <xf numFmtId="0" fontId="0" fillId="0" borderId="11" xfId="0" applyBorder="1"/>
    <xf numFmtId="0" fontId="0" fillId="22" borderId="0" xfId="0" applyFill="1"/>
    <xf numFmtId="169" fontId="0" fillId="0" borderId="0" xfId="0" applyNumberFormat="1" applyAlignment="1">
      <alignment horizontal="center"/>
    </xf>
    <xf numFmtId="0" fontId="0" fillId="23" borderId="0" xfId="0" applyFill="1"/>
    <xf numFmtId="0" fontId="4" fillId="0" borderId="9" xfId="0" applyFont="1" applyBorder="1" applyAlignment="1">
      <alignment horizontal="center"/>
    </xf>
    <xf numFmtId="0" fontId="0" fillId="0" borderId="112" xfId="0" applyBorder="1"/>
    <xf numFmtId="167" fontId="4" fillId="0" borderId="113" xfId="0" applyNumberFormat="1" applyFont="1" applyBorder="1" applyAlignment="1">
      <alignment horizontal="center"/>
    </xf>
    <xf numFmtId="167" fontId="4" fillId="0" borderId="114" xfId="0" applyNumberFormat="1" applyFont="1" applyBorder="1" applyAlignment="1">
      <alignment horizontal="center"/>
    </xf>
    <xf numFmtId="167" fontId="4" fillId="0" borderId="115" xfId="0" applyNumberFormat="1" applyFont="1" applyBorder="1" applyAlignment="1">
      <alignment horizontal="center"/>
    </xf>
    <xf numFmtId="167" fontId="0" fillId="0" borderId="116" xfId="0" applyNumberFormat="1" applyBorder="1" applyAlignment="1">
      <alignment horizontal="center"/>
    </xf>
    <xf numFmtId="0" fontId="0" fillId="0" borderId="117" xfId="0" applyBorder="1"/>
    <xf numFmtId="167" fontId="0" fillId="0" borderId="8" xfId="0" applyNumberFormat="1" applyBorder="1" applyAlignment="1">
      <alignment horizontal="center"/>
    </xf>
    <xf numFmtId="167" fontId="0" fillId="0" borderId="118" xfId="0" applyNumberFormat="1" applyBorder="1" applyAlignment="1">
      <alignment horizontal="center"/>
    </xf>
    <xf numFmtId="167" fontId="0" fillId="0" borderId="119" xfId="0" applyNumberFormat="1" applyBorder="1" applyAlignment="1">
      <alignment horizontal="center"/>
    </xf>
    <xf numFmtId="1" fontId="0" fillId="0" borderId="0" xfId="0" applyNumberFormat="1" applyAlignment="1">
      <alignment horizontal="center"/>
    </xf>
    <xf numFmtId="0" fontId="0" fillId="0" borderId="99" xfId="0" applyBorder="1"/>
    <xf numFmtId="0" fontId="0" fillId="0" borderId="100" xfId="0" applyBorder="1"/>
    <xf numFmtId="0" fontId="0" fillId="6" borderId="20" xfId="0" applyFill="1" applyBorder="1" applyAlignment="1">
      <alignment horizontal="center" vertical="center"/>
    </xf>
    <xf numFmtId="0" fontId="0" fillId="4" borderId="37" xfId="0" applyFill="1" applyBorder="1" applyAlignment="1">
      <alignment horizontal="center" vertical="center"/>
    </xf>
    <xf numFmtId="167" fontId="0" fillId="0" borderId="98" xfId="0" applyNumberFormat="1" applyBorder="1"/>
    <xf numFmtId="167" fontId="0" fillId="0" borderId="99" xfId="0" applyNumberFormat="1" applyBorder="1"/>
    <xf numFmtId="167" fontId="0" fillId="0" borderId="100" xfId="0" applyNumberFormat="1" applyBorder="1"/>
    <xf numFmtId="0" fontId="0" fillId="5" borderId="36" xfId="0" applyFill="1" applyBorder="1"/>
    <xf numFmtId="0" fontId="0" fillId="0" borderId="0" xfId="0" quotePrefix="1" applyAlignment="1">
      <alignment horizontal="center"/>
    </xf>
    <xf numFmtId="0" fontId="0" fillId="0" borderId="0" xfId="0" quotePrefix="1"/>
    <xf numFmtId="0" fontId="0" fillId="0" borderId="37" xfId="0" applyBorder="1"/>
    <xf numFmtId="0" fontId="6" fillId="0" borderId="0" xfId="0" applyFont="1"/>
    <xf numFmtId="0" fontId="16" fillId="0" borderId="0" xfId="0" applyFont="1"/>
    <xf numFmtId="0" fontId="0" fillId="0" borderId="20" xfId="0" applyBorder="1" applyAlignment="1">
      <alignment vertical="center"/>
    </xf>
    <xf numFmtId="0" fontId="0" fillId="0" borderId="37" xfId="0" applyBorder="1" applyAlignment="1">
      <alignment horizontal="left" wrapText="1"/>
    </xf>
    <xf numFmtId="0" fontId="4" fillId="0" borderId="0" xfId="0" applyFont="1"/>
    <xf numFmtId="0" fontId="0" fillId="0" borderId="0" xfId="0" applyAlignment="1">
      <alignment horizontal="left"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0" fillId="5" borderId="54" xfId="0" applyFill="1" applyBorder="1"/>
    <xf numFmtId="0" fontId="0" fillId="5" borderId="58" xfId="0" applyFill="1" applyBorder="1"/>
    <xf numFmtId="0" fontId="0" fillId="0" borderId="54" xfId="0" applyBorder="1"/>
    <xf numFmtId="0" fontId="0" fillId="4" borderId="29" xfId="0" applyFill="1" applyBorder="1"/>
    <xf numFmtId="0" fontId="0" fillId="4" borderId="97" xfId="0" applyFill="1" applyBorder="1"/>
    <xf numFmtId="0" fontId="0" fillId="4" borderId="83" xfId="0" applyFill="1" applyBorder="1"/>
    <xf numFmtId="0" fontId="0" fillId="4" borderId="90" xfId="0" applyFill="1" applyBorder="1"/>
    <xf numFmtId="0" fontId="0" fillId="4" borderId="120" xfId="0" applyFill="1" applyBorder="1"/>
    <xf numFmtId="0" fontId="4" fillId="5" borderId="79" xfId="0" applyFont="1" applyFill="1" applyBorder="1"/>
    <xf numFmtId="0" fontId="4" fillId="5" borderId="80" xfId="0" applyFont="1" applyFill="1" applyBorder="1"/>
    <xf numFmtId="0" fontId="0" fillId="4" borderId="121" xfId="0" applyFill="1" applyBorder="1"/>
    <xf numFmtId="0" fontId="0" fillId="4" borderId="122" xfId="0" applyFill="1" applyBorder="1" applyAlignment="1">
      <alignment horizontal="center"/>
    </xf>
    <xf numFmtId="0" fontId="0" fillId="4" borderId="41" xfId="0" applyFill="1" applyBorder="1"/>
    <xf numFmtId="0" fontId="4" fillId="5" borderId="87" xfId="0" applyFont="1" applyFill="1" applyBorder="1" applyAlignment="1">
      <alignment horizontal="center"/>
    </xf>
    <xf numFmtId="0" fontId="0" fillId="4" borderId="82" xfId="0" applyFill="1" applyBorder="1" applyAlignment="1">
      <alignment horizontal="left"/>
    </xf>
    <xf numFmtId="0" fontId="0" fillId="4" borderId="120" xfId="0" applyFill="1" applyBorder="1" applyAlignment="1">
      <alignment horizontal="center"/>
    </xf>
    <xf numFmtId="0" fontId="0" fillId="4" borderId="83" xfId="0" applyFill="1" applyBorder="1" applyAlignment="1">
      <alignment horizontal="center"/>
    </xf>
    <xf numFmtId="0" fontId="0" fillId="4" borderId="82" xfId="0" applyFill="1" applyBorder="1" applyAlignment="1">
      <alignment horizontal="center"/>
    </xf>
    <xf numFmtId="0" fontId="4" fillId="0" borderId="0" xfId="0" applyFont="1" applyAlignment="1">
      <alignment horizontal="center"/>
    </xf>
    <xf numFmtId="9" fontId="0" fillId="0" borderId="0" xfId="0" applyNumberFormat="1"/>
    <xf numFmtId="0" fontId="0" fillId="4" borderId="30" xfId="0" applyFill="1" applyBorder="1" applyProtection="1">
      <protection locked="0" hidden="1"/>
    </xf>
    <xf numFmtId="0" fontId="0" fillId="4" borderId="0" xfId="0" applyFill="1" applyAlignment="1" applyProtection="1">
      <alignment horizontal="left" vertical="top"/>
      <protection locked="0"/>
    </xf>
    <xf numFmtId="0" fontId="0" fillId="4" borderId="0" xfId="0" applyFill="1" applyAlignment="1" applyProtection="1">
      <alignment horizontal="left"/>
      <protection locked="0"/>
    </xf>
    <xf numFmtId="2" fontId="0" fillId="4" borderId="0" xfId="0" applyNumberFormat="1" applyFill="1" applyProtection="1">
      <protection locked="0"/>
    </xf>
    <xf numFmtId="167" fontId="0" fillId="0" borderId="125" xfId="0" applyNumberFormat="1" applyBorder="1" applyAlignment="1">
      <alignment horizontal="center" vertical="center"/>
    </xf>
    <xf numFmtId="9" fontId="0" fillId="4" borderId="0" xfId="0" applyNumberFormat="1" applyFill="1" applyProtection="1">
      <protection locked="0"/>
    </xf>
    <xf numFmtId="166" fontId="0" fillId="0" borderId="0" xfId="0" applyNumberFormat="1"/>
    <xf numFmtId="0" fontId="0" fillId="5" borderId="126" xfId="0" applyFill="1" applyBorder="1" applyAlignment="1">
      <alignment horizontal="left"/>
    </xf>
    <xf numFmtId="0" fontId="0" fillId="5" borderId="45" xfId="0" applyFill="1" applyBorder="1" applyProtection="1">
      <protection locked="0" hidden="1"/>
    </xf>
    <xf numFmtId="0" fontId="0" fillId="5" borderId="46" xfId="0" applyFill="1" applyBorder="1" applyProtection="1">
      <protection locked="0" hidden="1"/>
    </xf>
    <xf numFmtId="0" fontId="0" fillId="5" borderId="47" xfId="0" applyFill="1" applyBorder="1" applyProtection="1">
      <protection locked="0" hidden="1"/>
    </xf>
    <xf numFmtId="0" fontId="0" fillId="4" borderId="0" xfId="0" applyFill="1" applyProtection="1">
      <protection locked="0" hidden="1"/>
    </xf>
    <xf numFmtId="14" fontId="0" fillId="4" borderId="54" xfId="0" applyNumberFormat="1" applyFill="1" applyBorder="1" applyAlignment="1" applyProtection="1">
      <alignment horizontal="left"/>
      <protection locked="0" hidden="1"/>
    </xf>
    <xf numFmtId="14" fontId="0" fillId="4" borderId="60" xfId="0" applyNumberFormat="1" applyFill="1" applyBorder="1" applyAlignment="1" applyProtection="1">
      <alignment horizontal="left"/>
      <protection locked="0" hidden="1"/>
    </xf>
    <xf numFmtId="166" fontId="0" fillId="4" borderId="0" xfId="0" applyNumberFormat="1" applyFill="1" applyProtection="1">
      <protection locked="0"/>
    </xf>
    <xf numFmtId="2" fontId="0" fillId="0" borderId="0" xfId="0" applyNumberFormat="1"/>
    <xf numFmtId="9" fontId="0" fillId="23" borderId="0" xfId="0" applyNumberFormat="1" applyFill="1"/>
    <xf numFmtId="10" fontId="0" fillId="23" borderId="0" xfId="0" applyNumberFormat="1" applyFill="1"/>
    <xf numFmtId="0" fontId="0" fillId="4" borderId="0" xfId="0" applyFill="1" applyProtection="1">
      <protection hidden="1"/>
    </xf>
    <xf numFmtId="166" fontId="0" fillId="4" borderId="21" xfId="0" applyNumberFormat="1" applyFill="1" applyBorder="1" applyProtection="1">
      <protection locked="0" hidden="1"/>
    </xf>
    <xf numFmtId="0" fontId="0" fillId="5" borderId="82" xfId="0" applyFill="1" applyBorder="1"/>
    <xf numFmtId="0" fontId="4" fillId="5" borderId="135" xfId="0" applyFont="1" applyFill="1" applyBorder="1"/>
    <xf numFmtId="0" fontId="4" fillId="5" borderId="137" xfId="0" applyFont="1" applyFill="1" applyBorder="1" applyAlignment="1">
      <alignment horizontal="left"/>
    </xf>
    <xf numFmtId="0" fontId="0" fillId="4" borderId="89" xfId="0" applyFill="1" applyBorder="1"/>
    <xf numFmtId="0" fontId="0" fillId="4" borderId="82" xfId="0" applyFill="1" applyBorder="1"/>
    <xf numFmtId="14" fontId="0" fillId="4" borderId="0" xfId="0" applyNumberFormat="1" applyFill="1"/>
    <xf numFmtId="0" fontId="4" fillId="4" borderId="59" xfId="0" applyFont="1" applyFill="1" applyBorder="1" applyAlignment="1">
      <alignment vertical="top"/>
    </xf>
    <xf numFmtId="0" fontId="4" fillId="4" borderId="54" xfId="0" applyFont="1" applyFill="1" applyBorder="1" applyAlignment="1">
      <alignment vertical="top"/>
    </xf>
    <xf numFmtId="0" fontId="0" fillId="4" borderId="79" xfId="0" applyFill="1" applyBorder="1" applyAlignment="1">
      <alignment horizontal="center" vertical="center"/>
    </xf>
    <xf numFmtId="49" fontId="0" fillId="4" borderId="35" xfId="0" applyNumberFormat="1" applyFill="1" applyBorder="1" applyAlignment="1">
      <alignment vertical="center"/>
    </xf>
    <xf numFmtId="0" fontId="5" fillId="4" borderId="13"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center"/>
      <protection locked="0" hidden="1"/>
    </xf>
    <xf numFmtId="0" fontId="0" fillId="4" borderId="26" xfId="0" applyFill="1" applyBorder="1" applyProtection="1">
      <protection locked="0" hidden="1"/>
    </xf>
    <xf numFmtId="0" fontId="0" fillId="4" borderId="20" xfId="0" applyFill="1" applyBorder="1" applyProtection="1">
      <protection locked="0" hidden="1"/>
    </xf>
    <xf numFmtId="0" fontId="0" fillId="4" borderId="23" xfId="0" applyFill="1" applyBorder="1" applyProtection="1">
      <protection locked="0" hidden="1"/>
    </xf>
    <xf numFmtId="169" fontId="0" fillId="4" borderId="0" xfId="0" applyNumberFormat="1" applyFill="1"/>
    <xf numFmtId="0" fontId="18" fillId="4" borderId="0" xfId="0" applyFont="1" applyFill="1" applyAlignment="1">
      <alignment horizontal="center"/>
    </xf>
    <xf numFmtId="0" fontId="0" fillId="4" borderId="51" xfId="0" applyFill="1" applyBorder="1" applyProtection="1">
      <protection locked="0"/>
    </xf>
    <xf numFmtId="0" fontId="0" fillId="4" borderId="52" xfId="0" applyFill="1" applyBorder="1" applyProtection="1">
      <protection locked="0"/>
    </xf>
    <xf numFmtId="0" fontId="0" fillId="6" borderId="143" xfId="0" applyFill="1" applyBorder="1" applyAlignment="1" applyProtection="1">
      <alignment vertical="center"/>
      <protection locked="0" hidden="1"/>
    </xf>
    <xf numFmtId="0" fontId="0" fillId="6" borderId="141" xfId="0" applyFill="1" applyBorder="1" applyAlignment="1" applyProtection="1">
      <alignment vertical="center"/>
      <protection locked="0" hidden="1"/>
    </xf>
    <xf numFmtId="0" fontId="4" fillId="0" borderId="49" xfId="0" applyFont="1" applyBorder="1" applyAlignment="1">
      <alignment vertical="center"/>
    </xf>
    <xf numFmtId="0" fontId="4" fillId="0" borderId="75" xfId="0" applyFont="1" applyBorder="1" applyAlignment="1">
      <alignment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0" fillId="4" borderId="144" xfId="0" applyFill="1" applyBorder="1" applyAlignment="1">
      <alignment vertical="top"/>
    </xf>
    <xf numFmtId="0" fontId="0" fillId="4" borderId="145" xfId="0" applyFill="1" applyBorder="1" applyAlignment="1">
      <alignment vertical="top"/>
    </xf>
    <xf numFmtId="0" fontId="0" fillId="4" borderId="146" xfId="0" applyFill="1" applyBorder="1"/>
    <xf numFmtId="2" fontId="0" fillId="4" borderId="147" xfId="0" applyNumberFormat="1" applyFill="1" applyBorder="1" applyAlignment="1">
      <alignment horizontal="center"/>
    </xf>
    <xf numFmtId="0" fontId="0" fillId="4" borderId="85" xfId="0" applyFill="1" applyBorder="1"/>
    <xf numFmtId="2" fontId="0" fillId="4" borderId="94" xfId="0" applyNumberFormat="1" applyFill="1" applyBorder="1" applyAlignment="1">
      <alignment horizontal="center"/>
    </xf>
    <xf numFmtId="0" fontId="0" fillId="4" borderId="41" xfId="0" applyFill="1" applyBorder="1" applyAlignment="1" applyProtection="1">
      <alignment horizontal="left" vertical="top"/>
      <protection locked="0" hidden="1"/>
    </xf>
    <xf numFmtId="0" fontId="0" fillId="5" borderId="4" xfId="0" applyFill="1" applyBorder="1" applyProtection="1">
      <protection locked="0" hidden="1"/>
    </xf>
    <xf numFmtId="0" fontId="0" fillId="5" borderId="5" xfId="0" applyFill="1" applyBorder="1" applyAlignment="1" applyProtection="1">
      <alignment horizontal="center"/>
      <protection locked="0" hidden="1"/>
    </xf>
    <xf numFmtId="0" fontId="0" fillId="5" borderId="5" xfId="0" applyFill="1" applyBorder="1" applyAlignment="1" applyProtection="1">
      <alignment horizontal="center" vertical="center" wrapText="1"/>
      <protection locked="0" hidden="1"/>
    </xf>
    <xf numFmtId="0" fontId="0" fillId="5" borderId="0" xfId="0" applyFill="1" applyAlignment="1" applyProtection="1">
      <alignment horizontal="center"/>
      <protection locked="0" hidden="1"/>
    </xf>
    <xf numFmtId="0" fontId="0" fillId="5" borderId="19" xfId="0" applyFill="1" applyBorder="1" applyAlignment="1" applyProtection="1">
      <alignment horizontal="center"/>
      <protection locked="0" hidden="1"/>
    </xf>
    <xf numFmtId="0" fontId="0" fillId="5" borderId="5" xfId="0" applyFill="1" applyBorder="1" applyAlignment="1" applyProtection="1">
      <alignment horizontal="center" wrapText="1"/>
      <protection locked="0" hidden="1"/>
    </xf>
    <xf numFmtId="0" fontId="0" fillId="5" borderId="12" xfId="0" applyFill="1" applyBorder="1" applyAlignment="1" applyProtection="1">
      <alignment horizontal="center"/>
      <protection locked="0" hidden="1"/>
    </xf>
    <xf numFmtId="0" fontId="0" fillId="5" borderId="8" xfId="0" applyFill="1" applyBorder="1" applyAlignment="1" applyProtection="1">
      <alignment horizontal="center" wrapText="1"/>
      <protection locked="0" hidden="1"/>
    </xf>
    <xf numFmtId="0" fontId="0" fillId="5" borderId="9" xfId="0" applyFill="1" applyBorder="1" applyProtection="1">
      <protection locked="0" hidden="1"/>
    </xf>
    <xf numFmtId="0" fontId="0" fillId="4" borderId="17" xfId="0" applyFill="1" applyBorder="1" applyAlignment="1" applyProtection="1">
      <alignment horizontal="center" vertical="top"/>
      <protection locked="0" hidden="1"/>
    </xf>
    <xf numFmtId="0" fontId="0" fillId="4" borderId="19" xfId="0" applyFill="1" applyBorder="1" applyAlignment="1" applyProtection="1">
      <alignment horizontal="center"/>
      <protection locked="0" hidden="1"/>
    </xf>
    <xf numFmtId="0" fontId="0" fillId="4" borderId="63" xfId="0" applyFill="1" applyBorder="1" applyProtection="1">
      <protection locked="0" hidden="1"/>
    </xf>
    <xf numFmtId="0" fontId="0" fillId="4" borderId="30" xfId="0" applyFill="1" applyBorder="1" applyAlignment="1" applyProtection="1">
      <alignment horizontal="center" vertical="top"/>
      <protection locked="0" hidden="1"/>
    </xf>
    <xf numFmtId="0" fontId="0" fillId="4" borderId="28" xfId="0" applyFill="1" applyBorder="1" applyProtection="1">
      <protection locked="0" hidden="1"/>
    </xf>
    <xf numFmtId="0" fontId="0" fillId="4" borderId="35" xfId="0" applyFill="1" applyBorder="1" applyAlignment="1" applyProtection="1">
      <alignment vertical="top"/>
      <protection locked="0" hidden="1"/>
    </xf>
    <xf numFmtId="0" fontId="0" fillId="4" borderId="30" xfId="0" applyFill="1" applyBorder="1" applyAlignment="1" applyProtection="1">
      <alignment vertical="top"/>
      <protection locked="0" hidden="1"/>
    </xf>
    <xf numFmtId="0" fontId="0" fillId="5" borderId="8" xfId="0" applyFill="1" applyBorder="1" applyAlignment="1" applyProtection="1">
      <alignment horizontal="center" vertical="center" wrapText="1"/>
      <protection locked="0" hidden="1"/>
    </xf>
    <xf numFmtId="0" fontId="0" fillId="6" borderId="160" xfId="0" applyFill="1" applyBorder="1" applyAlignment="1" applyProtection="1">
      <alignment vertical="center" shrinkToFit="1"/>
      <protection locked="0" hidden="1"/>
    </xf>
    <xf numFmtId="0" fontId="0" fillId="6" borderId="160" xfId="0" applyFill="1" applyBorder="1" applyAlignment="1" applyProtection="1">
      <alignment horizontal="center" vertical="center"/>
      <protection locked="0" hidden="1"/>
    </xf>
    <xf numFmtId="166" fontId="0" fillId="4" borderId="0" xfId="0" applyNumberFormat="1" applyFill="1" applyProtection="1">
      <protection locked="0" hidden="1"/>
    </xf>
    <xf numFmtId="0" fontId="0" fillId="4" borderId="155" xfId="0" applyFill="1" applyBorder="1" applyProtection="1">
      <protection locked="0" hidden="1"/>
    </xf>
    <xf numFmtId="0" fontId="0" fillId="4" borderId="56" xfId="0" applyFill="1" applyBorder="1" applyProtection="1">
      <protection locked="0" hidden="1"/>
    </xf>
    <xf numFmtId="1" fontId="0" fillId="4" borderId="0" xfId="0" applyNumberFormat="1" applyFill="1" applyProtection="1">
      <protection locked="0"/>
    </xf>
    <xf numFmtId="0" fontId="5" fillId="5" borderId="11" xfId="0" applyFont="1" applyFill="1" applyBorder="1" applyAlignment="1" applyProtection="1">
      <alignment horizontal="center" vertical="top"/>
      <protection locked="0" hidden="1"/>
    </xf>
    <xf numFmtId="0" fontId="0" fillId="5" borderId="30" xfId="0" applyFill="1" applyBorder="1" applyProtection="1">
      <protection locked="0" hidden="1"/>
    </xf>
    <xf numFmtId="0" fontId="0" fillId="5" borderId="30" xfId="0" applyFill="1" applyBorder="1" applyAlignment="1" applyProtection="1">
      <alignment horizontal="left" vertical="top"/>
      <protection locked="0" hidden="1"/>
    </xf>
    <xf numFmtId="0" fontId="0" fillId="5" borderId="19" xfId="0" applyFill="1" applyBorder="1" applyProtection="1">
      <protection locked="0" hidden="1"/>
    </xf>
    <xf numFmtId="0" fontId="0" fillId="5" borderId="19" xfId="0" applyFill="1" applyBorder="1" applyAlignment="1" applyProtection="1">
      <alignment vertical="top"/>
      <protection locked="0" hidden="1"/>
    </xf>
    <xf numFmtId="0" fontId="0" fillId="5" borderId="22" xfId="0" applyFill="1" applyBorder="1" applyProtection="1">
      <protection locked="0" hidden="1"/>
    </xf>
    <xf numFmtId="0" fontId="0" fillId="5" borderId="21" xfId="0" applyFill="1" applyBorder="1" applyProtection="1">
      <protection locked="0" hidden="1"/>
    </xf>
    <xf numFmtId="0" fontId="0" fillId="5" borderId="23" xfId="0" applyFill="1" applyBorder="1" applyAlignment="1" applyProtection="1">
      <alignment horizontal="center" vertical="center"/>
      <protection locked="0" hidden="1"/>
    </xf>
    <xf numFmtId="2" fontId="0" fillId="5" borderId="25" xfId="0" applyNumberFormat="1" applyFill="1" applyBorder="1" applyAlignment="1" applyProtection="1">
      <alignment horizontal="center" vertical="center"/>
      <protection locked="0" hidden="1"/>
    </xf>
    <xf numFmtId="0" fontId="0" fillId="5" borderId="11" xfId="0" applyFill="1" applyBorder="1" applyAlignment="1" applyProtection="1">
      <alignment horizontal="left" vertical="top"/>
      <protection locked="0" hidden="1"/>
    </xf>
    <xf numFmtId="0" fontId="0" fillId="5" borderId="25" xfId="0" applyFill="1" applyBorder="1" applyAlignment="1" applyProtection="1">
      <alignment horizontal="center" vertical="center"/>
      <protection locked="0" hidden="1"/>
    </xf>
    <xf numFmtId="0" fontId="0" fillId="6" borderId="11" xfId="0" applyFill="1" applyBorder="1" applyProtection="1">
      <protection locked="0" hidden="1"/>
    </xf>
    <xf numFmtId="0" fontId="5" fillId="6" borderId="11" xfId="0" applyFont="1" applyFill="1" applyBorder="1" applyAlignment="1" applyProtection="1">
      <alignment horizontal="center" vertical="top"/>
      <protection locked="0" hidden="1"/>
    </xf>
    <xf numFmtId="0" fontId="0" fillId="6" borderId="17" xfId="0" applyFill="1" applyBorder="1" applyProtection="1">
      <protection locked="0" hidden="1"/>
    </xf>
    <xf numFmtId="0" fontId="5" fillId="6" borderId="17" xfId="0" applyFont="1" applyFill="1" applyBorder="1" applyAlignment="1" applyProtection="1">
      <alignment vertical="top"/>
      <protection locked="0" hidden="1"/>
    </xf>
    <xf numFmtId="0" fontId="0" fillId="6" borderId="19" xfId="0" applyFill="1" applyBorder="1" applyProtection="1">
      <protection locked="0" hidden="1"/>
    </xf>
    <xf numFmtId="0" fontId="0" fillId="6" borderId="19" xfId="0" applyFill="1" applyBorder="1" applyAlignment="1" applyProtection="1">
      <alignment vertical="top"/>
      <protection locked="0" hidden="1"/>
    </xf>
    <xf numFmtId="0" fontId="0" fillId="6" borderId="0" xfId="0" applyFill="1" applyAlignment="1" applyProtection="1">
      <alignment horizontal="center"/>
      <protection locked="0" hidden="1"/>
    </xf>
    <xf numFmtId="0" fontId="0" fillId="6" borderId="19" xfId="0" applyFill="1" applyBorder="1" applyAlignment="1" applyProtection="1">
      <alignment horizontal="center"/>
      <protection locked="0" hidden="1"/>
    </xf>
    <xf numFmtId="0" fontId="0" fillId="6" borderId="25" xfId="0" applyFill="1" applyBorder="1" applyProtection="1">
      <protection locked="0" hidden="1"/>
    </xf>
    <xf numFmtId="0" fontId="0" fillId="6" borderId="22" xfId="0" applyFill="1" applyBorder="1" applyProtection="1">
      <protection locked="0" hidden="1"/>
    </xf>
    <xf numFmtId="0" fontId="0" fillId="6" borderId="21" xfId="0" applyFill="1" applyBorder="1" applyProtection="1">
      <protection locked="0" hidden="1"/>
    </xf>
    <xf numFmtId="0" fontId="0" fillId="6" borderId="23" xfId="0" applyFill="1" applyBorder="1" applyAlignment="1" applyProtection="1">
      <alignment horizontal="center" vertical="center"/>
      <protection locked="0" hidden="1"/>
    </xf>
    <xf numFmtId="2" fontId="0" fillId="6" borderId="23" xfId="0" applyNumberFormat="1" applyFill="1" applyBorder="1" applyAlignment="1" applyProtection="1">
      <alignment horizontal="center" vertical="center"/>
      <protection locked="0" hidden="1"/>
    </xf>
    <xf numFmtId="0" fontId="0" fillId="6" borderId="30" xfId="0" applyFill="1" applyBorder="1" applyProtection="1">
      <protection locked="0" hidden="1"/>
    </xf>
    <xf numFmtId="0" fontId="0" fillId="6" borderId="30" xfId="0" applyFill="1" applyBorder="1" applyAlignment="1" applyProtection="1">
      <alignment horizontal="left" vertical="top"/>
      <protection locked="0" hidden="1"/>
    </xf>
    <xf numFmtId="2" fontId="0" fillId="6" borderId="25" xfId="0" applyNumberFormat="1" applyFill="1" applyBorder="1" applyAlignment="1" applyProtection="1">
      <alignment horizontal="center" vertical="center"/>
      <protection locked="0" hidden="1"/>
    </xf>
    <xf numFmtId="0" fontId="0" fillId="6" borderId="11" xfId="0" applyFill="1" applyBorder="1" applyAlignment="1" applyProtection="1">
      <alignment horizontal="left" vertical="top"/>
      <protection locked="0" hidden="1"/>
    </xf>
    <xf numFmtId="0" fontId="0" fillId="6" borderId="25" xfId="0" applyFill="1" applyBorder="1" applyAlignment="1" applyProtection="1">
      <alignment horizontal="center" vertical="center"/>
      <protection locked="0" hidden="1"/>
    </xf>
    <xf numFmtId="0" fontId="0" fillId="6" borderId="23" xfId="0" applyFill="1" applyBorder="1" applyProtection="1">
      <protection locked="0" hidden="1"/>
    </xf>
    <xf numFmtId="0" fontId="0" fillId="5" borderId="17" xfId="0" applyFill="1" applyBorder="1" applyProtection="1">
      <protection locked="0" hidden="1"/>
    </xf>
    <xf numFmtId="0" fontId="0" fillId="5" borderId="23" xfId="0" applyFill="1" applyBorder="1" applyProtection="1">
      <protection locked="0" hidden="1"/>
    </xf>
    <xf numFmtId="166" fontId="0" fillId="4" borderId="167" xfId="0" applyNumberFormat="1" applyFill="1" applyBorder="1" applyProtection="1">
      <protection locked="0" hidden="1"/>
    </xf>
    <xf numFmtId="167" fontId="0" fillId="6" borderId="0" xfId="0" applyNumberFormat="1" applyFill="1" applyAlignment="1" applyProtection="1">
      <alignment horizontal="center"/>
      <protection locked="0" hidden="1"/>
    </xf>
    <xf numFmtId="0" fontId="21" fillId="0" borderId="0" xfId="5" applyAlignment="1">
      <alignment horizontal="left" vertical="top"/>
    </xf>
    <xf numFmtId="0" fontId="21" fillId="0" borderId="0" xfId="5" applyAlignment="1">
      <alignment horizontal="left" vertical="top" wrapText="1"/>
    </xf>
    <xf numFmtId="0" fontId="21" fillId="0" borderId="0" xfId="5" applyAlignment="1">
      <alignment horizontal="left" wrapText="1"/>
    </xf>
    <xf numFmtId="0" fontId="21" fillId="0" borderId="179" xfId="5" applyBorder="1" applyAlignment="1">
      <alignment horizontal="left" wrapText="1"/>
    </xf>
    <xf numFmtId="0" fontId="24" fillId="0" borderId="179" xfId="5" applyFont="1" applyBorder="1" applyAlignment="1">
      <alignment horizontal="center" vertical="top" wrapText="1"/>
    </xf>
    <xf numFmtId="0" fontId="27" fillId="32" borderId="180" xfId="5" applyFont="1" applyFill="1" applyBorder="1" applyAlignment="1">
      <alignment horizontal="center" vertical="center" wrapText="1"/>
    </xf>
    <xf numFmtId="0" fontId="28" fillId="32" borderId="180" xfId="5" applyFont="1" applyFill="1" applyBorder="1" applyAlignment="1">
      <alignment horizontal="center" vertical="center" wrapText="1"/>
    </xf>
    <xf numFmtId="0" fontId="21" fillId="0" borderId="0" xfId="5" applyAlignment="1">
      <alignment horizontal="left" vertical="center" wrapText="1"/>
    </xf>
    <xf numFmtId="0" fontId="30" fillId="32" borderId="180" xfId="5" applyFont="1" applyFill="1" applyBorder="1" applyAlignment="1">
      <alignment horizontal="center" vertical="center" wrapText="1"/>
    </xf>
    <xf numFmtId="0" fontId="27" fillId="32" borderId="180" xfId="5" applyFont="1" applyFill="1" applyBorder="1" applyAlignment="1">
      <alignment horizontal="center" vertical="top" wrapText="1"/>
    </xf>
    <xf numFmtId="0" fontId="28" fillId="32" borderId="180" xfId="5" applyFont="1" applyFill="1" applyBorder="1" applyAlignment="1">
      <alignment horizontal="left" vertical="center" wrapText="1" indent="1"/>
    </xf>
    <xf numFmtId="0" fontId="28" fillId="0" borderId="180" xfId="5" applyFont="1" applyBorder="1" applyAlignment="1">
      <alignment horizontal="center" vertical="center" wrapText="1"/>
    </xf>
    <xf numFmtId="1" fontId="28" fillId="0" borderId="180" xfId="5" applyNumberFormat="1" applyFont="1" applyBorder="1" applyAlignment="1">
      <alignment horizontal="center" vertical="center" shrinkToFit="1"/>
    </xf>
    <xf numFmtId="0" fontId="30" fillId="0" borderId="180" xfId="5" applyFont="1" applyBorder="1" applyAlignment="1">
      <alignment horizontal="center" vertical="center" wrapText="1"/>
    </xf>
    <xf numFmtId="0" fontId="31" fillId="0" borderId="180" xfId="5" applyFont="1" applyBorder="1" applyAlignment="1">
      <alignment horizontal="center" vertical="top" wrapText="1"/>
    </xf>
    <xf numFmtId="0" fontId="31" fillId="0" borderId="180" xfId="5" applyFont="1" applyBorder="1" applyAlignment="1">
      <alignment horizontal="center" vertical="center" wrapText="1"/>
    </xf>
    <xf numFmtId="0" fontId="28" fillId="0" borderId="180" xfId="5" applyFont="1" applyBorder="1" applyAlignment="1">
      <alignment horizontal="left" vertical="center" wrapText="1"/>
    </xf>
    <xf numFmtId="1" fontId="28" fillId="32" borderId="180" xfId="5" applyNumberFormat="1" applyFont="1" applyFill="1" applyBorder="1" applyAlignment="1">
      <alignment horizontal="center" vertical="center" shrinkToFit="1"/>
    </xf>
    <xf numFmtId="0" fontId="31" fillId="32" borderId="180" xfId="5" applyFont="1" applyFill="1" applyBorder="1" applyAlignment="1">
      <alignment horizontal="center" vertical="center" wrapText="1"/>
    </xf>
    <xf numFmtId="0" fontId="0" fillId="0" borderId="187" xfId="0" applyBorder="1"/>
    <xf numFmtId="0" fontId="0" fillId="0" borderId="121" xfId="0" applyBorder="1" applyAlignment="1">
      <alignment horizontal="center"/>
    </xf>
    <xf numFmtId="0" fontId="0" fillId="0" borderId="191" xfId="0" applyBorder="1" applyAlignment="1">
      <alignment horizontal="center"/>
    </xf>
    <xf numFmtId="0" fontId="0" fillId="5" borderId="192" xfId="0" applyFill="1" applyBorder="1"/>
    <xf numFmtId="0" fontId="0" fillId="5" borderId="76" xfId="0" applyFill="1" applyBorder="1"/>
    <xf numFmtId="0" fontId="0" fillId="0" borderId="193" xfId="0" applyBorder="1"/>
    <xf numFmtId="0" fontId="0" fillId="0" borderId="20" xfId="0" applyBorder="1"/>
    <xf numFmtId="0" fontId="0" fillId="5" borderId="193" xfId="0" applyFill="1" applyBorder="1"/>
    <xf numFmtId="0" fontId="0" fillId="5" borderId="20" xfId="0" applyFill="1" applyBorder="1"/>
    <xf numFmtId="0" fontId="0" fillId="0" borderId="194" xfId="0" applyBorder="1"/>
    <xf numFmtId="0" fontId="0" fillId="0" borderId="26" xfId="0" applyBorder="1"/>
    <xf numFmtId="167" fontId="0" fillId="0" borderId="98" xfId="0" applyNumberFormat="1" applyBorder="1" applyAlignment="1">
      <alignment horizontal="center" vertical="center"/>
    </xf>
    <xf numFmtId="167" fontId="0" fillId="0" borderId="99" xfId="0" applyNumberFormat="1" applyBorder="1" applyAlignment="1">
      <alignment horizontal="center" vertical="center"/>
    </xf>
    <xf numFmtId="0" fontId="0" fillId="5" borderId="56" xfId="0" applyFill="1" applyBorder="1"/>
    <xf numFmtId="0" fontId="0" fillId="5" borderId="56" xfId="0" applyFill="1" applyBorder="1" applyAlignment="1">
      <alignment horizontal="right"/>
    </xf>
    <xf numFmtId="167" fontId="0" fillId="0" borderId="100" xfId="0" applyNumberFormat="1" applyBorder="1" applyAlignment="1">
      <alignment horizontal="center" vertical="center"/>
    </xf>
    <xf numFmtId="0" fontId="0" fillId="4" borderId="19" xfId="0" applyFill="1" applyBorder="1"/>
    <xf numFmtId="0" fontId="0" fillId="33" borderId="198" xfId="0" applyFill="1" applyBorder="1"/>
    <xf numFmtId="0" fontId="0" fillId="0" borderId="198" xfId="0" applyBorder="1"/>
    <xf numFmtId="0" fontId="0" fillId="5" borderId="81" xfId="0" applyFill="1" applyBorder="1"/>
    <xf numFmtId="0" fontId="0" fillId="5" borderId="85" xfId="0" applyFill="1" applyBorder="1"/>
    <xf numFmtId="0" fontId="0" fillId="5" borderId="23" xfId="0" applyFill="1" applyBorder="1"/>
    <xf numFmtId="0" fontId="0" fillId="5" borderId="24" xfId="0" applyFill="1" applyBorder="1"/>
    <xf numFmtId="0" fontId="0" fillId="5" borderId="21" xfId="0" applyFill="1" applyBorder="1"/>
    <xf numFmtId="0" fontId="0" fillId="5" borderId="88" xfId="0" applyFill="1" applyBorder="1"/>
    <xf numFmtId="0" fontId="0" fillId="5" borderId="38" xfId="0" applyFill="1" applyBorder="1"/>
    <xf numFmtId="0" fontId="6" fillId="4" borderId="18" xfId="0" applyFont="1" applyFill="1" applyBorder="1" applyAlignment="1">
      <alignment horizontal="center"/>
    </xf>
    <xf numFmtId="0" fontId="4" fillId="5" borderId="19" xfId="0" applyFont="1" applyFill="1" applyBorder="1" applyAlignment="1">
      <alignment vertical="center"/>
    </xf>
    <xf numFmtId="0" fontId="4" fillId="5" borderId="85" xfId="0" applyFont="1" applyFill="1" applyBorder="1" applyAlignment="1">
      <alignment vertical="center"/>
    </xf>
    <xf numFmtId="0" fontId="0" fillId="4" borderId="53" xfId="0" applyFill="1" applyBorder="1" applyAlignment="1" applyProtection="1">
      <alignment horizontal="left"/>
      <protection locked="0" hidden="1"/>
    </xf>
    <xf numFmtId="0" fontId="0" fillId="4" borderId="54" xfId="0" applyFill="1" applyBorder="1" applyAlignment="1" applyProtection="1">
      <alignment horizontal="left"/>
      <protection locked="0" hidden="1"/>
    </xf>
    <xf numFmtId="0" fontId="0" fillId="6" borderId="161" xfId="0" applyFill="1" applyBorder="1" applyAlignment="1" applyProtection="1">
      <alignment horizontal="center" vertical="center"/>
      <protection locked="0" hidden="1"/>
    </xf>
    <xf numFmtId="2" fontId="0" fillId="4" borderId="11" xfId="0" applyNumberFormat="1" applyFill="1" applyBorder="1" applyAlignment="1" applyProtection="1">
      <alignment horizontal="center"/>
      <protection locked="0" hidden="1"/>
    </xf>
    <xf numFmtId="166" fontId="0" fillId="4" borderId="59" xfId="0" applyNumberFormat="1" applyFill="1" applyBorder="1" applyProtection="1">
      <protection locked="0" hidden="1"/>
    </xf>
    <xf numFmtId="2" fontId="0" fillId="0" borderId="19" xfId="0" applyNumberFormat="1" applyBorder="1" applyAlignment="1" applyProtection="1">
      <alignment horizontal="center"/>
      <protection locked="0" hidden="1"/>
    </xf>
    <xf numFmtId="2" fontId="0" fillId="4" borderId="19" xfId="0" applyNumberFormat="1" applyFill="1" applyBorder="1" applyAlignment="1" applyProtection="1">
      <alignment horizontal="center"/>
      <protection locked="0" hidden="1"/>
    </xf>
    <xf numFmtId="166" fontId="0" fillId="0" borderId="19" xfId="0" applyNumberFormat="1" applyBorder="1" applyProtection="1">
      <protection locked="0" hidden="1"/>
    </xf>
    <xf numFmtId="1" fontId="0" fillId="0" borderId="19" xfId="0" applyNumberFormat="1" applyBorder="1" applyAlignment="1" applyProtection="1">
      <alignment horizontal="center"/>
      <protection locked="0" hidden="1"/>
    </xf>
    <xf numFmtId="1" fontId="0" fillId="4" borderId="19" xfId="0" applyNumberFormat="1" applyFill="1" applyBorder="1" applyAlignment="1" applyProtection="1">
      <alignment horizontal="center"/>
      <protection locked="0" hidden="1"/>
    </xf>
    <xf numFmtId="2" fontId="4" fillId="4" borderId="19" xfId="0" applyNumberFormat="1" applyFont="1" applyFill="1" applyBorder="1" applyAlignment="1" applyProtection="1">
      <alignment horizontal="center"/>
      <protection locked="0" hidden="1"/>
    </xf>
    <xf numFmtId="166" fontId="4" fillId="4" borderId="21" xfId="0" applyNumberFormat="1" applyFont="1" applyFill="1" applyBorder="1" applyProtection="1">
      <protection locked="0" hidden="1"/>
    </xf>
    <xf numFmtId="0" fontId="0" fillId="0" borderId="0" xfId="0" applyAlignment="1">
      <alignment horizontal="right" vertical="center"/>
    </xf>
    <xf numFmtId="170" fontId="0" fillId="0" borderId="19" xfId="0" applyNumberFormat="1" applyBorder="1" applyAlignment="1">
      <alignment horizontal="center" vertical="center"/>
    </xf>
    <xf numFmtId="170" fontId="0" fillId="0" borderId="23" xfId="0" applyNumberFormat="1" applyBorder="1" applyAlignment="1">
      <alignment horizontal="center" vertical="center"/>
    </xf>
    <xf numFmtId="170" fontId="0" fillId="0" borderId="11" xfId="0" applyNumberFormat="1" applyBorder="1" applyAlignment="1">
      <alignment horizontal="center" vertical="center"/>
    </xf>
    <xf numFmtId="0" fontId="0" fillId="8" borderId="19" xfId="0" applyFill="1" applyBorder="1"/>
    <xf numFmtId="170" fontId="0" fillId="0" borderId="20" xfId="0" applyNumberFormat="1" applyBorder="1" applyAlignment="1">
      <alignment horizontal="center" vertical="center"/>
    </xf>
    <xf numFmtId="0" fontId="4" fillId="0" borderId="199" xfId="0" applyFont="1" applyBorder="1" applyAlignment="1">
      <alignment horizontal="right"/>
    </xf>
    <xf numFmtId="170" fontId="0" fillId="0" borderId="191" xfId="0" applyNumberFormat="1" applyBorder="1" applyAlignment="1">
      <alignment horizontal="center"/>
    </xf>
    <xf numFmtId="170" fontId="0" fillId="0" borderId="200" xfId="0" applyNumberFormat="1" applyBorder="1" applyAlignment="1">
      <alignment horizontal="center"/>
    </xf>
    <xf numFmtId="170" fontId="0" fillId="0" borderId="0" xfId="0" applyNumberFormat="1" applyAlignment="1">
      <alignment horizontal="center" vertical="center"/>
    </xf>
    <xf numFmtId="0" fontId="0" fillId="4" borderId="183" xfId="0" applyFill="1" applyBorder="1"/>
    <xf numFmtId="0" fontId="0" fillId="4" borderId="184" xfId="0" applyFill="1" applyBorder="1"/>
    <xf numFmtId="0" fontId="0" fillId="4" borderId="185" xfId="0" applyFill="1" applyBorder="1"/>
    <xf numFmtId="0" fontId="0" fillId="4" borderId="186" xfId="0" applyFill="1" applyBorder="1"/>
    <xf numFmtId="0" fontId="0" fillId="4" borderId="187" xfId="0" applyFill="1" applyBorder="1"/>
    <xf numFmtId="0" fontId="0" fillId="4" borderId="98" xfId="0" applyFill="1" applyBorder="1"/>
    <xf numFmtId="0" fontId="0" fillId="4" borderId="99" xfId="0" applyFill="1" applyBorder="1"/>
    <xf numFmtId="0" fontId="0" fillId="4" borderId="100" xfId="0" applyFill="1" applyBorder="1"/>
    <xf numFmtId="0" fontId="0" fillId="4" borderId="195" xfId="0" applyFill="1" applyBorder="1"/>
    <xf numFmtId="0" fontId="0" fillId="4" borderId="196" xfId="0" applyFill="1" applyBorder="1"/>
    <xf numFmtId="0" fontId="0" fillId="4" borderId="197" xfId="0" applyFill="1" applyBorder="1"/>
    <xf numFmtId="0" fontId="18" fillId="0" borderId="0" xfId="0" applyFont="1"/>
    <xf numFmtId="0" fontId="0" fillId="0" borderId="38" xfId="0" applyBorder="1"/>
    <xf numFmtId="0" fontId="0" fillId="0" borderId="62" xfId="0" applyBorder="1"/>
    <xf numFmtId="0" fontId="0" fillId="0" borderId="63" xfId="0" applyBorder="1"/>
    <xf numFmtId="0" fontId="0" fillId="0" borderId="36" xfId="0" applyBorder="1"/>
    <xf numFmtId="0" fontId="0" fillId="0" borderId="59" xfId="0" applyBorder="1"/>
    <xf numFmtId="0" fontId="0" fillId="0" borderId="58" xfId="0" applyBorder="1"/>
    <xf numFmtId="0" fontId="0" fillId="4" borderId="121" xfId="0" applyFill="1" applyBorder="1" applyAlignment="1">
      <alignment horizontal="center" vertical="center"/>
    </xf>
    <xf numFmtId="49" fontId="0" fillId="4" borderId="201" xfId="0" applyNumberFormat="1" applyFill="1" applyBorder="1" applyAlignment="1">
      <alignment vertical="center"/>
    </xf>
    <xf numFmtId="0" fontId="0" fillId="4" borderId="19" xfId="0" applyFill="1" applyBorder="1" applyAlignment="1" applyProtection="1">
      <alignment horizontal="center" vertical="top"/>
      <protection locked="0" hidden="1"/>
    </xf>
    <xf numFmtId="9" fontId="0" fillId="4" borderId="0" xfId="2" applyFont="1" applyFill="1" applyProtection="1">
      <protection locked="0"/>
    </xf>
    <xf numFmtId="167" fontId="39" fillId="4" borderId="0" xfId="0" applyNumberFormat="1" applyFont="1" applyFill="1" applyProtection="1">
      <protection locked="0"/>
    </xf>
    <xf numFmtId="9" fontId="39" fillId="4" borderId="0" xfId="2" applyFont="1" applyFill="1" applyProtection="1">
      <protection locked="0"/>
    </xf>
    <xf numFmtId="0" fontId="0" fillId="5" borderId="0" xfId="0" applyFill="1" applyAlignment="1">
      <alignment horizontal="left"/>
    </xf>
    <xf numFmtId="166" fontId="0" fillId="5" borderId="0" xfId="0" applyNumberFormat="1" applyFill="1" applyAlignment="1">
      <alignment horizontal="right"/>
    </xf>
    <xf numFmtId="0" fontId="42" fillId="4" borderId="19" xfId="0" applyFont="1" applyFill="1" applyBorder="1"/>
    <xf numFmtId="0" fontId="42" fillId="4" borderId="11" xfId="0" applyFont="1" applyFill="1" applyBorder="1"/>
    <xf numFmtId="0" fontId="0" fillId="4" borderId="0" xfId="0" applyFill="1" applyAlignment="1">
      <alignment wrapText="1"/>
    </xf>
    <xf numFmtId="0" fontId="0" fillId="4" borderId="15" xfId="0" applyFill="1" applyBorder="1" applyAlignment="1">
      <alignment vertical="top" wrapText="1"/>
    </xf>
    <xf numFmtId="0" fontId="0" fillId="4" borderId="59" xfId="0" applyFill="1" applyBorder="1" applyAlignment="1">
      <alignment vertical="top" wrapText="1"/>
    </xf>
    <xf numFmtId="0" fontId="0" fillId="4" borderId="38" xfId="0" applyFill="1" applyBorder="1" applyAlignment="1">
      <alignment vertical="top" wrapText="1"/>
    </xf>
    <xf numFmtId="0" fontId="0" fillId="4" borderId="73" xfId="0" applyFill="1" applyBorder="1" applyAlignment="1">
      <alignment vertical="top" wrapText="1"/>
    </xf>
    <xf numFmtId="0" fontId="0" fillId="5" borderId="79" xfId="0" applyFill="1" applyBorder="1"/>
    <xf numFmtId="0" fontId="2" fillId="2" borderId="0" xfId="3"/>
    <xf numFmtId="167" fontId="2" fillId="2" borderId="0" xfId="3" applyNumberFormat="1"/>
    <xf numFmtId="2" fontId="0" fillId="0" borderId="57" xfId="0" applyNumberFormat="1" applyBorder="1"/>
    <xf numFmtId="2" fontId="0" fillId="0" borderId="190" xfId="0" applyNumberFormat="1" applyBorder="1"/>
    <xf numFmtId="2" fontId="0" fillId="0" borderId="19" xfId="0" applyNumberFormat="1" applyBorder="1" applyAlignment="1">
      <alignment horizontal="center"/>
    </xf>
    <xf numFmtId="167" fontId="0" fillId="0" borderId="202" xfId="0" applyNumberFormat="1" applyBorder="1" applyAlignment="1">
      <alignment horizontal="center" vertical="center"/>
    </xf>
    <xf numFmtId="167" fontId="0" fillId="0" borderId="97" xfId="0" applyNumberFormat="1" applyBorder="1" applyAlignment="1">
      <alignment horizontal="center" vertical="center"/>
    </xf>
    <xf numFmtId="0" fontId="0" fillId="33" borderId="203" xfId="0" applyFill="1" applyBorder="1"/>
    <xf numFmtId="0" fontId="0" fillId="0" borderId="203" xfId="0" applyBorder="1"/>
    <xf numFmtId="0" fontId="0" fillId="0" borderId="21" xfId="0" applyBorder="1"/>
    <xf numFmtId="167" fontId="0" fillId="0" borderId="19" xfId="0" applyNumberFormat="1" applyBorder="1"/>
    <xf numFmtId="167" fontId="0" fillId="0" borderId="19" xfId="0" applyNumberFormat="1" applyBorder="1" applyAlignment="1">
      <alignment horizontal="center"/>
    </xf>
    <xf numFmtId="0" fontId="0" fillId="4" borderId="204" xfId="0" applyFill="1" applyBorder="1" applyProtection="1">
      <protection locked="0" hidden="1"/>
    </xf>
    <xf numFmtId="0" fontId="0" fillId="4" borderId="65" xfId="0" applyFill="1" applyBorder="1" applyProtection="1">
      <protection locked="0" hidden="1"/>
    </xf>
    <xf numFmtId="0" fontId="0" fillId="0" borderId="155" xfId="0" applyBorder="1" applyProtection="1">
      <protection locked="0" hidden="1"/>
    </xf>
    <xf numFmtId="0" fontId="0" fillId="0" borderId="22" xfId="0" applyBorder="1" applyProtection="1">
      <protection locked="0" hidden="1"/>
    </xf>
    <xf numFmtId="0" fontId="0" fillId="0" borderId="19" xfId="0" applyBorder="1" applyAlignment="1">
      <alignment horizontal="left"/>
    </xf>
    <xf numFmtId="0" fontId="43" fillId="35" borderId="19" xfId="7" applyBorder="1"/>
    <xf numFmtId="0" fontId="10" fillId="0" borderId="19" xfId="7" applyFont="1" applyFill="1" applyBorder="1"/>
    <xf numFmtId="0" fontId="0" fillId="36" borderId="19" xfId="0" applyFill="1" applyBorder="1"/>
    <xf numFmtId="166" fontId="18" fillId="5" borderId="131" xfId="0" applyNumberFormat="1" applyFont="1" applyFill="1" applyBorder="1" applyAlignment="1">
      <alignment horizontal="center"/>
    </xf>
    <xf numFmtId="166" fontId="18" fillId="5" borderId="134" xfId="0" applyNumberFormat="1" applyFont="1" applyFill="1" applyBorder="1" applyAlignment="1">
      <alignment horizontal="center"/>
    </xf>
    <xf numFmtId="0" fontId="3" fillId="3" borderId="205" xfId="0" applyFont="1" applyFill="1" applyBorder="1"/>
    <xf numFmtId="0" fontId="0" fillId="33" borderId="205" xfId="0" applyFill="1" applyBorder="1"/>
    <xf numFmtId="0" fontId="43" fillId="0" borderId="19" xfId="7" applyFill="1" applyBorder="1"/>
    <xf numFmtId="0" fontId="43" fillId="15" borderId="19" xfId="7" applyFill="1" applyBorder="1"/>
    <xf numFmtId="0" fontId="0" fillId="4" borderId="66" xfId="0" applyFill="1" applyBorder="1"/>
    <xf numFmtId="0" fontId="0" fillId="4" borderId="32" xfId="0" applyFill="1" applyBorder="1" applyAlignment="1">
      <alignment wrapText="1"/>
    </xf>
    <xf numFmtId="0" fontId="0" fillId="5" borderId="206" xfId="0" applyFill="1" applyBorder="1"/>
    <xf numFmtId="166" fontId="0" fillId="5" borderId="108" xfId="0" applyNumberFormat="1" applyFill="1" applyBorder="1"/>
    <xf numFmtId="0" fontId="0" fillId="5" borderId="104" xfId="0" applyFill="1" applyBorder="1"/>
    <xf numFmtId="166" fontId="0" fillId="5" borderId="103" xfId="0" applyNumberFormat="1" applyFill="1" applyBorder="1"/>
    <xf numFmtId="0" fontId="0" fillId="0" borderId="0" xfId="0" applyAlignment="1">
      <alignment vertical="top"/>
    </xf>
    <xf numFmtId="166" fontId="18" fillId="4" borderId="136" xfId="0" applyNumberFormat="1" applyFont="1" applyFill="1" applyBorder="1" applyAlignment="1">
      <alignment horizontal="center"/>
    </xf>
    <xf numFmtId="0" fontId="0" fillId="4" borderId="32" xfId="0" applyFill="1" applyBorder="1" applyAlignment="1">
      <alignment horizontal="center"/>
    </xf>
    <xf numFmtId="0" fontId="0" fillId="4" borderId="80" xfId="0" applyFill="1" applyBorder="1" applyAlignment="1">
      <alignment horizontal="center"/>
    </xf>
    <xf numFmtId="166" fontId="18" fillId="0" borderId="23" xfId="0" applyNumberFormat="1" applyFont="1" applyBorder="1" applyAlignment="1">
      <alignment horizontal="center"/>
    </xf>
    <xf numFmtId="166" fontId="41" fillId="4" borderId="208" xfId="0" applyNumberFormat="1" applyFont="1" applyFill="1" applyBorder="1" applyAlignment="1">
      <alignment horizontal="center"/>
    </xf>
    <xf numFmtId="0" fontId="4" fillId="5" borderId="121" xfId="0" applyFont="1" applyFill="1" applyBorder="1"/>
    <xf numFmtId="0" fontId="0" fillId="5" borderId="123" xfId="0" applyFill="1" applyBorder="1"/>
    <xf numFmtId="0" fontId="0" fillId="5" borderId="120" xfId="0" applyFill="1" applyBorder="1"/>
    <xf numFmtId="0" fontId="4" fillId="5" borderId="121" xfId="0" applyFont="1" applyFill="1" applyBorder="1" applyAlignment="1">
      <alignment horizontal="left"/>
    </xf>
    <xf numFmtId="0" fontId="49" fillId="0" borderId="0" xfId="0" applyFont="1"/>
    <xf numFmtId="0" fontId="7" fillId="4" borderId="0" xfId="4" applyFill="1" applyBorder="1" applyAlignment="1">
      <alignment wrapText="1"/>
    </xf>
    <xf numFmtId="0" fontId="18" fillId="5" borderId="87" xfId="0" applyFont="1" applyFill="1" applyBorder="1" applyAlignment="1">
      <alignment horizontal="center"/>
    </xf>
    <xf numFmtId="166" fontId="18" fillId="5" borderId="129" xfId="0" applyNumberFormat="1" applyFont="1" applyFill="1" applyBorder="1" applyAlignment="1">
      <alignment horizontal="center"/>
    </xf>
    <xf numFmtId="166" fontId="18" fillId="5" borderId="210" xfId="0" applyNumberFormat="1" applyFont="1" applyFill="1" applyBorder="1" applyAlignment="1">
      <alignment horizontal="center"/>
    </xf>
    <xf numFmtId="166" fontId="18" fillId="5" borderId="211" xfId="0" applyNumberFormat="1" applyFont="1" applyFill="1" applyBorder="1" applyAlignment="1">
      <alignment horizontal="center"/>
    </xf>
    <xf numFmtId="166" fontId="18" fillId="5" borderId="122" xfId="0" applyNumberFormat="1" applyFont="1" applyFill="1" applyBorder="1" applyAlignment="1">
      <alignment horizontal="center"/>
    </xf>
    <xf numFmtId="0" fontId="8" fillId="5" borderId="82" xfId="0" applyFont="1" applyFill="1" applyBorder="1" applyAlignment="1">
      <alignment horizontal="right" vertical="center" wrapText="1"/>
    </xf>
    <xf numFmtId="0" fontId="8" fillId="5" borderId="41" xfId="0" applyFont="1" applyFill="1" applyBorder="1" applyAlignment="1">
      <alignment horizontal="right" vertical="center" wrapText="1"/>
    </xf>
    <xf numFmtId="0" fontId="8" fillId="5" borderId="83" xfId="0" applyFont="1" applyFill="1" applyBorder="1" applyAlignment="1">
      <alignment horizontal="right" vertical="center" wrapText="1"/>
    </xf>
    <xf numFmtId="0" fontId="8" fillId="8" borderId="83" xfId="0" applyFont="1" applyFill="1" applyBorder="1" applyAlignment="1">
      <alignment horizontal="right" vertical="center" wrapText="1"/>
    </xf>
    <xf numFmtId="0" fontId="8" fillId="8" borderId="41" xfId="0" applyFont="1" applyFill="1" applyBorder="1" applyAlignment="1">
      <alignment horizontal="right" vertical="center" wrapText="1"/>
    </xf>
    <xf numFmtId="0" fontId="8" fillId="8" borderId="82" xfId="0" applyFont="1" applyFill="1" applyBorder="1" applyAlignment="1">
      <alignment horizontal="right" vertical="center" wrapText="1"/>
    </xf>
    <xf numFmtId="0" fontId="0" fillId="0" borderId="215" xfId="0" applyBorder="1"/>
    <xf numFmtId="0" fontId="3" fillId="3" borderId="216" xfId="0" applyFont="1" applyFill="1" applyBorder="1"/>
    <xf numFmtId="0" fontId="0" fillId="33" borderId="216" xfId="0" applyFill="1" applyBorder="1"/>
    <xf numFmtId="0" fontId="0" fillId="0" borderId="216" xfId="0" applyBorder="1"/>
    <xf numFmtId="166" fontId="18" fillId="5" borderId="209" xfId="0" applyNumberFormat="1" applyFont="1" applyFill="1" applyBorder="1" applyAlignment="1">
      <alignment horizontal="center"/>
    </xf>
    <xf numFmtId="166" fontId="18" fillId="5" borderId="217" xfId="0" applyNumberFormat="1" applyFont="1" applyFill="1" applyBorder="1" applyAlignment="1">
      <alignment horizontal="center"/>
    </xf>
    <xf numFmtId="9" fontId="14" fillId="0" borderId="0" xfId="0" applyNumberFormat="1" applyFont="1"/>
    <xf numFmtId="0" fontId="52" fillId="0" borderId="0" xfId="0" applyFont="1"/>
    <xf numFmtId="166" fontId="0" fillId="5" borderId="126" xfId="0" applyNumberFormat="1" applyFill="1" applyBorder="1"/>
    <xf numFmtId="2" fontId="0" fillId="0" borderId="222" xfId="0" applyNumberFormat="1" applyBorder="1" applyAlignment="1">
      <alignment horizontal="center"/>
    </xf>
    <xf numFmtId="2" fontId="0" fillId="0" borderId="223" xfId="0" applyNumberFormat="1" applyBorder="1" applyAlignment="1">
      <alignment horizontal="center"/>
    </xf>
    <xf numFmtId="2" fontId="0" fillId="0" borderId="224" xfId="0" applyNumberFormat="1" applyBorder="1" applyAlignment="1">
      <alignment horizontal="center"/>
    </xf>
    <xf numFmtId="0" fontId="0" fillId="0" borderId="225" xfId="0" applyBorder="1"/>
    <xf numFmtId="0" fontId="0" fillId="0" borderId="226" xfId="0" applyBorder="1"/>
    <xf numFmtId="0" fontId="0" fillId="0" borderId="227" xfId="0" applyBorder="1"/>
    <xf numFmtId="166" fontId="6" fillId="0" borderId="38" xfId="0" applyNumberFormat="1" applyFont="1" applyBorder="1" applyAlignment="1">
      <alignment horizontal="center"/>
    </xf>
    <xf numFmtId="166" fontId="40" fillId="8" borderId="214" xfId="0" applyNumberFormat="1" applyFont="1" applyFill="1" applyBorder="1" applyAlignment="1">
      <alignment horizontal="center"/>
    </xf>
    <xf numFmtId="0" fontId="55" fillId="0" borderId="19" xfId="0" applyFont="1" applyBorder="1" applyAlignment="1">
      <alignment horizontal="center"/>
    </xf>
    <xf numFmtId="166" fontId="6" fillId="24" borderId="213" xfId="0" applyNumberFormat="1" applyFont="1" applyFill="1" applyBorder="1" applyAlignment="1">
      <alignment horizontal="center"/>
    </xf>
    <xf numFmtId="9" fontId="56" fillId="16" borderId="212" xfId="0" applyNumberFormat="1" applyFont="1" applyFill="1" applyBorder="1" applyAlignment="1">
      <alignment horizontal="center" vertical="center" wrapText="1"/>
    </xf>
    <xf numFmtId="166" fontId="40" fillId="30" borderId="219" xfId="0" applyNumberFormat="1" applyFont="1" applyFill="1" applyBorder="1" applyAlignment="1">
      <alignment horizontal="center" vertical="center"/>
    </xf>
    <xf numFmtId="0" fontId="0" fillId="4" borderId="21" xfId="0" applyFill="1" applyBorder="1" applyAlignment="1">
      <alignment vertical="top" wrapText="1"/>
    </xf>
    <xf numFmtId="14" fontId="0" fillId="4" borderId="22" xfId="0" applyNumberFormat="1" applyFill="1" applyBorder="1" applyAlignment="1">
      <alignment vertical="top"/>
    </xf>
    <xf numFmtId="14" fontId="0" fillId="4" borderId="74" xfId="0" applyNumberFormat="1" applyFill="1" applyBorder="1" applyAlignment="1">
      <alignment vertical="top"/>
    </xf>
    <xf numFmtId="0" fontId="4" fillId="38" borderId="87" xfId="0" applyFont="1" applyFill="1" applyBorder="1" applyAlignment="1">
      <alignment horizontal="center"/>
    </xf>
    <xf numFmtId="167" fontId="56" fillId="16" borderId="229" xfId="0" applyNumberFormat="1" applyFont="1" applyFill="1" applyBorder="1" applyAlignment="1">
      <alignment horizontal="center" vertical="center"/>
    </xf>
    <xf numFmtId="166" fontId="40" fillId="30" borderId="90" xfId="0" applyNumberFormat="1" applyFont="1" applyFill="1" applyBorder="1" applyAlignment="1">
      <alignment horizontal="center" vertical="center"/>
    </xf>
    <xf numFmtId="0" fontId="0" fillId="4" borderId="231" xfId="0" applyFill="1" applyBorder="1"/>
    <xf numFmtId="0" fontId="0" fillId="4" borderId="62" xfId="0" applyFill="1" applyBorder="1"/>
    <xf numFmtId="14" fontId="0" fillId="4" borderId="49" xfId="0" applyNumberFormat="1" applyFill="1" applyBorder="1" applyAlignment="1">
      <alignment vertical="center"/>
    </xf>
    <xf numFmtId="14" fontId="0" fillId="4" borderId="0" xfId="0" applyNumberFormat="1" applyFill="1" applyAlignment="1">
      <alignment vertical="center"/>
    </xf>
    <xf numFmtId="20" fontId="0" fillId="0" borderId="0" xfId="0" applyNumberFormat="1"/>
    <xf numFmtId="0" fontId="25" fillId="0" borderId="179" xfId="5" applyFont="1" applyBorder="1" applyAlignment="1">
      <alignment horizontal="center" vertical="top" wrapText="1"/>
    </xf>
    <xf numFmtId="0" fontId="26" fillId="0" borderId="179" xfId="5" applyFont="1" applyBorder="1" applyAlignment="1">
      <alignment horizontal="center" vertical="top" wrapText="1"/>
    </xf>
    <xf numFmtId="0" fontId="33" fillId="32" borderId="180" xfId="5" applyFont="1" applyFill="1" applyBorder="1" applyAlignment="1">
      <alignment horizontal="center" vertical="top" wrapText="1"/>
    </xf>
    <xf numFmtId="0" fontId="33" fillId="0" borderId="180" xfId="5" applyFont="1" applyBorder="1" applyAlignment="1">
      <alignment horizontal="center" vertical="center" wrapText="1"/>
    </xf>
    <xf numFmtId="0" fontId="30" fillId="0" borderId="180" xfId="5" applyFont="1" applyBorder="1" applyAlignment="1">
      <alignment horizontal="center" vertical="top" wrapText="1"/>
    </xf>
    <xf numFmtId="0" fontId="59" fillId="32" borderId="180" xfId="5" applyFont="1" applyFill="1" applyBorder="1" applyAlignment="1">
      <alignment horizontal="center" vertical="center" wrapText="1"/>
    </xf>
    <xf numFmtId="0" fontId="20" fillId="0" borderId="180" xfId="5" applyFont="1" applyBorder="1" applyAlignment="1">
      <alignment horizontal="center" vertical="center" wrapText="1"/>
    </xf>
    <xf numFmtId="0" fontId="30" fillId="39" borderId="180" xfId="5" applyFont="1" applyFill="1" applyBorder="1" applyAlignment="1">
      <alignment horizontal="center" vertical="center" wrapText="1"/>
    </xf>
    <xf numFmtId="0" fontId="31" fillId="39" borderId="180" xfId="5" applyFont="1" applyFill="1" applyBorder="1" applyAlignment="1">
      <alignment horizontal="center" vertical="center" wrapText="1"/>
    </xf>
    <xf numFmtId="0" fontId="4" fillId="5" borderId="20" xfId="0" applyFont="1" applyFill="1" applyBorder="1"/>
    <xf numFmtId="0" fontId="0" fillId="4" borderId="38" xfId="0" applyFill="1" applyBorder="1" applyAlignment="1" applyProtection="1">
      <alignment horizontal="left" vertical="top"/>
      <protection locked="0"/>
    </xf>
    <xf numFmtId="0" fontId="0" fillId="4" borderId="62" xfId="0" applyFill="1" applyBorder="1" applyAlignment="1" applyProtection="1">
      <alignment horizontal="left" vertical="top"/>
      <protection locked="0"/>
    </xf>
    <xf numFmtId="0" fontId="0" fillId="4" borderId="63" xfId="0" applyFill="1" applyBorder="1" applyAlignment="1" applyProtection="1">
      <alignment horizontal="left" vertical="top"/>
      <protection locked="0"/>
    </xf>
    <xf numFmtId="0" fontId="0" fillId="4" borderId="37"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36" xfId="0" applyFill="1" applyBorder="1" applyAlignment="1" applyProtection="1">
      <alignment horizontal="left" vertical="top"/>
      <protection locked="0"/>
    </xf>
    <xf numFmtId="0" fontId="0" fillId="4" borderId="59" xfId="0" applyFill="1" applyBorder="1" applyAlignment="1" applyProtection="1">
      <alignment horizontal="left" vertical="top"/>
      <protection locked="0"/>
    </xf>
    <xf numFmtId="0" fontId="0" fillId="4" borderId="54" xfId="0" applyFill="1" applyBorder="1" applyAlignment="1" applyProtection="1">
      <alignment horizontal="left" vertical="top"/>
      <protection locked="0"/>
    </xf>
    <xf numFmtId="0" fontId="0" fillId="4" borderId="58" xfId="0" applyFill="1" applyBorder="1" applyAlignment="1" applyProtection="1">
      <alignment horizontal="left" vertical="top"/>
      <protection locked="0"/>
    </xf>
    <xf numFmtId="0" fontId="0" fillId="6" borderId="10" xfId="0" applyFill="1" applyBorder="1" applyAlignment="1" applyProtection="1">
      <alignment horizontal="center" vertical="center"/>
      <protection locked="0" hidden="1"/>
    </xf>
    <xf numFmtId="0" fontId="0" fillId="6" borderId="12" xfId="0" applyFill="1" applyBorder="1" applyAlignment="1" applyProtection="1">
      <alignment horizontal="center" vertical="center" wrapText="1"/>
      <protection locked="0" hidden="1"/>
    </xf>
    <xf numFmtId="0" fontId="0" fillId="6" borderId="20" xfId="0" applyFill="1" applyBorder="1" applyAlignment="1" applyProtection="1">
      <alignment horizontal="center" vertical="center" wrapText="1"/>
      <protection locked="0" hidden="1"/>
    </xf>
    <xf numFmtId="0" fontId="0" fillId="6" borderId="12" xfId="0" applyFill="1" applyBorder="1" applyAlignment="1" applyProtection="1">
      <alignment horizontal="center" vertical="center"/>
      <protection locked="0" hidden="1"/>
    </xf>
    <xf numFmtId="0" fontId="0" fillId="6" borderId="20" xfId="0" applyFill="1" applyBorder="1" applyAlignment="1" applyProtection="1">
      <alignment horizontal="center" vertical="center"/>
      <protection locked="0" hidden="1"/>
    </xf>
    <xf numFmtId="0" fontId="0" fillId="6" borderId="124" xfId="0" applyFill="1" applyBorder="1" applyAlignment="1" applyProtection="1">
      <alignment horizontal="center" vertical="center"/>
      <protection locked="0" hidden="1"/>
    </xf>
    <xf numFmtId="0" fontId="0" fillId="6" borderId="13" xfId="0" applyFill="1" applyBorder="1" applyAlignment="1" applyProtection="1">
      <alignment horizontal="center"/>
      <protection locked="0" hidden="1"/>
    </xf>
    <xf numFmtId="0" fontId="0" fillId="6" borderId="14" xfId="0" applyFill="1" applyBorder="1" applyAlignment="1" applyProtection="1">
      <alignment horizontal="center"/>
      <protection locked="0" hidden="1"/>
    </xf>
    <xf numFmtId="0" fontId="0" fillId="6" borderId="26" xfId="0" applyFill="1" applyBorder="1" applyAlignment="1" applyProtection="1">
      <alignment horizontal="center" vertical="center" wrapText="1"/>
      <protection locked="0" hidden="1"/>
    </xf>
    <xf numFmtId="0" fontId="0" fillId="5" borderId="12"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protection locked="0" hidden="1"/>
    </xf>
    <xf numFmtId="0" fontId="0" fillId="5" borderId="26" xfId="0" applyFill="1" applyBorder="1" applyAlignment="1" applyProtection="1">
      <alignment horizontal="center" vertical="center"/>
      <protection locked="0" hidden="1"/>
    </xf>
    <xf numFmtId="0" fontId="0" fillId="5" borderId="21" xfId="0" applyFill="1" applyBorder="1" applyAlignment="1" applyProtection="1">
      <alignment horizontal="center"/>
      <protection locked="0" hidden="1"/>
    </xf>
    <xf numFmtId="0" fontId="0" fillId="5" borderId="22" xfId="0" applyFill="1" applyBorder="1" applyAlignment="1" applyProtection="1">
      <alignment horizontal="center"/>
      <protection locked="0" hidden="1"/>
    </xf>
    <xf numFmtId="0" fontId="0" fillId="6" borderId="27" xfId="0" applyFill="1" applyBorder="1" applyAlignment="1" applyProtection="1">
      <alignment horizontal="right"/>
      <protection locked="0" hidden="1"/>
    </xf>
    <xf numFmtId="0" fontId="0" fillId="6" borderId="28" xfId="0" applyFill="1" applyBorder="1" applyAlignment="1" applyProtection="1">
      <alignment horizontal="right"/>
      <protection locked="0" hidden="1"/>
    </xf>
    <xf numFmtId="0" fontId="0" fillId="6" borderId="27" xfId="0" applyFill="1" applyBorder="1" applyAlignment="1" applyProtection="1">
      <alignment horizontal="left" vertical="top"/>
      <protection locked="0" hidden="1"/>
    </xf>
    <xf numFmtId="0" fontId="0" fillId="6" borderId="29" xfId="0" applyFill="1" applyBorder="1" applyAlignment="1" applyProtection="1">
      <alignment horizontal="left" vertical="top"/>
      <protection locked="0" hidden="1"/>
    </xf>
    <xf numFmtId="0" fontId="0" fillId="6" borderId="28" xfId="0" applyFill="1" applyBorder="1" applyAlignment="1" applyProtection="1">
      <alignment horizontal="left" vertical="top"/>
      <protection locked="0" hidden="1"/>
    </xf>
    <xf numFmtId="0" fontId="0" fillId="5" borderId="12" xfId="0" applyFill="1" applyBorder="1" applyAlignment="1" applyProtection="1">
      <alignment horizontal="center" vertical="center" wrapText="1"/>
      <protection locked="0" hidden="1"/>
    </xf>
    <xf numFmtId="0" fontId="0" fillId="5" borderId="20" xfId="0" applyFill="1" applyBorder="1" applyAlignment="1" applyProtection="1">
      <alignment horizontal="center" vertical="center" wrapText="1"/>
      <protection locked="0" hidden="1"/>
    </xf>
    <xf numFmtId="0" fontId="0" fillId="5" borderId="124" xfId="0" applyFill="1" applyBorder="1" applyAlignment="1" applyProtection="1">
      <alignment horizontal="center" vertical="center"/>
      <protection locked="0" hidden="1"/>
    </xf>
    <xf numFmtId="0" fontId="0" fillId="5" borderId="27" xfId="0" applyFill="1" applyBorder="1" applyAlignment="1" applyProtection="1">
      <alignment horizontal="left" vertical="top"/>
      <protection locked="0" hidden="1"/>
    </xf>
    <xf numFmtId="0" fontId="0" fillId="5" borderId="29" xfId="0" applyFill="1" applyBorder="1" applyAlignment="1" applyProtection="1">
      <alignment horizontal="left" vertical="top"/>
      <protection locked="0" hidden="1"/>
    </xf>
    <xf numFmtId="0" fontId="0" fillId="5" borderId="28" xfId="0" applyFill="1" applyBorder="1" applyAlignment="1" applyProtection="1">
      <alignment horizontal="left" vertical="top"/>
      <protection locked="0" hidden="1"/>
    </xf>
    <xf numFmtId="0" fontId="0" fillId="5" borderId="27" xfId="0" applyFill="1" applyBorder="1" applyAlignment="1" applyProtection="1">
      <alignment horizontal="right"/>
      <protection locked="0" hidden="1"/>
    </xf>
    <xf numFmtId="0" fontId="0" fillId="5" borderId="28" xfId="0" applyFill="1" applyBorder="1" applyAlignment="1" applyProtection="1">
      <alignment horizontal="right"/>
      <protection locked="0" hidden="1"/>
    </xf>
    <xf numFmtId="0" fontId="0" fillId="6" borderId="26" xfId="0" applyFill="1" applyBorder="1" applyAlignment="1" applyProtection="1">
      <alignment horizontal="center" vertical="center"/>
      <protection locked="0" hidden="1"/>
    </xf>
    <xf numFmtId="0" fontId="0" fillId="6" borderId="15" xfId="0" applyFill="1" applyBorder="1" applyAlignment="1" applyProtection="1">
      <alignment horizontal="right"/>
      <protection locked="0" hidden="1"/>
    </xf>
    <xf numFmtId="0" fontId="0" fillId="6" borderId="16" xfId="0" applyFill="1" applyBorder="1" applyAlignment="1" applyProtection="1">
      <alignment horizontal="right"/>
      <protection locked="0" hidden="1"/>
    </xf>
    <xf numFmtId="0" fontId="0" fillId="5" borderId="15" xfId="0" applyFill="1" applyBorder="1" applyAlignment="1" applyProtection="1">
      <alignment horizontal="right"/>
      <protection locked="0" hidden="1"/>
    </xf>
    <xf numFmtId="0" fontId="0" fillId="5" borderId="16" xfId="0" applyFill="1" applyBorder="1" applyAlignment="1" applyProtection="1">
      <alignment horizontal="right"/>
      <protection locked="0" hidden="1"/>
    </xf>
    <xf numFmtId="0" fontId="0" fillId="5" borderId="21" xfId="0" applyFill="1" applyBorder="1" applyAlignment="1" applyProtection="1">
      <alignment horizontal="right"/>
      <protection locked="0" hidden="1"/>
    </xf>
    <xf numFmtId="0" fontId="0" fillId="5" borderId="22" xfId="0" applyFill="1" applyBorder="1" applyAlignment="1" applyProtection="1">
      <alignment horizontal="right"/>
      <protection locked="0" hidden="1"/>
    </xf>
    <xf numFmtId="15" fontId="0" fillId="5" borderId="12" xfId="0" applyNumberFormat="1" applyFill="1" applyBorder="1" applyAlignment="1" applyProtection="1">
      <alignment horizontal="center" vertical="center"/>
      <protection locked="0" hidden="1"/>
    </xf>
    <xf numFmtId="15" fontId="0" fillId="5" borderId="20" xfId="0" applyNumberFormat="1" applyFill="1" applyBorder="1" applyAlignment="1" applyProtection="1">
      <alignment horizontal="center" vertical="center"/>
      <protection locked="0" hidden="1"/>
    </xf>
    <xf numFmtId="15" fontId="0" fillId="5" borderId="124" xfId="0" applyNumberFormat="1" applyFill="1" applyBorder="1" applyAlignment="1" applyProtection="1">
      <alignment horizontal="center" vertical="center"/>
      <protection locked="0" hidden="1"/>
    </xf>
    <xf numFmtId="0" fontId="0" fillId="5" borderId="13" xfId="0" applyFill="1" applyBorder="1" applyAlignment="1" applyProtection="1">
      <alignment horizontal="center"/>
      <protection locked="0" hidden="1"/>
    </xf>
    <xf numFmtId="0" fontId="0" fillId="5" borderId="14" xfId="0" applyFill="1" applyBorder="1" applyAlignment="1" applyProtection="1">
      <alignment horizontal="center"/>
      <protection locked="0" hidden="1"/>
    </xf>
    <xf numFmtId="0" fontId="0" fillId="5" borderId="26" xfId="0" applyFill="1" applyBorder="1" applyAlignment="1" applyProtection="1">
      <alignment horizontal="center" vertical="center" wrapText="1"/>
      <protection locked="0" hidden="1"/>
    </xf>
    <xf numFmtId="0" fontId="0" fillId="5" borderId="124" xfId="0" applyFill="1" applyBorder="1" applyAlignment="1" applyProtection="1">
      <alignment horizontal="center" vertical="center" wrapText="1"/>
      <protection locked="0" hidden="1"/>
    </xf>
    <xf numFmtId="0" fontId="0" fillId="6" borderId="21" xfId="0" applyFill="1" applyBorder="1" applyAlignment="1" applyProtection="1">
      <alignment horizontal="right"/>
      <protection locked="0" hidden="1"/>
    </xf>
    <xf numFmtId="0" fontId="0" fillId="6" borderId="22" xfId="0" applyFill="1" applyBorder="1" applyAlignment="1" applyProtection="1">
      <alignment horizontal="right"/>
      <protection locked="0" hidden="1"/>
    </xf>
    <xf numFmtId="0" fontId="0" fillId="6" borderId="21" xfId="0" applyFill="1" applyBorder="1" applyAlignment="1" applyProtection="1">
      <alignment horizontal="center"/>
      <protection locked="0" hidden="1"/>
    </xf>
    <xf numFmtId="0" fontId="0" fillId="6" borderId="22" xfId="0" applyFill="1" applyBorder="1" applyAlignment="1" applyProtection="1">
      <alignment horizontal="center"/>
      <protection locked="0" hidden="1"/>
    </xf>
    <xf numFmtId="0" fontId="0" fillId="5" borderId="6" xfId="0" applyFill="1" applyBorder="1" applyAlignment="1" applyProtection="1">
      <alignment horizontal="center"/>
      <protection locked="0" hidden="1"/>
    </xf>
    <xf numFmtId="0" fontId="0" fillId="5" borderId="7" xfId="0" applyFill="1" applyBorder="1" applyAlignment="1" applyProtection="1">
      <alignment horizontal="center"/>
      <protection locked="0" hidden="1"/>
    </xf>
    <xf numFmtId="0" fontId="0" fillId="5" borderId="8" xfId="0" applyFill="1" applyBorder="1" applyAlignment="1" applyProtection="1">
      <alignment horizontal="center"/>
      <protection locked="0" hidden="1"/>
    </xf>
    <xf numFmtId="0" fontId="0" fillId="4" borderId="21" xfId="0" applyFill="1" applyBorder="1" applyAlignment="1" applyProtection="1">
      <alignment horizontal="center"/>
      <protection locked="0" hidden="1"/>
    </xf>
    <xf numFmtId="0" fontId="0" fillId="4" borderId="22" xfId="0" applyFill="1" applyBorder="1" applyAlignment="1" applyProtection="1">
      <alignment horizontal="center"/>
      <protection locked="0" hidden="1"/>
    </xf>
    <xf numFmtId="0" fontId="0" fillId="6" borderId="124" xfId="0" applyFill="1" applyBorder="1" applyAlignment="1" applyProtection="1">
      <alignment horizontal="center" vertical="center" wrapText="1"/>
      <protection locked="0" hidden="1"/>
    </xf>
    <xf numFmtId="0" fontId="0" fillId="4" borderId="10" xfId="0" applyFill="1" applyBorder="1" applyAlignment="1" applyProtection="1">
      <alignment horizontal="center" vertical="center"/>
      <protection locked="0" hidden="1"/>
    </xf>
    <xf numFmtId="0" fontId="0" fillId="4" borderId="0" xfId="0" applyFill="1" applyAlignment="1" applyProtection="1">
      <alignment horizontal="center" vertical="center"/>
      <protection locked="0" hidden="1"/>
    </xf>
    <xf numFmtId="0" fontId="0" fillId="4" borderId="53" xfId="0" applyFill="1" applyBorder="1" applyAlignment="1" applyProtection="1">
      <alignment horizontal="center" vertical="center"/>
      <protection locked="0" hidden="1"/>
    </xf>
    <xf numFmtId="0" fontId="0" fillId="4" borderId="54" xfId="0" applyFill="1" applyBorder="1" applyAlignment="1" applyProtection="1">
      <alignment horizontal="center" vertical="center"/>
      <protection locked="0" hidden="1"/>
    </xf>
    <xf numFmtId="0" fontId="0" fillId="4" borderId="37" xfId="0" applyFill="1" applyBorder="1" applyAlignment="1" applyProtection="1">
      <alignment horizontal="center" vertical="center"/>
      <protection locked="0" hidden="1"/>
    </xf>
    <xf numFmtId="0" fontId="0" fillId="4" borderId="18" xfId="0" applyFill="1" applyBorder="1" applyAlignment="1" applyProtection="1">
      <alignment horizontal="center" vertical="center"/>
      <protection locked="0" hidden="1"/>
    </xf>
    <xf numFmtId="0" fontId="0" fillId="4" borderId="59" xfId="0" applyFill="1" applyBorder="1" applyAlignment="1" applyProtection="1">
      <alignment horizontal="center" vertical="center"/>
      <protection locked="0" hidden="1"/>
    </xf>
    <xf numFmtId="0" fontId="0" fillId="4" borderId="60" xfId="0" applyFill="1" applyBorder="1" applyAlignment="1" applyProtection="1">
      <alignment horizontal="center" vertical="center"/>
      <protection locked="0" hidden="1"/>
    </xf>
    <xf numFmtId="0" fontId="0" fillId="4" borderId="53" xfId="0" applyFill="1" applyBorder="1" applyAlignment="1" applyProtection="1">
      <alignment horizontal="left"/>
      <protection locked="0" hidden="1"/>
    </xf>
    <xf numFmtId="0" fontId="0" fillId="4" borderId="54" xfId="0" applyFill="1" applyBorder="1" applyAlignment="1" applyProtection="1">
      <alignment horizontal="left"/>
      <protection locked="0" hidden="1"/>
    </xf>
    <xf numFmtId="167" fontId="0" fillId="4" borderId="11" xfId="0" applyNumberFormat="1" applyFill="1" applyBorder="1" applyAlignment="1" applyProtection="1">
      <alignment horizontal="right"/>
      <protection locked="0" hidden="1"/>
    </xf>
    <xf numFmtId="167" fontId="0" fillId="4" borderId="163" xfId="0" applyNumberFormat="1" applyFill="1" applyBorder="1" applyAlignment="1" applyProtection="1">
      <alignment horizontal="right"/>
      <protection locked="0" hidden="1"/>
    </xf>
    <xf numFmtId="0" fontId="0" fillId="6" borderId="140" xfId="0" applyFill="1" applyBorder="1" applyAlignment="1" applyProtection="1">
      <alignment horizontal="center" vertical="center"/>
      <protection locked="0" hidden="1"/>
    </xf>
    <xf numFmtId="0" fontId="0" fillId="6" borderId="141" xfId="0" applyFill="1" applyBorder="1" applyAlignment="1" applyProtection="1">
      <alignment horizontal="center" vertical="center"/>
      <protection locked="0" hidden="1"/>
    </xf>
    <xf numFmtId="0" fontId="0" fillId="6" borderId="142" xfId="0" applyFill="1" applyBorder="1" applyAlignment="1" applyProtection="1">
      <alignment horizontal="center" vertical="center"/>
      <protection locked="0" hidden="1"/>
    </xf>
    <xf numFmtId="0" fontId="0" fillId="6" borderId="158" xfId="0" applyFill="1" applyBorder="1" applyAlignment="1" applyProtection="1">
      <alignment horizontal="center" vertical="center"/>
      <protection locked="0" hidden="1"/>
    </xf>
    <xf numFmtId="0" fontId="0" fillId="6" borderId="159" xfId="0" applyFill="1" applyBorder="1" applyAlignment="1" applyProtection="1">
      <alignment horizontal="center" vertical="center"/>
      <protection locked="0" hidden="1"/>
    </xf>
    <xf numFmtId="0" fontId="0" fillId="6" borderId="161" xfId="0" applyFill="1" applyBorder="1" applyAlignment="1" applyProtection="1">
      <alignment horizontal="center" vertical="center"/>
      <protection locked="0" hidden="1"/>
    </xf>
    <xf numFmtId="0" fontId="0" fillId="6" borderId="162" xfId="0" applyFill="1" applyBorder="1" applyAlignment="1" applyProtection="1">
      <alignment horizontal="center" vertical="center"/>
      <protection locked="0" hidden="1"/>
    </xf>
    <xf numFmtId="0" fontId="0" fillId="6" borderId="140" xfId="0" applyFill="1" applyBorder="1" applyAlignment="1" applyProtection="1">
      <alignment horizontal="left" vertical="center"/>
      <protection locked="0" hidden="1"/>
    </xf>
    <xf numFmtId="0" fontId="0" fillId="6" borderId="141" xfId="0" applyFill="1" applyBorder="1" applyAlignment="1" applyProtection="1">
      <alignment horizontal="left" vertical="center"/>
      <protection locked="0" hidden="1"/>
    </xf>
    <xf numFmtId="0" fontId="0" fillId="6" borderId="172" xfId="0" applyFill="1" applyBorder="1" applyAlignment="1" applyProtection="1">
      <alignment horizontal="left" vertical="center"/>
      <protection locked="0" hidden="1"/>
    </xf>
    <xf numFmtId="0" fontId="0" fillId="6" borderId="27" xfId="0" applyFill="1" applyBorder="1" applyAlignment="1" applyProtection="1">
      <alignment horizontal="left" vertical="top" wrapText="1"/>
      <protection locked="0" hidden="1"/>
    </xf>
    <xf numFmtId="0" fontId="0" fillId="4" borderId="31" xfId="0" applyFill="1" applyBorder="1" applyAlignment="1" applyProtection="1">
      <alignment horizontal="center" vertical="top"/>
      <protection locked="0" hidden="1"/>
    </xf>
    <xf numFmtId="0" fontId="0" fillId="4" borderId="32" xfId="0" applyFill="1" applyBorder="1" applyAlignment="1" applyProtection="1">
      <alignment horizontal="center" vertical="top"/>
      <protection locked="0" hidden="1"/>
    </xf>
    <xf numFmtId="0" fontId="0" fillId="4" borderId="33" xfId="0" applyFill="1" applyBorder="1" applyAlignment="1" applyProtection="1">
      <alignment horizontal="center" vertical="top"/>
      <protection locked="0" hidden="1"/>
    </xf>
    <xf numFmtId="0" fontId="0" fillId="4" borderId="10" xfId="0" applyFill="1" applyBorder="1" applyAlignment="1" applyProtection="1">
      <alignment horizontal="center" vertical="top"/>
      <protection locked="0" hidden="1"/>
    </xf>
    <xf numFmtId="0" fontId="0" fillId="4" borderId="0" xfId="0" applyFill="1" applyAlignment="1" applyProtection="1">
      <alignment horizontal="center" vertical="top"/>
      <protection locked="0" hidden="1"/>
    </xf>
    <xf numFmtId="0" fontId="0" fillId="4" borderId="36" xfId="0" applyFill="1" applyBorder="1" applyAlignment="1" applyProtection="1">
      <alignment horizontal="center" vertical="top"/>
      <protection locked="0" hidden="1"/>
    </xf>
    <xf numFmtId="0" fontId="0" fillId="4" borderId="40" xfId="0" applyFill="1" applyBorder="1" applyAlignment="1" applyProtection="1">
      <alignment horizontal="center" vertical="top"/>
      <protection locked="0" hidden="1"/>
    </xf>
    <xf numFmtId="0" fontId="0" fillId="4" borderId="41" xfId="0" applyFill="1" applyBorder="1" applyAlignment="1" applyProtection="1">
      <alignment horizontal="center" vertical="top"/>
      <protection locked="0" hidden="1"/>
    </xf>
    <xf numFmtId="0" fontId="0" fillId="4" borderId="42" xfId="0" applyFill="1" applyBorder="1" applyAlignment="1" applyProtection="1">
      <alignment horizontal="center" vertical="top"/>
      <protection locked="0" hidden="1"/>
    </xf>
    <xf numFmtId="0" fontId="0" fillId="4" borderId="34" xfId="0" applyFill="1" applyBorder="1" applyAlignment="1" applyProtection="1">
      <alignment horizontal="left" vertical="top"/>
      <protection locked="0" hidden="1"/>
    </xf>
    <xf numFmtId="0" fontId="0" fillId="4" borderId="32" xfId="0" applyFill="1" applyBorder="1" applyAlignment="1" applyProtection="1">
      <alignment horizontal="left" vertical="top"/>
      <protection locked="0" hidden="1"/>
    </xf>
    <xf numFmtId="0" fontId="0" fillId="4" borderId="36" xfId="0" applyFill="1" applyBorder="1" applyAlignment="1" applyProtection="1">
      <alignment horizontal="left" vertical="top"/>
      <protection locked="0" hidden="1"/>
    </xf>
    <xf numFmtId="0" fontId="0" fillId="4" borderId="37" xfId="0" applyFill="1" applyBorder="1" applyAlignment="1" applyProtection="1">
      <alignment horizontal="left" vertical="top"/>
      <protection locked="0" hidden="1"/>
    </xf>
    <xf numFmtId="0" fontId="0" fillId="4" borderId="0" xfId="0" applyFill="1" applyAlignment="1" applyProtection="1">
      <alignment horizontal="left" vertical="top"/>
      <protection locked="0" hidden="1"/>
    </xf>
    <xf numFmtId="0" fontId="0" fillId="4" borderId="43" xfId="0" applyFill="1" applyBorder="1" applyAlignment="1" applyProtection="1">
      <alignment horizontal="left" vertical="top"/>
      <protection locked="0" hidden="1"/>
    </xf>
    <xf numFmtId="0" fontId="0" fillId="4" borderId="41" xfId="0" applyFill="1" applyBorder="1" applyAlignment="1" applyProtection="1">
      <alignment horizontal="left" vertical="top"/>
      <protection locked="0" hidden="1"/>
    </xf>
    <xf numFmtId="0" fontId="0" fillId="4" borderId="42" xfId="0" applyFill="1" applyBorder="1" applyAlignment="1" applyProtection="1">
      <alignment horizontal="left" vertical="top"/>
      <protection locked="0" hidden="1"/>
    </xf>
    <xf numFmtId="0" fontId="0" fillId="6" borderId="157" xfId="0" applyFill="1" applyBorder="1" applyAlignment="1" applyProtection="1">
      <alignment horizontal="center" vertical="center"/>
      <protection locked="0" hidden="1"/>
    </xf>
    <xf numFmtId="0" fontId="0" fillId="6" borderId="61" xfId="0" applyFill="1" applyBorder="1" applyAlignment="1" applyProtection="1">
      <alignment horizontal="left"/>
      <protection locked="0" hidden="1"/>
    </xf>
    <xf numFmtId="0" fontId="0" fillId="6" borderId="62" xfId="0" applyFill="1" applyBorder="1" applyAlignment="1" applyProtection="1">
      <alignment horizontal="left"/>
      <protection locked="0" hidden="1"/>
    </xf>
    <xf numFmtId="9" fontId="0" fillId="4" borderId="169" xfId="0" applyNumberFormat="1" applyFill="1" applyBorder="1" applyAlignment="1" applyProtection="1">
      <alignment horizontal="center"/>
      <protection locked="0" hidden="1"/>
    </xf>
    <xf numFmtId="9" fontId="0" fillId="4" borderId="153" xfId="0" applyNumberFormat="1" applyFill="1" applyBorder="1" applyAlignment="1" applyProtection="1">
      <alignment horizontal="center"/>
      <protection locked="0" hidden="1"/>
    </xf>
    <xf numFmtId="9" fontId="0" fillId="4" borderId="170" xfId="0" applyNumberFormat="1" applyFill="1" applyBorder="1" applyAlignment="1" applyProtection="1">
      <alignment horizontal="center"/>
      <protection locked="0" hidden="1"/>
    </xf>
    <xf numFmtId="9" fontId="0" fillId="4" borderId="152" xfId="0" quotePrefix="1" applyNumberFormat="1" applyFill="1" applyBorder="1" applyAlignment="1" applyProtection="1">
      <alignment horizontal="center"/>
      <protection locked="0" hidden="1"/>
    </xf>
    <xf numFmtId="9" fontId="0" fillId="4" borderId="151" xfId="0" applyNumberFormat="1" applyFill="1" applyBorder="1" applyAlignment="1" applyProtection="1">
      <alignment horizontal="center"/>
      <protection locked="0" hidden="1"/>
    </xf>
    <xf numFmtId="9" fontId="0" fillId="4" borderId="171" xfId="0" applyNumberFormat="1" applyFill="1" applyBorder="1" applyAlignment="1" applyProtection="1">
      <alignment horizontal="center"/>
      <protection locked="0" hidden="1"/>
    </xf>
    <xf numFmtId="0" fontId="4" fillId="6" borderId="151" xfId="0" applyFont="1" applyFill="1" applyBorder="1" applyAlignment="1" applyProtection="1">
      <alignment horizontal="center" vertical="center"/>
      <protection locked="0" hidden="1"/>
    </xf>
    <xf numFmtId="166" fontId="4" fillId="4" borderId="151" xfId="0" applyNumberFormat="1" applyFont="1" applyFill="1" applyBorder="1" applyAlignment="1" applyProtection="1">
      <alignment horizontal="center" vertical="center"/>
      <protection locked="0" hidden="1"/>
    </xf>
    <xf numFmtId="0" fontId="4" fillId="4" borderId="151" xfId="0" applyFont="1" applyFill="1" applyBorder="1" applyAlignment="1" applyProtection="1">
      <alignment horizontal="center" vertical="center"/>
      <protection locked="0" hidden="1"/>
    </xf>
    <xf numFmtId="0" fontId="0" fillId="4" borderId="38" xfId="0" applyFill="1" applyBorder="1" applyAlignment="1" applyProtection="1">
      <alignment horizontal="center" vertical="center"/>
      <protection locked="0" hidden="1"/>
    </xf>
    <xf numFmtId="0" fontId="0" fillId="4" borderId="39" xfId="0" applyFill="1" applyBorder="1" applyAlignment="1" applyProtection="1">
      <alignment horizontal="center" vertical="center"/>
      <protection locked="0" hidden="1"/>
    </xf>
    <xf numFmtId="0" fontId="7" fillId="4" borderId="61" xfId="4" applyFill="1" applyBorder="1" applyAlignment="1" applyProtection="1">
      <alignment horizontal="center" vertical="center" wrapText="1"/>
      <protection locked="0" hidden="1"/>
    </xf>
    <xf numFmtId="0" fontId="7" fillId="4" borderId="62" xfId="4" applyFill="1" applyBorder="1" applyAlignment="1" applyProtection="1">
      <alignment horizontal="center" vertical="center" wrapText="1"/>
      <protection locked="0" hidden="1"/>
    </xf>
    <xf numFmtId="0" fontId="7" fillId="4" borderId="39" xfId="4" applyFill="1" applyBorder="1" applyAlignment="1" applyProtection="1">
      <alignment horizontal="center" vertical="center" wrapText="1"/>
      <protection locked="0" hidden="1"/>
    </xf>
    <xf numFmtId="0" fontId="7" fillId="4" borderId="10" xfId="4" applyFill="1" applyBorder="1" applyAlignment="1" applyProtection="1">
      <alignment horizontal="center" vertical="center" wrapText="1"/>
      <protection locked="0" hidden="1"/>
    </xf>
    <xf numFmtId="0" fontId="7" fillId="4" borderId="0" xfId="4" applyFill="1" applyBorder="1" applyAlignment="1" applyProtection="1">
      <alignment horizontal="center" vertical="center" wrapText="1"/>
      <protection locked="0" hidden="1"/>
    </xf>
    <xf numFmtId="0" fontId="7" fillId="4" borderId="18" xfId="4" applyFill="1" applyBorder="1" applyAlignment="1" applyProtection="1">
      <alignment horizontal="center" vertical="center" wrapText="1"/>
      <protection locked="0" hidden="1"/>
    </xf>
    <xf numFmtId="0" fontId="7" fillId="4" borderId="67" xfId="4" applyFill="1" applyBorder="1" applyAlignment="1" applyProtection="1">
      <alignment horizontal="center" vertical="center" wrapText="1"/>
      <protection locked="0" hidden="1"/>
    </xf>
    <xf numFmtId="0" fontId="7" fillId="4" borderId="68" xfId="4" applyFill="1" applyBorder="1" applyAlignment="1" applyProtection="1">
      <alignment horizontal="center" vertical="center" wrapText="1"/>
      <protection locked="0" hidden="1"/>
    </xf>
    <xf numFmtId="0" fontId="7" fillId="4" borderId="69" xfId="4" applyFill="1" applyBorder="1" applyAlignment="1" applyProtection="1">
      <alignment horizontal="center" vertical="center" wrapText="1"/>
      <protection locked="0" hidden="1"/>
    </xf>
    <xf numFmtId="0" fontId="0" fillId="4" borderId="155" xfId="0" applyFill="1" applyBorder="1" applyAlignment="1" applyProtection="1">
      <alignment horizontal="left"/>
      <protection locked="0" hidden="1"/>
    </xf>
    <xf numFmtId="0" fontId="0" fillId="4" borderId="22" xfId="0" applyFill="1" applyBorder="1" applyAlignment="1" applyProtection="1">
      <alignment horizontal="left"/>
      <protection locked="0" hidden="1"/>
    </xf>
    <xf numFmtId="167" fontId="0" fillId="4" borderId="21" xfId="0" applyNumberFormat="1" applyFill="1" applyBorder="1" applyAlignment="1" applyProtection="1">
      <alignment horizontal="right"/>
      <protection locked="0" hidden="1"/>
    </xf>
    <xf numFmtId="167" fontId="0" fillId="4" borderId="154" xfId="0" applyNumberFormat="1" applyFill="1" applyBorder="1" applyAlignment="1" applyProtection="1">
      <alignment horizontal="right"/>
      <protection locked="0" hidden="1"/>
    </xf>
    <xf numFmtId="0" fontId="0" fillId="4" borderId="19" xfId="0" applyFill="1" applyBorder="1" applyAlignment="1" applyProtection="1">
      <alignment horizontal="right"/>
      <protection locked="0" hidden="1"/>
    </xf>
    <xf numFmtId="0" fontId="0" fillId="4" borderId="164" xfId="0" applyFill="1" applyBorder="1" applyAlignment="1" applyProtection="1">
      <alignment horizontal="right"/>
      <protection locked="0" hidden="1"/>
    </xf>
    <xf numFmtId="0" fontId="0" fillId="4" borderId="165" xfId="0" applyFill="1" applyBorder="1" applyAlignment="1" applyProtection="1">
      <alignment horizontal="right"/>
      <protection locked="0" hidden="1"/>
    </xf>
    <xf numFmtId="0" fontId="0" fillId="4" borderId="166" xfId="0" applyFill="1" applyBorder="1" applyAlignment="1" applyProtection="1">
      <alignment horizontal="right"/>
      <protection locked="0" hidden="1"/>
    </xf>
    <xf numFmtId="0" fontId="0" fillId="4" borderId="25" xfId="0" applyFill="1" applyBorder="1" applyAlignment="1" applyProtection="1">
      <alignment horizontal="right"/>
      <protection locked="0" hidden="1"/>
    </xf>
    <xf numFmtId="0" fontId="4" fillId="4" borderId="155" xfId="0" applyFont="1" applyFill="1" applyBorder="1" applyAlignment="1" applyProtection="1">
      <alignment horizontal="right"/>
      <protection locked="0" hidden="1"/>
    </xf>
    <xf numFmtId="0" fontId="4" fillId="4" borderId="22" xfId="0" applyFont="1" applyFill="1" applyBorder="1" applyAlignment="1" applyProtection="1">
      <alignment horizontal="right"/>
      <protection locked="0" hidden="1"/>
    </xf>
    <xf numFmtId="0" fontId="0" fillId="6" borderId="55" xfId="0" applyFill="1" applyBorder="1" applyAlignment="1" applyProtection="1">
      <alignment horizontal="center"/>
      <protection locked="0" hidden="1"/>
    </xf>
    <xf numFmtId="0" fontId="0" fillId="6" borderId="56" xfId="0" applyFill="1" applyBorder="1" applyAlignment="1" applyProtection="1">
      <alignment horizontal="center"/>
      <protection locked="0" hidden="1"/>
    </xf>
    <xf numFmtId="0" fontId="0" fillId="6" borderId="57" xfId="0" applyFill="1" applyBorder="1" applyAlignment="1" applyProtection="1">
      <alignment horizontal="center"/>
      <protection locked="0" hidden="1"/>
    </xf>
    <xf numFmtId="0" fontId="0" fillId="4" borderId="155" xfId="0" applyFill="1" applyBorder="1" applyAlignment="1" applyProtection="1">
      <alignment horizontal="center"/>
      <protection locked="0" hidden="1"/>
    </xf>
    <xf numFmtId="4" fontId="0" fillId="4" borderId="21" xfId="0" applyNumberFormat="1" applyFill="1" applyBorder="1" applyAlignment="1" applyProtection="1">
      <alignment horizontal="right"/>
      <protection locked="0" hidden="1"/>
    </xf>
    <xf numFmtId="4" fontId="0" fillId="4" borderId="154" xfId="0" applyNumberFormat="1" applyFill="1" applyBorder="1" applyAlignment="1" applyProtection="1">
      <alignment horizontal="right"/>
      <protection locked="0" hidden="1"/>
    </xf>
    <xf numFmtId="167" fontId="0" fillId="6" borderId="54" xfId="0" applyNumberFormat="1" applyFill="1" applyBorder="1" applyAlignment="1" applyProtection="1">
      <alignment horizontal="center" shrinkToFit="1"/>
      <protection locked="0" hidden="1"/>
    </xf>
    <xf numFmtId="0" fontId="0" fillId="4" borderId="56" xfId="0" applyFill="1" applyBorder="1" applyAlignment="1" applyProtection="1">
      <alignment horizontal="left"/>
      <protection locked="0" hidden="1"/>
    </xf>
    <xf numFmtId="166" fontId="0" fillId="4" borderId="21" xfId="0" applyNumberFormat="1" applyFill="1" applyBorder="1" applyAlignment="1" applyProtection="1">
      <alignment horizontal="center"/>
      <protection locked="0" hidden="1"/>
    </xf>
    <xf numFmtId="166" fontId="0" fillId="4" borderId="56" xfId="0" applyNumberFormat="1" applyFill="1" applyBorder="1" applyAlignment="1" applyProtection="1">
      <alignment horizontal="center"/>
      <protection locked="0" hidden="1"/>
    </xf>
    <xf numFmtId="0" fontId="0" fillId="4" borderId="28" xfId="0" applyFill="1" applyBorder="1" applyAlignment="1" applyProtection="1">
      <alignment horizontal="left"/>
      <protection locked="0" hidden="1"/>
    </xf>
    <xf numFmtId="0" fontId="0" fillId="4" borderId="25" xfId="0" applyFill="1" applyBorder="1" applyAlignment="1" applyProtection="1">
      <alignment horizontal="left"/>
      <protection locked="0" hidden="1"/>
    </xf>
    <xf numFmtId="9" fontId="0" fillId="4" borderId="27" xfId="0" applyNumberFormat="1" applyFill="1" applyBorder="1" applyAlignment="1" applyProtection="1">
      <alignment horizontal="center"/>
      <protection locked="0" hidden="1"/>
    </xf>
    <xf numFmtId="9" fontId="0" fillId="4" borderId="29" xfId="0" applyNumberFormat="1" applyFill="1" applyBorder="1" applyAlignment="1" applyProtection="1">
      <alignment horizontal="center"/>
      <protection locked="0" hidden="1"/>
    </xf>
    <xf numFmtId="0" fontId="0" fillId="4" borderId="19" xfId="0" applyFill="1" applyBorder="1" applyAlignment="1" applyProtection="1">
      <alignment horizontal="left"/>
      <protection locked="0" hidden="1"/>
    </xf>
    <xf numFmtId="0" fontId="0" fillId="0" borderId="155" xfId="0" applyBorder="1" applyAlignment="1" applyProtection="1">
      <alignment horizontal="left"/>
      <protection locked="0" hidden="1"/>
    </xf>
    <xf numFmtId="0" fontId="0" fillId="0" borderId="22" xfId="0" applyBorder="1" applyAlignment="1" applyProtection="1">
      <alignment horizontal="left"/>
      <protection locked="0" hidden="1"/>
    </xf>
    <xf numFmtId="0" fontId="0" fillId="6" borderId="21" xfId="0" applyFill="1" applyBorder="1" applyAlignment="1" applyProtection="1">
      <alignment horizontal="left"/>
      <protection locked="0" hidden="1"/>
    </xf>
    <xf numFmtId="0" fontId="0" fillId="6" borderId="57" xfId="0" applyFill="1" applyBorder="1" applyAlignment="1" applyProtection="1">
      <alignment horizontal="left"/>
      <protection locked="0" hidden="1"/>
    </xf>
    <xf numFmtId="0" fontId="0" fillId="4" borderId="61" xfId="0" applyFill="1" applyBorder="1" applyAlignment="1" applyProtection="1">
      <alignment horizontal="left" vertical="top"/>
      <protection locked="0" hidden="1"/>
    </xf>
    <xf numFmtId="0" fontId="0" fillId="4" borderId="62" xfId="0" applyFill="1" applyBorder="1" applyAlignment="1" applyProtection="1">
      <alignment horizontal="left" vertical="top"/>
      <protection locked="0" hidden="1"/>
    </xf>
    <xf numFmtId="0" fontId="0" fillId="4" borderId="10" xfId="0" applyFill="1" applyBorder="1" applyAlignment="1" applyProtection="1">
      <alignment horizontal="left" vertical="top"/>
      <protection locked="0" hidden="1"/>
    </xf>
    <xf numFmtId="0" fontId="0" fillId="4" borderId="67" xfId="0" applyFill="1" applyBorder="1" applyAlignment="1" applyProtection="1">
      <alignment horizontal="left" vertical="top"/>
      <protection locked="0" hidden="1"/>
    </xf>
    <xf numFmtId="0" fontId="0" fillId="4" borderId="68" xfId="0" applyFill="1" applyBorder="1" applyAlignment="1" applyProtection="1">
      <alignment horizontal="left" vertical="top"/>
      <protection locked="0" hidden="1"/>
    </xf>
    <xf numFmtId="0" fontId="0" fillId="4" borderId="61" xfId="0" applyFill="1" applyBorder="1" applyAlignment="1" applyProtection="1">
      <alignment horizontal="center" vertical="center"/>
      <protection locked="0" hidden="1"/>
    </xf>
    <xf numFmtId="0" fontId="0" fillId="4" borderId="62" xfId="0" applyFill="1" applyBorder="1" applyAlignment="1" applyProtection="1">
      <alignment horizontal="center" vertical="center"/>
      <protection locked="0" hidden="1"/>
    </xf>
    <xf numFmtId="0" fontId="0" fillId="4" borderId="63" xfId="0" applyFill="1" applyBorder="1" applyAlignment="1" applyProtection="1">
      <alignment horizontal="center" vertical="center"/>
      <protection locked="0" hidden="1"/>
    </xf>
    <xf numFmtId="0" fontId="0" fillId="4" borderId="36" xfId="0" applyFill="1" applyBorder="1" applyAlignment="1" applyProtection="1">
      <alignment horizontal="center" vertical="center"/>
      <protection locked="0" hidden="1"/>
    </xf>
    <xf numFmtId="14" fontId="0" fillId="4" borderId="38" xfId="0" applyNumberFormat="1" applyFill="1" applyBorder="1" applyAlignment="1" applyProtection="1">
      <alignment horizontal="center" vertical="center"/>
      <protection locked="0" hidden="1"/>
    </xf>
    <xf numFmtId="14" fontId="0" fillId="4" borderId="39" xfId="0" applyNumberFormat="1" applyFill="1" applyBorder="1" applyAlignment="1" applyProtection="1">
      <alignment horizontal="center" vertical="center"/>
      <protection locked="0" hidden="1"/>
    </xf>
    <xf numFmtId="14" fontId="0" fillId="4" borderId="37" xfId="0" applyNumberFormat="1" applyFill="1" applyBorder="1" applyAlignment="1" applyProtection="1">
      <alignment horizontal="center" vertical="center"/>
      <protection locked="0" hidden="1"/>
    </xf>
    <xf numFmtId="14" fontId="0" fillId="4" borderId="18" xfId="0" applyNumberFormat="1" applyFill="1" applyBorder="1" applyAlignment="1" applyProtection="1">
      <alignment horizontal="center" vertical="center"/>
      <protection locked="0" hidden="1"/>
    </xf>
    <xf numFmtId="0" fontId="0" fillId="6" borderId="61" xfId="0" applyFill="1" applyBorder="1" applyAlignment="1" applyProtection="1">
      <alignment horizontal="center"/>
      <protection locked="0" hidden="1"/>
    </xf>
    <xf numFmtId="0" fontId="0" fillId="6" borderId="62" xfId="0" applyFill="1" applyBorder="1" applyAlignment="1" applyProtection="1">
      <alignment horizontal="center"/>
      <protection locked="0" hidden="1"/>
    </xf>
    <xf numFmtId="0" fontId="0" fillId="6" borderId="63" xfId="0" applyFill="1" applyBorder="1" applyAlignment="1" applyProtection="1">
      <alignment horizontal="center"/>
      <protection locked="0" hidden="1"/>
    </xf>
    <xf numFmtId="0" fontId="0" fillId="6" borderId="38" xfId="0" applyFill="1" applyBorder="1" applyAlignment="1" applyProtection="1">
      <alignment horizontal="left"/>
      <protection locked="0" hidden="1"/>
    </xf>
    <xf numFmtId="0" fontId="0" fillId="6" borderId="39" xfId="0" applyFill="1" applyBorder="1" applyAlignment="1" applyProtection="1">
      <alignment horizontal="left"/>
      <protection locked="0" hidden="1"/>
    </xf>
    <xf numFmtId="0" fontId="0" fillId="4" borderId="53" xfId="0" applyFill="1" applyBorder="1" applyAlignment="1" applyProtection="1">
      <alignment horizontal="center"/>
      <protection locked="0" hidden="1"/>
    </xf>
    <xf numFmtId="0" fontId="0" fillId="4" borderId="54" xfId="0" applyFill="1" applyBorder="1" applyAlignment="1" applyProtection="1">
      <alignment horizontal="center"/>
      <protection locked="0" hidden="1"/>
    </xf>
    <xf numFmtId="0" fontId="0" fillId="6" borderId="55" xfId="0" applyFill="1" applyBorder="1" applyAlignment="1" applyProtection="1">
      <alignment horizontal="left"/>
      <protection locked="0" hidden="1"/>
    </xf>
    <xf numFmtId="0" fontId="0" fillId="6" borderId="56" xfId="0" applyFill="1" applyBorder="1" applyAlignment="1" applyProtection="1">
      <alignment horizontal="left"/>
      <protection locked="0" hidden="1"/>
    </xf>
    <xf numFmtId="4" fontId="4" fillId="4" borderId="19" xfId="0" applyNumberFormat="1" applyFont="1" applyFill="1" applyBorder="1" applyAlignment="1" applyProtection="1">
      <alignment horizontal="right"/>
      <protection locked="0" hidden="1"/>
    </xf>
    <xf numFmtId="4" fontId="4" fillId="4" borderId="164" xfId="0" applyNumberFormat="1" applyFont="1" applyFill="1" applyBorder="1" applyAlignment="1" applyProtection="1">
      <alignment horizontal="right"/>
      <protection locked="0" hidden="1"/>
    </xf>
    <xf numFmtId="164" fontId="0" fillId="4" borderId="61" xfId="0" applyNumberFormat="1" applyFill="1" applyBorder="1" applyAlignment="1" applyProtection="1">
      <alignment horizontal="center" vertical="center"/>
      <protection locked="0" hidden="1"/>
    </xf>
    <xf numFmtId="167" fontId="0" fillId="4" borderId="21" xfId="0" applyNumberFormat="1" applyFill="1" applyBorder="1" applyAlignment="1" applyProtection="1">
      <alignment horizontal="left"/>
      <protection locked="0" hidden="1"/>
    </xf>
    <xf numFmtId="167" fontId="0" fillId="4" borderId="56" xfId="0" applyNumberFormat="1" applyFill="1" applyBorder="1" applyAlignment="1" applyProtection="1">
      <alignment horizontal="left"/>
      <protection locked="0" hidden="1"/>
    </xf>
    <xf numFmtId="0" fontId="4" fillId="4" borderId="123" xfId="0" applyFont="1" applyFill="1" applyBorder="1" applyAlignment="1" applyProtection="1">
      <alignment horizontal="center"/>
      <protection locked="0" hidden="1"/>
    </xf>
    <xf numFmtId="166" fontId="4" fillId="4" borderId="127" xfId="0" applyNumberFormat="1" applyFont="1" applyFill="1" applyBorder="1" applyAlignment="1" applyProtection="1">
      <alignment horizontal="center"/>
      <protection locked="0" hidden="1"/>
    </xf>
    <xf numFmtId="166" fontId="4" fillId="4" borderId="123" xfId="0" applyNumberFormat="1" applyFont="1" applyFill="1" applyBorder="1" applyAlignment="1" applyProtection="1">
      <alignment horizontal="center"/>
      <protection locked="0" hidden="1"/>
    </xf>
    <xf numFmtId="0" fontId="0" fillId="4" borderId="56" xfId="0" applyFill="1" applyBorder="1" applyAlignment="1" applyProtection="1">
      <alignment horizontal="center" shrinkToFit="1"/>
      <protection locked="0" hidden="1"/>
    </xf>
    <xf numFmtId="0" fontId="0" fillId="4" borderId="22" xfId="0" applyFill="1" applyBorder="1" applyAlignment="1" applyProtection="1">
      <alignment horizontal="center" shrinkToFit="1"/>
      <protection locked="0" hidden="1"/>
    </xf>
    <xf numFmtId="0" fontId="0" fillId="4" borderId="66" xfId="0" applyFill="1" applyBorder="1" applyAlignment="1" applyProtection="1">
      <alignment horizontal="center" shrinkToFit="1"/>
      <protection locked="0" hidden="1"/>
    </xf>
    <xf numFmtId="0" fontId="0" fillId="4" borderId="65" xfId="0" applyFill="1" applyBorder="1" applyAlignment="1" applyProtection="1">
      <alignment horizontal="center" shrinkToFit="1"/>
      <protection locked="0" hidden="1"/>
    </xf>
    <xf numFmtId="167" fontId="0" fillId="4" borderId="64" xfId="0" applyNumberFormat="1" applyFill="1" applyBorder="1" applyAlignment="1" applyProtection="1">
      <alignment horizontal="left"/>
      <protection locked="0" hidden="1"/>
    </xf>
    <xf numFmtId="167" fontId="0" fillId="4" borderId="66" xfId="0" applyNumberFormat="1" applyFill="1" applyBorder="1" applyAlignment="1" applyProtection="1">
      <alignment horizontal="left"/>
      <protection locked="0" hidden="1"/>
    </xf>
    <xf numFmtId="167" fontId="0" fillId="6" borderId="62" xfId="0" applyNumberFormat="1" applyFill="1" applyBorder="1" applyAlignment="1" applyProtection="1">
      <alignment horizontal="center"/>
      <protection locked="0" hidden="1"/>
    </xf>
    <xf numFmtId="167" fontId="0" fillId="4" borderId="157" xfId="0" applyNumberFormat="1" applyFill="1" applyBorder="1" applyAlignment="1" applyProtection="1">
      <alignment horizontal="center"/>
      <protection locked="0" hidden="1"/>
    </xf>
    <xf numFmtId="167" fontId="0" fillId="4" borderId="0" xfId="0" applyNumberFormat="1" applyFill="1" applyAlignment="1" applyProtection="1">
      <alignment horizontal="center"/>
      <protection locked="0" hidden="1"/>
    </xf>
    <xf numFmtId="167" fontId="0" fillId="4" borderId="156" xfId="0" applyNumberFormat="1" applyFill="1" applyBorder="1" applyAlignment="1" applyProtection="1">
      <alignment horizontal="center"/>
      <protection locked="0" hidden="1"/>
    </xf>
    <xf numFmtId="2" fontId="0" fillId="4" borderId="168" xfId="0" applyNumberFormat="1" applyFill="1" applyBorder="1" applyAlignment="1" applyProtection="1">
      <alignment horizontal="center"/>
      <protection locked="0" hidden="1"/>
    </xf>
    <xf numFmtId="2" fontId="0" fillId="4" borderId="166" xfId="0" applyNumberFormat="1" applyFill="1" applyBorder="1" applyAlignment="1" applyProtection="1">
      <alignment horizontal="center"/>
      <protection locked="0" hidden="1"/>
    </xf>
    <xf numFmtId="14" fontId="4" fillId="4" borderId="151" xfId="0" applyNumberFormat="1" applyFont="1" applyFill="1" applyBorder="1" applyAlignment="1" applyProtection="1">
      <alignment horizontal="center" vertical="center"/>
      <protection locked="0" hidden="1"/>
    </xf>
    <xf numFmtId="0" fontId="19" fillId="28" borderId="151" xfId="0" applyFont="1" applyFill="1" applyBorder="1" applyAlignment="1" applyProtection="1">
      <alignment horizontal="center"/>
      <protection locked="0" hidden="1"/>
    </xf>
    <xf numFmtId="0" fontId="19" fillId="11" borderId="151" xfId="0" applyFont="1" applyFill="1" applyBorder="1" applyAlignment="1" applyProtection="1">
      <alignment horizontal="center"/>
      <protection locked="0" hidden="1"/>
    </xf>
    <xf numFmtId="0" fontId="4" fillId="26" borderId="151" xfId="0" applyFont="1" applyFill="1" applyBorder="1" applyAlignment="1" applyProtection="1">
      <alignment horizontal="center" vertical="center"/>
      <protection locked="0" hidden="1"/>
    </xf>
    <xf numFmtId="0" fontId="4" fillId="29" borderId="151" xfId="0" applyFont="1" applyFill="1" applyBorder="1" applyAlignment="1" applyProtection="1">
      <alignment horizontal="center" vertical="center"/>
      <protection locked="0" hidden="1"/>
    </xf>
    <xf numFmtId="166" fontId="16" fillId="12" borderId="151" xfId="0" applyNumberFormat="1" applyFont="1" applyFill="1" applyBorder="1" applyAlignment="1" applyProtection="1">
      <alignment horizontal="center" vertical="center"/>
      <protection locked="0" hidden="1"/>
    </xf>
    <xf numFmtId="166" fontId="16" fillId="25" borderId="151" xfId="0" applyNumberFormat="1" applyFont="1" applyFill="1" applyBorder="1" applyAlignment="1" applyProtection="1">
      <alignment horizontal="center" vertical="center"/>
      <protection locked="0" hidden="1"/>
    </xf>
    <xf numFmtId="0" fontId="4" fillId="4" borderId="151" xfId="0" applyFont="1" applyFill="1" applyBorder="1" applyAlignment="1" applyProtection="1">
      <alignment horizontal="center" vertical="center" wrapText="1"/>
      <protection locked="0" hidden="1"/>
    </xf>
    <xf numFmtId="0" fontId="4" fillId="4" borderId="151" xfId="0" applyFont="1" applyFill="1" applyBorder="1" applyAlignment="1" applyProtection="1">
      <alignment horizontal="center" vertical="top"/>
      <protection locked="0" hidden="1"/>
    </xf>
    <xf numFmtId="3" fontId="0" fillId="28" borderId="173" xfId="0" applyNumberFormat="1" applyFill="1" applyBorder="1" applyAlignment="1" applyProtection="1">
      <alignment horizontal="center" vertical="center"/>
      <protection locked="0" hidden="1"/>
    </xf>
    <xf numFmtId="3" fontId="0" fillId="28" borderId="174" xfId="0" applyNumberFormat="1" applyFill="1" applyBorder="1" applyAlignment="1" applyProtection="1">
      <alignment horizontal="center" vertical="center"/>
      <protection locked="0" hidden="1"/>
    </xf>
    <xf numFmtId="3" fontId="0" fillId="28" borderId="175" xfId="0" applyNumberFormat="1" applyFill="1" applyBorder="1" applyAlignment="1" applyProtection="1">
      <alignment horizontal="center" vertical="center"/>
      <protection locked="0" hidden="1"/>
    </xf>
    <xf numFmtId="3" fontId="0" fillId="28" borderId="176" xfId="0" applyNumberFormat="1" applyFill="1" applyBorder="1" applyAlignment="1" applyProtection="1">
      <alignment horizontal="center" vertical="center"/>
      <protection locked="0" hidden="1"/>
    </xf>
    <xf numFmtId="3" fontId="0" fillId="28" borderId="177" xfId="0" applyNumberFormat="1" applyFill="1" applyBorder="1" applyAlignment="1" applyProtection="1">
      <alignment horizontal="center" vertical="center"/>
      <protection locked="0" hidden="1"/>
    </xf>
    <xf numFmtId="3" fontId="0" fillId="28" borderId="178" xfId="0" applyNumberFormat="1" applyFill="1" applyBorder="1" applyAlignment="1" applyProtection="1">
      <alignment horizontal="center" vertical="center"/>
      <protection locked="0" hidden="1"/>
    </xf>
    <xf numFmtId="0" fontId="0" fillId="4" borderId="151" xfId="0" applyFill="1" applyBorder="1" applyAlignment="1" applyProtection="1">
      <alignment horizontal="center" vertical="center" wrapText="1"/>
      <protection locked="0" hidden="1"/>
    </xf>
    <xf numFmtId="166" fontId="0" fillId="11" borderId="173" xfId="0" applyNumberFormat="1" applyFill="1" applyBorder="1" applyAlignment="1" applyProtection="1">
      <alignment horizontal="center" vertical="center"/>
      <protection locked="0" hidden="1"/>
    </xf>
    <xf numFmtId="166" fontId="0" fillId="11" borderId="174" xfId="0" applyNumberFormat="1" applyFill="1" applyBorder="1" applyAlignment="1" applyProtection="1">
      <alignment horizontal="center" vertical="center"/>
      <protection locked="0" hidden="1"/>
    </xf>
    <xf numFmtId="166" fontId="0" fillId="11" borderId="175" xfId="0" applyNumberFormat="1" applyFill="1" applyBorder="1" applyAlignment="1" applyProtection="1">
      <alignment horizontal="center" vertical="center"/>
      <protection locked="0" hidden="1"/>
    </xf>
    <xf numFmtId="166" fontId="0" fillId="11" borderId="176" xfId="0" applyNumberFormat="1" applyFill="1" applyBorder="1" applyAlignment="1" applyProtection="1">
      <alignment horizontal="center" vertical="center"/>
      <protection locked="0" hidden="1"/>
    </xf>
    <xf numFmtId="166" fontId="0" fillId="11" borderId="177" xfId="0" applyNumberFormat="1" applyFill="1" applyBorder="1" applyAlignment="1" applyProtection="1">
      <alignment horizontal="center" vertical="center"/>
      <protection locked="0" hidden="1"/>
    </xf>
    <xf numFmtId="166" fontId="0" fillId="11" borderId="178" xfId="0" applyNumberFormat="1" applyFill="1" applyBorder="1" applyAlignment="1" applyProtection="1">
      <alignment horizontal="center" vertical="center"/>
      <protection locked="0" hidden="1"/>
    </xf>
    <xf numFmtId="166" fontId="0" fillId="24" borderId="173" xfId="0" applyNumberFormat="1" applyFill="1" applyBorder="1" applyAlignment="1" applyProtection="1">
      <alignment horizontal="center" vertical="center"/>
      <protection locked="0" hidden="1"/>
    </xf>
    <xf numFmtId="166" fontId="0" fillId="24" borderId="175" xfId="0" applyNumberFormat="1" applyFill="1" applyBorder="1" applyAlignment="1" applyProtection="1">
      <alignment horizontal="center" vertical="center"/>
      <protection locked="0" hidden="1"/>
    </xf>
    <xf numFmtId="166" fontId="0" fillId="24" borderId="176" xfId="0" applyNumberFormat="1" applyFill="1" applyBorder="1" applyAlignment="1" applyProtection="1">
      <alignment horizontal="center" vertical="center"/>
      <protection locked="0" hidden="1"/>
    </xf>
    <xf numFmtId="166" fontId="0" fillId="24" borderId="178" xfId="0" applyNumberFormat="1" applyFill="1" applyBorder="1" applyAlignment="1" applyProtection="1">
      <alignment horizontal="center" vertical="center"/>
      <protection locked="0" hidden="1"/>
    </xf>
    <xf numFmtId="166" fontId="4" fillId="4" borderId="173" xfId="0" applyNumberFormat="1" applyFont="1" applyFill="1" applyBorder="1" applyAlignment="1" applyProtection="1">
      <alignment horizontal="center" vertical="center"/>
      <protection locked="0" hidden="1"/>
    </xf>
    <xf numFmtId="166" fontId="4" fillId="4" borderId="174" xfId="0" applyNumberFormat="1" applyFont="1" applyFill="1" applyBorder="1" applyAlignment="1" applyProtection="1">
      <alignment horizontal="center" vertical="center"/>
      <protection locked="0" hidden="1"/>
    </xf>
    <xf numFmtId="166" fontId="4" fillId="4" borderId="175" xfId="0" applyNumberFormat="1" applyFont="1" applyFill="1" applyBorder="1" applyAlignment="1" applyProtection="1">
      <alignment horizontal="center" vertical="center"/>
      <protection locked="0" hidden="1"/>
    </xf>
    <xf numFmtId="166" fontId="4" fillId="4" borderId="176" xfId="0" applyNumberFormat="1" applyFont="1" applyFill="1" applyBorder="1" applyAlignment="1" applyProtection="1">
      <alignment horizontal="center" vertical="center"/>
      <protection locked="0" hidden="1"/>
    </xf>
    <xf numFmtId="166" fontId="4" fillId="4" borderId="177" xfId="0" applyNumberFormat="1" applyFont="1" applyFill="1" applyBorder="1" applyAlignment="1" applyProtection="1">
      <alignment horizontal="center" vertical="center"/>
      <protection locked="0" hidden="1"/>
    </xf>
    <xf numFmtId="166" fontId="4" fillId="4" borderId="178" xfId="0" applyNumberFormat="1" applyFont="1" applyFill="1" applyBorder="1" applyAlignment="1" applyProtection="1">
      <alignment horizontal="center" vertical="center"/>
      <protection locked="0" hidden="1"/>
    </xf>
    <xf numFmtId="166" fontId="0" fillId="6" borderId="21" xfId="0" applyNumberFormat="1" applyFill="1" applyBorder="1" applyAlignment="1" applyProtection="1">
      <alignment horizontal="center" vertical="center"/>
      <protection locked="0" hidden="1"/>
    </xf>
    <xf numFmtId="166" fontId="0" fillId="6" borderId="57" xfId="0" applyNumberFormat="1" applyFill="1" applyBorder="1" applyAlignment="1" applyProtection="1">
      <alignment horizontal="center" vertical="center"/>
      <protection locked="0" hidden="1"/>
    </xf>
    <xf numFmtId="166" fontId="2" fillId="2" borderId="27" xfId="3" applyNumberFormat="1" applyBorder="1" applyAlignment="1" applyProtection="1">
      <alignment horizontal="center" vertical="center"/>
      <protection locked="0" hidden="1"/>
    </xf>
    <xf numFmtId="166" fontId="2" fillId="2" borderId="148" xfId="3" applyNumberFormat="1" applyBorder="1" applyAlignment="1" applyProtection="1">
      <alignment horizontal="center" vertical="center"/>
      <protection locked="0" hidden="1"/>
    </xf>
    <xf numFmtId="0" fontId="0" fillId="6" borderId="64" xfId="0" applyFill="1" applyBorder="1" applyAlignment="1" applyProtection="1">
      <alignment horizontal="center"/>
      <protection locked="0" hidden="1"/>
    </xf>
    <xf numFmtId="0" fontId="0" fillId="6" borderId="149" xfId="0" applyFill="1" applyBorder="1" applyAlignment="1" applyProtection="1">
      <alignment horizontal="center"/>
      <protection locked="0" hidden="1"/>
    </xf>
    <xf numFmtId="2" fontId="0" fillId="4" borderId="23" xfId="0" applyNumberFormat="1" applyFill="1" applyBorder="1" applyAlignment="1" applyProtection="1">
      <alignment horizontal="center" vertical="center"/>
      <protection locked="0" hidden="1"/>
    </xf>
    <xf numFmtId="2" fontId="0" fillId="4" borderId="26" xfId="0" applyNumberFormat="1" applyFill="1" applyBorder="1" applyAlignment="1" applyProtection="1">
      <alignment horizontal="center" vertical="center"/>
      <protection locked="0" hidden="1"/>
    </xf>
    <xf numFmtId="9" fontId="0" fillId="4" borderId="39" xfId="2" applyFont="1" applyFill="1" applyBorder="1" applyAlignment="1" applyProtection="1">
      <alignment horizontal="center" vertical="center"/>
      <protection locked="0" hidden="1"/>
    </xf>
    <xf numFmtId="9" fontId="0" fillId="4" borderId="44" xfId="2" applyFont="1" applyFill="1" applyBorder="1" applyAlignment="1" applyProtection="1">
      <alignment horizontal="center" vertical="center"/>
      <protection locked="0" hidden="1"/>
    </xf>
    <xf numFmtId="0" fontId="19" fillId="24" borderId="151" xfId="0" applyFont="1" applyFill="1" applyBorder="1" applyAlignment="1" applyProtection="1">
      <alignment horizontal="center"/>
      <protection locked="0" hidden="1"/>
    </xf>
    <xf numFmtId="166" fontId="0" fillId="5" borderId="21" xfId="0" applyNumberFormat="1" applyFill="1" applyBorder="1" applyAlignment="1" applyProtection="1">
      <alignment horizontal="center" vertical="center"/>
      <protection locked="0" hidden="1"/>
    </xf>
    <xf numFmtId="166" fontId="0" fillId="5" borderId="57" xfId="0" applyNumberFormat="1" applyFill="1" applyBorder="1" applyAlignment="1" applyProtection="1">
      <alignment horizontal="center" vertical="center"/>
      <protection locked="0" hidden="1"/>
    </xf>
    <xf numFmtId="0" fontId="0" fillId="5" borderId="64" xfId="0" applyFill="1" applyBorder="1" applyAlignment="1" applyProtection="1">
      <alignment horizontal="center"/>
      <protection locked="0" hidden="1"/>
    </xf>
    <xf numFmtId="0" fontId="0" fillId="5" borderId="149" xfId="0" applyFill="1" applyBorder="1" applyAlignment="1" applyProtection="1">
      <alignment horizontal="center"/>
      <protection locked="0" hidden="1"/>
    </xf>
    <xf numFmtId="166" fontId="2" fillId="2" borderId="38" xfId="3" applyNumberFormat="1" applyBorder="1" applyAlignment="1" applyProtection="1">
      <alignment horizontal="center" vertical="center"/>
      <protection locked="0" hidden="1"/>
    </xf>
    <xf numFmtId="166" fontId="2" fillId="2" borderId="39" xfId="3" applyNumberFormat="1" applyBorder="1" applyAlignment="1" applyProtection="1">
      <alignment horizontal="center" vertical="center"/>
      <protection locked="0" hidden="1"/>
    </xf>
    <xf numFmtId="0" fontId="0" fillId="6" borderId="150" xfId="0" applyFill="1" applyBorder="1" applyAlignment="1" applyProtection="1">
      <alignment horizontal="center"/>
      <protection locked="0" hidden="1"/>
    </xf>
    <xf numFmtId="0" fontId="0" fillId="5" borderId="6" xfId="0" applyFill="1" applyBorder="1" applyAlignment="1" applyProtection="1">
      <alignment horizontal="center" vertical="center" wrapText="1" shrinkToFit="1"/>
      <protection locked="0" hidden="1"/>
    </xf>
    <xf numFmtId="0" fontId="0" fillId="5" borderId="119" xfId="0" applyFill="1" applyBorder="1" applyAlignment="1" applyProtection="1">
      <alignment horizontal="center" vertical="center" wrapText="1" shrinkToFit="1"/>
      <protection locked="0" hidden="1"/>
    </xf>
    <xf numFmtId="9" fontId="4" fillId="4" borderId="151" xfId="0" applyNumberFormat="1" applyFont="1" applyFill="1" applyBorder="1" applyAlignment="1" applyProtection="1">
      <alignment horizontal="center" vertical="center"/>
      <protection locked="0" hidden="1"/>
    </xf>
    <xf numFmtId="9" fontId="4" fillId="27" borderId="151" xfId="0" applyNumberFormat="1" applyFont="1" applyFill="1" applyBorder="1" applyAlignment="1" applyProtection="1">
      <alignment horizontal="center" vertical="center"/>
      <protection locked="0" hidden="1"/>
    </xf>
    <xf numFmtId="166" fontId="16" fillId="13" borderId="151" xfId="0" applyNumberFormat="1" applyFont="1" applyFill="1" applyBorder="1" applyAlignment="1" applyProtection="1">
      <alignment horizontal="center" vertical="center"/>
      <protection locked="0" hidden="1"/>
    </xf>
    <xf numFmtId="3" fontId="0" fillId="6" borderId="64" xfId="0" applyNumberFormat="1" applyFill="1" applyBorder="1" applyAlignment="1" applyProtection="1">
      <alignment horizontal="center"/>
      <protection locked="0" hidden="1"/>
    </xf>
    <xf numFmtId="3" fontId="0" fillId="6" borderId="149" xfId="0" applyNumberFormat="1" applyFill="1" applyBorder="1" applyAlignment="1" applyProtection="1">
      <alignment horizontal="center"/>
      <protection locked="0" hidden="1"/>
    </xf>
    <xf numFmtId="0" fontId="0" fillId="5" borderId="121" xfId="0" applyFill="1" applyBorder="1" applyAlignment="1">
      <alignment horizontal="center" vertical="center" shrinkToFit="1"/>
    </xf>
    <xf numFmtId="0" fontId="0" fillId="5" borderId="123" xfId="0" applyFill="1" applyBorder="1" applyAlignment="1">
      <alignment horizontal="center" vertical="center" shrinkToFit="1"/>
    </xf>
    <xf numFmtId="0" fontId="0" fillId="5" borderId="120" xfId="0" applyFill="1" applyBorder="1" applyAlignment="1">
      <alignment horizontal="center" vertical="center" shrinkToFit="1"/>
    </xf>
    <xf numFmtId="0" fontId="19" fillId="5" borderId="130" xfId="0" applyFont="1" applyFill="1" applyBorder="1" applyAlignment="1">
      <alignment horizontal="left"/>
    </xf>
    <xf numFmtId="0" fontId="19" fillId="5" borderId="105" xfId="0" applyFont="1" applyFill="1" applyBorder="1" applyAlignment="1">
      <alignment horizontal="left"/>
    </xf>
    <xf numFmtId="166" fontId="18" fillId="24" borderId="34" xfId="0" applyNumberFormat="1" applyFont="1" applyFill="1" applyBorder="1" applyAlignment="1">
      <alignment horizontal="left" vertical="top"/>
    </xf>
    <xf numFmtId="166" fontId="18" fillId="24" borderId="32" xfId="0" applyNumberFormat="1" applyFont="1" applyFill="1" applyBorder="1" applyAlignment="1">
      <alignment horizontal="left" vertical="top"/>
    </xf>
    <xf numFmtId="166" fontId="18" fillId="24" borderId="80" xfId="0" applyNumberFormat="1" applyFont="1" applyFill="1" applyBorder="1" applyAlignment="1">
      <alignment horizontal="left" vertical="top"/>
    </xf>
    <xf numFmtId="166" fontId="18" fillId="24" borderId="37" xfId="0" applyNumberFormat="1" applyFont="1" applyFill="1" applyBorder="1" applyAlignment="1">
      <alignment horizontal="left" vertical="top"/>
    </xf>
    <xf numFmtId="166" fontId="18" fillId="24" borderId="0" xfId="0" applyNumberFormat="1" applyFont="1" applyFill="1" applyAlignment="1">
      <alignment horizontal="left" vertical="top"/>
    </xf>
    <xf numFmtId="166" fontId="18" fillId="24" borderId="90" xfId="0" applyNumberFormat="1" applyFont="1" applyFill="1" applyBorder="1" applyAlignment="1">
      <alignment horizontal="left" vertical="top"/>
    </xf>
    <xf numFmtId="166" fontId="18" fillId="24" borderId="59" xfId="0" applyNumberFormat="1" applyFont="1" applyFill="1" applyBorder="1" applyAlignment="1">
      <alignment horizontal="left" vertical="top"/>
    </xf>
    <xf numFmtId="166" fontId="18" fillId="24" borderId="54" xfId="0" applyNumberFormat="1" applyFont="1" applyFill="1" applyBorder="1" applyAlignment="1">
      <alignment horizontal="left" vertical="top"/>
    </xf>
    <xf numFmtId="166" fontId="18" fillId="24" borderId="207" xfId="0" applyNumberFormat="1" applyFont="1" applyFill="1" applyBorder="1" applyAlignment="1">
      <alignment horizontal="left" vertical="top"/>
    </xf>
    <xf numFmtId="0" fontId="4" fillId="8" borderId="79" xfId="0" applyFont="1" applyFill="1" applyBorder="1" applyAlignment="1">
      <alignment horizontal="center"/>
    </xf>
    <xf numFmtId="0" fontId="4" fillId="8" borderId="32" xfId="0" applyFont="1" applyFill="1" applyBorder="1" applyAlignment="1">
      <alignment horizontal="center"/>
    </xf>
    <xf numFmtId="0" fontId="4" fillId="8" borderId="80" xfId="0" applyFont="1" applyFill="1" applyBorder="1" applyAlignment="1">
      <alignment horizontal="center"/>
    </xf>
    <xf numFmtId="0" fontId="4" fillId="5" borderId="121" xfId="0" applyFont="1" applyFill="1" applyBorder="1" applyAlignment="1">
      <alignment horizontal="left"/>
    </xf>
    <xf numFmtId="0" fontId="4" fillId="5" borderId="123" xfId="0" applyFont="1" applyFill="1" applyBorder="1" applyAlignment="1">
      <alignment horizontal="left"/>
    </xf>
    <xf numFmtId="0" fontId="4" fillId="5" borderId="120" xfId="0" applyFont="1" applyFill="1" applyBorder="1" applyAlignment="1">
      <alignment horizontal="left"/>
    </xf>
    <xf numFmtId="166" fontId="0" fillId="0" borderId="38" xfId="0" applyNumberFormat="1" applyBorder="1" applyAlignment="1">
      <alignment horizontal="center"/>
    </xf>
    <xf numFmtId="166" fontId="0" fillId="0" borderId="138" xfId="0" applyNumberFormat="1" applyBorder="1" applyAlignment="1">
      <alignment horizontal="center"/>
    </xf>
    <xf numFmtId="9" fontId="0" fillId="0" borderId="21" xfId="0" applyNumberFormat="1" applyBorder="1" applyAlignment="1">
      <alignment horizontal="center"/>
    </xf>
    <xf numFmtId="9" fontId="0" fillId="0" borderId="202" xfId="0" applyNumberFormat="1" applyBorder="1" applyAlignment="1">
      <alignment horizontal="center"/>
    </xf>
    <xf numFmtId="0" fontId="19" fillId="5" borderId="132" xfId="0" applyFont="1" applyFill="1" applyBorder="1" applyAlignment="1">
      <alignment horizontal="left"/>
    </xf>
    <xf numFmtId="0" fontId="19" fillId="5" borderId="133" xfId="0" applyFont="1" applyFill="1" applyBorder="1" applyAlignment="1">
      <alignment horizontal="left"/>
    </xf>
    <xf numFmtId="0" fontId="19" fillId="5" borderId="134" xfId="0" applyFont="1" applyFill="1" applyBorder="1" applyAlignment="1">
      <alignment horizontal="left"/>
    </xf>
    <xf numFmtId="0" fontId="18" fillId="4" borderId="21" xfId="0" applyFont="1" applyFill="1" applyBorder="1" applyAlignment="1">
      <alignment horizontal="right"/>
    </xf>
    <xf numFmtId="0" fontId="18" fillId="4" borderId="56" xfId="0" applyFont="1" applyFill="1" applyBorder="1" applyAlignment="1">
      <alignment horizontal="right"/>
    </xf>
    <xf numFmtId="0" fontId="18" fillId="4" borderId="22" xfId="0" applyFont="1" applyFill="1" applyBorder="1" applyAlignment="1">
      <alignment horizontal="right"/>
    </xf>
    <xf numFmtId="166" fontId="0" fillId="0" borderId="43" xfId="0" applyNumberFormat="1" applyBorder="1" applyAlignment="1">
      <alignment horizontal="center"/>
    </xf>
    <xf numFmtId="166" fontId="0" fillId="0" borderId="83" xfId="0" applyNumberFormat="1" applyBorder="1" applyAlignment="1">
      <alignment horizontal="center"/>
    </xf>
    <xf numFmtId="0" fontId="0" fillId="8" borderId="79" xfId="0" applyFill="1" applyBorder="1" applyAlignment="1">
      <alignment horizontal="center"/>
    </xf>
    <xf numFmtId="0" fontId="0" fillId="8" borderId="32" xfId="0" applyFill="1" applyBorder="1" applyAlignment="1">
      <alignment horizontal="center"/>
    </xf>
    <xf numFmtId="0" fontId="0" fillId="8" borderId="80" xfId="0" applyFill="1" applyBorder="1" applyAlignment="1">
      <alignment horizontal="center"/>
    </xf>
    <xf numFmtId="0" fontId="0" fillId="8" borderId="89" xfId="0" applyFill="1" applyBorder="1" applyAlignment="1">
      <alignment horizontal="center"/>
    </xf>
    <xf numFmtId="0" fontId="0" fillId="8" borderId="0" xfId="0" applyFill="1" applyAlignment="1">
      <alignment horizontal="center"/>
    </xf>
    <xf numFmtId="0" fontId="0" fillId="8" borderId="90" xfId="0" applyFill="1" applyBorder="1" applyAlignment="1">
      <alignment horizontal="center"/>
    </xf>
    <xf numFmtId="0" fontId="0" fillId="8" borderId="41" xfId="0" applyFill="1" applyBorder="1" applyAlignment="1">
      <alignment horizontal="center"/>
    </xf>
    <xf numFmtId="0" fontId="0" fillId="8" borderId="83" xfId="0" applyFill="1" applyBorder="1" applyAlignment="1">
      <alignment horizontal="center"/>
    </xf>
    <xf numFmtId="14" fontId="0" fillId="5" borderId="19" xfId="0" applyNumberFormat="1" applyFill="1" applyBorder="1" applyAlignment="1">
      <alignment horizontal="center" vertical="center"/>
    </xf>
    <xf numFmtId="0" fontId="0" fillId="5" borderId="19" xfId="0" applyFill="1" applyBorder="1" applyAlignment="1">
      <alignment horizontal="center"/>
    </xf>
    <xf numFmtId="0" fontId="18" fillId="4" borderId="19" xfId="0" applyFont="1" applyFill="1" applyBorder="1" applyAlignment="1">
      <alignment horizontal="center" vertical="center"/>
    </xf>
    <xf numFmtId="0" fontId="0" fillId="0" borderId="0" xfId="0" applyAlignment="1">
      <alignment horizontal="left"/>
    </xf>
    <xf numFmtId="14" fontId="18" fillId="4" borderId="38" xfId="0" applyNumberFormat="1" applyFont="1" applyFill="1" applyBorder="1" applyAlignment="1">
      <alignment horizontal="center" vertical="center"/>
    </xf>
    <xf numFmtId="14" fontId="18" fillId="4" borderId="63" xfId="0" applyNumberFormat="1" applyFont="1" applyFill="1" applyBorder="1" applyAlignment="1">
      <alignment horizontal="center" vertical="center"/>
    </xf>
    <xf numFmtId="14" fontId="18" fillId="4" borderId="59" xfId="0" applyNumberFormat="1" applyFont="1" applyFill="1" applyBorder="1" applyAlignment="1">
      <alignment horizontal="center" vertical="center"/>
    </xf>
    <xf numFmtId="14" fontId="18" fillId="4" borderId="58" xfId="0" applyNumberFormat="1" applyFont="1" applyFill="1" applyBorder="1" applyAlignment="1">
      <alignment horizontal="center" vertical="center"/>
    </xf>
    <xf numFmtId="0" fontId="0" fillId="5" borderId="101" xfId="0" applyFill="1" applyBorder="1" applyAlignment="1">
      <alignment horizontal="left"/>
    </xf>
    <xf numFmtId="0" fontId="0" fillId="5" borderId="102" xfId="0" applyFill="1" applyBorder="1" applyAlignment="1">
      <alignment horizontal="left"/>
    </xf>
    <xf numFmtId="0" fontId="0" fillId="5" borderId="105" xfId="0" applyFill="1" applyBorder="1" applyAlignment="1">
      <alignment horizontal="left"/>
    </xf>
    <xf numFmtId="0" fontId="0" fillId="5" borderId="106" xfId="0" applyFill="1" applyBorder="1" applyAlignment="1">
      <alignment horizontal="left"/>
    </xf>
    <xf numFmtId="0" fontId="0" fillId="4" borderId="82" xfId="0" applyFill="1" applyBorder="1" applyAlignment="1">
      <alignment horizontal="left" vertical="top"/>
    </xf>
    <xf numFmtId="0" fontId="0" fillId="4" borderId="41" xfId="0" applyFill="1" applyBorder="1" applyAlignment="1">
      <alignment horizontal="left" vertical="top"/>
    </xf>
    <xf numFmtId="0" fontId="47" fillId="0" borderId="79" xfId="0" applyFont="1" applyBorder="1" applyAlignment="1">
      <alignment horizontal="left" vertical="center"/>
    </xf>
    <xf numFmtId="0" fontId="47" fillId="0" borderId="32" xfId="0" applyFont="1" applyBorder="1" applyAlignment="1">
      <alignment horizontal="left" vertical="center"/>
    </xf>
    <xf numFmtId="0" fontId="47" fillId="0" borderId="80" xfId="0" applyFont="1" applyBorder="1" applyAlignment="1">
      <alignment horizontal="left" vertical="center"/>
    </xf>
    <xf numFmtId="0" fontId="47" fillId="0" borderId="82" xfId="0" applyFont="1" applyBorder="1" applyAlignment="1">
      <alignment horizontal="left" vertical="center"/>
    </xf>
    <xf numFmtId="0" fontId="47" fillId="0" borderId="41" xfId="0" applyFont="1" applyBorder="1" applyAlignment="1">
      <alignment horizontal="left" vertical="center"/>
    </xf>
    <xf numFmtId="0" fontId="47" fillId="0" borderId="83" xfId="0" applyFont="1" applyBorder="1" applyAlignment="1">
      <alignment horizontal="left" vertical="center"/>
    </xf>
    <xf numFmtId="0" fontId="0" fillId="0" borderId="0" xfId="0" applyAlignment="1">
      <alignment horizontal="center"/>
    </xf>
    <xf numFmtId="0" fontId="51" fillId="8" borderId="79" xfId="0" applyFont="1" applyFill="1" applyBorder="1" applyAlignment="1">
      <alignment horizontal="right"/>
    </xf>
    <xf numFmtId="0" fontId="51" fillId="8" borderId="32" xfId="0" applyFont="1" applyFill="1" applyBorder="1" applyAlignment="1">
      <alignment horizontal="right"/>
    </xf>
    <xf numFmtId="0" fontId="51" fillId="8" borderId="80" xfId="0" applyFont="1" applyFill="1" applyBorder="1" applyAlignment="1">
      <alignment horizontal="right"/>
    </xf>
    <xf numFmtId="0" fontId="51" fillId="8" borderId="89" xfId="0" applyFont="1" applyFill="1" applyBorder="1" applyAlignment="1">
      <alignment horizontal="right"/>
    </xf>
    <xf numFmtId="0" fontId="51" fillId="8" borderId="0" xfId="0" applyFont="1" applyFill="1" applyAlignment="1">
      <alignment horizontal="right"/>
    </xf>
    <xf numFmtId="0" fontId="51" fillId="8" borderId="90" xfId="0" applyFont="1" applyFill="1" applyBorder="1" applyAlignment="1">
      <alignment horizontal="right"/>
    </xf>
    <xf numFmtId="0" fontId="18" fillId="38" borderId="121" xfId="0" applyFont="1" applyFill="1" applyBorder="1" applyAlignment="1">
      <alignment horizontal="left"/>
    </xf>
    <xf numFmtId="0" fontId="18" fillId="38" borderId="123" xfId="0" applyFont="1" applyFill="1" applyBorder="1" applyAlignment="1">
      <alignment horizontal="left"/>
    </xf>
    <xf numFmtId="0" fontId="18" fillId="38" borderId="120" xfId="0" applyFont="1" applyFill="1" applyBorder="1" applyAlignment="1">
      <alignment horizontal="left"/>
    </xf>
    <xf numFmtId="0" fontId="0" fillId="5" borderId="23" xfId="0" applyFill="1" applyBorder="1" applyAlignment="1">
      <alignment horizontal="center" vertical="center"/>
    </xf>
    <xf numFmtId="0" fontId="0" fillId="5" borderId="20" xfId="0" applyFill="1" applyBorder="1" applyAlignment="1">
      <alignment horizontal="center" vertical="center"/>
    </xf>
    <xf numFmtId="0" fontId="0" fillId="5" borderId="11" xfId="0" applyFill="1" applyBorder="1" applyAlignment="1">
      <alignment horizontal="center" vertical="center"/>
    </xf>
    <xf numFmtId="0" fontId="18" fillId="4" borderId="38" xfId="0" applyFont="1" applyFill="1" applyBorder="1" applyAlignment="1">
      <alignment horizontal="center" vertical="center"/>
    </xf>
    <xf numFmtId="0" fontId="18" fillId="4" borderId="62" xfId="0" applyFont="1" applyFill="1" applyBorder="1" applyAlignment="1">
      <alignment horizontal="center" vertical="center"/>
    </xf>
    <xf numFmtId="0" fontId="18" fillId="4" borderId="63" xfId="0" applyFont="1" applyFill="1" applyBorder="1" applyAlignment="1">
      <alignment horizontal="center" vertical="center"/>
    </xf>
    <xf numFmtId="0" fontId="18" fillId="4" borderId="37" xfId="0" applyFont="1" applyFill="1" applyBorder="1" applyAlignment="1">
      <alignment horizontal="center" vertical="center"/>
    </xf>
    <xf numFmtId="0" fontId="18" fillId="4" borderId="0" xfId="0" applyFont="1" applyFill="1" applyAlignment="1">
      <alignment horizontal="center" vertical="center"/>
    </xf>
    <xf numFmtId="0" fontId="18" fillId="4" borderId="36" xfId="0" applyFont="1" applyFill="1" applyBorder="1" applyAlignment="1">
      <alignment horizontal="center" vertical="center"/>
    </xf>
    <xf numFmtId="0" fontId="18" fillId="4" borderId="59" xfId="0" applyFont="1" applyFill="1" applyBorder="1" applyAlignment="1">
      <alignment horizontal="center" vertical="center"/>
    </xf>
    <xf numFmtId="0" fontId="18" fillId="4" borderId="54" xfId="0" applyFont="1" applyFill="1" applyBorder="1" applyAlignment="1">
      <alignment horizontal="center" vertical="center"/>
    </xf>
    <xf numFmtId="0" fontId="18" fillId="4" borderId="58"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62" xfId="0" applyFont="1" applyFill="1" applyBorder="1" applyAlignment="1">
      <alignment horizontal="center" vertical="center"/>
    </xf>
    <xf numFmtId="0" fontId="4" fillId="4" borderId="6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0" xfId="0" applyFont="1" applyFill="1" applyAlignment="1">
      <alignment horizontal="center" vertical="center"/>
    </xf>
    <xf numFmtId="0" fontId="4" fillId="4" borderId="36" xfId="0" applyFont="1" applyFill="1" applyBorder="1" applyAlignment="1">
      <alignment horizontal="center" vertical="center"/>
    </xf>
    <xf numFmtId="0" fontId="4" fillId="4" borderId="59" xfId="0" applyFont="1" applyFill="1" applyBorder="1" applyAlignment="1">
      <alignment horizontal="center" vertical="center"/>
    </xf>
    <xf numFmtId="0" fontId="4" fillId="4" borderId="54" xfId="0" applyFont="1" applyFill="1" applyBorder="1" applyAlignment="1">
      <alignment horizontal="center" vertical="center"/>
    </xf>
    <xf numFmtId="0" fontId="4" fillId="4" borderId="58" xfId="0" applyFont="1" applyFill="1" applyBorder="1" applyAlignment="1">
      <alignment horizontal="center" vertical="center"/>
    </xf>
    <xf numFmtId="0" fontId="4" fillId="4" borderId="0" xfId="0" applyFont="1" applyFill="1" applyAlignment="1">
      <alignment horizontal="center" wrapText="1"/>
    </xf>
    <xf numFmtId="0" fontId="4" fillId="4" borderId="90" xfId="0" applyFont="1" applyFill="1" applyBorder="1" applyAlignment="1">
      <alignment horizontal="center" wrapText="1"/>
    </xf>
    <xf numFmtId="0" fontId="0" fillId="5" borderId="19" xfId="0" applyFill="1" applyBorder="1" applyAlignment="1">
      <alignment horizontal="left"/>
    </xf>
    <xf numFmtId="0" fontId="18" fillId="4" borderId="19" xfId="0" applyFont="1" applyFill="1" applyBorder="1" applyAlignment="1">
      <alignment horizontal="left" vertical="center"/>
    </xf>
    <xf numFmtId="0" fontId="0" fillId="5" borderId="19" xfId="0" applyFill="1" applyBorder="1" applyAlignment="1">
      <alignment horizontal="left" vertical="center"/>
    </xf>
    <xf numFmtId="0" fontId="4" fillId="0" borderId="0" xfId="0" applyFont="1" applyAlignment="1">
      <alignment horizontal="center"/>
    </xf>
    <xf numFmtId="0" fontId="4" fillId="0" borderId="90" xfId="0" applyFont="1" applyBorder="1" applyAlignment="1">
      <alignment horizontal="center"/>
    </xf>
    <xf numFmtId="0" fontId="19" fillId="5" borderId="128" xfId="0" applyFont="1" applyFill="1" applyBorder="1" applyAlignment="1">
      <alignment horizontal="left"/>
    </xf>
    <xf numFmtId="0" fontId="19" fillId="5" borderId="101" xfId="0" applyFont="1" applyFill="1" applyBorder="1" applyAlignment="1">
      <alignment horizontal="left"/>
    </xf>
    <xf numFmtId="0" fontId="44" fillId="37" borderId="121" xfId="0" applyFont="1" applyFill="1" applyBorder="1" applyAlignment="1">
      <alignment vertical="top"/>
    </xf>
    <xf numFmtId="0" fontId="44" fillId="37" borderId="123" xfId="0" applyFont="1" applyFill="1" applyBorder="1" applyAlignment="1">
      <alignment vertical="top"/>
    </xf>
    <xf numFmtId="0" fontId="44" fillId="37" borderId="41" xfId="0" applyFont="1" applyFill="1" applyBorder="1" applyAlignment="1">
      <alignment vertical="top"/>
    </xf>
    <xf numFmtId="0" fontId="44" fillId="37" borderId="83" xfId="0" applyFont="1" applyFill="1" applyBorder="1" applyAlignment="1">
      <alignment vertical="top"/>
    </xf>
    <xf numFmtId="0" fontId="47" fillId="30" borderId="38" xfId="0" applyFont="1" applyFill="1" applyBorder="1" applyAlignment="1">
      <alignment horizontal="right" vertical="center"/>
    </xf>
    <xf numFmtId="0" fontId="47" fillId="30" borderId="62" xfId="0" applyFont="1" applyFill="1" applyBorder="1" applyAlignment="1">
      <alignment horizontal="right" vertical="center"/>
    </xf>
    <xf numFmtId="0" fontId="47" fillId="30" borderId="63" xfId="0" applyFont="1" applyFill="1" applyBorder="1" applyAlignment="1">
      <alignment horizontal="right" vertical="center"/>
    </xf>
    <xf numFmtId="0" fontId="47" fillId="30" borderId="59" xfId="0" applyFont="1" applyFill="1" applyBorder="1" applyAlignment="1">
      <alignment horizontal="right" vertical="center"/>
    </xf>
    <xf numFmtId="0" fontId="47" fillId="30" borderId="54" xfId="0" applyFont="1" applyFill="1" applyBorder="1" applyAlignment="1">
      <alignment horizontal="right" vertical="center"/>
    </xf>
    <xf numFmtId="0" fontId="47" fillId="30" borderId="58" xfId="0" applyFont="1" applyFill="1" applyBorder="1" applyAlignment="1">
      <alignment horizontal="right" vertical="center"/>
    </xf>
    <xf numFmtId="167" fontId="54" fillId="30" borderId="38" xfId="0" applyNumberFormat="1" applyFont="1" applyFill="1" applyBorder="1" applyAlignment="1">
      <alignment horizontal="center" vertical="center"/>
    </xf>
    <xf numFmtId="166" fontId="54" fillId="30" borderId="138" xfId="0" applyNumberFormat="1" applyFont="1" applyFill="1" applyBorder="1" applyAlignment="1">
      <alignment horizontal="center" vertical="center"/>
    </xf>
    <xf numFmtId="166" fontId="54" fillId="30" borderId="37" xfId="0" applyNumberFormat="1" applyFont="1" applyFill="1" applyBorder="1" applyAlignment="1">
      <alignment horizontal="center" vertical="center"/>
    </xf>
    <xf numFmtId="166" fontId="54" fillId="30" borderId="90" xfId="0" applyNumberFormat="1" applyFont="1" applyFill="1" applyBorder="1" applyAlignment="1">
      <alignment horizontal="center" vertical="center"/>
    </xf>
    <xf numFmtId="166" fontId="0" fillId="0" borderId="21" xfId="0" applyNumberFormat="1" applyBorder="1" applyAlignment="1">
      <alignment horizontal="center"/>
    </xf>
    <xf numFmtId="166" fontId="0" fillId="0" borderId="202" xfId="0" applyNumberFormat="1" applyBorder="1" applyAlignment="1">
      <alignment horizontal="center"/>
    </xf>
    <xf numFmtId="0" fontId="4" fillId="5" borderId="135" xfId="0" applyFont="1" applyFill="1" applyBorder="1" applyAlignment="1">
      <alignment horizontal="center"/>
    </xf>
    <xf numFmtId="0" fontId="4" fillId="5" borderId="19" xfId="0" applyFont="1" applyFill="1" applyBorder="1" applyAlignment="1">
      <alignment horizontal="center"/>
    </xf>
    <xf numFmtId="0" fontId="4" fillId="5" borderId="136" xfId="0" applyFont="1" applyFill="1" applyBorder="1" applyAlignment="1">
      <alignment horizontal="center"/>
    </xf>
    <xf numFmtId="0" fontId="53" fillId="30" borderId="59" xfId="0" applyFont="1" applyFill="1" applyBorder="1" applyAlignment="1">
      <alignment horizontal="center" vertical="center" wrapText="1"/>
    </xf>
    <xf numFmtId="0" fontId="53" fillId="30" borderId="0" xfId="0" applyFont="1" applyFill="1" applyAlignment="1">
      <alignment horizontal="center" vertical="center" wrapText="1"/>
    </xf>
    <xf numFmtId="0" fontId="53" fillId="30" borderId="228" xfId="0" applyFont="1" applyFill="1" applyBorder="1" applyAlignment="1">
      <alignment horizontal="center" vertical="center" wrapText="1"/>
    </xf>
    <xf numFmtId="0" fontId="48" fillId="30" borderId="38" xfId="0" applyFont="1" applyFill="1" applyBorder="1" applyAlignment="1">
      <alignment horizontal="right"/>
    </xf>
    <xf numFmtId="0" fontId="48" fillId="30" borderId="62" xfId="0" applyFont="1" applyFill="1" applyBorder="1" applyAlignment="1">
      <alignment horizontal="right"/>
    </xf>
    <xf numFmtId="0" fontId="48" fillId="30" borderId="218" xfId="0" applyFont="1" applyFill="1" applyBorder="1" applyAlignment="1">
      <alignment horizontal="right"/>
    </xf>
    <xf numFmtId="0" fontId="4" fillId="4" borderId="19" xfId="0" applyFont="1" applyFill="1" applyBorder="1" applyAlignment="1">
      <alignment horizontal="left" vertical="top" wrapText="1" shrinkToFit="1"/>
    </xf>
    <xf numFmtId="0" fontId="4" fillId="4" borderId="136" xfId="0" applyFont="1" applyFill="1" applyBorder="1" applyAlignment="1">
      <alignment horizontal="left" vertical="top" wrapText="1" shrinkToFit="1"/>
    </xf>
    <xf numFmtId="0" fontId="4" fillId="4" borderId="25" xfId="0" applyFont="1" applyFill="1" applyBorder="1" applyAlignment="1">
      <alignment horizontal="left" vertical="top" wrapText="1" shrinkToFit="1"/>
    </xf>
    <xf numFmtId="0" fontId="4" fillId="4" borderId="230" xfId="0" applyFont="1" applyFill="1" applyBorder="1" applyAlignment="1">
      <alignment horizontal="left" vertical="top" wrapText="1" shrinkToFit="1"/>
    </xf>
    <xf numFmtId="0" fontId="0" fillId="5" borderId="79" xfId="0" applyFill="1" applyBorder="1" applyAlignment="1">
      <alignment horizontal="center"/>
    </xf>
    <xf numFmtId="0" fontId="0" fillId="5" borderId="32" xfId="0" applyFill="1" applyBorder="1" applyAlignment="1">
      <alignment horizontal="center"/>
    </xf>
    <xf numFmtId="0" fontId="0" fillId="5" borderId="80" xfId="0" applyFill="1" applyBorder="1" applyAlignment="1">
      <alignment horizontal="center"/>
    </xf>
    <xf numFmtId="0" fontId="0" fillId="5" borderId="89" xfId="0" applyFill="1" applyBorder="1" applyAlignment="1">
      <alignment horizontal="center"/>
    </xf>
    <xf numFmtId="0" fontId="0" fillId="5" borderId="0" xfId="0" applyFill="1" applyAlignment="1">
      <alignment horizontal="center"/>
    </xf>
    <xf numFmtId="0" fontId="0" fillId="5" borderId="90" xfId="0" applyFill="1" applyBorder="1" applyAlignment="1">
      <alignment horizontal="center"/>
    </xf>
    <xf numFmtId="0" fontId="0" fillId="5" borderId="41" xfId="0" applyFill="1" applyBorder="1" applyAlignment="1">
      <alignment horizontal="center"/>
    </xf>
    <xf numFmtId="0" fontId="0" fillId="5" borderId="83" xfId="0" applyFill="1" applyBorder="1" applyAlignment="1">
      <alignment horizontal="center"/>
    </xf>
    <xf numFmtId="0" fontId="0" fillId="5" borderId="121" xfId="0" applyFill="1" applyBorder="1" applyAlignment="1">
      <alignment horizontal="left" vertical="center" shrinkToFit="1"/>
    </xf>
    <xf numFmtId="0" fontId="0" fillId="5" borderId="123" xfId="0" applyFill="1" applyBorder="1" applyAlignment="1">
      <alignment horizontal="left" vertical="center" shrinkToFit="1"/>
    </xf>
    <xf numFmtId="0" fontId="0" fillId="5" borderId="120" xfId="0" applyFill="1" applyBorder="1" applyAlignment="1">
      <alignment horizontal="left" vertical="center" shrinkToFit="1"/>
    </xf>
    <xf numFmtId="0" fontId="20" fillId="4" borderId="79" xfId="0" applyFont="1" applyFill="1" applyBorder="1" applyAlignment="1">
      <alignment horizontal="left" vertical="top" wrapText="1" shrinkToFit="1"/>
    </xf>
    <xf numFmtId="0" fontId="20" fillId="4" borderId="32" xfId="0" applyFont="1" applyFill="1" applyBorder="1" applyAlignment="1">
      <alignment horizontal="left" vertical="top" wrapText="1" shrinkToFit="1"/>
    </xf>
    <xf numFmtId="0" fontId="20" fillId="4" borderId="80" xfId="0" applyFont="1" applyFill="1" applyBorder="1" applyAlignment="1">
      <alignment horizontal="left" vertical="top" wrapText="1" shrinkToFit="1"/>
    </xf>
    <xf numFmtId="0" fontId="20" fillId="4" borderId="89" xfId="0" applyFont="1" applyFill="1" applyBorder="1" applyAlignment="1">
      <alignment horizontal="left" vertical="top" wrapText="1" shrinkToFit="1"/>
    </xf>
    <xf numFmtId="0" fontId="20" fillId="4" borderId="0" xfId="0" applyFont="1" applyFill="1" applyAlignment="1">
      <alignment horizontal="left" vertical="top" wrapText="1" shrinkToFit="1"/>
    </xf>
    <xf numFmtId="0" fontId="20" fillId="4" borderId="90" xfId="0" applyFont="1" applyFill="1" applyBorder="1" applyAlignment="1">
      <alignment horizontal="left" vertical="top" wrapText="1" shrinkToFit="1"/>
    </xf>
    <xf numFmtId="0" fontId="48" fillId="30" borderId="38" xfId="0" applyFont="1" applyFill="1" applyBorder="1" applyAlignment="1">
      <alignment horizontal="right" vertical="center"/>
    </xf>
    <xf numFmtId="0" fontId="48" fillId="30" borderId="62" xfId="0" applyFont="1" applyFill="1" applyBorder="1" applyAlignment="1">
      <alignment horizontal="right" vertical="center"/>
    </xf>
    <xf numFmtId="0" fontId="48" fillId="30" borderId="59" xfId="0" applyFont="1" applyFill="1" applyBorder="1" applyAlignment="1">
      <alignment horizontal="right" vertical="center"/>
    </xf>
    <xf numFmtId="0" fontId="48" fillId="30" borderId="54" xfId="0" applyFont="1" applyFill="1" applyBorder="1" applyAlignment="1">
      <alignment horizontal="right" vertical="center"/>
    </xf>
    <xf numFmtId="0" fontId="4" fillId="0" borderId="79" xfId="0" applyFont="1" applyBorder="1" applyAlignment="1">
      <alignment horizontal="left" vertical="top" wrapText="1"/>
    </xf>
    <xf numFmtId="0" fontId="4" fillId="0" borderId="32" xfId="0" applyFont="1" applyBorder="1" applyAlignment="1">
      <alignment horizontal="left" vertical="top" wrapText="1"/>
    </xf>
    <xf numFmtId="0" fontId="4" fillId="0" borderId="80" xfId="0" applyFont="1" applyBorder="1" applyAlignment="1">
      <alignment horizontal="left" vertical="top" wrapText="1"/>
    </xf>
    <xf numFmtId="0" fontId="4" fillId="0" borderId="89" xfId="0" applyFont="1" applyBorder="1" applyAlignment="1">
      <alignment horizontal="left" vertical="top" wrapText="1"/>
    </xf>
    <xf numFmtId="0" fontId="4" fillId="0" borderId="0" xfId="0" applyFont="1" applyAlignment="1">
      <alignment horizontal="left" vertical="top" wrapText="1"/>
    </xf>
    <xf numFmtId="0" fontId="4" fillId="0" borderId="90" xfId="0" applyFont="1" applyBorder="1" applyAlignment="1">
      <alignment horizontal="left" vertical="top" wrapText="1"/>
    </xf>
    <xf numFmtId="0" fontId="4" fillId="0" borderId="82" xfId="0" applyFont="1" applyBorder="1" applyAlignment="1">
      <alignment horizontal="left" vertical="top" wrapText="1"/>
    </xf>
    <xf numFmtId="0" fontId="4" fillId="0" borderId="41" xfId="0" applyFont="1" applyBorder="1" applyAlignment="1">
      <alignment horizontal="left" vertical="top" wrapText="1"/>
    </xf>
    <xf numFmtId="0" fontId="4" fillId="0" borderId="83" xfId="0" applyFont="1" applyBorder="1" applyAlignment="1">
      <alignment horizontal="left" vertical="top" wrapText="1"/>
    </xf>
    <xf numFmtId="0" fontId="4" fillId="5" borderId="79" xfId="0" applyFont="1" applyFill="1" applyBorder="1" applyAlignment="1">
      <alignment horizontal="center"/>
    </xf>
    <xf numFmtId="0" fontId="4" fillId="5" borderId="32" xfId="0" applyFont="1" applyFill="1" applyBorder="1" applyAlignment="1">
      <alignment horizontal="center"/>
    </xf>
    <xf numFmtId="0" fontId="4" fillId="5" borderId="80" xfId="0" applyFont="1" applyFill="1" applyBorder="1" applyAlignment="1">
      <alignment horizontal="center"/>
    </xf>
    <xf numFmtId="0" fontId="6" fillId="0" borderId="79" xfId="0" applyFont="1" applyBorder="1" applyAlignment="1">
      <alignment horizontal="left" vertical="center"/>
    </xf>
    <xf numFmtId="0" fontId="6" fillId="0" borderId="32" xfId="0" applyFont="1" applyBorder="1" applyAlignment="1">
      <alignment horizontal="left" vertical="center"/>
    </xf>
    <xf numFmtId="0" fontId="6" fillId="0" borderId="80" xfId="0" applyFont="1" applyBorder="1" applyAlignment="1">
      <alignment horizontal="left" vertical="center"/>
    </xf>
    <xf numFmtId="0" fontId="6" fillId="0" borderId="82" xfId="0" applyFont="1" applyBorder="1" applyAlignment="1">
      <alignment horizontal="left" vertical="center"/>
    </xf>
    <xf numFmtId="0" fontId="6" fillId="0" borderId="41" xfId="0" applyFont="1" applyBorder="1" applyAlignment="1">
      <alignment horizontal="left" vertical="center"/>
    </xf>
    <xf numFmtId="0" fontId="6" fillId="0" borderId="83" xfId="0" applyFont="1" applyBorder="1" applyAlignment="1">
      <alignment horizontal="left" vertical="center"/>
    </xf>
    <xf numFmtId="0" fontId="50" fillId="5" borderId="79" xfId="0" applyFont="1" applyFill="1" applyBorder="1" applyAlignment="1">
      <alignment horizontal="right"/>
    </xf>
    <xf numFmtId="0" fontId="50" fillId="5" borderId="32" xfId="0" applyFont="1" applyFill="1" applyBorder="1" applyAlignment="1">
      <alignment horizontal="right"/>
    </xf>
    <xf numFmtId="0" fontId="50" fillId="5" borderId="80" xfId="0" applyFont="1" applyFill="1" applyBorder="1" applyAlignment="1">
      <alignment horizontal="right"/>
    </xf>
    <xf numFmtId="0" fontId="50" fillId="5" borderId="89" xfId="0" applyFont="1" applyFill="1" applyBorder="1" applyAlignment="1">
      <alignment horizontal="right"/>
    </xf>
    <xf numFmtId="0" fontId="50" fillId="5" borderId="0" xfId="0" applyFont="1" applyFill="1" applyAlignment="1">
      <alignment horizontal="right"/>
    </xf>
    <xf numFmtId="0" fontId="50" fillId="5" borderId="90" xfId="0" applyFont="1" applyFill="1" applyBorder="1" applyAlignment="1">
      <alignment horizontal="right"/>
    </xf>
    <xf numFmtId="0" fontId="18" fillId="5" borderId="121" xfId="0" applyFont="1" applyFill="1" applyBorder="1" applyAlignment="1">
      <alignment horizontal="left"/>
    </xf>
    <xf numFmtId="0" fontId="18" fillId="5" borderId="123" xfId="0" applyFont="1" applyFill="1" applyBorder="1" applyAlignment="1">
      <alignment horizontal="left"/>
    </xf>
    <xf numFmtId="0" fontId="18" fillId="5" borderId="120" xfId="0" applyFont="1" applyFill="1" applyBorder="1" applyAlignment="1">
      <alignment horizontal="left"/>
    </xf>
    <xf numFmtId="9" fontId="40" fillId="16" borderId="209" xfId="0" applyNumberFormat="1" applyFont="1" applyFill="1" applyBorder="1" applyAlignment="1">
      <alignment horizontal="center" vertical="center"/>
    </xf>
    <xf numFmtId="9" fontId="40" fillId="16" borderId="122" xfId="0" applyNumberFormat="1" applyFont="1" applyFill="1" applyBorder="1" applyAlignment="1">
      <alignment horizontal="center" vertical="center"/>
    </xf>
    <xf numFmtId="0" fontId="44" fillId="37" borderId="121" xfId="0" applyFont="1" applyFill="1" applyBorder="1" applyAlignment="1">
      <alignment horizontal="center" vertical="top"/>
    </xf>
    <xf numFmtId="0" fontId="44" fillId="37" borderId="123" xfId="0" applyFont="1" applyFill="1" applyBorder="1" applyAlignment="1">
      <alignment horizontal="center" vertical="top"/>
    </xf>
    <xf numFmtId="0" fontId="44" fillId="37" borderId="120" xfId="0" applyFont="1" applyFill="1" applyBorder="1" applyAlignment="1">
      <alignment horizontal="center" vertical="top"/>
    </xf>
    <xf numFmtId="166" fontId="6" fillId="30" borderId="38" xfId="0" applyNumberFormat="1" applyFont="1" applyFill="1" applyBorder="1" applyAlignment="1">
      <alignment horizontal="center" vertical="center"/>
    </xf>
    <xf numFmtId="166" fontId="6" fillId="30" borderId="138" xfId="0" applyNumberFormat="1" applyFont="1" applyFill="1" applyBorder="1" applyAlignment="1">
      <alignment horizontal="center" vertical="center"/>
    </xf>
    <xf numFmtId="166" fontId="6" fillId="30" borderId="37" xfId="0" applyNumberFormat="1" applyFont="1" applyFill="1" applyBorder="1" applyAlignment="1">
      <alignment horizontal="center" vertical="center"/>
    </xf>
    <xf numFmtId="166" fontId="6" fillId="30" borderId="90" xfId="0" applyNumberFormat="1" applyFont="1" applyFill="1" applyBorder="1" applyAlignment="1">
      <alignment horizontal="center" vertical="center"/>
    </xf>
    <xf numFmtId="0" fontId="46" fillId="0" borderId="79" xfId="0" applyFont="1" applyBorder="1" applyAlignment="1">
      <alignment horizontal="left" vertical="center"/>
    </xf>
    <xf numFmtId="0" fontId="46" fillId="0" borderId="32" xfId="0" applyFont="1" applyBorder="1" applyAlignment="1">
      <alignment horizontal="left" vertical="center"/>
    </xf>
    <xf numFmtId="0" fontId="46" fillId="0" borderId="80" xfId="0" applyFont="1" applyBorder="1" applyAlignment="1">
      <alignment horizontal="left" vertical="center"/>
    </xf>
    <xf numFmtId="0" fontId="46" fillId="0" borderId="82" xfId="0" applyFont="1" applyBorder="1" applyAlignment="1">
      <alignment horizontal="left" vertical="center"/>
    </xf>
    <xf numFmtId="0" fontId="46" fillId="0" borderId="41" xfId="0" applyFont="1" applyBorder="1" applyAlignment="1">
      <alignment horizontal="left" vertical="center"/>
    </xf>
    <xf numFmtId="0" fontId="46" fillId="0" borderId="83" xfId="0" applyFont="1" applyBorder="1" applyAlignment="1">
      <alignment horizontal="left" vertical="center"/>
    </xf>
    <xf numFmtId="166" fontId="41" fillId="30" borderId="138" xfId="0" applyNumberFormat="1" applyFont="1" applyFill="1" applyBorder="1" applyAlignment="1">
      <alignment horizontal="center" vertical="center"/>
    </xf>
    <xf numFmtId="166" fontId="41" fillId="30" borderId="207" xfId="0" applyNumberFormat="1" applyFont="1" applyFill="1" applyBorder="1" applyAlignment="1">
      <alignment horizontal="center" vertical="center"/>
    </xf>
    <xf numFmtId="167" fontId="0" fillId="0" borderId="37" xfId="0" applyNumberFormat="1" applyBorder="1" applyAlignment="1">
      <alignment horizontal="center"/>
    </xf>
    <xf numFmtId="167" fontId="0" fillId="0" borderId="90" xfId="0" applyNumberFormat="1" applyBorder="1" applyAlignment="1">
      <alignment horizontal="center"/>
    </xf>
    <xf numFmtId="0" fontId="34" fillId="4" borderId="184" xfId="0" applyFont="1" applyFill="1" applyBorder="1" applyAlignment="1">
      <alignment horizontal="left" vertical="center"/>
    </xf>
    <xf numFmtId="0" fontId="0" fillId="4" borderId="184" xfId="0" applyFill="1" applyBorder="1" applyAlignment="1">
      <alignment horizontal="left" vertical="center"/>
    </xf>
    <xf numFmtId="0" fontId="0" fillId="4" borderId="0" xfId="0" applyFill="1" applyAlignment="1">
      <alignment horizontal="left" vertical="center"/>
    </xf>
    <xf numFmtId="0" fontId="7" fillId="4" borderId="0" xfId="4" applyFill="1" applyBorder="1" applyAlignment="1">
      <alignment horizontal="center"/>
    </xf>
    <xf numFmtId="0" fontId="7" fillId="4" borderId="187" xfId="4" applyFill="1" applyBorder="1" applyAlignment="1">
      <alignment horizontal="center"/>
    </xf>
    <xf numFmtId="0" fontId="0" fillId="4" borderId="50" xfId="0" applyFill="1" applyBorder="1" applyAlignment="1">
      <alignment horizontal="left"/>
    </xf>
    <xf numFmtId="0" fontId="0" fillId="4" borderId="188" xfId="0" applyFill="1" applyBorder="1" applyAlignment="1">
      <alignment horizontal="left"/>
    </xf>
    <xf numFmtId="0" fontId="0" fillId="4" borderId="150" xfId="0" applyFill="1" applyBorder="1" applyAlignment="1">
      <alignment horizontal="left"/>
    </xf>
    <xf numFmtId="0" fontId="0" fillId="4" borderId="55" xfId="0" applyFill="1" applyBorder="1" applyAlignment="1">
      <alignment horizontal="left"/>
    </xf>
    <xf numFmtId="0" fontId="0" fillId="4" borderId="56" xfId="0" applyFill="1" applyBorder="1" applyAlignment="1">
      <alignment horizontal="left"/>
    </xf>
    <xf numFmtId="0" fontId="0" fillId="4" borderId="57" xfId="0" applyFill="1" applyBorder="1" applyAlignment="1">
      <alignment horizontal="left"/>
    </xf>
    <xf numFmtId="14" fontId="0" fillId="4" borderId="55" xfId="0" applyNumberFormat="1" applyFill="1" applyBorder="1" applyAlignment="1">
      <alignment horizontal="left"/>
    </xf>
    <xf numFmtId="0" fontId="0" fillId="4" borderId="70" xfId="0" applyFill="1" applyBorder="1" applyAlignment="1">
      <alignment horizontal="left"/>
    </xf>
    <xf numFmtId="0" fontId="0" fillId="4" borderId="189" xfId="0" applyFill="1" applyBorder="1" applyAlignment="1">
      <alignment horizontal="left"/>
    </xf>
    <xf numFmtId="0" fontId="0" fillId="4" borderId="190" xfId="0" applyFill="1" applyBorder="1" applyAlignment="1">
      <alignment horizontal="left"/>
    </xf>
    <xf numFmtId="0" fontId="0" fillId="0" borderId="127" xfId="0" applyBorder="1" applyAlignment="1">
      <alignment horizontal="center"/>
    </xf>
    <xf numFmtId="0" fontId="0" fillId="0" borderId="120" xfId="0" applyBorder="1" applyAlignment="1">
      <alignment horizontal="center"/>
    </xf>
    <xf numFmtId="167" fontId="0" fillId="5" borderId="34" xfId="0" applyNumberFormat="1" applyFill="1" applyBorder="1" applyAlignment="1">
      <alignment horizontal="center"/>
    </xf>
    <xf numFmtId="167" fontId="0" fillId="5" borderId="80" xfId="0" applyNumberFormat="1" applyFill="1" applyBorder="1" applyAlignment="1">
      <alignment horizontal="center"/>
    </xf>
    <xf numFmtId="167" fontId="0" fillId="0" borderId="43" xfId="0" applyNumberFormat="1" applyBorder="1" applyAlignment="1">
      <alignment horizontal="center"/>
    </xf>
    <xf numFmtId="167" fontId="0" fillId="0" borderId="83" xfId="0" applyNumberFormat="1" applyBorder="1" applyAlignment="1">
      <alignment horizontal="center"/>
    </xf>
    <xf numFmtId="167" fontId="0" fillId="5" borderId="37" xfId="0" applyNumberFormat="1" applyFill="1" applyBorder="1" applyAlignment="1">
      <alignment horizontal="center"/>
    </xf>
    <xf numFmtId="167" fontId="0" fillId="5" borderId="90" xfId="0" applyNumberFormat="1" applyFill="1" applyBorder="1" applyAlignment="1">
      <alignment horizontal="center"/>
    </xf>
    <xf numFmtId="0" fontId="0" fillId="0" borderId="48" xfId="0" applyBorder="1" applyAlignment="1">
      <alignment horizontal="left" vertical="top"/>
    </xf>
    <xf numFmtId="0" fontId="0" fillId="0" borderId="49" xfId="0" applyBorder="1" applyAlignment="1">
      <alignment horizontal="left" vertical="top"/>
    </xf>
    <xf numFmtId="0" fontId="0" fillId="0" borderId="75"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0" fillId="0" borderId="69" xfId="0" applyBorder="1" applyAlignment="1">
      <alignment horizontal="left" vertical="top"/>
    </xf>
    <xf numFmtId="0" fontId="0" fillId="0" borderId="48" xfId="0" applyBorder="1" applyAlignment="1">
      <alignment horizontal="left" vertical="top" wrapText="1"/>
    </xf>
    <xf numFmtId="0" fontId="0" fillId="5" borderId="188" xfId="0" applyFill="1" applyBorder="1" applyAlignment="1">
      <alignment horizontal="right"/>
    </xf>
    <xf numFmtId="0" fontId="0" fillId="0" borderId="56" xfId="0" applyBorder="1" applyAlignment="1">
      <alignment horizontal="center"/>
    </xf>
    <xf numFmtId="0" fontId="0" fillId="5" borderId="56" xfId="0" applyFill="1" applyBorder="1" applyAlignment="1">
      <alignment horizontal="right"/>
    </xf>
    <xf numFmtId="0" fontId="0" fillId="5" borderId="189" xfId="0" applyFill="1" applyBorder="1" applyAlignment="1">
      <alignment horizontal="right"/>
    </xf>
    <xf numFmtId="0" fontId="31" fillId="39" borderId="181" xfId="5" applyFont="1" applyFill="1" applyBorder="1" applyAlignment="1">
      <alignment horizontal="center" vertical="center" wrapText="1"/>
    </xf>
    <xf numFmtId="0" fontId="31" fillId="39" borderId="182" xfId="5" applyFont="1" applyFill="1" applyBorder="1" applyAlignment="1">
      <alignment horizontal="center" vertical="center" wrapText="1"/>
    </xf>
    <xf numFmtId="1" fontId="28" fillId="0" borderId="181" xfId="5" applyNumberFormat="1" applyFont="1" applyBorder="1" applyAlignment="1">
      <alignment horizontal="center" vertical="center" shrinkToFit="1"/>
    </xf>
    <xf numFmtId="1" fontId="28" fillId="0" borderId="182" xfId="5" applyNumberFormat="1" applyFont="1" applyBorder="1" applyAlignment="1">
      <alignment horizontal="center" vertical="center" shrinkToFit="1"/>
    </xf>
    <xf numFmtId="0" fontId="28" fillId="32" borderId="181" xfId="5" applyFont="1" applyFill="1" applyBorder="1" applyAlignment="1">
      <alignment horizontal="center" vertical="center" wrapText="1"/>
    </xf>
    <xf numFmtId="0" fontId="28" fillId="32" borderId="182" xfId="5" applyFont="1" applyFill="1" applyBorder="1" applyAlignment="1">
      <alignment horizontal="center" vertical="center" wrapText="1"/>
    </xf>
    <xf numFmtId="0" fontId="30" fillId="0" borderId="181" xfId="5" applyFont="1" applyBorder="1" applyAlignment="1">
      <alignment horizontal="center" vertical="center" wrapText="1"/>
    </xf>
    <xf numFmtId="0" fontId="30" fillId="0" borderId="182" xfId="5" applyFont="1" applyBorder="1" applyAlignment="1">
      <alignment horizontal="center" vertical="center" wrapText="1"/>
    </xf>
    <xf numFmtId="0" fontId="30" fillId="32" borderId="181" xfId="5" applyFont="1" applyFill="1" applyBorder="1" applyAlignment="1">
      <alignment horizontal="center" vertical="center" wrapText="1"/>
    </xf>
    <xf numFmtId="0" fontId="30" fillId="32" borderId="182" xfId="5" applyFont="1" applyFill="1" applyBorder="1" applyAlignment="1">
      <alignment horizontal="center" vertical="center" wrapText="1"/>
    </xf>
    <xf numFmtId="0" fontId="20" fillId="0" borderId="181" xfId="5" applyFont="1" applyBorder="1" applyAlignment="1">
      <alignment horizontal="center" vertical="center" wrapText="1"/>
    </xf>
    <xf numFmtId="0" fontId="20" fillId="0" borderId="182" xfId="5" applyFont="1" applyBorder="1" applyAlignment="1">
      <alignment horizontal="center" vertical="center" wrapText="1"/>
    </xf>
    <xf numFmtId="0" fontId="31" fillId="0" borderId="181" xfId="5" applyFont="1" applyBorder="1" applyAlignment="1">
      <alignment horizontal="center" vertical="center" wrapText="1"/>
    </xf>
    <xf numFmtId="0" fontId="31" fillId="0" borderId="182" xfId="5" applyFont="1" applyBorder="1" applyAlignment="1">
      <alignment horizontal="center" vertical="center" wrapText="1"/>
    </xf>
    <xf numFmtId="0" fontId="28" fillId="32" borderId="181" xfId="5" applyFont="1" applyFill="1" applyBorder="1" applyAlignment="1">
      <alignment horizontal="left" vertical="center" wrapText="1" indent="3"/>
    </xf>
    <xf numFmtId="0" fontId="28" fillId="32" borderId="182" xfId="5" applyFont="1" applyFill="1" applyBorder="1" applyAlignment="1">
      <alignment horizontal="left" vertical="center" wrapText="1" indent="3"/>
    </xf>
    <xf numFmtId="0" fontId="21" fillId="4" borderId="0" xfId="5" applyFill="1" applyAlignment="1">
      <alignment horizontal="left" vertical="center" wrapText="1"/>
    </xf>
    <xf numFmtId="0" fontId="22" fillId="31" borderId="0" xfId="5" applyFont="1" applyFill="1" applyAlignment="1">
      <alignment horizontal="center" vertical="top" wrapText="1"/>
    </xf>
    <xf numFmtId="0" fontId="23" fillId="31" borderId="0" xfId="5" applyFont="1" applyFill="1" applyAlignment="1">
      <alignment horizontal="center" vertical="top" wrapText="1"/>
    </xf>
    <xf numFmtId="0" fontId="26" fillId="0" borderId="179" xfId="5" applyFont="1" applyBorder="1" applyAlignment="1">
      <alignment horizontal="center" vertical="top" wrapText="1"/>
    </xf>
    <xf numFmtId="0" fontId="24" fillId="0" borderId="179" xfId="5" applyFont="1" applyBorder="1" applyAlignment="1">
      <alignment horizontal="center" vertical="top" wrapText="1"/>
    </xf>
    <xf numFmtId="0" fontId="29" fillId="32" borderId="181" xfId="5" applyFont="1" applyFill="1" applyBorder="1" applyAlignment="1">
      <alignment horizontal="center" vertical="center" wrapText="1"/>
    </xf>
    <xf numFmtId="0" fontId="29" fillId="32" borderId="182" xfId="5" applyFont="1" applyFill="1" applyBorder="1" applyAlignment="1">
      <alignment horizontal="center" vertical="center" wrapText="1"/>
    </xf>
    <xf numFmtId="0" fontId="28" fillId="0" borderId="181" xfId="5" applyFont="1" applyBorder="1" applyAlignment="1">
      <alignment horizontal="center" vertical="center" wrapText="1"/>
    </xf>
    <xf numFmtId="0" fontId="28" fillId="0" borderId="182" xfId="5" applyFont="1" applyBorder="1" applyAlignment="1">
      <alignment horizontal="center" vertical="center" wrapText="1"/>
    </xf>
    <xf numFmtId="0" fontId="30" fillId="39" borderId="181" xfId="5" applyFont="1" applyFill="1" applyBorder="1" applyAlignment="1">
      <alignment horizontal="center" vertical="center" wrapText="1"/>
    </xf>
    <xf numFmtId="0" fontId="30" fillId="39" borderId="182" xfId="5" applyFont="1" applyFill="1" applyBorder="1" applyAlignment="1">
      <alignment horizontal="center" vertical="center" wrapText="1"/>
    </xf>
    <xf numFmtId="0" fontId="32" fillId="39" borderId="182" xfId="5" applyFont="1" applyFill="1" applyBorder="1" applyAlignment="1">
      <alignment horizontal="center" vertical="center" wrapText="1"/>
    </xf>
    <xf numFmtId="0" fontId="27" fillId="32" borderId="181" xfId="5" applyFont="1" applyFill="1" applyBorder="1" applyAlignment="1">
      <alignment horizontal="center" vertical="center" wrapText="1"/>
    </xf>
    <xf numFmtId="0" fontId="27" fillId="32" borderId="182" xfId="5" applyFont="1" applyFill="1" applyBorder="1" applyAlignment="1">
      <alignment horizontal="center" vertical="center" wrapText="1"/>
    </xf>
    <xf numFmtId="0" fontId="28" fillId="0" borderId="181" xfId="5" applyFont="1" applyBorder="1" applyAlignment="1">
      <alignment horizontal="left" vertical="center" wrapText="1" indent="3"/>
    </xf>
    <xf numFmtId="0" fontId="28" fillId="0" borderId="182" xfId="5" applyFont="1" applyBorder="1" applyAlignment="1">
      <alignment horizontal="left" vertical="center" wrapText="1" indent="3"/>
    </xf>
    <xf numFmtId="0" fontId="0" fillId="4" borderId="76" xfId="0" applyFill="1" applyBorder="1" applyAlignment="1" applyProtection="1">
      <alignment horizontal="center" vertical="center" wrapText="1"/>
      <protection locked="0" hidden="1"/>
    </xf>
    <xf numFmtId="0" fontId="0" fillId="4" borderId="20" xfId="0" applyFill="1" applyBorder="1" applyAlignment="1" applyProtection="1">
      <alignment horizontal="center" vertical="center" wrapText="1"/>
      <protection locked="0" hidden="1"/>
    </xf>
    <xf numFmtId="0" fontId="0" fillId="4" borderId="26" xfId="0" applyFill="1" applyBorder="1" applyAlignment="1" applyProtection="1">
      <alignment horizontal="center" vertical="center" wrapText="1"/>
      <protection locked="0" hidden="1"/>
    </xf>
    <xf numFmtId="0" fontId="0" fillId="4" borderId="38" xfId="0" applyFill="1" applyBorder="1" applyAlignment="1">
      <alignment horizontal="left" vertical="top"/>
    </xf>
    <xf numFmtId="0" fontId="0" fillId="4" borderId="63" xfId="0" applyFill="1" applyBorder="1" applyAlignment="1">
      <alignment horizontal="left" vertical="top"/>
    </xf>
    <xf numFmtId="0" fontId="0" fillId="4" borderId="73" xfId="0" applyFill="1" applyBorder="1" applyAlignment="1">
      <alignment horizontal="left" vertical="top"/>
    </xf>
    <xf numFmtId="0" fontId="0" fillId="4" borderId="74" xfId="0" applyFill="1" applyBorder="1" applyAlignment="1">
      <alignment horizontal="left" vertical="top"/>
    </xf>
    <xf numFmtId="2" fontId="0" fillId="4" borderId="73" xfId="0" applyNumberFormat="1" applyFill="1" applyBorder="1" applyAlignment="1">
      <alignment horizontal="center" vertical="top" wrapText="1"/>
    </xf>
    <xf numFmtId="2" fontId="0" fillId="4" borderId="74" xfId="0" applyNumberFormat="1" applyFill="1" applyBorder="1" applyAlignment="1">
      <alignment horizontal="center" vertical="top" wrapText="1"/>
    </xf>
    <xf numFmtId="0" fontId="0" fillId="4" borderId="73" xfId="0" applyFill="1" applyBorder="1" applyAlignment="1" applyProtection="1">
      <alignment horizontal="center" vertical="center"/>
      <protection locked="0"/>
    </xf>
    <xf numFmtId="0" fontId="0" fillId="4" borderId="68" xfId="0" applyFill="1" applyBorder="1" applyAlignment="1" applyProtection="1">
      <alignment horizontal="center" vertical="center"/>
      <protection locked="0"/>
    </xf>
    <xf numFmtId="0" fontId="0" fillId="4" borderId="74" xfId="0" applyFill="1" applyBorder="1" applyAlignment="1" applyProtection="1">
      <alignment horizontal="center" vertical="center"/>
      <protection locked="0"/>
    </xf>
    <xf numFmtId="0" fontId="0" fillId="4" borderId="62" xfId="0" applyFill="1" applyBorder="1" applyAlignment="1">
      <alignment horizontal="center" vertical="top"/>
    </xf>
    <xf numFmtId="0" fontId="0" fillId="4" borderId="63" xfId="0" applyFill="1" applyBorder="1" applyAlignment="1">
      <alignment horizontal="center" vertical="top"/>
    </xf>
    <xf numFmtId="0" fontId="0" fillId="4" borderId="68" xfId="0" applyFill="1" applyBorder="1" applyAlignment="1">
      <alignment horizontal="center" vertical="top"/>
    </xf>
    <xf numFmtId="0" fontId="0" fillId="4" borderId="74" xfId="0" applyFill="1" applyBorder="1" applyAlignment="1">
      <alignment horizontal="center" vertical="top"/>
    </xf>
    <xf numFmtId="0" fontId="0" fillId="4" borderId="38" xfId="0" applyFill="1" applyBorder="1" applyAlignment="1" applyProtection="1">
      <alignment horizontal="center" vertical="top"/>
      <protection locked="0"/>
    </xf>
    <xf numFmtId="0" fontId="0" fillId="4" borderId="62" xfId="0" applyFill="1" applyBorder="1" applyAlignment="1" applyProtection="1">
      <alignment horizontal="center" vertical="top"/>
      <protection locked="0"/>
    </xf>
    <xf numFmtId="0" fontId="0" fillId="4" borderId="73" xfId="0" applyFill="1" applyBorder="1" applyAlignment="1" applyProtection="1">
      <alignment horizontal="center" vertical="top"/>
      <protection locked="0"/>
    </xf>
    <xf numFmtId="0" fontId="0" fillId="4" borderId="68" xfId="0" applyFill="1" applyBorder="1" applyAlignment="1" applyProtection="1">
      <alignment horizontal="center" vertical="top"/>
      <protection locked="0"/>
    </xf>
    <xf numFmtId="20" fontId="0" fillId="4" borderId="38" xfId="0" applyNumberFormat="1" applyFill="1" applyBorder="1" applyAlignment="1" applyProtection="1">
      <alignment horizontal="center" vertical="top"/>
      <protection locked="0"/>
    </xf>
    <xf numFmtId="20" fontId="0" fillId="4" borderId="39" xfId="0" applyNumberFormat="1" applyFill="1" applyBorder="1" applyAlignment="1" applyProtection="1">
      <alignment horizontal="center" vertical="top"/>
      <protection locked="0"/>
    </xf>
    <xf numFmtId="20" fontId="0" fillId="4" borderId="73" xfId="0" applyNumberFormat="1" applyFill="1" applyBorder="1" applyAlignment="1" applyProtection="1">
      <alignment horizontal="center" vertical="top"/>
      <protection locked="0"/>
    </xf>
    <xf numFmtId="20" fontId="0" fillId="4" borderId="69" xfId="0" applyNumberFormat="1" applyFill="1" applyBorder="1" applyAlignment="1" applyProtection="1">
      <alignment horizontal="center" vertical="top"/>
      <protection locked="0"/>
    </xf>
    <xf numFmtId="0" fontId="0" fillId="4" borderId="20" xfId="0" applyFill="1" applyBorder="1" applyAlignment="1" applyProtection="1">
      <alignment horizontal="center" vertical="center"/>
      <protection locked="0" hidden="1"/>
    </xf>
    <xf numFmtId="0" fontId="0" fillId="4" borderId="26" xfId="0" applyFill="1" applyBorder="1" applyAlignment="1" applyProtection="1">
      <alignment horizontal="center" vertical="center"/>
      <protection locked="0" hidden="1"/>
    </xf>
    <xf numFmtId="0" fontId="0" fillId="4" borderId="19" xfId="0" applyFill="1" applyBorder="1" applyAlignment="1" applyProtection="1">
      <alignment horizontal="center"/>
      <protection locked="0" hidden="1"/>
    </xf>
    <xf numFmtId="0" fontId="0" fillId="4" borderId="19" xfId="0" applyFill="1" applyBorder="1" applyAlignment="1" applyProtection="1">
      <alignment horizontal="center" vertical="center"/>
      <protection locked="0" hidden="1"/>
    </xf>
    <xf numFmtId="0" fontId="0" fillId="4" borderId="25" xfId="0" applyFill="1" applyBorder="1" applyAlignment="1" applyProtection="1">
      <alignment horizontal="center" vertical="center"/>
      <protection locked="0" hidden="1"/>
    </xf>
    <xf numFmtId="14" fontId="0" fillId="4" borderId="15" xfId="0" applyNumberFormat="1" applyFill="1" applyBorder="1" applyAlignment="1">
      <alignment horizontal="center" vertical="center" wrapText="1"/>
    </xf>
    <xf numFmtId="14" fontId="0" fillId="4" borderId="75" xfId="0" applyNumberFormat="1" applyFill="1" applyBorder="1" applyAlignment="1">
      <alignment horizontal="center" vertical="center" wrapText="1"/>
    </xf>
    <xf numFmtId="14" fontId="0" fillId="4" borderId="59" xfId="0" applyNumberFormat="1" applyFill="1" applyBorder="1" applyAlignment="1">
      <alignment horizontal="center" vertical="center" wrapText="1"/>
    </xf>
    <xf numFmtId="14" fontId="0" fillId="4" borderId="60" xfId="0" applyNumberFormat="1" applyFill="1" applyBorder="1" applyAlignment="1">
      <alignment horizontal="center" vertical="center" wrapText="1"/>
    </xf>
    <xf numFmtId="14" fontId="0" fillId="4" borderId="49" xfId="0" applyNumberFormat="1" applyFill="1" applyBorder="1" applyAlignment="1">
      <alignment horizontal="center" vertical="center"/>
    </xf>
    <xf numFmtId="14" fontId="0" fillId="4" borderId="54" xfId="0" applyNumberFormat="1" applyFill="1" applyBorder="1" applyAlignment="1">
      <alignment horizontal="center" vertical="center"/>
    </xf>
    <xf numFmtId="0" fontId="4" fillId="4" borderId="4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67" xfId="0" applyFont="1" applyFill="1" applyBorder="1" applyAlignment="1">
      <alignment horizontal="center" vertical="center"/>
    </xf>
    <xf numFmtId="0" fontId="4" fillId="4" borderId="74" xfId="0" applyFont="1" applyFill="1" applyBorder="1" applyAlignment="1">
      <alignment horizontal="center" vertical="center"/>
    </xf>
    <xf numFmtId="0" fontId="0" fillId="4" borderId="49" xfId="0" applyFill="1" applyBorder="1" applyAlignment="1">
      <alignment horizontal="left" vertical="center"/>
    </xf>
    <xf numFmtId="0" fontId="0" fillId="4" borderId="16" xfId="0" applyFill="1" applyBorder="1" applyAlignment="1">
      <alignment horizontal="left" vertical="center"/>
    </xf>
    <xf numFmtId="0" fontId="0" fillId="4" borderId="54" xfId="0" applyFill="1" applyBorder="1" applyAlignment="1">
      <alignment horizontal="left" vertical="center"/>
    </xf>
    <xf numFmtId="0" fontId="0" fillId="4" borderId="58" xfId="0" applyFill="1" applyBorder="1" applyAlignment="1">
      <alignment horizontal="left" vertical="center"/>
    </xf>
    <xf numFmtId="0" fontId="4" fillId="4" borderId="49" xfId="0" applyFont="1" applyFill="1" applyBorder="1" applyAlignment="1">
      <alignment horizontal="center" vertical="center"/>
    </xf>
    <xf numFmtId="0" fontId="0" fillId="4" borderId="15" xfId="0" applyFill="1" applyBorder="1" applyAlignment="1">
      <alignment horizontal="left" vertical="top"/>
    </xf>
    <xf numFmtId="0" fontId="0" fillId="4" borderId="16" xfId="0" applyFill="1" applyBorder="1" applyAlignment="1">
      <alignment horizontal="left" vertical="top"/>
    </xf>
    <xf numFmtId="0" fontId="0" fillId="4" borderId="59" xfId="0" applyFill="1" applyBorder="1" applyAlignment="1">
      <alignment horizontal="left" vertical="top"/>
    </xf>
    <xf numFmtId="0" fontId="0" fillId="4" borderId="58" xfId="0" applyFill="1" applyBorder="1" applyAlignment="1">
      <alignment horizontal="left" vertical="top"/>
    </xf>
    <xf numFmtId="0" fontId="0" fillId="4" borderId="49" xfId="0" applyFill="1" applyBorder="1" applyAlignment="1">
      <alignment horizontal="left" vertical="top"/>
    </xf>
    <xf numFmtId="0" fontId="0" fillId="4" borderId="54" xfId="0" applyFill="1" applyBorder="1" applyAlignment="1">
      <alignment horizontal="left" vertical="top"/>
    </xf>
    <xf numFmtId="4" fontId="0" fillId="4" borderId="38" xfId="0" applyNumberFormat="1" applyFill="1" applyBorder="1" applyAlignment="1">
      <alignment horizontal="center" vertical="top" wrapText="1"/>
    </xf>
    <xf numFmtId="4" fontId="0" fillId="4" borderId="63" xfId="0" applyNumberFormat="1" applyFill="1" applyBorder="1" applyAlignment="1">
      <alignment horizontal="center" vertical="top" wrapText="1"/>
    </xf>
    <xf numFmtId="0" fontId="0" fillId="4" borderId="38" xfId="0" applyFill="1" applyBorder="1" applyAlignment="1">
      <alignment horizontal="center" vertical="top"/>
    </xf>
    <xf numFmtId="0" fontId="0" fillId="4" borderId="62" xfId="0" applyFill="1" applyBorder="1" applyAlignment="1">
      <alignment horizontal="left" vertical="top"/>
    </xf>
    <xf numFmtId="0" fontId="0" fillId="4" borderId="68" xfId="0" applyFill="1" applyBorder="1" applyAlignment="1">
      <alignment horizontal="left" vertical="top"/>
    </xf>
    <xf numFmtId="0" fontId="0" fillId="4" borderId="11" xfId="0" applyFill="1" applyBorder="1" applyAlignment="1" applyProtection="1">
      <alignment horizontal="center" vertical="center" wrapText="1"/>
      <protection locked="0" hidden="1"/>
    </xf>
    <xf numFmtId="0" fontId="0" fillId="4" borderId="19" xfId="0" applyFill="1" applyBorder="1" applyAlignment="1" applyProtection="1">
      <alignment horizontal="center" vertical="center" wrapText="1"/>
      <protection locked="0" hidden="1"/>
    </xf>
    <xf numFmtId="0" fontId="0" fillId="4" borderId="25" xfId="0" applyFill="1" applyBorder="1" applyAlignment="1" applyProtection="1">
      <alignment horizontal="center" vertical="center" wrapText="1"/>
      <protection locked="0" hidden="1"/>
    </xf>
    <xf numFmtId="0" fontId="0" fillId="4" borderId="30" xfId="0" applyFill="1" applyBorder="1" applyAlignment="1" applyProtection="1">
      <alignment horizontal="center" vertical="center"/>
      <protection locked="0" hidden="1"/>
    </xf>
    <xf numFmtId="0" fontId="0" fillId="4" borderId="23" xfId="0" applyFill="1" applyBorder="1" applyAlignment="1" applyProtection="1">
      <alignment horizontal="center" vertical="center"/>
      <protection locked="0" hidden="1"/>
    </xf>
    <xf numFmtId="0" fontId="0" fillId="4" borderId="0" xfId="0" applyFill="1" applyAlignment="1" applyProtection="1">
      <alignment horizontal="center"/>
      <protection locked="0" hidden="1"/>
    </xf>
    <xf numFmtId="0" fontId="0" fillId="4" borderId="12" xfId="0" applyFill="1" applyBorder="1" applyAlignment="1" applyProtection="1">
      <alignment horizontal="center" vertical="center" wrapText="1"/>
      <protection locked="0" hidden="1"/>
    </xf>
    <xf numFmtId="4" fontId="0" fillId="4" borderId="24" xfId="0" applyNumberFormat="1" applyFill="1" applyBorder="1" applyAlignment="1" applyProtection="1">
      <alignment horizontal="center" vertical="center"/>
      <protection locked="0" hidden="1"/>
    </xf>
    <xf numFmtId="4" fontId="0" fillId="4" borderId="77" xfId="0" applyNumberFormat="1" applyFill="1" applyBorder="1" applyAlignment="1" applyProtection="1">
      <alignment horizontal="center" vertical="center"/>
      <protection locked="0" hidden="1"/>
    </xf>
    <xf numFmtId="0" fontId="0" fillId="4" borderId="64" xfId="0" applyFill="1" applyBorder="1" applyAlignment="1" applyProtection="1">
      <alignment horizontal="center"/>
      <protection locked="0" hidden="1"/>
    </xf>
    <xf numFmtId="0" fontId="0" fillId="4" borderId="65" xfId="0" applyFill="1" applyBorder="1" applyAlignment="1" applyProtection="1">
      <alignment horizontal="center"/>
      <protection locked="0" hidden="1"/>
    </xf>
    <xf numFmtId="0" fontId="0" fillId="14" borderId="76" xfId="0" applyFill="1" applyBorder="1" applyAlignment="1" applyProtection="1">
      <alignment horizontal="center" vertical="center" wrapText="1"/>
      <protection locked="0" hidden="1"/>
    </xf>
    <xf numFmtId="0" fontId="0" fillId="14" borderId="20" xfId="0" applyFill="1" applyBorder="1" applyAlignment="1" applyProtection="1">
      <alignment horizontal="center" vertical="center" wrapText="1"/>
      <protection locked="0" hidden="1"/>
    </xf>
    <xf numFmtId="0" fontId="0" fillId="14" borderId="26" xfId="0" applyFill="1" applyBorder="1" applyAlignment="1" applyProtection="1">
      <alignment horizontal="center" vertical="center" wrapText="1"/>
      <protection locked="0" hidden="1"/>
    </xf>
    <xf numFmtId="0" fontId="0" fillId="4" borderId="11" xfId="0" applyFill="1" applyBorder="1" applyAlignment="1" applyProtection="1">
      <alignment horizontal="center" vertical="center"/>
      <protection locked="0" hidden="1"/>
    </xf>
    <xf numFmtId="0" fontId="0" fillId="4" borderId="32" xfId="0" applyFill="1" applyBorder="1" applyAlignment="1" applyProtection="1">
      <alignment horizontal="center"/>
      <protection locked="0" hidden="1"/>
    </xf>
    <xf numFmtId="0" fontId="0" fillId="4" borderId="33" xfId="0" applyFill="1" applyBorder="1" applyAlignment="1" applyProtection="1">
      <alignment horizontal="center"/>
      <protection locked="0" hidden="1"/>
    </xf>
    <xf numFmtId="0" fontId="0" fillId="4" borderId="36" xfId="0" applyFill="1" applyBorder="1" applyAlignment="1" applyProtection="1">
      <alignment horizontal="center"/>
      <protection locked="0" hidden="1"/>
    </xf>
    <xf numFmtId="0" fontId="0" fillId="4" borderId="30" xfId="0" applyFill="1" applyBorder="1" applyAlignment="1" applyProtection="1">
      <alignment horizontal="center" vertical="center" wrapText="1"/>
      <protection locked="0" hidden="1"/>
    </xf>
    <xf numFmtId="0" fontId="0" fillId="4" borderId="23" xfId="0" applyFill="1" applyBorder="1" applyAlignment="1" applyProtection="1">
      <alignment horizontal="center" vertical="center" wrapText="1"/>
      <protection locked="0" hidden="1"/>
    </xf>
    <xf numFmtId="0" fontId="0" fillId="4" borderId="59" xfId="0" applyFill="1" applyBorder="1" applyAlignment="1" applyProtection="1">
      <alignment horizontal="center"/>
      <protection locked="0" hidden="1"/>
    </xf>
    <xf numFmtId="0" fontId="0" fillId="4" borderId="58" xfId="0" applyFill="1" applyBorder="1" applyAlignment="1" applyProtection="1">
      <alignment horizontal="center"/>
      <protection locked="0" hidden="1"/>
    </xf>
    <xf numFmtId="14" fontId="0" fillId="4" borderId="50" xfId="0" applyNumberFormat="1" applyFill="1" applyBorder="1" applyAlignment="1">
      <alignment horizontal="center" vertical="center"/>
    </xf>
    <xf numFmtId="14" fontId="0" fillId="4" borderId="14" xfId="0" applyNumberFormat="1" applyFill="1" applyBorder="1" applyAlignment="1">
      <alignment horizontal="center" vertical="center"/>
    </xf>
    <xf numFmtId="14" fontId="0" fillId="4" borderId="55" xfId="0" applyNumberFormat="1" applyFill="1" applyBorder="1" applyAlignment="1">
      <alignment horizontal="center" vertical="center"/>
    </xf>
    <xf numFmtId="14" fontId="0" fillId="4" borderId="22" xfId="0" applyNumberFormat="1" applyFill="1" applyBorder="1" applyAlignment="1">
      <alignment horizontal="center" vertical="center"/>
    </xf>
    <xf numFmtId="0" fontId="0" fillId="4" borderId="15" xfId="0" applyFill="1" applyBorder="1" applyAlignment="1">
      <alignment horizontal="center" vertical="center"/>
    </xf>
    <xf numFmtId="0" fontId="0" fillId="4" borderId="49" xfId="0" applyFill="1" applyBorder="1" applyAlignment="1">
      <alignment horizontal="center" vertical="center"/>
    </xf>
    <xf numFmtId="0" fontId="0" fillId="4" borderId="59" xfId="0" applyFill="1" applyBorder="1" applyAlignment="1">
      <alignment horizontal="center" vertical="center"/>
    </xf>
    <xf numFmtId="0" fontId="0" fillId="4" borderId="54" xfId="0" applyFill="1" applyBorder="1" applyAlignment="1">
      <alignment horizontal="center" vertical="center"/>
    </xf>
    <xf numFmtId="0" fontId="0" fillId="4" borderId="55"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4" borderId="70" xfId="0" applyFill="1" applyBorder="1" applyAlignment="1" applyProtection="1">
      <alignment horizontal="center" vertical="center"/>
      <protection locked="0"/>
    </xf>
    <xf numFmtId="0" fontId="0" fillId="4" borderId="71" xfId="0" applyFill="1" applyBorder="1" applyAlignment="1" applyProtection="1">
      <alignment horizontal="center" vertical="center"/>
      <protection locked="0"/>
    </xf>
    <xf numFmtId="0" fontId="0" fillId="4" borderId="38" xfId="0" applyFill="1" applyBorder="1" applyAlignment="1" applyProtection="1">
      <alignment horizontal="center" vertical="center"/>
      <protection locked="0"/>
    </xf>
    <xf numFmtId="0" fontId="0" fillId="4" borderId="62" xfId="0" applyFill="1" applyBorder="1" applyAlignment="1" applyProtection="1">
      <alignment horizontal="center" vertical="center"/>
      <protection locked="0"/>
    </xf>
    <xf numFmtId="0" fontId="0" fillId="4" borderId="35" xfId="0" applyFill="1" applyBorder="1" applyAlignment="1" applyProtection="1">
      <alignment horizontal="left" vertical="top"/>
      <protection locked="0" hidden="1"/>
    </xf>
    <xf numFmtId="0" fontId="0" fillId="4" borderId="18" xfId="0" applyFill="1" applyBorder="1" applyAlignment="1" applyProtection="1">
      <alignment horizontal="left" vertical="top"/>
      <protection locked="0" hidden="1"/>
    </xf>
    <xf numFmtId="0" fontId="0" fillId="4" borderId="44" xfId="0" applyFill="1" applyBorder="1" applyAlignment="1" applyProtection="1">
      <alignment horizontal="left" vertical="top"/>
      <protection locked="0" hidden="1"/>
    </xf>
    <xf numFmtId="0" fontId="0" fillId="5" borderId="45" xfId="0" applyFill="1" applyBorder="1" applyAlignment="1">
      <alignment horizontal="center"/>
    </xf>
    <xf numFmtId="0" fontId="0" fillId="5" borderId="46" xfId="0" applyFill="1" applyBorder="1" applyAlignment="1">
      <alignment horizontal="center"/>
    </xf>
    <xf numFmtId="0" fontId="0" fillId="5" borderId="47" xfId="0" applyFill="1" applyBorder="1" applyAlignment="1">
      <alignment horizontal="center"/>
    </xf>
    <xf numFmtId="0" fontId="4" fillId="4" borderId="64" xfId="0" applyFont="1" applyFill="1" applyBorder="1" applyAlignment="1">
      <alignment horizontal="center" vertical="top"/>
    </xf>
    <xf numFmtId="0" fontId="4" fillId="4" borderId="66" xfId="0" applyFont="1" applyFill="1" applyBorder="1" applyAlignment="1">
      <alignment horizontal="center" vertical="top"/>
    </xf>
    <xf numFmtId="0" fontId="0" fillId="4" borderId="61" xfId="0" applyFill="1" applyBorder="1" applyAlignment="1">
      <alignment horizontal="left" vertical="top" wrapText="1"/>
    </xf>
    <xf numFmtId="0" fontId="0" fillId="4" borderId="62" xfId="0" applyFill="1" applyBorder="1" applyAlignment="1">
      <alignment horizontal="left" vertical="top" wrapText="1"/>
    </xf>
    <xf numFmtId="0" fontId="0" fillId="4" borderId="138" xfId="0" applyFill="1" applyBorder="1" applyAlignment="1">
      <alignment horizontal="left" vertical="top" wrapText="1"/>
    </xf>
    <xf numFmtId="0" fontId="0" fillId="4" borderId="10" xfId="0" applyFill="1" applyBorder="1" applyAlignment="1">
      <alignment horizontal="left" vertical="top" wrapText="1"/>
    </xf>
    <xf numFmtId="0" fontId="0" fillId="4" borderId="0" xfId="0" applyFill="1" applyAlignment="1">
      <alignment horizontal="left" vertical="top" wrapText="1"/>
    </xf>
    <xf numFmtId="0" fontId="0" fillId="4" borderId="90" xfId="0" applyFill="1" applyBorder="1" applyAlignment="1">
      <alignment horizontal="left" vertical="top" wrapText="1"/>
    </xf>
    <xf numFmtId="0" fontId="0" fillId="4" borderId="67" xfId="0" applyFill="1" applyBorder="1" applyAlignment="1">
      <alignment horizontal="left" vertical="top" wrapText="1"/>
    </xf>
    <xf numFmtId="0" fontId="0" fillId="4" borderId="68" xfId="0" applyFill="1" applyBorder="1" applyAlignment="1">
      <alignment horizontal="left" vertical="top" wrapText="1"/>
    </xf>
    <xf numFmtId="0" fontId="0" fillId="4" borderId="139" xfId="0" applyFill="1" applyBorder="1" applyAlignment="1">
      <alignment horizontal="left" vertical="top" wrapText="1"/>
    </xf>
    <xf numFmtId="0" fontId="0" fillId="4" borderId="64" xfId="0" applyFill="1" applyBorder="1" applyAlignment="1">
      <alignment horizontal="center" vertical="top"/>
    </xf>
    <xf numFmtId="0" fontId="0" fillId="4" borderId="66" xfId="0" applyFill="1" applyBorder="1" applyAlignment="1">
      <alignment horizontal="center" vertical="top"/>
    </xf>
    <xf numFmtId="0" fontId="0" fillId="0" borderId="37"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0" fillId="0" borderId="59" xfId="0" applyBorder="1" applyAlignment="1">
      <alignment horizontal="center" vertical="center"/>
    </xf>
    <xf numFmtId="0" fontId="0" fillId="0" borderId="54" xfId="0" applyBorder="1" applyAlignment="1">
      <alignment horizontal="center" vertical="center"/>
    </xf>
    <xf numFmtId="0" fontId="0" fillId="0" borderId="60" xfId="0" applyBorder="1" applyAlignment="1">
      <alignment horizontal="center" vertical="center"/>
    </xf>
    <xf numFmtId="0" fontId="0" fillId="4" borderId="54" xfId="0" applyFill="1" applyBorder="1" applyAlignment="1">
      <alignment horizontal="center"/>
    </xf>
    <xf numFmtId="0" fontId="4" fillId="4" borderId="84" xfId="0" applyFont="1" applyFill="1" applyBorder="1" applyAlignment="1">
      <alignment horizontal="center" vertical="center"/>
    </xf>
    <xf numFmtId="0" fontId="4" fillId="4" borderId="86" xfId="0" applyFont="1" applyFill="1" applyBorder="1" applyAlignment="1">
      <alignment horizontal="center" vertical="center"/>
    </xf>
    <xf numFmtId="0" fontId="0" fillId="0" borderId="78" xfId="0" applyBorder="1" applyAlignment="1">
      <alignment horizontal="center" vertical="center"/>
    </xf>
    <xf numFmtId="0" fontId="0" fillId="0" borderId="17" xfId="0" applyBorder="1" applyAlignment="1">
      <alignment horizontal="center" vertical="center"/>
    </xf>
    <xf numFmtId="0" fontId="0" fillId="0" borderId="81" xfId="0" applyBorder="1" applyAlignment="1">
      <alignment horizontal="center" vertical="center"/>
    </xf>
    <xf numFmtId="0" fontId="0" fillId="0" borderId="19" xfId="0" applyBorder="1" applyAlignment="1">
      <alignment horizontal="center" vertical="center"/>
    </xf>
    <xf numFmtId="0" fontId="0" fillId="0" borderId="15" xfId="0" applyBorder="1" applyAlignment="1">
      <alignment horizontal="center" vertical="center"/>
    </xf>
    <xf numFmtId="0" fontId="0" fillId="0" borderId="49"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16" xfId="0" applyBorder="1" applyAlignment="1">
      <alignment horizontal="center" vertical="center"/>
    </xf>
    <xf numFmtId="0" fontId="0" fillId="0" borderId="36" xfId="0" applyBorder="1" applyAlignment="1">
      <alignment horizontal="center" vertical="center"/>
    </xf>
    <xf numFmtId="0" fontId="0" fillId="0" borderId="58" xfId="0" applyBorder="1" applyAlignment="1">
      <alignment horizontal="center" vertical="center"/>
    </xf>
    <xf numFmtId="0" fontId="4" fillId="0" borderId="15" xfId="0" applyFont="1" applyBorder="1" applyAlignment="1">
      <alignment horizontal="center"/>
    </xf>
    <xf numFmtId="0" fontId="4" fillId="0" borderId="49" xfId="0" applyFont="1" applyBorder="1" applyAlignment="1">
      <alignment horizontal="center"/>
    </xf>
    <xf numFmtId="0" fontId="4" fillId="0" borderId="75" xfId="0" applyFont="1" applyBorder="1" applyAlignment="1">
      <alignment horizont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15" xfId="0" applyFont="1" applyBorder="1" applyAlignment="1">
      <alignment horizontal="center" vertical="center"/>
    </xf>
    <xf numFmtId="0" fontId="4" fillId="0" borderId="75" xfId="0" applyFont="1" applyBorder="1" applyAlignment="1">
      <alignment horizontal="center" vertical="center"/>
    </xf>
    <xf numFmtId="0" fontId="0" fillId="0" borderId="61" xfId="0" applyBorder="1" applyAlignment="1">
      <alignment horizontal="center" vertical="center"/>
    </xf>
    <xf numFmtId="0" fontId="0" fillId="0" borderId="63" xfId="0" applyBorder="1" applyAlignment="1">
      <alignment horizontal="center" vertical="center"/>
    </xf>
    <xf numFmtId="0" fontId="0" fillId="0" borderId="53" xfId="0" applyBorder="1" applyAlignment="1">
      <alignment horizontal="center" vertical="center"/>
    </xf>
    <xf numFmtId="0" fontId="0" fillId="0" borderId="38" xfId="0" applyBorder="1" applyAlignment="1">
      <alignment horizontal="center" vertical="center"/>
    </xf>
    <xf numFmtId="0" fontId="0" fillId="0" borderId="62" xfId="0" applyBorder="1" applyAlignment="1">
      <alignment horizontal="center" vertical="center"/>
    </xf>
    <xf numFmtId="0" fontId="0" fillId="0" borderId="38" xfId="0" applyBorder="1" applyAlignment="1">
      <alignment horizontal="left" vertical="top"/>
    </xf>
    <xf numFmtId="0" fontId="0" fillId="0" borderId="62" xfId="0" applyBorder="1" applyAlignment="1">
      <alignment horizontal="left" vertical="top"/>
    </xf>
    <xf numFmtId="0" fontId="0" fillId="0" borderId="59" xfId="0" applyBorder="1" applyAlignment="1">
      <alignment horizontal="left" vertical="top"/>
    </xf>
    <xf numFmtId="0" fontId="0" fillId="0" borderId="54" xfId="0" applyBorder="1" applyAlignment="1">
      <alignment horizontal="left" vertical="top"/>
    </xf>
    <xf numFmtId="0" fontId="0" fillId="5" borderId="79" xfId="0" applyFill="1" applyBorder="1" applyAlignment="1">
      <alignment horizontal="center" vertical="center"/>
    </xf>
    <xf numFmtId="0" fontId="0" fillId="5" borderId="32" xfId="0" applyFill="1" applyBorder="1" applyAlignment="1">
      <alignment horizontal="center" vertical="center"/>
    </xf>
    <xf numFmtId="0" fontId="0" fillId="5" borderId="80" xfId="0" applyFill="1" applyBorder="1" applyAlignment="1">
      <alignment horizontal="center" vertical="center"/>
    </xf>
    <xf numFmtId="0" fontId="0" fillId="5" borderId="89" xfId="0" applyFill="1" applyBorder="1" applyAlignment="1">
      <alignment horizontal="center" vertical="center"/>
    </xf>
    <xf numFmtId="0" fontId="0" fillId="5" borderId="0" xfId="0" applyFill="1" applyAlignment="1">
      <alignment horizontal="center" vertical="center"/>
    </xf>
    <xf numFmtId="0" fontId="0" fillId="5" borderId="90" xfId="0" applyFill="1" applyBorder="1" applyAlignment="1">
      <alignment horizontal="center" vertical="center"/>
    </xf>
    <xf numFmtId="0" fontId="0" fillId="0" borderId="39" xfId="0" applyBorder="1" applyAlignment="1">
      <alignment horizontal="left" vertical="top"/>
    </xf>
    <xf numFmtId="0" fontId="0" fillId="0" borderId="37" xfId="0" applyBorder="1" applyAlignment="1">
      <alignment horizontal="left" vertical="top"/>
    </xf>
    <xf numFmtId="0" fontId="0" fillId="0" borderId="73" xfId="0" applyBorder="1" applyAlignment="1">
      <alignment horizontal="left" vertical="top"/>
    </xf>
    <xf numFmtId="3" fontId="0" fillId="0" borderId="38" xfId="0" applyNumberFormat="1" applyBorder="1" applyAlignment="1">
      <alignment horizontal="left" vertical="center"/>
    </xf>
    <xf numFmtId="3" fontId="0" fillId="0" borderId="62" xfId="0" applyNumberFormat="1" applyBorder="1" applyAlignment="1">
      <alignment horizontal="left" vertical="center"/>
    </xf>
    <xf numFmtId="3" fontId="0" fillId="0" borderId="39" xfId="0" applyNumberFormat="1" applyBorder="1" applyAlignment="1">
      <alignment horizontal="left" vertical="center"/>
    </xf>
    <xf numFmtId="3" fontId="0" fillId="0" borderId="59" xfId="0" applyNumberFormat="1" applyBorder="1" applyAlignment="1">
      <alignment horizontal="left" vertical="center"/>
    </xf>
    <xf numFmtId="3" fontId="0" fillId="0" borderId="54" xfId="0" applyNumberFormat="1" applyBorder="1" applyAlignment="1">
      <alignment horizontal="left" vertical="center"/>
    </xf>
    <xf numFmtId="3" fontId="0" fillId="0" borderId="60" xfId="0" applyNumberFormat="1" applyBorder="1" applyAlignment="1">
      <alignment horizontal="left" vertical="center"/>
    </xf>
    <xf numFmtId="0" fontId="0" fillId="0" borderId="38" xfId="0" applyBorder="1" applyAlignment="1">
      <alignment horizontal="left" vertical="center"/>
    </xf>
    <xf numFmtId="0" fontId="0" fillId="0" borderId="62" xfId="0" applyBorder="1" applyAlignment="1">
      <alignment horizontal="left" vertical="center"/>
    </xf>
    <xf numFmtId="0" fontId="0" fillId="0" borderId="39" xfId="0" applyBorder="1" applyAlignment="1">
      <alignment horizontal="left" vertical="center"/>
    </xf>
    <xf numFmtId="0" fontId="0" fillId="0" borderId="59" xfId="0" applyBorder="1" applyAlignment="1">
      <alignment horizontal="left" vertical="center"/>
    </xf>
    <xf numFmtId="0" fontId="0" fillId="0" borderId="54" xfId="0" applyBorder="1" applyAlignment="1">
      <alignment horizontal="left" vertical="center"/>
    </xf>
    <xf numFmtId="0" fontId="0" fillId="0" borderId="60" xfId="0" applyBorder="1" applyAlignment="1">
      <alignment horizontal="left" vertical="center"/>
    </xf>
    <xf numFmtId="0" fontId="0" fillId="0" borderId="67" xfId="0" applyBorder="1" applyAlignment="1">
      <alignment horizontal="center" vertical="center"/>
    </xf>
    <xf numFmtId="0" fontId="0" fillId="0" borderId="74" xfId="0" applyBorder="1" applyAlignment="1">
      <alignment horizontal="center" vertical="center"/>
    </xf>
    <xf numFmtId="0" fontId="0" fillId="0" borderId="73" xfId="0" applyBorder="1" applyAlignment="1">
      <alignment horizontal="center" vertical="center"/>
    </xf>
    <xf numFmtId="0" fontId="0" fillId="0" borderId="68" xfId="0" applyBorder="1" applyAlignment="1">
      <alignment horizontal="center" vertical="center"/>
    </xf>
    <xf numFmtId="0" fontId="0" fillId="4" borderId="84" xfId="0" applyFill="1" applyBorder="1" applyAlignment="1">
      <alignment horizontal="center" vertical="center"/>
    </xf>
    <xf numFmtId="0" fontId="0" fillId="4" borderId="86" xfId="0" applyFill="1" applyBorder="1" applyAlignment="1">
      <alignment horizontal="center" vertical="center"/>
    </xf>
    <xf numFmtId="0" fontId="0" fillId="0" borderId="66" xfId="0" applyBorder="1" applyAlignment="1">
      <alignment horizontal="center" vertical="center"/>
    </xf>
    <xf numFmtId="0" fontId="0" fillId="4" borderId="0" xfId="0" applyFill="1" applyAlignment="1">
      <alignment horizontal="center" vertical="center"/>
    </xf>
    <xf numFmtId="0" fontId="0" fillId="4" borderId="0" xfId="0" applyFill="1" applyAlignment="1">
      <alignment horizontal="center"/>
    </xf>
    <xf numFmtId="0" fontId="0" fillId="4" borderId="0" xfId="0" applyFill="1" applyAlignment="1">
      <alignment horizontal="left" vertical="top"/>
    </xf>
    <xf numFmtId="0" fontId="0" fillId="4" borderId="40" xfId="0" applyFill="1" applyBorder="1" applyAlignment="1">
      <alignment horizontal="left" vertical="top" wrapText="1"/>
    </xf>
    <xf numFmtId="0" fontId="0" fillId="4" borderId="41" xfId="0" applyFill="1" applyBorder="1" applyAlignment="1">
      <alignment horizontal="left" vertical="top" wrapText="1"/>
    </xf>
    <xf numFmtId="0" fontId="0" fillId="4" borderId="83" xfId="0" applyFill="1" applyBorder="1" applyAlignment="1">
      <alignment horizontal="left" vertical="top" wrapText="1"/>
    </xf>
    <xf numFmtId="0" fontId="0" fillId="0" borderId="54" xfId="0" applyBorder="1" applyAlignment="1">
      <alignment horizontal="center"/>
    </xf>
    <xf numFmtId="0" fontId="0" fillId="0" borderId="58" xfId="0" applyBorder="1" applyAlignment="1">
      <alignment horizontal="center"/>
    </xf>
    <xf numFmtId="14" fontId="0" fillId="0" borderId="56" xfId="0" applyNumberFormat="1" applyBorder="1" applyAlignment="1">
      <alignment horizontal="center"/>
    </xf>
    <xf numFmtId="0" fontId="0" fillId="0" borderId="19" xfId="0" applyBorder="1" applyAlignment="1">
      <alignment horizontal="center"/>
    </xf>
    <xf numFmtId="0" fontId="0" fillId="0" borderId="19" xfId="0" applyBorder="1" applyAlignment="1">
      <alignment horizontal="center" vertical="top"/>
    </xf>
    <xf numFmtId="0" fontId="0" fillId="0" borderId="0" xfId="0" applyAlignment="1">
      <alignment horizontal="center" wrapText="1"/>
    </xf>
    <xf numFmtId="0" fontId="14" fillId="0" borderId="19" xfId="0" applyFont="1" applyBorder="1" applyAlignment="1">
      <alignment horizontal="center"/>
    </xf>
    <xf numFmtId="0" fontId="0" fillId="5" borderId="19" xfId="0" applyFill="1" applyBorder="1" applyAlignment="1">
      <alignment horizontal="center" vertical="center"/>
    </xf>
    <xf numFmtId="170" fontId="0" fillId="0" borderId="62" xfId="0" applyNumberFormat="1" applyBorder="1" applyAlignment="1">
      <alignment horizontal="center" vertical="center"/>
    </xf>
    <xf numFmtId="170" fontId="0" fillId="0" borderId="54" xfId="0" applyNumberFormat="1" applyBorder="1" applyAlignment="1">
      <alignment horizontal="center" vertical="center"/>
    </xf>
    <xf numFmtId="0" fontId="0" fillId="0" borderId="19" xfId="0" applyBorder="1" applyAlignment="1">
      <alignment horizontal="center" vertical="center" wrapText="1"/>
    </xf>
    <xf numFmtId="0" fontId="38" fillId="34" borderId="0" xfId="6" applyAlignment="1">
      <alignment horizontal="center"/>
    </xf>
    <xf numFmtId="0" fontId="0" fillId="5" borderId="59" xfId="0" applyFill="1" applyBorder="1" applyAlignment="1">
      <alignment horizontal="center"/>
    </xf>
    <xf numFmtId="0" fontId="0" fillId="5" borderId="54" xfId="0" applyFill="1" applyBorder="1" applyAlignment="1">
      <alignment horizontal="center"/>
    </xf>
    <xf numFmtId="0" fontId="0" fillId="9" borderId="19" xfId="0" applyFill="1" applyBorder="1" applyAlignment="1">
      <alignment horizontal="center"/>
    </xf>
    <xf numFmtId="0" fontId="0" fillId="0" borderId="19" xfId="0" applyBorder="1" applyAlignment="1">
      <alignment horizontal="left"/>
    </xf>
    <xf numFmtId="0" fontId="0" fillId="0" borderId="11" xfId="0" applyBorder="1" applyAlignment="1">
      <alignment horizontal="left"/>
    </xf>
    <xf numFmtId="0" fontId="0" fillId="9" borderId="21" xfId="0" applyFill="1" applyBorder="1" applyAlignment="1">
      <alignment horizontal="center"/>
    </xf>
    <xf numFmtId="0" fontId="0" fillId="9" borderId="22" xfId="0" applyFill="1" applyBorder="1" applyAlignment="1">
      <alignment horizontal="center"/>
    </xf>
    <xf numFmtId="0" fontId="14" fillId="0" borderId="221" xfId="0" applyFont="1" applyBorder="1" applyAlignment="1">
      <alignment horizontal="center"/>
    </xf>
    <xf numFmtId="0" fontId="14" fillId="0" borderId="220" xfId="0" applyFont="1" applyBorder="1" applyAlignment="1">
      <alignment horizontal="center"/>
    </xf>
    <xf numFmtId="0" fontId="10" fillId="0" borderId="0" xfId="0" applyFont="1" applyAlignment="1">
      <alignment horizontal="center"/>
    </xf>
    <xf numFmtId="0" fontId="11" fillId="0" borderId="0" xfId="0" applyFont="1" applyAlignment="1">
      <alignment horizontal="left" indent="6"/>
    </xf>
    <xf numFmtId="0" fontId="11" fillId="0" borderId="0" xfId="0" applyFont="1" applyAlignment="1">
      <alignment horizontal="left" indent="5"/>
    </xf>
    <xf numFmtId="0" fontId="6" fillId="0" borderId="0" xfId="0" applyFont="1" applyAlignment="1">
      <alignment horizontal="center"/>
    </xf>
    <xf numFmtId="0" fontId="0" fillId="0" borderId="109" xfId="0" applyBorder="1" applyAlignment="1">
      <alignment horizontal="left"/>
    </xf>
    <xf numFmtId="0" fontId="7" fillId="0" borderId="0" xfId="4" applyFill="1" applyAlignment="1">
      <alignment horizontal="center"/>
    </xf>
    <xf numFmtId="0" fontId="0" fillId="4" borderId="41" xfId="0" applyFill="1" applyBorder="1" applyAlignment="1">
      <alignment horizontal="center"/>
    </xf>
    <xf numFmtId="0" fontId="0" fillId="4" borderId="0" xfId="0" applyFill="1" applyAlignment="1">
      <alignment horizontal="left"/>
    </xf>
    <xf numFmtId="0" fontId="0" fillId="5" borderId="0" xfId="0" applyFill="1" applyAlignment="1">
      <alignment horizontal="left" vertical="center" wrapText="1" indent="7"/>
    </xf>
    <xf numFmtId="167" fontId="0" fillId="4" borderId="0" xfId="1" applyNumberFormat="1" applyFont="1" applyFill="1" applyAlignment="1">
      <alignment horizontal="center"/>
    </xf>
    <xf numFmtId="165" fontId="0" fillId="4" borderId="0" xfId="1" applyFont="1" applyFill="1" applyBorder="1" applyAlignment="1">
      <alignment horizontal="center"/>
    </xf>
    <xf numFmtId="0" fontId="12" fillId="5" borderId="0" xfId="0" applyFont="1" applyFill="1" applyAlignment="1">
      <alignment horizontal="left" wrapText="1" indent="6"/>
    </xf>
    <xf numFmtId="0" fontId="0" fillId="4" borderId="111" xfId="0" applyFill="1" applyBorder="1" applyAlignment="1">
      <alignment horizontal="center"/>
    </xf>
    <xf numFmtId="0" fontId="13" fillId="5" borderId="79" xfId="0" applyFont="1" applyFill="1" applyBorder="1" applyAlignment="1">
      <alignment horizontal="left" wrapText="1" indent="6"/>
    </xf>
    <xf numFmtId="0" fontId="13" fillId="5" borderId="32" xfId="0" applyFont="1" applyFill="1" applyBorder="1" applyAlignment="1">
      <alignment horizontal="left" wrapText="1" indent="6"/>
    </xf>
    <xf numFmtId="0" fontId="13" fillId="5" borderId="80" xfId="0" applyFont="1" applyFill="1" applyBorder="1" applyAlignment="1">
      <alignment horizontal="left" wrapText="1" indent="6"/>
    </xf>
    <xf numFmtId="0" fontId="13" fillId="5" borderId="89" xfId="0" applyFont="1" applyFill="1" applyBorder="1" applyAlignment="1">
      <alignment horizontal="left" wrapText="1" indent="6"/>
    </xf>
    <xf numFmtId="0" fontId="13" fillId="5" borderId="0" xfId="0" applyFont="1" applyFill="1" applyAlignment="1">
      <alignment horizontal="left" wrapText="1" indent="6"/>
    </xf>
    <xf numFmtId="0" fontId="13" fillId="5" borderId="90" xfId="0" applyFont="1" applyFill="1" applyBorder="1" applyAlignment="1">
      <alignment horizontal="left" wrapText="1" indent="6"/>
    </xf>
    <xf numFmtId="0" fontId="13" fillId="5" borderId="82" xfId="0" applyFont="1" applyFill="1" applyBorder="1" applyAlignment="1">
      <alignment horizontal="left" wrapText="1" indent="6"/>
    </xf>
    <xf numFmtId="0" fontId="13" fillId="5" borderId="41" xfId="0" applyFont="1" applyFill="1" applyBorder="1" applyAlignment="1">
      <alignment horizontal="left" wrapText="1" indent="6"/>
    </xf>
    <xf numFmtId="0" fontId="13" fillId="5" borderId="83" xfId="0" applyFont="1" applyFill="1" applyBorder="1" applyAlignment="1">
      <alignment horizontal="left" wrapText="1" indent="6"/>
    </xf>
    <xf numFmtId="0" fontId="0" fillId="4" borderId="109" xfId="0" applyFill="1" applyBorder="1" applyAlignment="1">
      <alignment horizontal="center" vertical="center"/>
    </xf>
    <xf numFmtId="14" fontId="0" fillId="4" borderId="109" xfId="0" applyNumberFormat="1" applyFill="1" applyBorder="1" applyAlignment="1">
      <alignment horizontal="center" vertical="center"/>
    </xf>
    <xf numFmtId="0" fontId="14" fillId="5" borderId="32" xfId="0" applyFont="1" applyFill="1" applyBorder="1" applyAlignment="1">
      <alignment horizontal="left" vertical="top" wrapText="1"/>
    </xf>
    <xf numFmtId="0" fontId="14" fillId="5" borderId="80" xfId="0" applyFont="1" applyFill="1" applyBorder="1" applyAlignment="1">
      <alignment horizontal="left" vertical="top" wrapText="1"/>
    </xf>
    <xf numFmtId="0" fontId="14" fillId="5" borderId="41" xfId="0" applyFont="1" applyFill="1" applyBorder="1" applyAlignment="1">
      <alignment horizontal="left" vertical="top" wrapText="1"/>
    </xf>
    <xf numFmtId="0" fontId="14" fillId="5" borderId="83" xfId="0" applyFont="1" applyFill="1" applyBorder="1" applyAlignment="1">
      <alignment horizontal="left" vertical="top" wrapText="1"/>
    </xf>
    <xf numFmtId="0" fontId="0" fillId="4" borderId="19" xfId="0" applyFill="1" applyBorder="1" applyAlignment="1">
      <alignment horizontal="center" vertical="center"/>
    </xf>
    <xf numFmtId="0" fontId="20" fillId="4" borderId="19" xfId="0" applyFont="1" applyFill="1" applyBorder="1" applyAlignment="1">
      <alignment horizontal="center" vertical="center"/>
    </xf>
    <xf numFmtId="0" fontId="0" fillId="0" borderId="19" xfId="0" applyBorder="1" applyAlignment="1">
      <alignment horizontal="left" vertical="top" wrapText="1"/>
    </xf>
    <xf numFmtId="0" fontId="0" fillId="4" borderId="0" xfId="0" applyFill="1" applyAlignment="1">
      <alignment horizontal="left" wrapText="1"/>
    </xf>
    <xf numFmtId="167" fontId="0" fillId="4" borderId="19" xfId="0" applyNumberFormat="1" applyFill="1" applyBorder="1" applyAlignment="1">
      <alignment horizontal="center" vertical="center"/>
    </xf>
    <xf numFmtId="0" fontId="0" fillId="4" borderId="11" xfId="0" applyFill="1" applyBorder="1" applyAlignment="1">
      <alignment horizontal="left" vertical="top"/>
    </xf>
    <xf numFmtId="0" fontId="4" fillId="4" borderId="0" xfId="0" applyFont="1" applyFill="1" applyAlignment="1">
      <alignment horizontal="center"/>
    </xf>
    <xf numFmtId="0" fontId="42" fillId="4" borderId="19" xfId="0" applyFont="1" applyFill="1" applyBorder="1" applyAlignment="1">
      <alignment horizontal="center" vertical="center"/>
    </xf>
    <xf numFmtId="0" fontId="13" fillId="4" borderId="21" xfId="0" applyFont="1" applyFill="1" applyBorder="1" applyAlignment="1">
      <alignment horizontal="center"/>
    </xf>
    <xf numFmtId="0" fontId="13" fillId="4" borderId="56" xfId="0" applyFont="1" applyFill="1" applyBorder="1" applyAlignment="1">
      <alignment horizontal="center"/>
    </xf>
    <xf numFmtId="0" fontId="13" fillId="4" borderId="22" xfId="0" applyFont="1" applyFill="1" applyBorder="1" applyAlignment="1">
      <alignment horizontal="center"/>
    </xf>
    <xf numFmtId="0" fontId="13" fillId="4" borderId="19" xfId="0" applyFont="1" applyFill="1" applyBorder="1" applyAlignment="1">
      <alignment horizontal="center"/>
    </xf>
    <xf numFmtId="0" fontId="0" fillId="4" borderId="19" xfId="0" applyFill="1" applyBorder="1" applyAlignment="1">
      <alignment horizontal="center"/>
    </xf>
    <xf numFmtId="0" fontId="0" fillId="4" borderId="23" xfId="0" applyFill="1" applyBorder="1" applyAlignment="1">
      <alignment horizontal="left"/>
    </xf>
    <xf numFmtId="0" fontId="0" fillId="4" borderId="19" xfId="0" applyFill="1" applyBorder="1" applyAlignment="1">
      <alignment horizontal="left"/>
    </xf>
    <xf numFmtId="0" fontId="0" fillId="4" borderId="21" xfId="0" applyFill="1" applyBorder="1" applyAlignment="1">
      <alignment horizontal="center" vertical="center"/>
    </xf>
    <xf numFmtId="14" fontId="0" fillId="4" borderId="19" xfId="0" applyNumberFormat="1" applyFill="1" applyBorder="1" applyAlignment="1">
      <alignment horizontal="center"/>
    </xf>
    <xf numFmtId="0" fontId="0" fillId="5" borderId="0" xfId="0" applyFill="1" applyAlignment="1">
      <alignment horizontal="left"/>
    </xf>
    <xf numFmtId="0" fontId="0" fillId="0" borderId="23" xfId="0" applyBorder="1" applyAlignment="1">
      <alignment horizontal="center" vertical="center"/>
    </xf>
    <xf numFmtId="0" fontId="0" fillId="0" borderId="11" xfId="0" applyBorder="1" applyAlignment="1">
      <alignment horizontal="center" vertical="center"/>
    </xf>
    <xf numFmtId="0" fontId="0" fillId="0" borderId="38"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59" xfId="0" applyBorder="1" applyAlignment="1">
      <alignment horizontal="center"/>
    </xf>
    <xf numFmtId="0" fontId="0" fillId="5" borderId="21" xfId="0" applyFill="1" applyBorder="1" applyAlignment="1">
      <alignment horizontal="center"/>
    </xf>
    <xf numFmtId="0" fontId="0" fillId="5" borderId="22" xfId="0" applyFill="1" applyBorder="1" applyAlignment="1">
      <alignment horizontal="center"/>
    </xf>
    <xf numFmtId="0" fontId="0" fillId="5" borderId="36" xfId="0" applyFill="1" applyBorder="1" applyAlignment="1">
      <alignment horizontal="left"/>
    </xf>
    <xf numFmtId="0" fontId="0" fillId="5" borderId="38" xfId="0" applyFill="1" applyBorder="1" applyAlignment="1">
      <alignment horizontal="center"/>
    </xf>
    <xf numFmtId="0" fontId="0" fillId="5" borderId="63" xfId="0" applyFill="1" applyBorder="1" applyAlignment="1">
      <alignment horizontal="center"/>
    </xf>
    <xf numFmtId="0" fontId="0" fillId="0" borderId="19" xfId="0" applyBorder="1" applyAlignment="1">
      <alignment horizontal="left" vertical="top"/>
    </xf>
    <xf numFmtId="0" fontId="0" fillId="5" borderId="56" xfId="0" applyFill="1" applyBorder="1" applyAlignment="1">
      <alignment horizontal="center"/>
    </xf>
    <xf numFmtId="0" fontId="0" fillId="4" borderId="37" xfId="0" applyFill="1" applyBorder="1" applyAlignment="1">
      <alignment horizontal="left" vertical="top"/>
    </xf>
    <xf numFmtId="0" fontId="0" fillId="4" borderId="36" xfId="0" applyFill="1" applyBorder="1" applyAlignment="1">
      <alignment horizontal="left" vertical="top"/>
    </xf>
    <xf numFmtId="0" fontId="4" fillId="5" borderId="62" xfId="0" applyFont="1" applyFill="1" applyBorder="1" applyAlignment="1">
      <alignment horizontal="center"/>
    </xf>
    <xf numFmtId="0" fontId="4" fillId="5" borderId="63" xfId="0" applyFont="1" applyFill="1" applyBorder="1" applyAlignment="1">
      <alignment horizontal="center"/>
    </xf>
    <xf numFmtId="0" fontId="0" fillId="0" borderId="63" xfId="0" applyBorder="1" applyAlignment="1">
      <alignment horizontal="left" vertical="center"/>
    </xf>
    <xf numFmtId="0" fontId="0" fillId="0" borderId="58" xfId="0" applyBorder="1" applyAlignment="1">
      <alignment horizontal="left" vertical="center"/>
    </xf>
    <xf numFmtId="0" fontId="0" fillId="0" borderId="19" xfId="0" applyBorder="1" applyAlignment="1">
      <alignment horizontal="left" wrapText="1"/>
    </xf>
    <xf numFmtId="0" fontId="0" fillId="0" borderId="19" xfId="0" applyBorder="1"/>
    <xf numFmtId="0" fontId="0" fillId="0" borderId="19" xfId="0" applyBorder="1" applyAlignment="1">
      <alignment horizontal="right" vertical="center"/>
    </xf>
    <xf numFmtId="14" fontId="0" fillId="0" borderId="19" xfId="0" applyNumberFormat="1" applyBorder="1" applyAlignment="1">
      <alignment horizontal="center"/>
    </xf>
    <xf numFmtId="0" fontId="15" fillId="4" borderId="0" xfId="0" applyFont="1" applyFill="1" applyAlignment="1">
      <alignment horizontal="center"/>
    </xf>
    <xf numFmtId="0" fontId="0" fillId="10" borderId="21" xfId="0" applyFill="1" applyBorder="1" applyAlignment="1">
      <alignment horizontal="left"/>
    </xf>
    <xf numFmtId="0" fontId="0" fillId="10" borderId="56" xfId="0" applyFill="1" applyBorder="1" applyAlignment="1">
      <alignment horizontal="left"/>
    </xf>
    <xf numFmtId="0" fontId="0" fillId="10" borderId="22" xfId="0" applyFill="1" applyBorder="1" applyAlignment="1">
      <alignment horizontal="left"/>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0" fillId="10" borderId="56" xfId="0" applyFill="1" applyBorder="1" applyAlignment="1">
      <alignment horizontal="center"/>
    </xf>
    <xf numFmtId="167" fontId="0" fillId="0" borderId="21" xfId="0" applyNumberFormat="1" applyBorder="1" applyAlignment="1">
      <alignment horizontal="center"/>
    </xf>
    <xf numFmtId="167" fontId="0" fillId="0" borderId="22" xfId="0" applyNumberFormat="1" applyBorder="1" applyAlignment="1">
      <alignment horizontal="center"/>
    </xf>
    <xf numFmtId="0" fontId="0" fillId="11" borderId="21" xfId="0" applyFill="1" applyBorder="1" applyAlignment="1">
      <alignment horizontal="left"/>
    </xf>
    <xf numFmtId="0" fontId="0" fillId="11" borderId="22" xfId="0" applyFill="1" applyBorder="1" applyAlignment="1">
      <alignment horizontal="left"/>
    </xf>
    <xf numFmtId="0" fontId="0" fillId="11" borderId="56" xfId="0" applyFill="1" applyBorder="1" applyAlignment="1">
      <alignment horizontal="left"/>
    </xf>
    <xf numFmtId="0" fontId="0" fillId="6" borderId="21" xfId="0" applyFill="1" applyBorder="1" applyAlignment="1">
      <alignment horizontal="center"/>
    </xf>
    <xf numFmtId="0" fontId="0" fillId="6" borderId="22" xfId="0" applyFill="1" applyBorder="1" applyAlignment="1">
      <alignment horizontal="center"/>
    </xf>
    <xf numFmtId="0" fontId="0" fillId="11" borderId="56" xfId="0" applyFill="1" applyBorder="1" applyAlignment="1">
      <alignment horizontal="center"/>
    </xf>
    <xf numFmtId="0" fontId="0" fillId="0" borderId="22" xfId="0" applyBorder="1" applyAlignment="1">
      <alignment horizontal="center"/>
    </xf>
    <xf numFmtId="0" fontId="0" fillId="12" borderId="21" xfId="0" applyFill="1" applyBorder="1" applyAlignment="1">
      <alignment horizontal="left"/>
    </xf>
    <xf numFmtId="0" fontId="0" fillId="12" borderId="22" xfId="0" applyFill="1" applyBorder="1" applyAlignment="1">
      <alignment horizontal="left"/>
    </xf>
    <xf numFmtId="0" fontId="0" fillId="12" borderId="56" xfId="0" applyFill="1" applyBorder="1" applyAlignment="1">
      <alignment horizontal="left"/>
    </xf>
    <xf numFmtId="0" fontId="0" fillId="12" borderId="56" xfId="0" applyFill="1" applyBorder="1" applyAlignment="1">
      <alignment horizontal="center"/>
    </xf>
    <xf numFmtId="9" fontId="0" fillId="0" borderId="21" xfId="2" applyFont="1" applyBorder="1" applyAlignment="1">
      <alignment horizontal="center"/>
    </xf>
    <xf numFmtId="9" fontId="0" fillId="0" borderId="22" xfId="2" applyFont="1" applyBorder="1" applyAlignment="1">
      <alignment horizontal="center"/>
    </xf>
    <xf numFmtId="0" fontId="0" fillId="13" borderId="21" xfId="0" applyFill="1" applyBorder="1" applyAlignment="1">
      <alignment horizontal="left"/>
    </xf>
    <xf numFmtId="0" fontId="0" fillId="13" borderId="22" xfId="0" applyFill="1" applyBorder="1" applyAlignment="1">
      <alignment horizontal="left"/>
    </xf>
    <xf numFmtId="0" fontId="0" fillId="13" borderId="56" xfId="0" applyFill="1" applyBorder="1" applyAlignment="1">
      <alignment horizontal="left"/>
    </xf>
    <xf numFmtId="0" fontId="0" fillId="13" borderId="56" xfId="0" applyFill="1" applyBorder="1" applyAlignment="1">
      <alignment horizontal="center"/>
    </xf>
    <xf numFmtId="0" fontId="0" fillId="15" borderId="21" xfId="0" applyFill="1" applyBorder="1" applyAlignment="1">
      <alignment horizontal="left"/>
    </xf>
    <xf numFmtId="0" fontId="0" fillId="15" borderId="22" xfId="0" applyFill="1" applyBorder="1" applyAlignment="1">
      <alignment horizontal="left"/>
    </xf>
    <xf numFmtId="0" fontId="0" fillId="15" borderId="56" xfId="0" applyFill="1" applyBorder="1" applyAlignment="1">
      <alignment horizontal="left"/>
    </xf>
    <xf numFmtId="0" fontId="0" fillId="15" borderId="56" xfId="0" applyFill="1" applyBorder="1" applyAlignment="1">
      <alignment horizontal="center"/>
    </xf>
    <xf numFmtId="0" fontId="0" fillId="14" borderId="21" xfId="0" applyFill="1" applyBorder="1" applyAlignment="1">
      <alignment horizontal="left"/>
    </xf>
    <xf numFmtId="0" fontId="0" fillId="14" borderId="22" xfId="0" applyFill="1" applyBorder="1" applyAlignment="1">
      <alignment horizontal="left"/>
    </xf>
    <xf numFmtId="0" fontId="0" fillId="14" borderId="56" xfId="0" applyFill="1" applyBorder="1" applyAlignment="1">
      <alignment horizontal="left"/>
    </xf>
    <xf numFmtId="0" fontId="0" fillId="14" borderId="56" xfId="0" applyFill="1" applyBorder="1" applyAlignment="1">
      <alignment horizontal="center"/>
    </xf>
    <xf numFmtId="0" fontId="0" fillId="7" borderId="21" xfId="0" applyFill="1" applyBorder="1" applyAlignment="1">
      <alignment horizontal="left"/>
    </xf>
    <xf numFmtId="0" fontId="0" fillId="7" borderId="22" xfId="0" applyFill="1" applyBorder="1" applyAlignment="1">
      <alignment horizontal="left"/>
    </xf>
    <xf numFmtId="0" fontId="0" fillId="7" borderId="56" xfId="0" applyFill="1" applyBorder="1" applyAlignment="1">
      <alignment horizontal="left"/>
    </xf>
    <xf numFmtId="0" fontId="0" fillId="7" borderId="62" xfId="0" applyFill="1" applyBorder="1" applyAlignment="1">
      <alignment horizontal="center"/>
    </xf>
    <xf numFmtId="0" fontId="0" fillId="16" borderId="21" xfId="0" applyFill="1" applyBorder="1" applyAlignment="1">
      <alignment horizontal="left"/>
    </xf>
    <xf numFmtId="0" fontId="0" fillId="16" borderId="22" xfId="0" applyFill="1" applyBorder="1" applyAlignment="1">
      <alignment horizontal="left"/>
    </xf>
    <xf numFmtId="0" fontId="0" fillId="16" borderId="56" xfId="0" applyFill="1" applyBorder="1" applyAlignment="1">
      <alignment horizontal="left"/>
    </xf>
    <xf numFmtId="0" fontId="0" fillId="16" borderId="56" xfId="0" applyFill="1" applyBorder="1" applyAlignment="1">
      <alignment horizontal="center"/>
    </xf>
    <xf numFmtId="0" fontId="0" fillId="19" borderId="21" xfId="0" applyFill="1" applyBorder="1" applyAlignment="1">
      <alignment horizontal="left"/>
    </xf>
    <xf numFmtId="0" fontId="0" fillId="19" borderId="22" xfId="0" applyFill="1" applyBorder="1" applyAlignment="1">
      <alignment horizontal="left"/>
    </xf>
    <xf numFmtId="0" fontId="0" fillId="19" borderId="56" xfId="0" applyFill="1" applyBorder="1" applyAlignment="1">
      <alignment horizontal="left"/>
    </xf>
    <xf numFmtId="0" fontId="0" fillId="17" borderId="21" xfId="0" applyFill="1" applyBorder="1" applyAlignment="1">
      <alignment horizontal="left"/>
    </xf>
    <xf numFmtId="0" fontId="0" fillId="17" borderId="22" xfId="0" applyFill="1" applyBorder="1" applyAlignment="1">
      <alignment horizontal="left"/>
    </xf>
    <xf numFmtId="0" fontId="0" fillId="17" borderId="56" xfId="0" applyFill="1" applyBorder="1" applyAlignment="1">
      <alignment horizontal="left"/>
    </xf>
    <xf numFmtId="0" fontId="0" fillId="18" borderId="21" xfId="0" applyFill="1" applyBorder="1" applyAlignment="1">
      <alignment horizontal="left"/>
    </xf>
    <xf numFmtId="0" fontId="0" fillId="18" borderId="22" xfId="0" applyFill="1" applyBorder="1" applyAlignment="1">
      <alignment horizontal="left"/>
    </xf>
    <xf numFmtId="0" fontId="0" fillId="18" borderId="56" xfId="0" applyFill="1" applyBorder="1" applyAlignment="1">
      <alignment horizontal="left"/>
    </xf>
    <xf numFmtId="0" fontId="0" fillId="21" borderId="21" xfId="0" applyFill="1" applyBorder="1" applyAlignment="1">
      <alignment horizontal="left"/>
    </xf>
    <xf numFmtId="0" fontId="0" fillId="21" borderId="22" xfId="0" applyFill="1" applyBorder="1" applyAlignment="1">
      <alignment horizontal="left"/>
    </xf>
    <xf numFmtId="0" fontId="0" fillId="21" borderId="56" xfId="0" applyFill="1" applyBorder="1" applyAlignment="1">
      <alignment horizontal="left"/>
    </xf>
    <xf numFmtId="0" fontId="0" fillId="20" borderId="21" xfId="0" applyFill="1" applyBorder="1" applyAlignment="1">
      <alignment horizontal="left"/>
    </xf>
    <xf numFmtId="0" fontId="0" fillId="20" borderId="22" xfId="0" applyFill="1" applyBorder="1" applyAlignment="1">
      <alignment horizontal="left"/>
    </xf>
    <xf numFmtId="0" fontId="0" fillId="20" borderId="56" xfId="0" applyFill="1" applyBorder="1" applyAlignment="1">
      <alignment horizontal="left"/>
    </xf>
    <xf numFmtId="0" fontId="0" fillId="23" borderId="21" xfId="0" applyFill="1" applyBorder="1" applyAlignment="1">
      <alignment horizontal="left"/>
    </xf>
    <xf numFmtId="0" fontId="0" fillId="23" borderId="22" xfId="0" applyFill="1" applyBorder="1" applyAlignment="1">
      <alignment horizontal="left"/>
    </xf>
    <xf numFmtId="0" fontId="0" fillId="23" borderId="56" xfId="0" applyFill="1" applyBorder="1" applyAlignment="1">
      <alignment horizontal="left"/>
    </xf>
    <xf numFmtId="0" fontId="0" fillId="5" borderId="37" xfId="0" applyFill="1" applyBorder="1" applyAlignment="1">
      <alignment horizontal="center"/>
    </xf>
    <xf numFmtId="0" fontId="0" fillId="22" borderId="21" xfId="0" applyFill="1" applyBorder="1" applyAlignment="1">
      <alignment horizontal="left"/>
    </xf>
    <xf numFmtId="0" fontId="0" fillId="22" borderId="22" xfId="0" applyFill="1" applyBorder="1" applyAlignment="1">
      <alignment horizontal="left"/>
    </xf>
    <xf numFmtId="0" fontId="0" fillId="22" borderId="56" xfId="0" applyFill="1" applyBorder="1" applyAlignment="1">
      <alignment horizontal="left"/>
    </xf>
    <xf numFmtId="0" fontId="4" fillId="5" borderId="121" xfId="0" applyFont="1" applyFill="1" applyBorder="1" applyAlignment="1">
      <alignment horizontal="center" vertical="center"/>
    </xf>
    <xf numFmtId="0" fontId="4" fillId="5" borderId="120" xfId="0" applyFont="1" applyFill="1" applyBorder="1" applyAlignment="1">
      <alignment horizontal="center" vertical="center"/>
    </xf>
    <xf numFmtId="0" fontId="0" fillId="4" borderId="21" xfId="0" applyFill="1" applyBorder="1" applyAlignment="1">
      <alignment horizontal="left"/>
    </xf>
    <xf numFmtId="0" fontId="0" fillId="4" borderId="22" xfId="0" applyFill="1" applyBorder="1" applyAlignment="1">
      <alignment horizontal="left"/>
    </xf>
    <xf numFmtId="0" fontId="4" fillId="5" borderId="123" xfId="0" applyFont="1" applyFill="1" applyBorder="1" applyAlignment="1">
      <alignment horizontal="center" vertical="center"/>
    </xf>
    <xf numFmtId="0" fontId="4" fillId="5" borderId="95" xfId="0" applyFont="1" applyFill="1" applyBorder="1" applyAlignment="1">
      <alignment horizontal="center"/>
    </xf>
    <xf numFmtId="0" fontId="4" fillId="5" borderId="66" xfId="0" applyFont="1" applyFill="1" applyBorder="1" applyAlignment="1">
      <alignment horizontal="center"/>
    </xf>
    <xf numFmtId="0" fontId="4" fillId="5" borderId="96" xfId="0" applyFont="1" applyFill="1" applyBorder="1" applyAlignment="1">
      <alignment horizontal="center"/>
    </xf>
    <xf numFmtId="0" fontId="0" fillId="0" borderId="19" xfId="0" applyBorder="1" applyAlignment="1">
      <alignment horizontal="left" vertical="center"/>
    </xf>
  </cellXfs>
  <cellStyles count="8">
    <cellStyle name="Bad" xfId="7" builtinId="27"/>
    <cellStyle name="Currency" xfId="1" builtinId="4"/>
    <cellStyle name="Good" xfId="3" builtinId="26"/>
    <cellStyle name="Hyperlink" xfId="4" builtinId="8"/>
    <cellStyle name="Neutral" xfId="6" builtinId="28"/>
    <cellStyle name="Normal" xfId="0" builtinId="0"/>
    <cellStyle name="Normal 2" xfId="5" xr:uid="{2A6DCA8D-96F4-4943-BA7B-1DD0F05826BD}"/>
    <cellStyle name="Per cent" xfId="2" builtinId="5"/>
  </cellStyles>
  <dxfs count="1474">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fill>
        <patternFill>
          <bgColor theme="8" tint="0.59996337778862885"/>
        </patternFill>
      </fill>
    </dxf>
    <dxf>
      <fill>
        <patternFill>
          <bgColor theme="8" tint="0.59996337778862885"/>
        </patternFill>
      </fill>
    </dxf>
    <dxf>
      <font>
        <color rgb="FF9C0006"/>
      </font>
      <fill>
        <patternFill>
          <bgColor rgb="FFFFC7CE"/>
        </patternFill>
      </fill>
    </dxf>
    <dxf>
      <font>
        <b/>
        <i val="0"/>
        <color rgb="FF9C0006"/>
      </font>
      <fill>
        <patternFill>
          <bgColor rgb="FFFFC7CE"/>
        </patternFill>
      </fill>
    </dxf>
    <dxf>
      <border outline="0">
        <left style="thin">
          <color theme="4" tint="0.39997558519241921"/>
        </lef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bgColor rgb="FFD55A57"/>
        </patternFill>
      </fill>
    </dxf>
    <dxf>
      <fill>
        <patternFill>
          <bgColor rgb="FFD55A5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5"/>
      </font>
      <fill>
        <patternFill>
          <bgColor theme="7" tint="0.59996337778862885"/>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ont>
        <color theme="5" tint="-0.24994659260841701"/>
      </font>
      <fill>
        <patternFill>
          <bgColor theme="7" tint="0.39994506668294322"/>
        </patternFill>
      </fill>
    </dxf>
    <dxf>
      <fill>
        <patternFill>
          <bgColor rgb="FFFF0000"/>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ont>
        <color theme="5"/>
      </font>
      <fill>
        <patternFill>
          <bgColor theme="7" tint="0.79998168889431442"/>
        </patternFill>
      </fill>
    </dxf>
    <dxf>
      <fill>
        <patternFill>
          <bgColor theme="7" tint="0.39994506668294322"/>
        </patternFill>
      </fill>
    </dxf>
    <dxf>
      <fill>
        <patternFill>
          <bgColor rgb="FFFFF8C5"/>
        </patternFill>
      </fill>
    </dxf>
    <dxf>
      <fill>
        <patternFill>
          <bgColor theme="4" tint="0.59996337778862885"/>
        </patternFill>
      </fill>
    </dxf>
    <dxf>
      <fill>
        <patternFill>
          <bgColor theme="5"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b/>
        <i val="0"/>
        <color rgb="FF9C0006"/>
      </font>
      <fill>
        <patternFill>
          <bgColor rgb="FFFFC7CE"/>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tint="-0.34998626667073579"/>
        </patternFill>
      </fill>
    </dxf>
    <dxf>
      <font>
        <color auto="1"/>
      </font>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b val="0"/>
        <i val="0"/>
        <strike/>
        <color auto="1"/>
      </font>
    </dxf>
    <dxf>
      <border>
        <top style="thin">
          <color auto="1"/>
        </top>
        <vertical/>
        <horizontal/>
      </border>
    </dxf>
    <dxf>
      <font>
        <color auto="1"/>
      </font>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theme="8" tint="0.59996337778862885"/>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39994506668294322"/>
        </patternFill>
      </fill>
    </dxf>
    <dxf>
      <fill>
        <patternFill>
          <bgColor theme="8" tint="0.59996337778862885"/>
        </patternFill>
      </fill>
    </dxf>
    <dxf>
      <fill>
        <patternFill>
          <bgColor rgb="FF00B0F0"/>
        </patternFill>
      </fill>
    </dxf>
    <dxf>
      <fill>
        <patternFill>
          <bgColor theme="8" tint="0.59996337778862885"/>
        </patternFill>
      </fill>
    </dxf>
    <dxf>
      <fill>
        <patternFill>
          <bgColor rgb="FFFF0000"/>
        </patternFill>
      </fill>
    </dxf>
    <dxf>
      <fill>
        <patternFill>
          <bgColor rgb="FFFF0000"/>
        </patternFill>
      </fill>
    </dxf>
    <dxf>
      <fill>
        <patternFill>
          <bgColor theme="8" tint="0.59996337778862885"/>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rgb="FFFF0000"/>
        </patternFill>
      </fill>
    </dxf>
    <dxf>
      <fill>
        <patternFill>
          <bgColor theme="8" tint="0.59996337778862885"/>
        </patternFill>
      </fill>
    </dxf>
    <dxf>
      <fill>
        <patternFill>
          <bgColor rgb="FFFF0000"/>
        </patternFill>
      </fill>
    </dxf>
    <dxf>
      <fill>
        <patternFill>
          <bgColor theme="7" tint="0.39994506668294322"/>
        </patternFill>
      </fill>
    </dxf>
    <dxf>
      <fill>
        <patternFill>
          <bgColor theme="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00B0F0"/>
        </patternFill>
      </fill>
    </dxf>
    <dxf>
      <fill>
        <patternFill>
          <bgColor theme="8" tint="0.59996337778862885"/>
        </patternFill>
      </fill>
    </dxf>
    <dxf>
      <fill>
        <patternFill>
          <bgColor rgb="FFFF0000"/>
        </patternFill>
      </fill>
    </dxf>
    <dxf>
      <fill>
        <patternFill>
          <bgColor rgb="FFFF0000"/>
        </patternFill>
      </fill>
    </dxf>
    <dxf>
      <fill>
        <patternFill>
          <bgColor rgb="FF00B0F0"/>
        </patternFill>
      </fill>
    </dxf>
    <dxf>
      <fill>
        <patternFill>
          <bgColor theme="8" tint="0.59996337778862885"/>
        </patternFill>
      </fill>
    </dxf>
    <dxf>
      <fill>
        <patternFill>
          <bgColor rgb="FFFF0000"/>
        </patternFill>
      </fill>
    </dxf>
    <dxf>
      <fill>
        <patternFill>
          <bgColor rgb="FFFF0000"/>
        </patternFill>
      </fill>
    </dxf>
    <dxf>
      <fill>
        <patternFill>
          <bgColor rgb="FF00B0F0"/>
        </patternFill>
      </fill>
    </dxf>
    <dxf>
      <fill>
        <patternFill>
          <bgColor theme="8" tint="0.59996337778862885"/>
        </patternFill>
      </fill>
    </dxf>
    <dxf>
      <fill>
        <patternFill>
          <bgColor rgb="FFFF0000"/>
        </patternFill>
      </fill>
    </dxf>
    <dxf>
      <fill>
        <patternFill>
          <bgColor rgb="FFFF0000"/>
        </patternFill>
      </fill>
    </dxf>
    <dxf>
      <fill>
        <patternFill>
          <bgColor rgb="FF00B0F0"/>
        </patternFill>
      </fill>
    </dxf>
    <dxf>
      <fill>
        <patternFill>
          <bgColor theme="8" tint="0.59996337778862885"/>
        </patternFill>
      </fill>
    </dxf>
    <dxf>
      <fill>
        <patternFill>
          <bgColor rgb="FFFF0000"/>
        </patternFill>
      </fill>
    </dxf>
    <dxf>
      <fill>
        <patternFill>
          <bgColor rgb="FFFF0000"/>
        </patternFill>
      </fill>
    </dxf>
    <dxf>
      <fill>
        <patternFill>
          <bgColor rgb="FF00B0F0"/>
        </patternFill>
      </fill>
    </dxf>
    <dxf>
      <fill>
        <patternFill>
          <bgColor theme="8" tint="0.59996337778862885"/>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theme="8" tint="0.59996337778862885"/>
        </patternFill>
      </fill>
    </dxf>
    <dxf>
      <fill>
        <patternFill>
          <bgColor rgb="FFFF0000"/>
        </patternFill>
      </fill>
    </dxf>
    <dxf>
      <fill>
        <patternFill>
          <bgColor rgb="FFFF0000"/>
        </patternFill>
      </fill>
    </dxf>
    <dxf>
      <fill>
        <patternFill>
          <bgColor rgb="FF00B0F0"/>
        </patternFill>
      </fill>
    </dxf>
    <dxf>
      <fill>
        <patternFill>
          <bgColor theme="8" tint="0.59996337778862885"/>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5700"/>
      </font>
      <fill>
        <patternFill>
          <bgColor rgb="FFFFEB9C"/>
        </patternFill>
      </fill>
    </dxf>
    <dxf>
      <font>
        <color theme="0"/>
      </font>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006100"/>
      </font>
      <fill>
        <patternFill>
          <bgColor rgb="FFC6EFCE"/>
        </patternFill>
      </fill>
    </dxf>
    <dxf>
      <fill>
        <patternFill>
          <bgColor rgb="FFFF0000"/>
        </patternFill>
      </fill>
    </dxf>
    <dxf>
      <fill>
        <patternFill>
          <bgColor theme="5" tint="-0.2499465926084170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strike/>
      </font>
      <fill>
        <patternFill>
          <bgColor theme="0" tint="-0.14996795556505021"/>
        </patternFill>
      </fill>
    </dxf>
    <dxf>
      <font>
        <strike/>
        <color auto="1"/>
      </font>
      <fill>
        <patternFill>
          <bgColor theme="0" tint="-0.14996795556505021"/>
        </patternFill>
      </fill>
    </dxf>
    <dxf>
      <font>
        <strike/>
        <color theme="0" tint="-0.34998626667073579"/>
      </font>
      <fill>
        <patternFill>
          <bgColor theme="0" tint="-0.14996795556505021"/>
        </patternFill>
      </fill>
    </dxf>
    <dxf>
      <fill>
        <patternFill>
          <bgColor rgb="FFFF0000"/>
        </patternFill>
      </fill>
    </dxf>
    <dxf>
      <fill>
        <patternFill>
          <bgColor rgb="FFFF0000"/>
        </patternFill>
      </fill>
    </dxf>
    <dxf>
      <fill>
        <patternFill patternType="none">
          <bgColor auto="1"/>
        </patternFill>
      </fill>
    </dxf>
    <dxf>
      <fill>
        <patternFill>
          <bgColor theme="7"/>
        </patternFill>
      </fill>
    </dxf>
    <dxf>
      <fill>
        <patternFill>
          <bgColor theme="7"/>
        </patternFill>
      </fill>
    </dxf>
    <dxf>
      <fill>
        <patternFill>
          <bgColor theme="4" tint="0.59996337778862885"/>
        </patternFill>
      </fill>
    </dxf>
    <dxf>
      <fill>
        <patternFill>
          <bgColor rgb="FFFF0000"/>
        </patternFill>
      </fill>
    </dxf>
    <dxf>
      <fill>
        <patternFill>
          <bgColor rgb="FFFF0000"/>
        </patternFill>
      </fill>
    </dxf>
    <dxf>
      <font>
        <color rgb="FF9C0006"/>
      </font>
      <fill>
        <patternFill>
          <bgColor rgb="FFFFC7CE"/>
        </patternFill>
      </fill>
    </dxf>
    <dxf>
      <fill>
        <patternFill>
          <bgColor theme="8" tint="0.59996337778862885"/>
        </patternFill>
      </fill>
    </dxf>
    <dxf>
      <fill>
        <patternFill>
          <bgColor theme="4" tint="0.59996337778862885"/>
        </patternFill>
      </fill>
    </dxf>
  </dxfs>
  <tableStyles count="0" defaultTableStyle="TableStyleMedium2" defaultPivotStyle="PivotStyleLight16"/>
  <colors>
    <mruColors>
      <color rgb="FFE6E9EA"/>
      <color rgb="FFE6E9F4"/>
      <color rgb="FFFFF8C5"/>
      <color rgb="FFFFFFCD"/>
      <color rgb="FFD55A57"/>
      <color rgb="FFFF7C80"/>
      <color rgb="FFFF9FC6"/>
      <color rgb="FFFF9999"/>
      <color rgb="FFD1A3BF"/>
      <color rgb="FFA883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sheetMetadata" Target="metadata.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sharedStrings" Target="sharedStrings.xml" /><Relationship Id="rId38" Type="http://schemas.openxmlformats.org/officeDocument/2006/relationships/customXml" Target="../customXml/item3.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externalLink" Target="externalLinks/externalLink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styles" Target="styles.xml" /><Relationship Id="rId37" Type="http://schemas.openxmlformats.org/officeDocument/2006/relationships/customXml" Target="../customXml/item2.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externalLink" Target="externalLinks/externalLink1.xml" /><Relationship Id="rId36" Type="http://schemas.openxmlformats.org/officeDocument/2006/relationships/customXml" Target="../customXml/item1.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theme" Target="theme/theme1.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externalLink" Target="externalLinks/externalLink3.xml" /><Relationship Id="rId35" Type="http://schemas.openxmlformats.org/officeDocument/2006/relationships/calcChain" Target="calcChain.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 /></Relationships>
</file>

<file path=xl/drawings/_rels/drawing10.xml.rels><?xml version="1.0" encoding="UTF-8" standalone="yes"?>
<Relationships xmlns="http://schemas.openxmlformats.org/package/2006/relationships"><Relationship Id="rId3" Type="http://schemas.openxmlformats.org/officeDocument/2006/relationships/image" Target="../media/image33.png" /><Relationship Id="rId2" Type="http://schemas.openxmlformats.org/officeDocument/2006/relationships/image" Target="../media/image32.png" /><Relationship Id="rId1" Type="http://schemas.openxmlformats.org/officeDocument/2006/relationships/image" Target="../media/image31.png" /><Relationship Id="rId5" Type="http://schemas.openxmlformats.org/officeDocument/2006/relationships/image" Target="../media/image35.png" /><Relationship Id="rId4" Type="http://schemas.openxmlformats.org/officeDocument/2006/relationships/image" Target="../media/image34.png" /></Relationships>
</file>

<file path=xl/drawings/_rels/drawing11.xml.rels><?xml version="1.0" encoding="UTF-8" standalone="yes"?>
<Relationships xmlns="http://schemas.openxmlformats.org/package/2006/relationships"><Relationship Id="rId8" Type="http://schemas.openxmlformats.org/officeDocument/2006/relationships/image" Target="../media/image38.png" /><Relationship Id="rId3" Type="http://schemas.openxmlformats.org/officeDocument/2006/relationships/image" Target="../media/image33.png" /><Relationship Id="rId7" Type="http://schemas.openxmlformats.org/officeDocument/2006/relationships/image" Target="../media/image37.png" /><Relationship Id="rId2" Type="http://schemas.openxmlformats.org/officeDocument/2006/relationships/image" Target="../media/image32.png" /><Relationship Id="rId1" Type="http://schemas.openxmlformats.org/officeDocument/2006/relationships/image" Target="../media/image31.png" /><Relationship Id="rId6" Type="http://schemas.openxmlformats.org/officeDocument/2006/relationships/image" Target="../media/image36.png" /><Relationship Id="rId5" Type="http://schemas.openxmlformats.org/officeDocument/2006/relationships/image" Target="../media/image35.png" /><Relationship Id="rId10" Type="http://schemas.openxmlformats.org/officeDocument/2006/relationships/image" Target="../media/image40.png" /><Relationship Id="rId4" Type="http://schemas.openxmlformats.org/officeDocument/2006/relationships/image" Target="../media/image34.png" /><Relationship Id="rId9" Type="http://schemas.openxmlformats.org/officeDocument/2006/relationships/image" Target="../media/image39.png" /></Relationships>
</file>

<file path=xl/drawings/_rels/drawing2.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4.jpeg" /><Relationship Id="rId7" Type="http://schemas.openxmlformats.org/officeDocument/2006/relationships/image" Target="../media/image7.jpg" /><Relationship Id="rId2" Type="http://schemas.openxmlformats.org/officeDocument/2006/relationships/image" Target="../media/image3.jpeg" /><Relationship Id="rId1" Type="http://schemas.openxmlformats.org/officeDocument/2006/relationships/image" Target="../media/image2.jpg" /><Relationship Id="rId6" Type="http://schemas.openxmlformats.org/officeDocument/2006/relationships/image" Target="../media/image6.png" /><Relationship Id="rId11" Type="http://schemas.openxmlformats.org/officeDocument/2006/relationships/image" Target="../media/image11.svg" /><Relationship Id="rId5" Type="http://schemas.openxmlformats.org/officeDocument/2006/relationships/hyperlink" Target="http://www.perfectshutters.co.uk" TargetMode="External" /><Relationship Id="rId10" Type="http://schemas.openxmlformats.org/officeDocument/2006/relationships/image" Target="../media/image10.png" /><Relationship Id="rId4" Type="http://schemas.openxmlformats.org/officeDocument/2006/relationships/image" Target="../media/image5.jpeg" /><Relationship Id="rId9" Type="http://schemas.openxmlformats.org/officeDocument/2006/relationships/image" Target="../media/image9.svg" /></Relationships>
</file>

<file path=xl/drawings/_rels/drawing3.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4.jpeg" /><Relationship Id="rId7" Type="http://schemas.openxmlformats.org/officeDocument/2006/relationships/image" Target="../media/image7.jpg" /><Relationship Id="rId2" Type="http://schemas.openxmlformats.org/officeDocument/2006/relationships/image" Target="../media/image3.jpeg" /><Relationship Id="rId1" Type="http://schemas.openxmlformats.org/officeDocument/2006/relationships/image" Target="../media/image12.png" /><Relationship Id="rId6" Type="http://schemas.openxmlformats.org/officeDocument/2006/relationships/image" Target="../media/image13.jpeg" /><Relationship Id="rId11" Type="http://schemas.openxmlformats.org/officeDocument/2006/relationships/image" Target="../media/image11.svg" /><Relationship Id="rId5" Type="http://schemas.openxmlformats.org/officeDocument/2006/relationships/hyperlink" Target="http://www.perfectshutters.co.uk" TargetMode="External" /><Relationship Id="rId10" Type="http://schemas.openxmlformats.org/officeDocument/2006/relationships/image" Target="../media/image10.png" /><Relationship Id="rId4" Type="http://schemas.openxmlformats.org/officeDocument/2006/relationships/image" Target="../media/image5.jpeg" /><Relationship Id="rId9" Type="http://schemas.openxmlformats.org/officeDocument/2006/relationships/image" Target="../media/image9.svg" /></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 /></Relationships>
</file>

<file path=xl/drawings/_rels/drawing5.xml.rels><?xml version="1.0" encoding="UTF-8" standalone="yes"?>
<Relationships xmlns="http://schemas.openxmlformats.org/package/2006/relationships"><Relationship Id="rId2" Type="http://schemas.openxmlformats.org/officeDocument/2006/relationships/image" Target="../media/image1.png" /><Relationship Id="rId1" Type="http://schemas.openxmlformats.org/officeDocument/2006/relationships/image" Target="../media/image15.png" /></Relationships>
</file>

<file path=xl/drawings/_rels/drawing6.xml.rels><?xml version="1.0" encoding="UTF-8" standalone="yes"?>
<Relationships xmlns="http://schemas.openxmlformats.org/package/2006/relationships"><Relationship Id="rId1" Type="http://schemas.openxmlformats.org/officeDocument/2006/relationships/image" Target="../media/image1.png" /></Relationships>
</file>

<file path=xl/drawings/_rels/drawing7.xml.rels><?xml version="1.0" encoding="UTF-8" standalone="yes"?>
<Relationships xmlns="http://schemas.openxmlformats.org/package/2006/relationships"><Relationship Id="rId8" Type="http://schemas.openxmlformats.org/officeDocument/2006/relationships/image" Target="../media/image23.png" /><Relationship Id="rId3" Type="http://schemas.openxmlformats.org/officeDocument/2006/relationships/image" Target="../media/image18.jpeg" /><Relationship Id="rId7" Type="http://schemas.openxmlformats.org/officeDocument/2006/relationships/image" Target="../media/image22.svg" /><Relationship Id="rId2" Type="http://schemas.openxmlformats.org/officeDocument/2006/relationships/image" Target="../media/image17.jpeg" /><Relationship Id="rId1" Type="http://schemas.openxmlformats.org/officeDocument/2006/relationships/image" Target="../media/image16.jpeg" /><Relationship Id="rId6" Type="http://schemas.openxmlformats.org/officeDocument/2006/relationships/image" Target="../media/image21.png" /><Relationship Id="rId11" Type="http://schemas.openxmlformats.org/officeDocument/2006/relationships/image" Target="../media/image26.svg" /><Relationship Id="rId5" Type="http://schemas.openxmlformats.org/officeDocument/2006/relationships/image" Target="../media/image20.jpeg" /><Relationship Id="rId10" Type="http://schemas.openxmlformats.org/officeDocument/2006/relationships/image" Target="../media/image25.png" /><Relationship Id="rId4" Type="http://schemas.openxmlformats.org/officeDocument/2006/relationships/image" Target="../media/image19.jpeg" /><Relationship Id="rId9" Type="http://schemas.openxmlformats.org/officeDocument/2006/relationships/image" Target="../media/image24.svg" /></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 /></Relationships>
</file>

<file path=xl/drawings/_rels/drawing9.xml.rels><?xml version="1.0" encoding="UTF-8" standalone="yes"?>
<Relationships xmlns="http://schemas.openxmlformats.org/package/2006/relationships"><Relationship Id="rId8" Type="http://schemas.openxmlformats.org/officeDocument/2006/relationships/image" Target="../media/image23.png" /><Relationship Id="rId13" Type="http://schemas.microsoft.com/office/2007/relationships/hdphoto" Target="../media/hdphoto1.wdp" /><Relationship Id="rId3" Type="http://schemas.openxmlformats.org/officeDocument/2006/relationships/image" Target="../media/image18.jpeg" /><Relationship Id="rId7" Type="http://schemas.openxmlformats.org/officeDocument/2006/relationships/image" Target="../media/image22.svg" /><Relationship Id="rId12" Type="http://schemas.openxmlformats.org/officeDocument/2006/relationships/image" Target="../media/image30.png" /><Relationship Id="rId2" Type="http://schemas.openxmlformats.org/officeDocument/2006/relationships/image" Target="../media/image17.jpeg" /><Relationship Id="rId1" Type="http://schemas.openxmlformats.org/officeDocument/2006/relationships/image" Target="../media/image16.jpeg" /><Relationship Id="rId6" Type="http://schemas.openxmlformats.org/officeDocument/2006/relationships/image" Target="../media/image21.png" /><Relationship Id="rId11" Type="http://schemas.openxmlformats.org/officeDocument/2006/relationships/image" Target="../media/image26.svg" /><Relationship Id="rId5" Type="http://schemas.openxmlformats.org/officeDocument/2006/relationships/image" Target="../media/image20.jpeg" /><Relationship Id="rId10" Type="http://schemas.openxmlformats.org/officeDocument/2006/relationships/image" Target="../media/image25.png" /><Relationship Id="rId4" Type="http://schemas.openxmlformats.org/officeDocument/2006/relationships/image" Target="../media/image19.jpeg" /><Relationship Id="rId9" Type="http://schemas.openxmlformats.org/officeDocument/2006/relationships/image" Target="../media/image24.svg" /></Relationships>
</file>

<file path=xl/drawings/_rels/vmlDrawing1.vml.rels><?xml version="1.0" encoding="UTF-8" standalone="yes"?>
<Relationships xmlns="http://schemas.openxmlformats.org/package/2006/relationships"><Relationship Id="rId3" Type="http://schemas.openxmlformats.org/officeDocument/2006/relationships/image" Target="../media/image29.png" /><Relationship Id="rId2" Type="http://schemas.openxmlformats.org/officeDocument/2006/relationships/image" Target="../media/image28.png" /><Relationship Id="rId1" Type="http://schemas.openxmlformats.org/officeDocument/2006/relationships/image" Target="../media/image27.png" /></Relationships>
</file>

<file path=xl/drawings/_rels/vmlDrawing2.vml.rels><?xml version="1.0" encoding="UTF-8" standalone="yes"?>
<Relationships xmlns="http://schemas.openxmlformats.org/package/2006/relationships"><Relationship Id="rId3" Type="http://schemas.openxmlformats.org/officeDocument/2006/relationships/image" Target="../media/image29.png" /><Relationship Id="rId2" Type="http://schemas.openxmlformats.org/officeDocument/2006/relationships/image" Target="../media/image28.png" /><Relationship Id="rId1" Type="http://schemas.openxmlformats.org/officeDocument/2006/relationships/image" Target="../media/image27.png" /></Relationships>
</file>

<file path=xl/drawings/drawing1.xml><?xml version="1.0" encoding="utf-8"?>
<xdr:wsDr xmlns:xdr="http://schemas.openxmlformats.org/drawingml/2006/spreadsheetDrawing" xmlns:a="http://schemas.openxmlformats.org/drawingml/2006/main">
  <xdr:twoCellAnchor editAs="oneCell">
    <xdr:from>
      <xdr:col>1</xdr:col>
      <xdr:colOff>137160</xdr:colOff>
      <xdr:row>1</xdr:row>
      <xdr:rowOff>5715</xdr:rowOff>
    </xdr:from>
    <xdr:to>
      <xdr:col>6</xdr:col>
      <xdr:colOff>400050</xdr:colOff>
      <xdr:row>3</xdr:row>
      <xdr:rowOff>174714</xdr:rowOff>
    </xdr:to>
    <xdr:pic>
      <xdr:nvPicPr>
        <xdr:cNvPr id="2" name="Picture 1">
          <a:extLst>
            <a:ext uri="{FF2B5EF4-FFF2-40B4-BE49-F238E27FC236}">
              <a16:creationId xmlns:a16="http://schemas.microsoft.com/office/drawing/2014/main" id="{A2CED759-6EC5-4EAE-ABD5-6348B17454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940" y="188595"/>
          <a:ext cx="3133725" cy="5309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18</xdr:col>
      <xdr:colOff>93345</xdr:colOff>
      <xdr:row>4</xdr:row>
      <xdr:rowOff>21892</xdr:rowOff>
    </xdr:to>
    <xdr:pic>
      <xdr:nvPicPr>
        <xdr:cNvPr id="2" name="Picture 1">
          <a:extLst>
            <a:ext uri="{FF2B5EF4-FFF2-40B4-BE49-F238E27FC236}">
              <a16:creationId xmlns:a16="http://schemas.microsoft.com/office/drawing/2014/main" id="{BB1512F9-648E-4764-AD49-12B3F0195B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405" y="200025"/>
          <a:ext cx="2987040" cy="545767"/>
        </a:xfrm>
        <a:prstGeom prst="rect">
          <a:avLst/>
        </a:prstGeom>
      </xdr:spPr>
    </xdr:pic>
    <xdr:clientData/>
  </xdr:twoCellAnchor>
  <xdr:twoCellAnchor>
    <xdr:from>
      <xdr:col>1</xdr:col>
      <xdr:colOff>15241</xdr:colOff>
      <xdr:row>15</xdr:row>
      <xdr:rowOff>167642</xdr:rowOff>
    </xdr:from>
    <xdr:to>
      <xdr:col>34</xdr:col>
      <xdr:colOff>87631</xdr:colOff>
      <xdr:row>25</xdr:row>
      <xdr:rowOff>15241</xdr:rowOff>
    </xdr:to>
    <xdr:grpSp>
      <xdr:nvGrpSpPr>
        <xdr:cNvPr id="3" name="Group 2">
          <a:extLst>
            <a:ext uri="{FF2B5EF4-FFF2-40B4-BE49-F238E27FC236}">
              <a16:creationId xmlns:a16="http://schemas.microsoft.com/office/drawing/2014/main" id="{059D0AC1-2286-4366-9D0B-3BCD125FF359}"/>
            </a:ext>
          </a:extLst>
        </xdr:cNvPr>
        <xdr:cNvGrpSpPr/>
      </xdr:nvGrpSpPr>
      <xdr:grpSpPr>
        <a:xfrm>
          <a:off x="190501" y="2924177"/>
          <a:ext cx="5730240" cy="1657349"/>
          <a:chOff x="11430" y="2806065"/>
          <a:chExt cx="5648325" cy="1602105"/>
        </a:xfrm>
      </xdr:grpSpPr>
      <xdr:sp macro="" textlink="">
        <xdr:nvSpPr>
          <xdr:cNvPr id="4" name="Rectangle 3">
            <a:extLst>
              <a:ext uri="{FF2B5EF4-FFF2-40B4-BE49-F238E27FC236}">
                <a16:creationId xmlns:a16="http://schemas.microsoft.com/office/drawing/2014/main" id="{AC4BCBF9-825C-8B8D-71D8-113E45B1859E}"/>
              </a:ext>
            </a:extLst>
          </xdr:cNvPr>
          <xdr:cNvSpPr/>
        </xdr:nvSpPr>
        <xdr:spPr>
          <a:xfrm>
            <a:off x="19050" y="2764155"/>
            <a:ext cx="1467843" cy="1605466"/>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Rectangle 4">
            <a:extLst>
              <a:ext uri="{FF2B5EF4-FFF2-40B4-BE49-F238E27FC236}">
                <a16:creationId xmlns:a16="http://schemas.microsoft.com/office/drawing/2014/main" id="{741644E3-BC7F-94D3-468E-C4476BCABBF5}"/>
              </a:ext>
            </a:extLst>
          </xdr:cNvPr>
          <xdr:cNvSpPr/>
        </xdr:nvSpPr>
        <xdr:spPr>
          <a:xfrm>
            <a:off x="1551024" y="2764155"/>
            <a:ext cx="1334847" cy="1619239"/>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Rectangle 5">
            <a:extLst>
              <a:ext uri="{FF2B5EF4-FFF2-40B4-BE49-F238E27FC236}">
                <a16:creationId xmlns:a16="http://schemas.microsoft.com/office/drawing/2014/main" id="{18A98C27-0055-996E-C26B-EB132FD3DB45}"/>
              </a:ext>
            </a:extLst>
          </xdr:cNvPr>
          <xdr:cNvSpPr/>
        </xdr:nvSpPr>
        <xdr:spPr>
          <a:xfrm>
            <a:off x="2968851" y="2752726"/>
            <a:ext cx="1336725" cy="1640205"/>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Rectangle 6">
            <a:extLst>
              <a:ext uri="{FF2B5EF4-FFF2-40B4-BE49-F238E27FC236}">
                <a16:creationId xmlns:a16="http://schemas.microsoft.com/office/drawing/2014/main" id="{8CB444E4-745C-57E7-232C-B630B8AAEB59}"/>
              </a:ext>
            </a:extLst>
          </xdr:cNvPr>
          <xdr:cNvSpPr/>
        </xdr:nvSpPr>
        <xdr:spPr>
          <a:xfrm>
            <a:off x="4316663" y="2743202"/>
            <a:ext cx="1256232" cy="1624964"/>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243840</xdr:colOff>
      <xdr:row>0</xdr:row>
      <xdr:rowOff>47625</xdr:rowOff>
    </xdr:from>
    <xdr:to>
      <xdr:col>20</xdr:col>
      <xdr:colOff>137590</xdr:colOff>
      <xdr:row>3</xdr:row>
      <xdr:rowOff>169545</xdr:rowOff>
    </xdr:to>
    <xdr:pic>
      <xdr:nvPicPr>
        <xdr:cNvPr id="2" name="Picture 1">
          <a:extLst>
            <a:ext uri="{FF2B5EF4-FFF2-40B4-BE49-F238E27FC236}">
              <a16:creationId xmlns:a16="http://schemas.microsoft.com/office/drawing/2014/main" id="{B90AC9CA-9F2B-4CBA-86A9-EDFC230F6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37320" y="47625"/>
          <a:ext cx="4381930" cy="754380"/>
        </a:xfrm>
        <a:prstGeom prst="rect">
          <a:avLst/>
        </a:prstGeom>
      </xdr:spPr>
    </xdr:pic>
    <xdr:clientData/>
  </xdr:twoCellAnchor>
  <xdr:twoCellAnchor editAs="oneCell">
    <xdr:from>
      <xdr:col>1</xdr:col>
      <xdr:colOff>19050</xdr:colOff>
      <xdr:row>0</xdr:row>
      <xdr:rowOff>76200</xdr:rowOff>
    </xdr:from>
    <xdr:to>
      <xdr:col>7</xdr:col>
      <xdr:colOff>361950</xdr:colOff>
      <xdr:row>2</xdr:row>
      <xdr:rowOff>174292</xdr:rowOff>
    </xdr:to>
    <xdr:pic>
      <xdr:nvPicPr>
        <xdr:cNvPr id="3" name="Picture 2">
          <a:extLst>
            <a:ext uri="{FF2B5EF4-FFF2-40B4-BE49-F238E27FC236}">
              <a16:creationId xmlns:a16="http://schemas.microsoft.com/office/drawing/2014/main" id="{AA61BFCA-F9BF-460B-8523-99283BD0CC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3169920" cy="547672"/>
        </a:xfrm>
        <a:prstGeom prst="rect">
          <a:avLst/>
        </a:prstGeom>
      </xdr:spPr>
    </xdr:pic>
    <xdr:clientData/>
  </xdr:twoCellAnchor>
  <xdr:twoCellAnchor>
    <xdr:from>
      <xdr:col>10</xdr:col>
      <xdr:colOff>0</xdr:colOff>
      <xdr:row>12</xdr:row>
      <xdr:rowOff>0</xdr:rowOff>
    </xdr:from>
    <xdr:to>
      <xdr:col>10</xdr:col>
      <xdr:colOff>238125</xdr:colOff>
      <xdr:row>12</xdr:row>
      <xdr:rowOff>180975</xdr:rowOff>
    </xdr:to>
    <xdr:sp macro="" textlink="">
      <xdr:nvSpPr>
        <xdr:cNvPr id="4" name="Rectangle 3">
          <a:extLst>
            <a:ext uri="{FF2B5EF4-FFF2-40B4-BE49-F238E27FC236}">
              <a16:creationId xmlns:a16="http://schemas.microsoft.com/office/drawing/2014/main" id="{BB5B4371-2CCB-4FC4-865C-827A0B8A78CC}"/>
            </a:ext>
          </a:extLst>
        </xdr:cNvPr>
        <xdr:cNvSpPr/>
      </xdr:nvSpPr>
      <xdr:spPr>
        <a:xfrm>
          <a:off x="4914900" y="2529840"/>
          <a:ext cx="238125" cy="18097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114299</xdr:colOff>
      <xdr:row>15</xdr:row>
      <xdr:rowOff>0</xdr:rowOff>
    </xdr:from>
    <xdr:to>
      <xdr:col>3</xdr:col>
      <xdr:colOff>330899</xdr:colOff>
      <xdr:row>22</xdr:row>
      <xdr:rowOff>180975</xdr:rowOff>
    </xdr:to>
    <xdr:sp macro="" textlink="">
      <xdr:nvSpPr>
        <xdr:cNvPr id="5" name="Rectangle 4">
          <a:extLst>
            <a:ext uri="{FF2B5EF4-FFF2-40B4-BE49-F238E27FC236}">
              <a16:creationId xmlns:a16="http://schemas.microsoft.com/office/drawing/2014/main" id="{0F693920-FA04-4329-B69C-4E4F76AF77F7}"/>
            </a:ext>
          </a:extLst>
        </xdr:cNvPr>
        <xdr:cNvSpPr/>
      </xdr:nvSpPr>
      <xdr:spPr>
        <a:xfrm>
          <a:off x="114299" y="3093720"/>
          <a:ext cx="1489140" cy="1461135"/>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342900</xdr:colOff>
      <xdr:row>15</xdr:row>
      <xdr:rowOff>0</xdr:rowOff>
    </xdr:from>
    <xdr:to>
      <xdr:col>7</xdr:col>
      <xdr:colOff>73725</xdr:colOff>
      <xdr:row>23</xdr:row>
      <xdr:rowOff>0</xdr:rowOff>
    </xdr:to>
    <xdr:sp macro="" textlink="">
      <xdr:nvSpPr>
        <xdr:cNvPr id="6" name="Rectangle 5">
          <a:extLst>
            <a:ext uri="{FF2B5EF4-FFF2-40B4-BE49-F238E27FC236}">
              <a16:creationId xmlns:a16="http://schemas.microsoft.com/office/drawing/2014/main" id="{43103A60-A496-4153-BFB4-523B99421DD6}"/>
            </a:ext>
          </a:extLst>
        </xdr:cNvPr>
        <xdr:cNvSpPr/>
      </xdr:nvSpPr>
      <xdr:spPr>
        <a:xfrm>
          <a:off x="1615440" y="3093720"/>
          <a:ext cx="1475805" cy="1470660"/>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76200</xdr:colOff>
      <xdr:row>15</xdr:row>
      <xdr:rowOff>0</xdr:rowOff>
    </xdr:from>
    <xdr:to>
      <xdr:col>9</xdr:col>
      <xdr:colOff>454725</xdr:colOff>
      <xdr:row>23</xdr:row>
      <xdr:rowOff>0</xdr:rowOff>
    </xdr:to>
    <xdr:sp macro="" textlink="">
      <xdr:nvSpPr>
        <xdr:cNvPr id="7" name="Rectangle 6">
          <a:extLst>
            <a:ext uri="{FF2B5EF4-FFF2-40B4-BE49-F238E27FC236}">
              <a16:creationId xmlns:a16="http://schemas.microsoft.com/office/drawing/2014/main" id="{3F7E9DE3-02A3-43A7-86F3-D4E23AB74F21}"/>
            </a:ext>
          </a:extLst>
        </xdr:cNvPr>
        <xdr:cNvSpPr/>
      </xdr:nvSpPr>
      <xdr:spPr>
        <a:xfrm>
          <a:off x="3093720" y="3093720"/>
          <a:ext cx="1483425" cy="1470660"/>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447675</xdr:colOff>
      <xdr:row>15</xdr:row>
      <xdr:rowOff>0</xdr:rowOff>
    </xdr:from>
    <xdr:to>
      <xdr:col>11</xdr:col>
      <xdr:colOff>835725</xdr:colOff>
      <xdr:row>23</xdr:row>
      <xdr:rowOff>0</xdr:rowOff>
    </xdr:to>
    <xdr:sp macro="" textlink="">
      <xdr:nvSpPr>
        <xdr:cNvPr id="8" name="Rectangle 7">
          <a:extLst>
            <a:ext uri="{FF2B5EF4-FFF2-40B4-BE49-F238E27FC236}">
              <a16:creationId xmlns:a16="http://schemas.microsoft.com/office/drawing/2014/main" id="{15E4621C-BD17-4595-B311-8238015F251D}"/>
            </a:ext>
          </a:extLst>
        </xdr:cNvPr>
        <xdr:cNvSpPr/>
      </xdr:nvSpPr>
      <xdr:spPr>
        <a:xfrm>
          <a:off x="4570095" y="3093720"/>
          <a:ext cx="1492950" cy="1470660"/>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847725</xdr:colOff>
      <xdr:row>15</xdr:row>
      <xdr:rowOff>0</xdr:rowOff>
    </xdr:from>
    <xdr:to>
      <xdr:col>11</xdr:col>
      <xdr:colOff>2359725</xdr:colOff>
      <xdr:row>23</xdr:row>
      <xdr:rowOff>0</xdr:rowOff>
    </xdr:to>
    <xdr:sp macro="" textlink="">
      <xdr:nvSpPr>
        <xdr:cNvPr id="9" name="Rectangle 8">
          <a:extLst>
            <a:ext uri="{FF2B5EF4-FFF2-40B4-BE49-F238E27FC236}">
              <a16:creationId xmlns:a16="http://schemas.microsoft.com/office/drawing/2014/main" id="{232CC856-C4FD-4B15-9E85-1EF2D07A6F1B}"/>
            </a:ext>
          </a:extLst>
        </xdr:cNvPr>
        <xdr:cNvSpPr/>
      </xdr:nvSpPr>
      <xdr:spPr>
        <a:xfrm>
          <a:off x="6075045" y="3093720"/>
          <a:ext cx="1473900" cy="1470660"/>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95250</xdr:colOff>
      <xdr:row>26</xdr:row>
      <xdr:rowOff>19050</xdr:rowOff>
    </xdr:from>
    <xdr:to>
      <xdr:col>3</xdr:col>
      <xdr:colOff>311850</xdr:colOff>
      <xdr:row>34</xdr:row>
      <xdr:rowOff>19050</xdr:rowOff>
    </xdr:to>
    <xdr:sp macro="" textlink="">
      <xdr:nvSpPr>
        <xdr:cNvPr id="10" name="Rectangle 9">
          <a:extLst>
            <a:ext uri="{FF2B5EF4-FFF2-40B4-BE49-F238E27FC236}">
              <a16:creationId xmlns:a16="http://schemas.microsoft.com/office/drawing/2014/main" id="{C3D64D0F-2448-4E58-9C59-09713B122719}"/>
            </a:ext>
          </a:extLst>
        </xdr:cNvPr>
        <xdr:cNvSpPr/>
      </xdr:nvSpPr>
      <xdr:spPr>
        <a:xfrm>
          <a:off x="95250" y="5147310"/>
          <a:ext cx="1489140" cy="1463040"/>
        </a:xfrm>
        <a:prstGeom prst="rect">
          <a:avLst/>
        </a:prstGeom>
        <a:blipFill dpi="0" rotWithShape="1">
          <a:blip xmlns:r="http://schemas.openxmlformats.org/officeDocument/2006/relationships" r:embed="rId6">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323850</xdr:colOff>
      <xdr:row>26</xdr:row>
      <xdr:rowOff>19050</xdr:rowOff>
    </xdr:from>
    <xdr:to>
      <xdr:col>7</xdr:col>
      <xdr:colOff>54675</xdr:colOff>
      <xdr:row>34</xdr:row>
      <xdr:rowOff>19050</xdr:rowOff>
    </xdr:to>
    <xdr:sp macro="" textlink="">
      <xdr:nvSpPr>
        <xdr:cNvPr id="11" name="Rectangle 10">
          <a:extLst>
            <a:ext uri="{FF2B5EF4-FFF2-40B4-BE49-F238E27FC236}">
              <a16:creationId xmlns:a16="http://schemas.microsoft.com/office/drawing/2014/main" id="{94E687EA-930D-4921-8A13-CDEECBAE68A5}"/>
            </a:ext>
          </a:extLst>
        </xdr:cNvPr>
        <xdr:cNvSpPr/>
      </xdr:nvSpPr>
      <xdr:spPr>
        <a:xfrm>
          <a:off x="1596390" y="5147310"/>
          <a:ext cx="1475805" cy="1463040"/>
        </a:xfrm>
        <a:prstGeom prst="rect">
          <a:avLst/>
        </a:prstGeom>
        <a:blipFill dpi="0" rotWithShape="1">
          <a:blip xmlns:r="http://schemas.openxmlformats.org/officeDocument/2006/relationships" r:embed="rId7">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26</xdr:row>
      <xdr:rowOff>19050</xdr:rowOff>
    </xdr:from>
    <xdr:to>
      <xdr:col>9</xdr:col>
      <xdr:colOff>445200</xdr:colOff>
      <xdr:row>34</xdr:row>
      <xdr:rowOff>19050</xdr:rowOff>
    </xdr:to>
    <xdr:sp macro="" textlink="">
      <xdr:nvSpPr>
        <xdr:cNvPr id="12" name="Rectangle 11">
          <a:extLst>
            <a:ext uri="{FF2B5EF4-FFF2-40B4-BE49-F238E27FC236}">
              <a16:creationId xmlns:a16="http://schemas.microsoft.com/office/drawing/2014/main" id="{29483B5B-B6C0-469F-9BF4-FD357DEEFD60}"/>
            </a:ext>
          </a:extLst>
        </xdr:cNvPr>
        <xdr:cNvSpPr/>
      </xdr:nvSpPr>
      <xdr:spPr>
        <a:xfrm>
          <a:off x="3084195" y="5147310"/>
          <a:ext cx="1483425" cy="1463040"/>
        </a:xfrm>
        <a:prstGeom prst="rect">
          <a:avLst/>
        </a:prstGeom>
        <a:blipFill dpi="0" rotWithShape="1">
          <a:blip xmlns:r="http://schemas.openxmlformats.org/officeDocument/2006/relationships" r:embed="rId8">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457200</xdr:colOff>
      <xdr:row>26</xdr:row>
      <xdr:rowOff>19050</xdr:rowOff>
    </xdr:from>
    <xdr:to>
      <xdr:col>11</xdr:col>
      <xdr:colOff>845250</xdr:colOff>
      <xdr:row>34</xdr:row>
      <xdr:rowOff>19050</xdr:rowOff>
    </xdr:to>
    <xdr:sp macro="" textlink="">
      <xdr:nvSpPr>
        <xdr:cNvPr id="13" name="Rectangle 12">
          <a:extLst>
            <a:ext uri="{FF2B5EF4-FFF2-40B4-BE49-F238E27FC236}">
              <a16:creationId xmlns:a16="http://schemas.microsoft.com/office/drawing/2014/main" id="{1F5BD095-0A15-44BB-91F7-911C8C925621}"/>
            </a:ext>
          </a:extLst>
        </xdr:cNvPr>
        <xdr:cNvSpPr/>
      </xdr:nvSpPr>
      <xdr:spPr>
        <a:xfrm>
          <a:off x="4579620" y="5147310"/>
          <a:ext cx="1492950" cy="1463040"/>
        </a:xfrm>
        <a:prstGeom prst="rect">
          <a:avLst/>
        </a:prstGeom>
        <a:blipFill dpi="0" rotWithShape="1">
          <a:blip xmlns:r="http://schemas.openxmlformats.org/officeDocument/2006/relationships" r:embed="rId9">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857250</xdr:colOff>
      <xdr:row>26</xdr:row>
      <xdr:rowOff>19050</xdr:rowOff>
    </xdr:from>
    <xdr:to>
      <xdr:col>11</xdr:col>
      <xdr:colOff>2369250</xdr:colOff>
      <xdr:row>34</xdr:row>
      <xdr:rowOff>19050</xdr:rowOff>
    </xdr:to>
    <xdr:sp macro="" textlink="">
      <xdr:nvSpPr>
        <xdr:cNvPr id="14" name="Rectangle 13">
          <a:extLst>
            <a:ext uri="{FF2B5EF4-FFF2-40B4-BE49-F238E27FC236}">
              <a16:creationId xmlns:a16="http://schemas.microsoft.com/office/drawing/2014/main" id="{B3B097AE-11E3-4450-BE3B-1114D37F7F47}"/>
            </a:ext>
          </a:extLst>
        </xdr:cNvPr>
        <xdr:cNvSpPr/>
      </xdr:nvSpPr>
      <xdr:spPr>
        <a:xfrm>
          <a:off x="6084570" y="5147310"/>
          <a:ext cx="1466280" cy="1463040"/>
        </a:xfrm>
        <a:prstGeom prst="rect">
          <a:avLst/>
        </a:prstGeom>
        <a:blipFill dpi="0" rotWithShape="1">
          <a:blip xmlns:r="http://schemas.openxmlformats.org/officeDocument/2006/relationships" r:embed="rId10">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123825</xdr:colOff>
      <xdr:row>22</xdr:row>
      <xdr:rowOff>180975</xdr:rowOff>
    </xdr:from>
    <xdr:to>
      <xdr:col>3</xdr:col>
      <xdr:colOff>340425</xdr:colOff>
      <xdr:row>24</xdr:row>
      <xdr:rowOff>9525</xdr:rowOff>
    </xdr:to>
    <xdr:sp macro="" textlink="">
      <xdr:nvSpPr>
        <xdr:cNvPr id="15" name="TextBox 14">
          <a:extLst>
            <a:ext uri="{FF2B5EF4-FFF2-40B4-BE49-F238E27FC236}">
              <a16:creationId xmlns:a16="http://schemas.microsoft.com/office/drawing/2014/main" id="{C91DD957-4944-4731-9931-07439453A45F}"/>
            </a:ext>
          </a:extLst>
        </xdr:cNvPr>
        <xdr:cNvSpPr txBox="1"/>
      </xdr:nvSpPr>
      <xdr:spPr>
        <a:xfrm>
          <a:off x="123825" y="455485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Open / Close Panels</a:t>
          </a:r>
        </a:p>
      </xdr:txBody>
    </xdr:sp>
    <xdr:clientData/>
  </xdr:twoCellAnchor>
  <xdr:twoCellAnchor>
    <xdr:from>
      <xdr:col>3</xdr:col>
      <xdr:colOff>342900</xdr:colOff>
      <xdr:row>22</xdr:row>
      <xdr:rowOff>180975</xdr:rowOff>
    </xdr:from>
    <xdr:to>
      <xdr:col>7</xdr:col>
      <xdr:colOff>73725</xdr:colOff>
      <xdr:row>24</xdr:row>
      <xdr:rowOff>9525</xdr:rowOff>
    </xdr:to>
    <xdr:sp macro="" textlink="">
      <xdr:nvSpPr>
        <xdr:cNvPr id="16" name="TextBox 15">
          <a:extLst>
            <a:ext uri="{FF2B5EF4-FFF2-40B4-BE49-F238E27FC236}">
              <a16:creationId xmlns:a16="http://schemas.microsoft.com/office/drawing/2014/main" id="{F29B4D8C-630B-4C3A-B9A0-80E1C22869C1}"/>
            </a:ext>
          </a:extLst>
        </xdr:cNvPr>
        <xdr:cNvSpPr txBox="1"/>
      </xdr:nvSpPr>
      <xdr:spPr>
        <a:xfrm>
          <a:off x="1615440" y="455485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Louvre</a:t>
          </a:r>
          <a:r>
            <a:rPr lang="en-GB" sz="1100" baseline="0"/>
            <a:t> Operation</a:t>
          </a:r>
        </a:p>
      </xdr:txBody>
    </xdr:sp>
    <xdr:clientData/>
  </xdr:twoCellAnchor>
  <xdr:twoCellAnchor>
    <xdr:from>
      <xdr:col>7</xdr:col>
      <xdr:colOff>76200</xdr:colOff>
      <xdr:row>22</xdr:row>
      <xdr:rowOff>180975</xdr:rowOff>
    </xdr:from>
    <xdr:to>
      <xdr:col>9</xdr:col>
      <xdr:colOff>454725</xdr:colOff>
      <xdr:row>24</xdr:row>
      <xdr:rowOff>9525</xdr:rowOff>
    </xdr:to>
    <xdr:sp macro="" textlink="">
      <xdr:nvSpPr>
        <xdr:cNvPr id="17" name="TextBox 16">
          <a:extLst>
            <a:ext uri="{FF2B5EF4-FFF2-40B4-BE49-F238E27FC236}">
              <a16:creationId xmlns:a16="http://schemas.microsoft.com/office/drawing/2014/main" id="{7DD059BE-6446-443D-8C5A-37639D47645D}"/>
            </a:ext>
          </a:extLst>
        </xdr:cNvPr>
        <xdr:cNvSpPr txBox="1"/>
      </xdr:nvSpPr>
      <xdr:spPr>
        <a:xfrm>
          <a:off x="3093720" y="455485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Cleaning Shutters</a:t>
          </a:r>
        </a:p>
      </xdr:txBody>
    </xdr:sp>
    <xdr:clientData/>
  </xdr:twoCellAnchor>
  <xdr:twoCellAnchor>
    <xdr:from>
      <xdr:col>9</xdr:col>
      <xdr:colOff>457200</xdr:colOff>
      <xdr:row>22</xdr:row>
      <xdr:rowOff>180975</xdr:rowOff>
    </xdr:from>
    <xdr:to>
      <xdr:col>11</xdr:col>
      <xdr:colOff>845250</xdr:colOff>
      <xdr:row>24</xdr:row>
      <xdr:rowOff>9525</xdr:rowOff>
    </xdr:to>
    <xdr:sp macro="" textlink="">
      <xdr:nvSpPr>
        <xdr:cNvPr id="18" name="TextBox 17">
          <a:extLst>
            <a:ext uri="{FF2B5EF4-FFF2-40B4-BE49-F238E27FC236}">
              <a16:creationId xmlns:a16="http://schemas.microsoft.com/office/drawing/2014/main" id="{4B46A914-0EE5-4442-93B3-0C0B5330AA80}"/>
            </a:ext>
          </a:extLst>
        </xdr:cNvPr>
        <xdr:cNvSpPr txBox="1"/>
      </xdr:nvSpPr>
      <xdr:spPr>
        <a:xfrm>
          <a:off x="4579620" y="455485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Removing Panels</a:t>
          </a:r>
        </a:p>
      </xdr:txBody>
    </xdr:sp>
    <xdr:clientData/>
  </xdr:twoCellAnchor>
  <xdr:twoCellAnchor>
    <xdr:from>
      <xdr:col>11</xdr:col>
      <xdr:colOff>847725</xdr:colOff>
      <xdr:row>22</xdr:row>
      <xdr:rowOff>180975</xdr:rowOff>
    </xdr:from>
    <xdr:to>
      <xdr:col>11</xdr:col>
      <xdr:colOff>2359725</xdr:colOff>
      <xdr:row>24</xdr:row>
      <xdr:rowOff>9525</xdr:rowOff>
    </xdr:to>
    <xdr:sp macro="" textlink="">
      <xdr:nvSpPr>
        <xdr:cNvPr id="19" name="TextBox 18">
          <a:extLst>
            <a:ext uri="{FF2B5EF4-FFF2-40B4-BE49-F238E27FC236}">
              <a16:creationId xmlns:a16="http://schemas.microsoft.com/office/drawing/2014/main" id="{679931C4-0BBF-42AD-A0EB-50031F8B18CA}"/>
            </a:ext>
          </a:extLst>
        </xdr:cNvPr>
        <xdr:cNvSpPr txBox="1"/>
      </xdr:nvSpPr>
      <xdr:spPr>
        <a:xfrm>
          <a:off x="6075045" y="4554855"/>
          <a:ext cx="147390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Tracks / Other</a:t>
          </a:r>
        </a:p>
      </xdr:txBody>
    </xdr:sp>
    <xdr:clientData/>
  </xdr:twoCellAnchor>
  <xdr:twoCellAnchor>
    <xdr:from>
      <xdr:col>0</xdr:col>
      <xdr:colOff>104775</xdr:colOff>
      <xdr:row>34</xdr:row>
      <xdr:rowOff>28575</xdr:rowOff>
    </xdr:from>
    <xdr:to>
      <xdr:col>3</xdr:col>
      <xdr:colOff>321375</xdr:colOff>
      <xdr:row>35</xdr:row>
      <xdr:rowOff>47625</xdr:rowOff>
    </xdr:to>
    <xdr:sp macro="" textlink="">
      <xdr:nvSpPr>
        <xdr:cNvPr id="20" name="TextBox 19">
          <a:extLst>
            <a:ext uri="{FF2B5EF4-FFF2-40B4-BE49-F238E27FC236}">
              <a16:creationId xmlns:a16="http://schemas.microsoft.com/office/drawing/2014/main" id="{4DC447A2-F784-4B12-A380-B3ED6EB87603}"/>
            </a:ext>
          </a:extLst>
        </xdr:cNvPr>
        <xdr:cNvSpPr txBox="1"/>
      </xdr:nvSpPr>
      <xdr:spPr>
        <a:xfrm>
          <a:off x="104775" y="661987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Warranty</a:t>
          </a:r>
        </a:p>
      </xdr:txBody>
    </xdr:sp>
    <xdr:clientData/>
  </xdr:twoCellAnchor>
  <xdr:twoCellAnchor>
    <xdr:from>
      <xdr:col>3</xdr:col>
      <xdr:colOff>333375</xdr:colOff>
      <xdr:row>34</xdr:row>
      <xdr:rowOff>28575</xdr:rowOff>
    </xdr:from>
    <xdr:to>
      <xdr:col>7</xdr:col>
      <xdr:colOff>64200</xdr:colOff>
      <xdr:row>35</xdr:row>
      <xdr:rowOff>47625</xdr:rowOff>
    </xdr:to>
    <xdr:sp macro="" textlink="">
      <xdr:nvSpPr>
        <xdr:cNvPr id="21" name="TextBox 20">
          <a:extLst>
            <a:ext uri="{FF2B5EF4-FFF2-40B4-BE49-F238E27FC236}">
              <a16:creationId xmlns:a16="http://schemas.microsoft.com/office/drawing/2014/main" id="{E28CAE81-A29A-49FB-915B-AE78B0A7499E}"/>
            </a:ext>
          </a:extLst>
        </xdr:cNvPr>
        <xdr:cNvSpPr txBox="1"/>
      </xdr:nvSpPr>
      <xdr:spPr>
        <a:xfrm>
          <a:off x="1605915" y="661987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After Care</a:t>
          </a:r>
        </a:p>
      </xdr:txBody>
    </xdr:sp>
    <xdr:clientData/>
  </xdr:twoCellAnchor>
  <xdr:twoCellAnchor>
    <xdr:from>
      <xdr:col>7</xdr:col>
      <xdr:colOff>76200</xdr:colOff>
      <xdr:row>34</xdr:row>
      <xdr:rowOff>28575</xdr:rowOff>
    </xdr:from>
    <xdr:to>
      <xdr:col>9</xdr:col>
      <xdr:colOff>454725</xdr:colOff>
      <xdr:row>35</xdr:row>
      <xdr:rowOff>47625</xdr:rowOff>
    </xdr:to>
    <xdr:sp macro="" textlink="">
      <xdr:nvSpPr>
        <xdr:cNvPr id="22" name="TextBox 21">
          <a:extLst>
            <a:ext uri="{FF2B5EF4-FFF2-40B4-BE49-F238E27FC236}">
              <a16:creationId xmlns:a16="http://schemas.microsoft.com/office/drawing/2014/main" id="{3FEA0D8B-8ACE-46F5-A223-13925C0A7CAE}"/>
            </a:ext>
          </a:extLst>
        </xdr:cNvPr>
        <xdr:cNvSpPr txBox="1"/>
      </xdr:nvSpPr>
      <xdr:spPr>
        <a:xfrm>
          <a:off x="3093720" y="661987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Voucher</a:t>
          </a:r>
        </a:p>
      </xdr:txBody>
    </xdr:sp>
    <xdr:clientData/>
  </xdr:twoCellAnchor>
  <xdr:twoCellAnchor>
    <xdr:from>
      <xdr:col>9</xdr:col>
      <xdr:colOff>457200</xdr:colOff>
      <xdr:row>34</xdr:row>
      <xdr:rowOff>28575</xdr:rowOff>
    </xdr:from>
    <xdr:to>
      <xdr:col>11</xdr:col>
      <xdr:colOff>845250</xdr:colOff>
      <xdr:row>35</xdr:row>
      <xdr:rowOff>47625</xdr:rowOff>
    </xdr:to>
    <xdr:sp macro="" textlink="">
      <xdr:nvSpPr>
        <xdr:cNvPr id="23" name="TextBox 22">
          <a:extLst>
            <a:ext uri="{FF2B5EF4-FFF2-40B4-BE49-F238E27FC236}">
              <a16:creationId xmlns:a16="http://schemas.microsoft.com/office/drawing/2014/main" id="{EEA95178-C4B0-44F5-9B51-6A19D5B535EE}"/>
            </a:ext>
          </a:extLst>
        </xdr:cNvPr>
        <xdr:cNvSpPr txBox="1"/>
      </xdr:nvSpPr>
      <xdr:spPr>
        <a:xfrm>
          <a:off x="4579620" y="661987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£50 Off Next Order</a:t>
          </a:r>
        </a:p>
      </xdr:txBody>
    </xdr:sp>
    <xdr:clientData/>
  </xdr:twoCellAnchor>
  <xdr:twoCellAnchor>
    <xdr:from>
      <xdr:col>11</xdr:col>
      <xdr:colOff>857250</xdr:colOff>
      <xdr:row>34</xdr:row>
      <xdr:rowOff>28575</xdr:rowOff>
    </xdr:from>
    <xdr:to>
      <xdr:col>11</xdr:col>
      <xdr:colOff>2369250</xdr:colOff>
      <xdr:row>35</xdr:row>
      <xdr:rowOff>47625</xdr:rowOff>
    </xdr:to>
    <xdr:sp macro="" textlink="">
      <xdr:nvSpPr>
        <xdr:cNvPr id="24" name="TextBox 23">
          <a:extLst>
            <a:ext uri="{FF2B5EF4-FFF2-40B4-BE49-F238E27FC236}">
              <a16:creationId xmlns:a16="http://schemas.microsoft.com/office/drawing/2014/main" id="{AF812E26-A45F-45A9-B674-1E44B25A290E}"/>
            </a:ext>
          </a:extLst>
        </xdr:cNvPr>
        <xdr:cNvSpPr txBox="1"/>
      </xdr:nvSpPr>
      <xdr:spPr>
        <a:xfrm>
          <a:off x="6084570" y="6619875"/>
          <a:ext cx="146628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Anything Else?</a:t>
          </a:r>
        </a:p>
      </xdr:txBody>
    </xdr:sp>
    <xdr:clientData/>
  </xdr:twoCellAnchor>
  <xdr:twoCellAnchor>
    <xdr:from>
      <xdr:col>0</xdr:col>
      <xdr:colOff>66674</xdr:colOff>
      <xdr:row>39</xdr:row>
      <xdr:rowOff>0</xdr:rowOff>
    </xdr:from>
    <xdr:to>
      <xdr:col>3</xdr:col>
      <xdr:colOff>219075</xdr:colOff>
      <xdr:row>41</xdr:row>
      <xdr:rowOff>9525</xdr:rowOff>
    </xdr:to>
    <xdr:sp macro="" textlink="">
      <xdr:nvSpPr>
        <xdr:cNvPr id="25" name="TextBox 24">
          <a:extLst>
            <a:ext uri="{FF2B5EF4-FFF2-40B4-BE49-F238E27FC236}">
              <a16:creationId xmlns:a16="http://schemas.microsoft.com/office/drawing/2014/main" id="{42F09696-4FEB-4823-8A76-3BFDD2C0CF84}"/>
            </a:ext>
          </a:extLst>
        </xdr:cNvPr>
        <xdr:cNvSpPr txBox="1"/>
      </xdr:nvSpPr>
      <xdr:spPr>
        <a:xfrm>
          <a:off x="66674" y="750570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Installation Complete</a:t>
          </a:r>
        </a:p>
      </xdr:txBody>
    </xdr:sp>
    <xdr:clientData/>
  </xdr:twoCellAnchor>
  <xdr:twoCellAnchor>
    <xdr:from>
      <xdr:col>3</xdr:col>
      <xdr:colOff>228600</xdr:colOff>
      <xdr:row>39</xdr:row>
      <xdr:rowOff>0</xdr:rowOff>
    </xdr:from>
    <xdr:to>
      <xdr:col>5</xdr:col>
      <xdr:colOff>504826</xdr:colOff>
      <xdr:row>41</xdr:row>
      <xdr:rowOff>9525</xdr:rowOff>
    </xdr:to>
    <xdr:sp macro="" textlink="">
      <xdr:nvSpPr>
        <xdr:cNvPr id="26" name="TextBox 25">
          <a:extLst>
            <a:ext uri="{FF2B5EF4-FFF2-40B4-BE49-F238E27FC236}">
              <a16:creationId xmlns:a16="http://schemas.microsoft.com/office/drawing/2014/main" id="{B44EFD11-6286-4FFC-91A7-51BF659ADCCB}"/>
            </a:ext>
          </a:extLst>
        </xdr:cNvPr>
        <xdr:cNvSpPr txBox="1"/>
      </xdr:nvSpPr>
      <xdr:spPr>
        <a:xfrm>
          <a:off x="1501140" y="750570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Yes / No</a:t>
          </a:r>
        </a:p>
      </xdr:txBody>
    </xdr:sp>
    <xdr:clientData/>
  </xdr:twoCellAnchor>
  <xdr:twoCellAnchor>
    <xdr:from>
      <xdr:col>5</xdr:col>
      <xdr:colOff>514349</xdr:colOff>
      <xdr:row>39</xdr:row>
      <xdr:rowOff>0</xdr:rowOff>
    </xdr:from>
    <xdr:to>
      <xdr:col>8</xdr:col>
      <xdr:colOff>523875</xdr:colOff>
      <xdr:row>41</xdr:row>
      <xdr:rowOff>9525</xdr:rowOff>
    </xdr:to>
    <xdr:sp macro="" textlink="">
      <xdr:nvSpPr>
        <xdr:cNvPr id="27" name="TextBox 26">
          <a:extLst>
            <a:ext uri="{FF2B5EF4-FFF2-40B4-BE49-F238E27FC236}">
              <a16:creationId xmlns:a16="http://schemas.microsoft.com/office/drawing/2014/main" id="{04E4FD7C-5D12-4DB9-869E-9737DD14F26F}"/>
            </a:ext>
          </a:extLst>
        </xdr:cNvPr>
        <xdr:cNvSpPr txBox="1"/>
      </xdr:nvSpPr>
      <xdr:spPr>
        <a:xfrm>
          <a:off x="2548889" y="750570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Payment</a:t>
          </a:r>
          <a:r>
            <a:rPr lang="en-GB" sz="1100" baseline="0"/>
            <a:t> Recieved</a:t>
          </a:r>
          <a:endParaRPr lang="en-GB" sz="1100"/>
        </a:p>
      </xdr:txBody>
    </xdr:sp>
    <xdr:clientData/>
  </xdr:twoCellAnchor>
  <xdr:twoCellAnchor>
    <xdr:from>
      <xdr:col>10</xdr:col>
      <xdr:colOff>114299</xdr:colOff>
      <xdr:row>39</xdr:row>
      <xdr:rowOff>0</xdr:rowOff>
    </xdr:from>
    <xdr:to>
      <xdr:col>11</xdr:col>
      <xdr:colOff>1247775</xdr:colOff>
      <xdr:row>41</xdr:row>
      <xdr:rowOff>9525</xdr:rowOff>
    </xdr:to>
    <xdr:sp macro="" textlink="">
      <xdr:nvSpPr>
        <xdr:cNvPr id="28" name="TextBox 27">
          <a:extLst>
            <a:ext uri="{FF2B5EF4-FFF2-40B4-BE49-F238E27FC236}">
              <a16:creationId xmlns:a16="http://schemas.microsoft.com/office/drawing/2014/main" id="{711A1826-C6E0-40DA-8351-BE395BD2AB52}"/>
            </a:ext>
          </a:extLst>
        </xdr:cNvPr>
        <xdr:cNvSpPr txBox="1"/>
      </xdr:nvSpPr>
      <xdr:spPr>
        <a:xfrm>
          <a:off x="5029199" y="750570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Method</a:t>
          </a:r>
          <a:r>
            <a:rPr lang="en-GB" sz="1100" baseline="0"/>
            <a:t> of payment</a:t>
          </a:r>
          <a:endParaRPr lang="en-GB" sz="1100"/>
        </a:p>
      </xdr:txBody>
    </xdr:sp>
    <xdr:clientData/>
  </xdr:twoCellAnchor>
  <xdr:twoCellAnchor>
    <xdr:from>
      <xdr:col>8</xdr:col>
      <xdr:colOff>542925</xdr:colOff>
      <xdr:row>39</xdr:row>
      <xdr:rowOff>0</xdr:rowOff>
    </xdr:from>
    <xdr:to>
      <xdr:col>10</xdr:col>
      <xdr:colOff>95251</xdr:colOff>
      <xdr:row>41</xdr:row>
      <xdr:rowOff>9525</xdr:rowOff>
    </xdr:to>
    <xdr:sp macro="" textlink="">
      <xdr:nvSpPr>
        <xdr:cNvPr id="29" name="TextBox 28">
          <a:extLst>
            <a:ext uri="{FF2B5EF4-FFF2-40B4-BE49-F238E27FC236}">
              <a16:creationId xmlns:a16="http://schemas.microsoft.com/office/drawing/2014/main" id="{42D660FF-B3D9-4406-8E34-DFDD649FEC06}"/>
            </a:ext>
          </a:extLst>
        </xdr:cNvPr>
        <xdr:cNvSpPr txBox="1"/>
      </xdr:nvSpPr>
      <xdr:spPr>
        <a:xfrm>
          <a:off x="3987165" y="750570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39</xdr:row>
      <xdr:rowOff>0</xdr:rowOff>
    </xdr:from>
    <xdr:to>
      <xdr:col>11</xdr:col>
      <xdr:colOff>2314576</xdr:colOff>
      <xdr:row>41</xdr:row>
      <xdr:rowOff>9525</xdr:rowOff>
    </xdr:to>
    <xdr:sp macro="" textlink="">
      <xdr:nvSpPr>
        <xdr:cNvPr id="30" name="TextBox 29">
          <a:extLst>
            <a:ext uri="{FF2B5EF4-FFF2-40B4-BE49-F238E27FC236}">
              <a16:creationId xmlns:a16="http://schemas.microsoft.com/office/drawing/2014/main" id="{C9DC7200-ACB9-4245-8BF7-E8EB9619284B}"/>
            </a:ext>
          </a:extLst>
        </xdr:cNvPr>
        <xdr:cNvSpPr txBox="1"/>
      </xdr:nvSpPr>
      <xdr:spPr>
        <a:xfrm>
          <a:off x="6484620" y="750570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66674</xdr:colOff>
      <xdr:row>41</xdr:row>
      <xdr:rowOff>19050</xdr:rowOff>
    </xdr:from>
    <xdr:to>
      <xdr:col>3</xdr:col>
      <xdr:colOff>219075</xdr:colOff>
      <xdr:row>43</xdr:row>
      <xdr:rowOff>28575</xdr:rowOff>
    </xdr:to>
    <xdr:sp macro="" textlink="">
      <xdr:nvSpPr>
        <xdr:cNvPr id="31" name="TextBox 30">
          <a:extLst>
            <a:ext uri="{FF2B5EF4-FFF2-40B4-BE49-F238E27FC236}">
              <a16:creationId xmlns:a16="http://schemas.microsoft.com/office/drawing/2014/main" id="{0F22496F-8ED7-47D8-AAB3-25044105A619}"/>
            </a:ext>
          </a:extLst>
        </xdr:cNvPr>
        <xdr:cNvSpPr txBox="1"/>
      </xdr:nvSpPr>
      <xdr:spPr>
        <a:xfrm>
          <a:off x="66674" y="789813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Balance Payable</a:t>
          </a:r>
        </a:p>
      </xdr:txBody>
    </xdr:sp>
    <xdr:clientData/>
  </xdr:twoCellAnchor>
  <xdr:twoCellAnchor>
    <xdr:from>
      <xdr:col>3</xdr:col>
      <xdr:colOff>228600</xdr:colOff>
      <xdr:row>41</xdr:row>
      <xdr:rowOff>19050</xdr:rowOff>
    </xdr:from>
    <xdr:to>
      <xdr:col>5</xdr:col>
      <xdr:colOff>504826</xdr:colOff>
      <xdr:row>43</xdr:row>
      <xdr:rowOff>28575</xdr:rowOff>
    </xdr:to>
    <xdr:sp macro="" textlink="">
      <xdr:nvSpPr>
        <xdr:cNvPr id="32" name="TextBox 31">
          <a:extLst>
            <a:ext uri="{FF2B5EF4-FFF2-40B4-BE49-F238E27FC236}">
              <a16:creationId xmlns:a16="http://schemas.microsoft.com/office/drawing/2014/main" id="{B181BEFB-5B5E-48E5-B3DB-65FEDD9708AE}"/>
            </a:ext>
          </a:extLst>
        </xdr:cNvPr>
        <xdr:cNvSpPr txBox="1"/>
      </xdr:nvSpPr>
      <xdr:spPr>
        <a:xfrm>
          <a:off x="1501140" y="789813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i="0"/>
            <a:t>£</a:t>
          </a:r>
        </a:p>
      </xdr:txBody>
    </xdr:sp>
    <xdr:clientData/>
  </xdr:twoCellAnchor>
  <xdr:twoCellAnchor>
    <xdr:from>
      <xdr:col>5</xdr:col>
      <xdr:colOff>514349</xdr:colOff>
      <xdr:row>41</xdr:row>
      <xdr:rowOff>19050</xdr:rowOff>
    </xdr:from>
    <xdr:to>
      <xdr:col>8</xdr:col>
      <xdr:colOff>523875</xdr:colOff>
      <xdr:row>43</xdr:row>
      <xdr:rowOff>28575</xdr:rowOff>
    </xdr:to>
    <xdr:sp macro="" textlink="">
      <xdr:nvSpPr>
        <xdr:cNvPr id="33" name="TextBox 32">
          <a:extLst>
            <a:ext uri="{FF2B5EF4-FFF2-40B4-BE49-F238E27FC236}">
              <a16:creationId xmlns:a16="http://schemas.microsoft.com/office/drawing/2014/main" id="{60EE1F07-8222-4A74-B2D9-74BE39CEE8B2}"/>
            </a:ext>
          </a:extLst>
        </xdr:cNvPr>
        <xdr:cNvSpPr txBox="1"/>
      </xdr:nvSpPr>
      <xdr:spPr>
        <a:xfrm>
          <a:off x="2548889" y="789813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O/S</a:t>
          </a:r>
        </a:p>
      </xdr:txBody>
    </xdr:sp>
    <xdr:clientData/>
  </xdr:twoCellAnchor>
  <xdr:twoCellAnchor>
    <xdr:from>
      <xdr:col>10</xdr:col>
      <xdr:colOff>114299</xdr:colOff>
      <xdr:row>41</xdr:row>
      <xdr:rowOff>19050</xdr:rowOff>
    </xdr:from>
    <xdr:to>
      <xdr:col>11</xdr:col>
      <xdr:colOff>1247775</xdr:colOff>
      <xdr:row>43</xdr:row>
      <xdr:rowOff>28575</xdr:rowOff>
    </xdr:to>
    <xdr:sp macro="" textlink="">
      <xdr:nvSpPr>
        <xdr:cNvPr id="34" name="TextBox 33">
          <a:extLst>
            <a:ext uri="{FF2B5EF4-FFF2-40B4-BE49-F238E27FC236}">
              <a16:creationId xmlns:a16="http://schemas.microsoft.com/office/drawing/2014/main" id="{80E97EA1-E038-46A1-A6AF-1B8E9ADF0EB9}"/>
            </a:ext>
          </a:extLst>
        </xdr:cNvPr>
        <xdr:cNvSpPr txBox="1"/>
      </xdr:nvSpPr>
      <xdr:spPr>
        <a:xfrm>
          <a:off x="5029199" y="789813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Card Authorisation Code</a:t>
          </a:r>
        </a:p>
      </xdr:txBody>
    </xdr:sp>
    <xdr:clientData/>
  </xdr:twoCellAnchor>
  <xdr:twoCellAnchor>
    <xdr:from>
      <xdr:col>8</xdr:col>
      <xdr:colOff>542925</xdr:colOff>
      <xdr:row>41</xdr:row>
      <xdr:rowOff>19050</xdr:rowOff>
    </xdr:from>
    <xdr:to>
      <xdr:col>10</xdr:col>
      <xdr:colOff>95251</xdr:colOff>
      <xdr:row>43</xdr:row>
      <xdr:rowOff>28575</xdr:rowOff>
    </xdr:to>
    <xdr:sp macro="" textlink="">
      <xdr:nvSpPr>
        <xdr:cNvPr id="35" name="TextBox 34">
          <a:extLst>
            <a:ext uri="{FF2B5EF4-FFF2-40B4-BE49-F238E27FC236}">
              <a16:creationId xmlns:a16="http://schemas.microsoft.com/office/drawing/2014/main" id="{EA33C0E3-021C-4A67-A717-F862E6D1393E}"/>
            </a:ext>
          </a:extLst>
        </xdr:cNvPr>
        <xdr:cNvSpPr txBox="1"/>
      </xdr:nvSpPr>
      <xdr:spPr>
        <a:xfrm>
          <a:off x="3987165" y="789813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41</xdr:row>
      <xdr:rowOff>19050</xdr:rowOff>
    </xdr:from>
    <xdr:to>
      <xdr:col>11</xdr:col>
      <xdr:colOff>2314576</xdr:colOff>
      <xdr:row>43</xdr:row>
      <xdr:rowOff>28575</xdr:rowOff>
    </xdr:to>
    <xdr:sp macro="" textlink="">
      <xdr:nvSpPr>
        <xdr:cNvPr id="36" name="TextBox 35">
          <a:extLst>
            <a:ext uri="{FF2B5EF4-FFF2-40B4-BE49-F238E27FC236}">
              <a16:creationId xmlns:a16="http://schemas.microsoft.com/office/drawing/2014/main" id="{34D38092-C8AA-44D2-B051-A45F1DF028A2}"/>
            </a:ext>
          </a:extLst>
        </xdr:cNvPr>
        <xdr:cNvSpPr txBox="1"/>
      </xdr:nvSpPr>
      <xdr:spPr>
        <a:xfrm>
          <a:off x="6484620" y="789813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3</xdr:col>
      <xdr:colOff>104775</xdr:colOff>
      <xdr:row>23</xdr:row>
      <xdr:rowOff>9525</xdr:rowOff>
    </xdr:from>
    <xdr:to>
      <xdr:col>3</xdr:col>
      <xdr:colOff>342900</xdr:colOff>
      <xdr:row>24</xdr:row>
      <xdr:rowOff>0</xdr:rowOff>
    </xdr:to>
    <xdr:sp macro="" textlink="">
      <xdr:nvSpPr>
        <xdr:cNvPr id="37" name="Rectangle 36">
          <a:extLst>
            <a:ext uri="{FF2B5EF4-FFF2-40B4-BE49-F238E27FC236}">
              <a16:creationId xmlns:a16="http://schemas.microsoft.com/office/drawing/2014/main" id="{74AE090C-E7A9-40C6-B9D5-2018E629D53E}"/>
            </a:ext>
          </a:extLst>
        </xdr:cNvPr>
        <xdr:cNvSpPr/>
      </xdr:nvSpPr>
      <xdr:spPr>
        <a:xfrm>
          <a:off x="137731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238125</xdr:colOff>
      <xdr:row>23</xdr:row>
      <xdr:rowOff>9525</xdr:rowOff>
    </xdr:from>
    <xdr:to>
      <xdr:col>7</xdr:col>
      <xdr:colOff>76200</xdr:colOff>
      <xdr:row>24</xdr:row>
      <xdr:rowOff>0</xdr:rowOff>
    </xdr:to>
    <xdr:sp macro="" textlink="">
      <xdr:nvSpPr>
        <xdr:cNvPr id="38" name="Rectangle 37">
          <a:extLst>
            <a:ext uri="{FF2B5EF4-FFF2-40B4-BE49-F238E27FC236}">
              <a16:creationId xmlns:a16="http://schemas.microsoft.com/office/drawing/2014/main" id="{A6F491EB-7E10-42B8-A4BC-7F7083700FE7}"/>
            </a:ext>
          </a:extLst>
        </xdr:cNvPr>
        <xdr:cNvSpPr/>
      </xdr:nvSpPr>
      <xdr:spPr>
        <a:xfrm>
          <a:off x="2867025" y="457390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23</xdr:row>
      <xdr:rowOff>9525</xdr:rowOff>
    </xdr:from>
    <xdr:to>
      <xdr:col>9</xdr:col>
      <xdr:colOff>457200</xdr:colOff>
      <xdr:row>24</xdr:row>
      <xdr:rowOff>0</xdr:rowOff>
    </xdr:to>
    <xdr:sp macro="" textlink="">
      <xdr:nvSpPr>
        <xdr:cNvPr id="39" name="Rectangle 38">
          <a:extLst>
            <a:ext uri="{FF2B5EF4-FFF2-40B4-BE49-F238E27FC236}">
              <a16:creationId xmlns:a16="http://schemas.microsoft.com/office/drawing/2014/main" id="{84D9345F-F599-495A-9593-4EC98EF73DC8}"/>
            </a:ext>
          </a:extLst>
        </xdr:cNvPr>
        <xdr:cNvSpPr/>
      </xdr:nvSpPr>
      <xdr:spPr>
        <a:xfrm>
          <a:off x="434149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23</xdr:row>
      <xdr:rowOff>9525</xdr:rowOff>
    </xdr:from>
    <xdr:to>
      <xdr:col>11</xdr:col>
      <xdr:colOff>2362200</xdr:colOff>
      <xdr:row>24</xdr:row>
      <xdr:rowOff>0</xdr:rowOff>
    </xdr:to>
    <xdr:sp macro="" textlink="">
      <xdr:nvSpPr>
        <xdr:cNvPr id="40" name="Rectangle 39">
          <a:extLst>
            <a:ext uri="{FF2B5EF4-FFF2-40B4-BE49-F238E27FC236}">
              <a16:creationId xmlns:a16="http://schemas.microsoft.com/office/drawing/2014/main" id="{53E52316-8FE4-4C90-964B-B64AF3B7DDBA}"/>
            </a:ext>
          </a:extLst>
        </xdr:cNvPr>
        <xdr:cNvSpPr/>
      </xdr:nvSpPr>
      <xdr:spPr>
        <a:xfrm>
          <a:off x="7351395" y="457390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85725</xdr:colOff>
      <xdr:row>34</xdr:row>
      <xdr:rowOff>47625</xdr:rowOff>
    </xdr:from>
    <xdr:to>
      <xdr:col>3</xdr:col>
      <xdr:colOff>323850</xdr:colOff>
      <xdr:row>35</xdr:row>
      <xdr:rowOff>38100</xdr:rowOff>
    </xdr:to>
    <xdr:sp macro="" textlink="">
      <xdr:nvSpPr>
        <xdr:cNvPr id="41" name="Rectangle 40">
          <a:extLst>
            <a:ext uri="{FF2B5EF4-FFF2-40B4-BE49-F238E27FC236}">
              <a16:creationId xmlns:a16="http://schemas.microsoft.com/office/drawing/2014/main" id="{E1413EB0-37B2-41AE-A59D-F031A81D378E}"/>
            </a:ext>
          </a:extLst>
        </xdr:cNvPr>
        <xdr:cNvSpPr/>
      </xdr:nvSpPr>
      <xdr:spPr>
        <a:xfrm>
          <a:off x="135826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228600</xdr:colOff>
      <xdr:row>34</xdr:row>
      <xdr:rowOff>47625</xdr:rowOff>
    </xdr:from>
    <xdr:to>
      <xdr:col>7</xdr:col>
      <xdr:colOff>66675</xdr:colOff>
      <xdr:row>35</xdr:row>
      <xdr:rowOff>38100</xdr:rowOff>
    </xdr:to>
    <xdr:sp macro="" textlink="">
      <xdr:nvSpPr>
        <xdr:cNvPr id="42" name="Rectangle 41">
          <a:extLst>
            <a:ext uri="{FF2B5EF4-FFF2-40B4-BE49-F238E27FC236}">
              <a16:creationId xmlns:a16="http://schemas.microsoft.com/office/drawing/2014/main" id="{1D237AD7-A294-41FA-ACDE-3E0478180EB4}"/>
            </a:ext>
          </a:extLst>
        </xdr:cNvPr>
        <xdr:cNvSpPr/>
      </xdr:nvSpPr>
      <xdr:spPr>
        <a:xfrm>
          <a:off x="2857500" y="663892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34</xdr:row>
      <xdr:rowOff>47625</xdr:rowOff>
    </xdr:from>
    <xdr:to>
      <xdr:col>9</xdr:col>
      <xdr:colOff>457200</xdr:colOff>
      <xdr:row>35</xdr:row>
      <xdr:rowOff>38100</xdr:rowOff>
    </xdr:to>
    <xdr:sp macro="" textlink="">
      <xdr:nvSpPr>
        <xdr:cNvPr id="43" name="Rectangle 42">
          <a:extLst>
            <a:ext uri="{FF2B5EF4-FFF2-40B4-BE49-F238E27FC236}">
              <a16:creationId xmlns:a16="http://schemas.microsoft.com/office/drawing/2014/main" id="{2DBED7BC-A5D6-4400-8C24-3D1AEDAF7AED}"/>
            </a:ext>
          </a:extLst>
        </xdr:cNvPr>
        <xdr:cNvSpPr/>
      </xdr:nvSpPr>
      <xdr:spPr>
        <a:xfrm>
          <a:off x="434149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34</xdr:row>
      <xdr:rowOff>47625</xdr:rowOff>
    </xdr:from>
    <xdr:to>
      <xdr:col>11</xdr:col>
      <xdr:colOff>2362200</xdr:colOff>
      <xdr:row>35</xdr:row>
      <xdr:rowOff>38100</xdr:rowOff>
    </xdr:to>
    <xdr:sp macro="" textlink="">
      <xdr:nvSpPr>
        <xdr:cNvPr id="44" name="Rectangle 43">
          <a:extLst>
            <a:ext uri="{FF2B5EF4-FFF2-40B4-BE49-F238E27FC236}">
              <a16:creationId xmlns:a16="http://schemas.microsoft.com/office/drawing/2014/main" id="{9E261163-4E30-41B6-B206-128518081B66}"/>
            </a:ext>
          </a:extLst>
        </xdr:cNvPr>
        <xdr:cNvSpPr/>
      </xdr:nvSpPr>
      <xdr:spPr>
        <a:xfrm>
          <a:off x="7351395" y="663892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326281</xdr:colOff>
      <xdr:row>0</xdr:row>
      <xdr:rowOff>57327</xdr:rowOff>
    </xdr:from>
    <xdr:to>
      <xdr:col>8</xdr:col>
      <xdr:colOff>777240</xdr:colOff>
      <xdr:row>3</xdr:row>
      <xdr:rowOff>148411</xdr:rowOff>
    </xdr:to>
    <xdr:pic>
      <xdr:nvPicPr>
        <xdr:cNvPr id="2" name="Picture 1">
          <a:extLst>
            <a:ext uri="{FF2B5EF4-FFF2-40B4-BE49-F238E27FC236}">
              <a16:creationId xmlns:a16="http://schemas.microsoft.com/office/drawing/2014/main" id="{699EE6B8-8800-4C68-8DB2-B70511DA3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250331" y="57327"/>
          <a:ext cx="3994259" cy="634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119166</xdr:colOff>
      <xdr:row>46</xdr:row>
      <xdr:rowOff>76201</xdr:rowOff>
    </xdr:from>
    <xdr:to>
      <xdr:col>5</xdr:col>
      <xdr:colOff>124974</xdr:colOff>
      <xdr:row>50</xdr:row>
      <xdr:rowOff>320879</xdr:rowOff>
    </xdr:to>
    <xdr:grpSp>
      <xdr:nvGrpSpPr>
        <xdr:cNvPr id="3" name="Group 2">
          <a:extLst>
            <a:ext uri="{FF2B5EF4-FFF2-40B4-BE49-F238E27FC236}">
              <a16:creationId xmlns:a16="http://schemas.microsoft.com/office/drawing/2014/main" id="{6705E1B9-D781-4693-A2B7-5F02FF828363}"/>
            </a:ext>
            <a:ext uri="{147F2762-F138-4A5C-976F-8EAC2B608ADB}">
              <a16:predDERef xmlns:a16="http://schemas.microsoft.com/office/drawing/2014/main" pred="{5206F065-779D-47AC-8E12-260A0DFC151E}"/>
            </a:ext>
          </a:extLst>
        </xdr:cNvPr>
        <xdr:cNvGrpSpPr/>
      </xdr:nvGrpSpPr>
      <xdr:grpSpPr>
        <a:xfrm>
          <a:off x="121071" y="10106026"/>
          <a:ext cx="3672933" cy="981913"/>
          <a:chOff x="38102" y="9572624"/>
          <a:chExt cx="3409948" cy="1095375"/>
        </a:xfrm>
      </xdr:grpSpPr>
      <xdr:pic>
        <xdr:nvPicPr>
          <xdr:cNvPr id="4" name="Picture 3">
            <a:extLst>
              <a:ext uri="{FF2B5EF4-FFF2-40B4-BE49-F238E27FC236}">
                <a16:creationId xmlns:a16="http://schemas.microsoft.com/office/drawing/2014/main" id="{BC0F9F7F-8069-8132-37E5-AB80388E1F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2" y="9580001"/>
            <a:ext cx="1130236" cy="1069761"/>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5" name="Picture 4">
            <a:extLst>
              <a:ext uri="{FF2B5EF4-FFF2-40B4-BE49-F238E27FC236}">
                <a16:creationId xmlns:a16="http://schemas.microsoft.com/office/drawing/2014/main" id="{79AB2E9A-8EB6-9BD4-68AD-2ECE15F10EC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13" y="9563099"/>
            <a:ext cx="1124526"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6" name="Picture 5">
            <a:extLst>
              <a:ext uri="{FF2B5EF4-FFF2-40B4-BE49-F238E27FC236}">
                <a16:creationId xmlns:a16="http://schemas.microsoft.com/office/drawing/2014/main" id="{F1940CDC-B4FA-9475-45A2-3A0D796D5D8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8467" y="9563099"/>
            <a:ext cx="1105783"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grpSp>
    <xdr:clientData/>
  </xdr:twoCellAnchor>
  <xdr:oneCellAnchor>
    <xdr:from>
      <xdr:col>8</xdr:col>
      <xdr:colOff>1079339</xdr:colOff>
      <xdr:row>7</xdr:row>
      <xdr:rowOff>168893</xdr:rowOff>
    </xdr:from>
    <xdr:ext cx="1939959" cy="1939959"/>
    <xdr:pic>
      <xdr:nvPicPr>
        <xdr:cNvPr id="7" name="Picture 6">
          <a:hlinkClick xmlns:r="http://schemas.openxmlformats.org/officeDocument/2006/relationships" r:id="rId5"/>
          <a:extLst>
            <a:ext uri="{FF2B5EF4-FFF2-40B4-BE49-F238E27FC236}">
              <a16:creationId xmlns:a16="http://schemas.microsoft.com/office/drawing/2014/main" id="{75DBAD08-902B-4324-B398-8EF9BB0E7D36}"/>
            </a:ext>
            <a:ext uri="{147F2762-F138-4A5C-976F-8EAC2B608ADB}">
              <a16:predDERef xmlns:a16="http://schemas.microsoft.com/office/drawing/2014/main" pred="{D8F243B0-F683-44FB-A107-F946E31F9A0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546689" y="1473818"/>
          <a:ext cx="1939959" cy="1939959"/>
        </a:xfrm>
        <a:prstGeom prst="rect">
          <a:avLst/>
        </a:prstGeom>
        <a:scene3d>
          <a:camera prst="orthographicFront"/>
          <a:lightRig rig="threePt" dir="t"/>
        </a:scene3d>
        <a:sp3d>
          <a:bevelT/>
        </a:sp3d>
      </xdr:spPr>
    </xdr:pic>
    <xdr:clientData/>
  </xdr:oneCellAnchor>
  <xdr:oneCellAnchor>
    <xdr:from>
      <xdr:col>0</xdr:col>
      <xdr:colOff>0</xdr:colOff>
      <xdr:row>59</xdr:row>
      <xdr:rowOff>164465</xdr:rowOff>
    </xdr:from>
    <xdr:ext cx="8199120" cy="5171059"/>
    <xdr:pic>
      <xdr:nvPicPr>
        <xdr:cNvPr id="8" name="Picture 7">
          <a:extLst>
            <a:ext uri="{FF2B5EF4-FFF2-40B4-BE49-F238E27FC236}">
              <a16:creationId xmlns:a16="http://schemas.microsoft.com/office/drawing/2014/main" id="{CF9B9F05-CFB9-4C2E-8517-732E50D4896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1403965"/>
          <a:ext cx="8199120" cy="5171059"/>
        </a:xfrm>
        <a:prstGeom prst="rect">
          <a:avLst/>
        </a:prstGeom>
      </xdr:spPr>
    </xdr:pic>
    <xdr:clientData/>
  </xdr:oneCellAnchor>
  <xdr:oneCellAnchor>
    <xdr:from>
      <xdr:col>8</xdr:col>
      <xdr:colOff>857250</xdr:colOff>
      <xdr:row>4</xdr:row>
      <xdr:rowOff>56324</xdr:rowOff>
    </xdr:from>
    <xdr:ext cx="466725" cy="459573"/>
    <xdr:pic>
      <xdr:nvPicPr>
        <xdr:cNvPr id="9" name="Graphic 8" descr="Telephone with solid fill">
          <a:extLst>
            <a:ext uri="{FF2B5EF4-FFF2-40B4-BE49-F238E27FC236}">
              <a16:creationId xmlns:a16="http://schemas.microsoft.com/office/drawing/2014/main" id="{415840F7-5254-43A0-9E39-EBF211F43E5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486400" y="818324"/>
          <a:ext cx="466725" cy="459573"/>
        </a:xfrm>
        <a:prstGeom prst="rect">
          <a:avLst/>
        </a:prstGeom>
      </xdr:spPr>
    </xdr:pic>
    <xdr:clientData/>
  </xdr:oneCellAnchor>
  <xdr:oneCellAnchor>
    <xdr:from>
      <xdr:col>4</xdr:col>
      <xdr:colOff>575098</xdr:colOff>
      <xdr:row>51</xdr:row>
      <xdr:rowOff>104352</xdr:rowOff>
    </xdr:from>
    <xdr:ext cx="184154" cy="180975"/>
    <xdr:pic>
      <xdr:nvPicPr>
        <xdr:cNvPr id="10" name="Graphic 9" descr="Harvey Balls 100% with solid fill">
          <a:extLst>
            <a:ext uri="{FF2B5EF4-FFF2-40B4-BE49-F238E27FC236}">
              <a16:creationId xmlns:a16="http://schemas.microsoft.com/office/drawing/2014/main" id="{2439A360-CD9A-4C43-834E-EA2B5C245141}"/>
            </a:ext>
            <a:ext uri="{147F2762-F138-4A5C-976F-8EAC2B608ADB}">
              <a16:predDERef xmlns:a16="http://schemas.microsoft.com/office/drawing/2014/main" pred="{1B288ACF-AF98-535B-D1A7-ECDD3EE14AB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3556423" y="11267652"/>
          <a:ext cx="184154" cy="180975"/>
        </a:xfrm>
        <a:prstGeom prst="rect">
          <a:avLst/>
        </a:prstGeom>
      </xdr:spPr>
    </xdr:pic>
    <xdr:clientData/>
  </xdr:oneCellAnchor>
  <xdr:oneCellAnchor>
    <xdr:from>
      <xdr:col>7</xdr:col>
      <xdr:colOff>209127</xdr:colOff>
      <xdr:row>51</xdr:row>
      <xdr:rowOff>97790</xdr:rowOff>
    </xdr:from>
    <xdr:ext cx="184154" cy="180975"/>
    <xdr:pic>
      <xdr:nvPicPr>
        <xdr:cNvPr id="11" name="Graphic 10" descr="Harvey Balls 100% with solid fill">
          <a:extLst>
            <a:ext uri="{FF2B5EF4-FFF2-40B4-BE49-F238E27FC236}">
              <a16:creationId xmlns:a16="http://schemas.microsoft.com/office/drawing/2014/main" id="{39D5709C-2EF9-449F-9A72-A81D122A98AD}"/>
            </a:ext>
            <a:ext uri="{147F2762-F138-4A5C-976F-8EAC2B608ADB}">
              <a16:predDERef xmlns:a16="http://schemas.microsoft.com/office/drawing/2014/main" pred="{4ED737A8-D556-5AC8-1D1A-3A6CC9F458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5047827" y="11261090"/>
          <a:ext cx="184154" cy="180975"/>
        </a:xfrm>
        <a:prstGeom prst="rect">
          <a:avLst/>
        </a:prstGeom>
      </xdr:spPr>
    </xdr:pic>
    <xdr:clientData/>
  </xdr:oneCellAnchor>
  <xdr:oneCellAnchor>
    <xdr:from>
      <xdr:col>9</xdr:col>
      <xdr:colOff>930910</xdr:colOff>
      <xdr:row>51</xdr:row>
      <xdr:rowOff>86148</xdr:rowOff>
    </xdr:from>
    <xdr:ext cx="184154" cy="180975"/>
    <xdr:pic>
      <xdr:nvPicPr>
        <xdr:cNvPr id="13" name="Graphic 12" descr="Harvey Balls 100% with solid fill">
          <a:extLst>
            <a:ext uri="{FF2B5EF4-FFF2-40B4-BE49-F238E27FC236}">
              <a16:creationId xmlns:a16="http://schemas.microsoft.com/office/drawing/2014/main" id="{F1295A84-14C7-411E-B155-50503C73D705}"/>
            </a:ext>
            <a:ext uri="{147F2762-F138-4A5C-976F-8EAC2B608ADB}">
              <a16:predDERef xmlns:a16="http://schemas.microsoft.com/office/drawing/2014/main" pred="{F65BA30D-D9F7-1B4B-94AA-14AA41C0FEB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503160" y="11249448"/>
          <a:ext cx="184154" cy="180975"/>
        </a:xfrm>
        <a:prstGeom prst="rect">
          <a:avLst/>
        </a:prstGeom>
      </xdr:spPr>
    </xdr:pic>
    <xdr:clientData/>
  </xdr:oneCellAnchor>
  <xdr:oneCellAnchor>
    <xdr:from>
      <xdr:col>8</xdr:col>
      <xdr:colOff>774912</xdr:colOff>
      <xdr:row>51</xdr:row>
      <xdr:rowOff>93980</xdr:rowOff>
    </xdr:from>
    <xdr:ext cx="184154" cy="180975"/>
    <xdr:pic>
      <xdr:nvPicPr>
        <xdr:cNvPr id="14" name="Graphic 13" descr="Harvey Balls 100% with solid fill">
          <a:extLst>
            <a:ext uri="{FF2B5EF4-FFF2-40B4-BE49-F238E27FC236}">
              <a16:creationId xmlns:a16="http://schemas.microsoft.com/office/drawing/2014/main" id="{BEF25680-D67B-4CAA-B781-8EE97852FC85}"/>
            </a:ext>
            <a:ext uri="{147F2762-F138-4A5C-976F-8EAC2B608ADB}">
              <a16:predDERef xmlns:a16="http://schemas.microsoft.com/office/drawing/2014/main" pred="{4ED737A8-D556-5AC8-1D1A-3A6CC9F458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242262" y="11257280"/>
          <a:ext cx="184154" cy="1809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322471</xdr:colOff>
      <xdr:row>0</xdr:row>
      <xdr:rowOff>59054</xdr:rowOff>
    </xdr:from>
    <xdr:to>
      <xdr:col>8</xdr:col>
      <xdr:colOff>781050</xdr:colOff>
      <xdr:row>3</xdr:row>
      <xdr:rowOff>150494</xdr:rowOff>
    </xdr:to>
    <xdr:pic>
      <xdr:nvPicPr>
        <xdr:cNvPr id="2" name="Picture 1">
          <a:extLst>
            <a:ext uri="{FF2B5EF4-FFF2-40B4-BE49-F238E27FC236}">
              <a16:creationId xmlns:a16="http://schemas.microsoft.com/office/drawing/2014/main" id="{5206F065-779D-47AC-8E12-260A0DFC15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971" y="59054"/>
          <a:ext cx="3868529" cy="634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38102</xdr:colOff>
      <xdr:row>46</xdr:row>
      <xdr:rowOff>76200</xdr:rowOff>
    </xdr:from>
    <xdr:to>
      <xdr:col>5</xdr:col>
      <xdr:colOff>91440</xdr:colOff>
      <xdr:row>50</xdr:row>
      <xdr:rowOff>361949</xdr:rowOff>
    </xdr:to>
    <xdr:grpSp>
      <xdr:nvGrpSpPr>
        <xdr:cNvPr id="9" name="Group 8">
          <a:extLst>
            <a:ext uri="{FF2B5EF4-FFF2-40B4-BE49-F238E27FC236}">
              <a16:creationId xmlns:a16="http://schemas.microsoft.com/office/drawing/2014/main" id="{D8F243B0-F683-44FB-A107-F946E31F9A0E}"/>
            </a:ext>
          </a:extLst>
        </xdr:cNvPr>
        <xdr:cNvGrpSpPr/>
      </xdr:nvGrpSpPr>
      <xdr:grpSpPr>
        <a:xfrm>
          <a:off x="38102" y="10106025"/>
          <a:ext cx="3381373" cy="1022984"/>
          <a:chOff x="38102" y="9572624"/>
          <a:chExt cx="3409948" cy="1095375"/>
        </a:xfrm>
      </xdr:grpSpPr>
      <xdr:pic>
        <xdr:nvPicPr>
          <xdr:cNvPr id="3" name="Picture 2">
            <a:extLst>
              <a:ext uri="{FF2B5EF4-FFF2-40B4-BE49-F238E27FC236}">
                <a16:creationId xmlns:a16="http://schemas.microsoft.com/office/drawing/2014/main" id="{2753CF0E-33D1-465B-9AB5-C2E84D5632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2" y="9580001"/>
            <a:ext cx="1130236" cy="1069761"/>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4" name="Picture 3">
            <a:extLst>
              <a:ext uri="{FF2B5EF4-FFF2-40B4-BE49-F238E27FC236}">
                <a16:creationId xmlns:a16="http://schemas.microsoft.com/office/drawing/2014/main" id="{5E0A03E0-5611-4A21-A8F3-4D58587984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13" y="9563099"/>
            <a:ext cx="1124526"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5" name="Picture 4">
            <a:extLst>
              <a:ext uri="{FF2B5EF4-FFF2-40B4-BE49-F238E27FC236}">
                <a16:creationId xmlns:a16="http://schemas.microsoft.com/office/drawing/2014/main" id="{3FE1AA98-3B1B-4611-A305-6D54211561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8467" y="9563099"/>
            <a:ext cx="1105783"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grpSp>
    <xdr:clientData/>
  </xdr:twoCellAnchor>
  <xdr:twoCellAnchor editAs="oneCell">
    <xdr:from>
      <xdr:col>8</xdr:col>
      <xdr:colOff>924399</xdr:colOff>
      <xdr:row>7</xdr:row>
      <xdr:rowOff>152065</xdr:rowOff>
    </xdr:from>
    <xdr:to>
      <xdr:col>10</xdr:col>
      <xdr:colOff>778383</xdr:colOff>
      <xdr:row>17</xdr:row>
      <xdr:rowOff>6049</xdr:rowOff>
    </xdr:to>
    <xdr:pic>
      <xdr:nvPicPr>
        <xdr:cNvPr id="7" name="Picture 6">
          <a:hlinkClick xmlns:r="http://schemas.openxmlformats.org/officeDocument/2006/relationships" r:id="rId5"/>
          <a:extLst>
            <a:ext uri="{FF2B5EF4-FFF2-40B4-BE49-F238E27FC236}">
              <a16:creationId xmlns:a16="http://schemas.microsoft.com/office/drawing/2014/main" id="{E2785421-4F44-41E3-8F62-C4913B9C21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915499" y="1495090"/>
          <a:ext cx="1911384" cy="1911384"/>
        </a:xfrm>
        <a:prstGeom prst="rect">
          <a:avLst/>
        </a:prstGeom>
        <a:scene3d>
          <a:camera prst="orthographicFront"/>
          <a:lightRig rig="threePt" dir="t"/>
        </a:scene3d>
        <a:sp3d>
          <a:bevelT/>
        </a:sp3d>
      </xdr:spPr>
    </xdr:pic>
    <xdr:clientData/>
  </xdr:twoCellAnchor>
  <xdr:twoCellAnchor editAs="oneCell">
    <xdr:from>
      <xdr:col>0</xdr:col>
      <xdr:colOff>0</xdr:colOff>
      <xdr:row>59</xdr:row>
      <xdr:rowOff>164465</xdr:rowOff>
    </xdr:from>
    <xdr:to>
      <xdr:col>11</xdr:col>
      <xdr:colOff>169545</xdr:colOff>
      <xdr:row>87</xdr:row>
      <xdr:rowOff>1524</xdr:rowOff>
    </xdr:to>
    <xdr:pic>
      <xdr:nvPicPr>
        <xdr:cNvPr id="8" name="Picture 7">
          <a:extLst>
            <a:ext uri="{FF2B5EF4-FFF2-40B4-BE49-F238E27FC236}">
              <a16:creationId xmlns:a16="http://schemas.microsoft.com/office/drawing/2014/main" id="{3DA85F0A-D09A-9576-000F-5D9786805DF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2937490"/>
          <a:ext cx="8427720" cy="4904359"/>
        </a:xfrm>
        <a:prstGeom prst="rect">
          <a:avLst/>
        </a:prstGeom>
      </xdr:spPr>
    </xdr:pic>
    <xdr:clientData/>
  </xdr:twoCellAnchor>
  <xdr:twoCellAnchor editAs="oneCell">
    <xdr:from>
      <xdr:col>8</xdr:col>
      <xdr:colOff>857250</xdr:colOff>
      <xdr:row>4</xdr:row>
      <xdr:rowOff>56324</xdr:rowOff>
    </xdr:from>
    <xdr:to>
      <xdr:col>9</xdr:col>
      <xdr:colOff>247650</xdr:colOff>
      <xdr:row>6</xdr:row>
      <xdr:rowOff>134897</xdr:rowOff>
    </xdr:to>
    <xdr:pic>
      <xdr:nvPicPr>
        <xdr:cNvPr id="10" name="Graphic 9" descr="Telephone with solid fill">
          <a:extLst>
            <a:ext uri="{FF2B5EF4-FFF2-40B4-BE49-F238E27FC236}">
              <a16:creationId xmlns:a16="http://schemas.microsoft.com/office/drawing/2014/main" id="{1B288ACF-AF98-535B-D1A7-ECDD3EE14A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981700" y="789749"/>
          <a:ext cx="483870" cy="448143"/>
        </a:xfrm>
        <a:prstGeom prst="rect">
          <a:avLst/>
        </a:prstGeom>
      </xdr:spPr>
    </xdr:pic>
    <xdr:clientData/>
  </xdr:twoCellAnchor>
  <xdr:twoCellAnchor editAs="oneCell">
    <xdr:from>
      <xdr:col>4</xdr:col>
      <xdr:colOff>253365</xdr:colOff>
      <xdr:row>51</xdr:row>
      <xdr:rowOff>179070</xdr:rowOff>
    </xdr:from>
    <xdr:to>
      <xdr:col>4</xdr:col>
      <xdr:colOff>435402</xdr:colOff>
      <xdr:row>51</xdr:row>
      <xdr:rowOff>360045</xdr:rowOff>
    </xdr:to>
    <xdr:pic>
      <xdr:nvPicPr>
        <xdr:cNvPr id="12" name="Graphic 11" descr="Harvey Balls 100% with solid fill">
          <a:extLst>
            <a:ext uri="{FF2B5EF4-FFF2-40B4-BE49-F238E27FC236}">
              <a16:creationId xmlns:a16="http://schemas.microsoft.com/office/drawing/2014/main" id="{4ED737A8-D556-5AC8-1D1A-3A6CC9F458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891790" y="11237595"/>
          <a:ext cx="185847" cy="184785"/>
        </a:xfrm>
        <a:prstGeom prst="rect">
          <a:avLst/>
        </a:prstGeom>
      </xdr:spPr>
    </xdr:pic>
    <xdr:clientData/>
  </xdr:twoCellAnchor>
  <xdr:twoCellAnchor editAs="oneCell">
    <xdr:from>
      <xdr:col>6</xdr:col>
      <xdr:colOff>638175</xdr:colOff>
      <xdr:row>51</xdr:row>
      <xdr:rowOff>182880</xdr:rowOff>
    </xdr:from>
    <xdr:to>
      <xdr:col>7</xdr:col>
      <xdr:colOff>1062</xdr:colOff>
      <xdr:row>51</xdr:row>
      <xdr:rowOff>360045</xdr:rowOff>
    </xdr:to>
    <xdr:pic>
      <xdr:nvPicPr>
        <xdr:cNvPr id="13" name="Graphic 12" descr="Harvey Balls 100% with solid fill">
          <a:extLst>
            <a:ext uri="{FF2B5EF4-FFF2-40B4-BE49-F238E27FC236}">
              <a16:creationId xmlns:a16="http://schemas.microsoft.com/office/drawing/2014/main" id="{51E24B45-7E81-49C4-9924-27CA132D5C6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4314825" y="11241405"/>
          <a:ext cx="178227" cy="186690"/>
        </a:xfrm>
        <a:prstGeom prst="rect">
          <a:avLst/>
        </a:prstGeom>
      </xdr:spPr>
    </xdr:pic>
    <xdr:clientData/>
  </xdr:twoCellAnchor>
  <xdr:twoCellAnchor editAs="oneCell">
    <xdr:from>
      <xdr:col>8</xdr:col>
      <xdr:colOff>459105</xdr:colOff>
      <xdr:row>51</xdr:row>
      <xdr:rowOff>169545</xdr:rowOff>
    </xdr:from>
    <xdr:to>
      <xdr:col>8</xdr:col>
      <xdr:colOff>627807</xdr:colOff>
      <xdr:row>51</xdr:row>
      <xdr:rowOff>358140</xdr:rowOff>
    </xdr:to>
    <xdr:pic>
      <xdr:nvPicPr>
        <xdr:cNvPr id="14" name="Graphic 13" descr="Harvey Balls 100% with solid fill">
          <a:extLst>
            <a:ext uri="{FF2B5EF4-FFF2-40B4-BE49-F238E27FC236}">
              <a16:creationId xmlns:a16="http://schemas.microsoft.com/office/drawing/2014/main" id="{41B0E8F1-3BB5-44A4-A2CA-1F6EDD781A9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5583555" y="11228070"/>
          <a:ext cx="182037" cy="192405"/>
        </a:xfrm>
        <a:prstGeom prst="rect">
          <a:avLst/>
        </a:prstGeom>
      </xdr:spPr>
    </xdr:pic>
    <xdr:clientData/>
  </xdr:twoCellAnchor>
  <xdr:twoCellAnchor editAs="oneCell">
    <xdr:from>
      <xdr:col>9</xdr:col>
      <xdr:colOff>601980</xdr:colOff>
      <xdr:row>51</xdr:row>
      <xdr:rowOff>182880</xdr:rowOff>
    </xdr:from>
    <xdr:to>
      <xdr:col>9</xdr:col>
      <xdr:colOff>782112</xdr:colOff>
      <xdr:row>51</xdr:row>
      <xdr:rowOff>363855</xdr:rowOff>
    </xdr:to>
    <xdr:pic>
      <xdr:nvPicPr>
        <xdr:cNvPr id="15" name="Graphic 14" descr="Harvey Balls 100% with solid fill">
          <a:extLst>
            <a:ext uri="{FF2B5EF4-FFF2-40B4-BE49-F238E27FC236}">
              <a16:creationId xmlns:a16="http://schemas.microsoft.com/office/drawing/2014/main" id="{5F474D8D-421B-49F1-9836-0AE42E6B6B6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831330" y="11241405"/>
          <a:ext cx="170607" cy="1847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230505</xdr:colOff>
      <xdr:row>3</xdr:row>
      <xdr:rowOff>148590</xdr:rowOff>
    </xdr:to>
    <xdr:pic>
      <xdr:nvPicPr>
        <xdr:cNvPr id="3" name="Picture 2">
          <a:extLst>
            <a:ext uri="{FF2B5EF4-FFF2-40B4-BE49-F238E27FC236}">
              <a16:creationId xmlns:a16="http://schemas.microsoft.com/office/drawing/2014/main" id="{40C33508-4FC1-43F6-85A9-99C0EE86A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97880" y="106680"/>
          <a:ext cx="2943225" cy="590550"/>
        </a:xfrm>
        <a:prstGeom prst="rect">
          <a:avLst/>
        </a:prstGeom>
        <a:solidFill>
          <a:schemeClr val="bg1"/>
        </a:solidFill>
        <a:effectLst>
          <a:outerShdw blurRad="50800" dist="38100" dir="2700000" algn="tl" rotWithShape="0">
            <a:prstClr val="black">
              <a:alpha val="57000"/>
            </a:prstClr>
          </a:outerShdw>
        </a:effec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858467</xdr:colOff>
      <xdr:row>0</xdr:row>
      <xdr:rowOff>451445</xdr:rowOff>
    </xdr:from>
    <xdr:ext cx="1556586" cy="1598902"/>
    <xdr:pic>
      <xdr:nvPicPr>
        <xdr:cNvPr id="2" name="image2.png">
          <a:extLst>
            <a:ext uri="{FF2B5EF4-FFF2-40B4-BE49-F238E27FC236}">
              <a16:creationId xmlns:a16="http://schemas.microsoft.com/office/drawing/2014/main" id="{132C36E6-A5CB-4871-913E-BCC1A6AD3C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3657" y="449540"/>
          <a:ext cx="1556586" cy="1598902"/>
        </a:xfrm>
        <a:prstGeom prst="rect">
          <a:avLst/>
        </a:prstGeom>
      </xdr:spPr>
    </xdr:pic>
    <xdr:clientData/>
  </xdr:oneCellAnchor>
  <xdr:twoCellAnchor editAs="oneCell">
    <xdr:from>
      <xdr:col>1</xdr:col>
      <xdr:colOff>398145</xdr:colOff>
      <xdr:row>1</xdr:row>
      <xdr:rowOff>786765</xdr:rowOff>
    </xdr:from>
    <xdr:to>
      <xdr:col>3</xdr:col>
      <xdr:colOff>457200</xdr:colOff>
      <xdr:row>1</xdr:row>
      <xdr:rowOff>1317714</xdr:rowOff>
    </xdr:to>
    <xdr:pic>
      <xdr:nvPicPr>
        <xdr:cNvPr id="3" name="Picture 2">
          <a:extLst>
            <a:ext uri="{FF2B5EF4-FFF2-40B4-BE49-F238E27FC236}">
              <a16:creationId xmlns:a16="http://schemas.microsoft.com/office/drawing/2014/main" id="{E00EED58-6999-4508-A741-ABE6B989DB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2005" y="1240155"/>
          <a:ext cx="3084195" cy="542379"/>
        </a:xfrm>
        <a:prstGeom prst="rect">
          <a:avLst/>
        </a:prstGeom>
        <a:ln w="25400" cap="rnd" cmpd="sng">
          <a:noFill/>
        </a:ln>
        <a:effectLst>
          <a:outerShdw blurRad="50800" dist="50800" dir="5400000" sx="101000" sy="101000" algn="ctr" rotWithShape="0">
            <a:srgbClr val="000000">
              <a:alpha val="50000"/>
            </a:srgbClr>
          </a:outerShdw>
        </a:effectLst>
      </xdr:spPr>
    </xdr:pic>
    <xdr:clientData/>
  </xdr:twoCellAnchor>
  <xdr:twoCellAnchor>
    <xdr:from>
      <xdr:col>2</xdr:col>
      <xdr:colOff>16178</xdr:colOff>
      <xdr:row>2</xdr:row>
      <xdr:rowOff>400049</xdr:rowOff>
    </xdr:from>
    <xdr:to>
      <xdr:col>8</xdr:col>
      <xdr:colOff>1066799</xdr:colOff>
      <xdr:row>3</xdr:row>
      <xdr:rowOff>207644</xdr:rowOff>
    </xdr:to>
    <xdr:grpSp>
      <xdr:nvGrpSpPr>
        <xdr:cNvPr id="4" name="Group 3">
          <a:extLst>
            <a:ext uri="{FF2B5EF4-FFF2-40B4-BE49-F238E27FC236}">
              <a16:creationId xmlns:a16="http://schemas.microsoft.com/office/drawing/2014/main" id="{6E6A43C5-A296-4FE7-B212-54A297B6795E}"/>
            </a:ext>
          </a:extLst>
        </xdr:cNvPr>
        <xdr:cNvGrpSpPr/>
      </xdr:nvGrpSpPr>
      <xdr:grpSpPr>
        <a:xfrm>
          <a:off x="2163113" y="2442209"/>
          <a:ext cx="6857061" cy="474345"/>
          <a:chOff x="8819184" y="2360101"/>
          <a:chExt cx="7001303" cy="594554"/>
        </a:xfrm>
      </xdr:grpSpPr>
      <xdr:sp macro="" textlink="">
        <xdr:nvSpPr>
          <xdr:cNvPr id="5" name="Shape 6">
            <a:extLst>
              <a:ext uri="{FF2B5EF4-FFF2-40B4-BE49-F238E27FC236}">
                <a16:creationId xmlns:a16="http://schemas.microsoft.com/office/drawing/2014/main" id="{970EC63F-825E-4C0E-9566-8E44F344474F}"/>
              </a:ext>
            </a:extLst>
          </xdr:cNvPr>
          <xdr:cNvSpPr/>
        </xdr:nvSpPr>
        <xdr:spPr>
          <a:xfrm>
            <a:off x="8819184" y="2363911"/>
            <a:ext cx="1299547" cy="590744"/>
          </a:xfrm>
          <a:custGeom>
            <a:avLst/>
            <a:gdLst/>
            <a:ahLst/>
            <a:cxnLst/>
            <a:rect l="0" t="0" r="0" b="0"/>
            <a:pathLst>
              <a:path w="1057910" h="584200">
                <a:moveTo>
                  <a:pt x="144005" y="0"/>
                </a:moveTo>
                <a:lnTo>
                  <a:pt x="98490" y="7340"/>
                </a:lnTo>
                <a:lnTo>
                  <a:pt x="58959" y="27782"/>
                </a:lnTo>
                <a:lnTo>
                  <a:pt x="27785" y="58954"/>
                </a:lnTo>
                <a:lnTo>
                  <a:pt x="7341" y="98485"/>
                </a:lnTo>
                <a:lnTo>
                  <a:pt x="0" y="144005"/>
                </a:lnTo>
                <a:lnTo>
                  <a:pt x="0" y="439597"/>
                </a:lnTo>
                <a:lnTo>
                  <a:pt x="7341" y="485112"/>
                </a:lnTo>
                <a:lnTo>
                  <a:pt x="27785" y="524643"/>
                </a:lnTo>
                <a:lnTo>
                  <a:pt x="58959" y="555817"/>
                </a:lnTo>
                <a:lnTo>
                  <a:pt x="98490" y="576261"/>
                </a:lnTo>
                <a:lnTo>
                  <a:pt x="144005" y="583603"/>
                </a:lnTo>
                <a:lnTo>
                  <a:pt x="913358" y="583603"/>
                </a:lnTo>
                <a:lnTo>
                  <a:pt x="958872" y="576261"/>
                </a:lnTo>
                <a:lnTo>
                  <a:pt x="998399" y="555817"/>
                </a:lnTo>
                <a:lnTo>
                  <a:pt x="1029569" y="524643"/>
                </a:lnTo>
                <a:lnTo>
                  <a:pt x="1050010" y="485112"/>
                </a:lnTo>
                <a:lnTo>
                  <a:pt x="1057351" y="439597"/>
                </a:lnTo>
                <a:lnTo>
                  <a:pt x="1057351" y="144005"/>
                </a:lnTo>
                <a:lnTo>
                  <a:pt x="1050010" y="98485"/>
                </a:lnTo>
                <a:lnTo>
                  <a:pt x="1029569" y="58954"/>
                </a:lnTo>
                <a:lnTo>
                  <a:pt x="998399" y="27782"/>
                </a:lnTo>
                <a:lnTo>
                  <a:pt x="958872" y="7340"/>
                </a:lnTo>
                <a:lnTo>
                  <a:pt x="913358" y="0"/>
                </a:lnTo>
                <a:lnTo>
                  <a:pt x="144005" y="0"/>
                </a:lnTo>
                <a:close/>
              </a:path>
            </a:pathLst>
          </a:custGeom>
          <a:ln w="12700">
            <a:solidFill>
              <a:schemeClr val="tx1"/>
            </a:solidFill>
          </a:ln>
        </xdr:spPr>
      </xdr:sp>
      <xdr:sp macro="" textlink="">
        <xdr:nvSpPr>
          <xdr:cNvPr id="6" name="Shape 10">
            <a:extLst>
              <a:ext uri="{FF2B5EF4-FFF2-40B4-BE49-F238E27FC236}">
                <a16:creationId xmlns:a16="http://schemas.microsoft.com/office/drawing/2014/main" id="{274C7C18-6507-46A5-8EF1-5FDB3E5748F8}"/>
              </a:ext>
            </a:extLst>
          </xdr:cNvPr>
          <xdr:cNvSpPr/>
        </xdr:nvSpPr>
        <xdr:spPr>
          <a:xfrm>
            <a:off x="11275843" y="2360101"/>
            <a:ext cx="1172174" cy="590744"/>
          </a:xfrm>
          <a:custGeom>
            <a:avLst/>
            <a:gdLst/>
            <a:ahLst/>
            <a:cxnLst/>
            <a:rect l="0" t="0" r="0" b="0"/>
            <a:pathLst>
              <a:path w="916305" h="584200">
                <a:moveTo>
                  <a:pt x="144005" y="0"/>
                </a:moveTo>
                <a:lnTo>
                  <a:pt x="98490" y="7340"/>
                </a:lnTo>
                <a:lnTo>
                  <a:pt x="58959" y="27782"/>
                </a:lnTo>
                <a:lnTo>
                  <a:pt x="27785" y="58954"/>
                </a:lnTo>
                <a:lnTo>
                  <a:pt x="7341" y="98485"/>
                </a:lnTo>
                <a:lnTo>
                  <a:pt x="0" y="144005"/>
                </a:lnTo>
                <a:lnTo>
                  <a:pt x="0" y="439597"/>
                </a:lnTo>
                <a:lnTo>
                  <a:pt x="7341" y="485112"/>
                </a:lnTo>
                <a:lnTo>
                  <a:pt x="27785" y="524643"/>
                </a:lnTo>
                <a:lnTo>
                  <a:pt x="58959" y="555817"/>
                </a:lnTo>
                <a:lnTo>
                  <a:pt x="98490" y="576261"/>
                </a:lnTo>
                <a:lnTo>
                  <a:pt x="144005" y="583603"/>
                </a:lnTo>
                <a:lnTo>
                  <a:pt x="771753" y="583603"/>
                </a:lnTo>
                <a:lnTo>
                  <a:pt x="817268" y="576261"/>
                </a:lnTo>
                <a:lnTo>
                  <a:pt x="856799" y="555817"/>
                </a:lnTo>
                <a:lnTo>
                  <a:pt x="887972" y="524643"/>
                </a:lnTo>
                <a:lnTo>
                  <a:pt x="908416" y="485112"/>
                </a:lnTo>
                <a:lnTo>
                  <a:pt x="915758" y="439597"/>
                </a:lnTo>
                <a:lnTo>
                  <a:pt x="915758" y="144005"/>
                </a:lnTo>
                <a:lnTo>
                  <a:pt x="908416" y="98485"/>
                </a:lnTo>
                <a:lnTo>
                  <a:pt x="887972" y="58954"/>
                </a:lnTo>
                <a:lnTo>
                  <a:pt x="856799" y="27782"/>
                </a:lnTo>
                <a:lnTo>
                  <a:pt x="817268" y="7340"/>
                </a:lnTo>
                <a:lnTo>
                  <a:pt x="771753" y="0"/>
                </a:lnTo>
                <a:lnTo>
                  <a:pt x="144005" y="0"/>
                </a:lnTo>
                <a:close/>
              </a:path>
            </a:pathLst>
          </a:custGeom>
          <a:ln w="12700">
            <a:solidFill>
              <a:schemeClr val="tx1"/>
            </a:solidFill>
          </a:ln>
        </xdr:spPr>
      </xdr:sp>
      <xdr:sp macro="" textlink="">
        <xdr:nvSpPr>
          <xdr:cNvPr id="7" name="Shape 12">
            <a:extLst>
              <a:ext uri="{FF2B5EF4-FFF2-40B4-BE49-F238E27FC236}">
                <a16:creationId xmlns:a16="http://schemas.microsoft.com/office/drawing/2014/main" id="{A2422785-B816-43BA-B603-1145AC90315C}"/>
              </a:ext>
            </a:extLst>
          </xdr:cNvPr>
          <xdr:cNvSpPr/>
        </xdr:nvSpPr>
        <xdr:spPr>
          <a:xfrm>
            <a:off x="12455890" y="2360101"/>
            <a:ext cx="1191010" cy="590744"/>
          </a:xfrm>
          <a:custGeom>
            <a:avLst/>
            <a:gdLst/>
            <a:ahLst/>
            <a:cxnLst/>
            <a:rect l="0" t="0" r="0" b="0"/>
            <a:pathLst>
              <a:path w="899794" h="584200">
                <a:moveTo>
                  <a:pt x="144005" y="0"/>
                </a:moveTo>
                <a:lnTo>
                  <a:pt x="98490" y="7340"/>
                </a:lnTo>
                <a:lnTo>
                  <a:pt x="58959" y="27782"/>
                </a:lnTo>
                <a:lnTo>
                  <a:pt x="27785" y="58954"/>
                </a:lnTo>
                <a:lnTo>
                  <a:pt x="7341" y="98485"/>
                </a:lnTo>
                <a:lnTo>
                  <a:pt x="0" y="144005"/>
                </a:lnTo>
                <a:lnTo>
                  <a:pt x="0" y="439597"/>
                </a:lnTo>
                <a:lnTo>
                  <a:pt x="7341" y="485112"/>
                </a:lnTo>
                <a:lnTo>
                  <a:pt x="27785" y="524643"/>
                </a:lnTo>
                <a:lnTo>
                  <a:pt x="58959" y="555817"/>
                </a:lnTo>
                <a:lnTo>
                  <a:pt x="98490" y="576261"/>
                </a:lnTo>
                <a:lnTo>
                  <a:pt x="144005" y="583603"/>
                </a:lnTo>
                <a:lnTo>
                  <a:pt x="755307" y="583603"/>
                </a:lnTo>
                <a:lnTo>
                  <a:pt x="800820" y="576261"/>
                </a:lnTo>
                <a:lnTo>
                  <a:pt x="840348" y="555817"/>
                </a:lnTo>
                <a:lnTo>
                  <a:pt x="871518" y="524643"/>
                </a:lnTo>
                <a:lnTo>
                  <a:pt x="891959" y="485112"/>
                </a:lnTo>
                <a:lnTo>
                  <a:pt x="899299" y="439597"/>
                </a:lnTo>
                <a:lnTo>
                  <a:pt x="899299" y="144005"/>
                </a:lnTo>
                <a:lnTo>
                  <a:pt x="891959" y="98485"/>
                </a:lnTo>
                <a:lnTo>
                  <a:pt x="871518" y="58954"/>
                </a:lnTo>
                <a:lnTo>
                  <a:pt x="840348" y="27782"/>
                </a:lnTo>
                <a:lnTo>
                  <a:pt x="800820" y="7340"/>
                </a:lnTo>
                <a:lnTo>
                  <a:pt x="755307" y="0"/>
                </a:lnTo>
                <a:lnTo>
                  <a:pt x="144005" y="0"/>
                </a:lnTo>
                <a:close/>
              </a:path>
            </a:pathLst>
          </a:custGeom>
          <a:ln w="12699">
            <a:solidFill>
              <a:schemeClr val="tx1"/>
            </a:solidFill>
          </a:ln>
        </xdr:spPr>
      </xdr:sp>
      <xdr:sp macro="" textlink="">
        <xdr:nvSpPr>
          <xdr:cNvPr id="8" name="Shape 14">
            <a:extLst>
              <a:ext uri="{FF2B5EF4-FFF2-40B4-BE49-F238E27FC236}">
                <a16:creationId xmlns:a16="http://schemas.microsoft.com/office/drawing/2014/main" id="{E348B029-ABA2-40EB-A1DF-97BD46B88A1F}"/>
              </a:ext>
            </a:extLst>
          </xdr:cNvPr>
          <xdr:cNvSpPr/>
        </xdr:nvSpPr>
        <xdr:spPr>
          <a:xfrm>
            <a:off x="13646840" y="2360101"/>
            <a:ext cx="1061635" cy="590744"/>
          </a:xfrm>
          <a:custGeom>
            <a:avLst/>
            <a:gdLst/>
            <a:ahLst/>
            <a:cxnLst/>
            <a:rect l="0" t="0" r="0" b="0"/>
            <a:pathLst>
              <a:path w="864235" h="584200">
                <a:moveTo>
                  <a:pt x="144005" y="0"/>
                </a:moveTo>
                <a:lnTo>
                  <a:pt x="98490" y="7340"/>
                </a:lnTo>
                <a:lnTo>
                  <a:pt x="58959" y="27782"/>
                </a:lnTo>
                <a:lnTo>
                  <a:pt x="27785" y="58954"/>
                </a:lnTo>
                <a:lnTo>
                  <a:pt x="7341" y="98485"/>
                </a:lnTo>
                <a:lnTo>
                  <a:pt x="0" y="144005"/>
                </a:lnTo>
                <a:lnTo>
                  <a:pt x="0" y="439597"/>
                </a:lnTo>
                <a:lnTo>
                  <a:pt x="7341" y="485112"/>
                </a:lnTo>
                <a:lnTo>
                  <a:pt x="27785" y="524643"/>
                </a:lnTo>
                <a:lnTo>
                  <a:pt x="58959" y="555817"/>
                </a:lnTo>
                <a:lnTo>
                  <a:pt x="98490" y="576261"/>
                </a:lnTo>
                <a:lnTo>
                  <a:pt x="144005" y="583603"/>
                </a:lnTo>
                <a:lnTo>
                  <a:pt x="720191" y="583603"/>
                </a:lnTo>
                <a:lnTo>
                  <a:pt x="765705" y="576261"/>
                </a:lnTo>
                <a:lnTo>
                  <a:pt x="805232" y="555817"/>
                </a:lnTo>
                <a:lnTo>
                  <a:pt x="836402" y="524643"/>
                </a:lnTo>
                <a:lnTo>
                  <a:pt x="856843" y="485112"/>
                </a:lnTo>
                <a:lnTo>
                  <a:pt x="864184" y="439597"/>
                </a:lnTo>
                <a:lnTo>
                  <a:pt x="864184" y="144005"/>
                </a:lnTo>
                <a:lnTo>
                  <a:pt x="856843" y="98485"/>
                </a:lnTo>
                <a:lnTo>
                  <a:pt x="836402" y="58954"/>
                </a:lnTo>
                <a:lnTo>
                  <a:pt x="805232" y="27782"/>
                </a:lnTo>
                <a:lnTo>
                  <a:pt x="765705" y="7340"/>
                </a:lnTo>
                <a:lnTo>
                  <a:pt x="720191" y="0"/>
                </a:lnTo>
                <a:lnTo>
                  <a:pt x="144005" y="0"/>
                </a:lnTo>
                <a:close/>
              </a:path>
            </a:pathLst>
          </a:custGeom>
          <a:ln w="12700">
            <a:solidFill>
              <a:schemeClr val="tx1"/>
            </a:solidFill>
          </a:ln>
        </xdr:spPr>
      </xdr:sp>
      <xdr:sp macro="" textlink="">
        <xdr:nvSpPr>
          <xdr:cNvPr id="9" name="Shape 16">
            <a:extLst>
              <a:ext uri="{FF2B5EF4-FFF2-40B4-BE49-F238E27FC236}">
                <a16:creationId xmlns:a16="http://schemas.microsoft.com/office/drawing/2014/main" id="{B876ED07-CDAE-49AA-9C4E-F71D505CDB7A}"/>
              </a:ext>
            </a:extLst>
          </xdr:cNvPr>
          <xdr:cNvSpPr/>
        </xdr:nvSpPr>
        <xdr:spPr>
          <a:xfrm>
            <a:off x="14718290" y="2360101"/>
            <a:ext cx="1102197" cy="590744"/>
          </a:xfrm>
          <a:custGeom>
            <a:avLst/>
            <a:gdLst/>
            <a:ahLst/>
            <a:cxnLst/>
            <a:rect l="0" t="0" r="0" b="0"/>
            <a:pathLst>
              <a:path w="897255" h="584200">
                <a:moveTo>
                  <a:pt x="144005" y="0"/>
                </a:moveTo>
                <a:lnTo>
                  <a:pt x="98490" y="7340"/>
                </a:lnTo>
                <a:lnTo>
                  <a:pt x="58959" y="27782"/>
                </a:lnTo>
                <a:lnTo>
                  <a:pt x="27785" y="58954"/>
                </a:lnTo>
                <a:lnTo>
                  <a:pt x="7341" y="98485"/>
                </a:lnTo>
                <a:lnTo>
                  <a:pt x="0" y="144005"/>
                </a:lnTo>
                <a:lnTo>
                  <a:pt x="0" y="439597"/>
                </a:lnTo>
                <a:lnTo>
                  <a:pt x="7341" y="485112"/>
                </a:lnTo>
                <a:lnTo>
                  <a:pt x="27785" y="524643"/>
                </a:lnTo>
                <a:lnTo>
                  <a:pt x="58959" y="555817"/>
                </a:lnTo>
                <a:lnTo>
                  <a:pt x="98490" y="576261"/>
                </a:lnTo>
                <a:lnTo>
                  <a:pt x="144005" y="583603"/>
                </a:lnTo>
                <a:lnTo>
                  <a:pt x="753236" y="583603"/>
                </a:lnTo>
                <a:lnTo>
                  <a:pt x="798750" y="576261"/>
                </a:lnTo>
                <a:lnTo>
                  <a:pt x="838278" y="555817"/>
                </a:lnTo>
                <a:lnTo>
                  <a:pt x="869448" y="524643"/>
                </a:lnTo>
                <a:lnTo>
                  <a:pt x="889888" y="485112"/>
                </a:lnTo>
                <a:lnTo>
                  <a:pt x="897229" y="439597"/>
                </a:lnTo>
                <a:lnTo>
                  <a:pt x="897229" y="144005"/>
                </a:lnTo>
                <a:lnTo>
                  <a:pt x="889888" y="98485"/>
                </a:lnTo>
                <a:lnTo>
                  <a:pt x="869448" y="58954"/>
                </a:lnTo>
                <a:lnTo>
                  <a:pt x="838278" y="27782"/>
                </a:lnTo>
                <a:lnTo>
                  <a:pt x="798750" y="7340"/>
                </a:lnTo>
                <a:lnTo>
                  <a:pt x="753236" y="0"/>
                </a:lnTo>
                <a:lnTo>
                  <a:pt x="144005" y="0"/>
                </a:lnTo>
                <a:close/>
              </a:path>
            </a:pathLst>
          </a:custGeom>
          <a:ln w="12700">
            <a:solidFill>
              <a:schemeClr val="tx1"/>
            </a:solidFill>
          </a:ln>
        </xdr:spPr>
      </xdr:sp>
      <xdr:sp macro="" textlink="">
        <xdr:nvSpPr>
          <xdr:cNvPr id="10" name="Shape 6">
            <a:extLst>
              <a:ext uri="{FF2B5EF4-FFF2-40B4-BE49-F238E27FC236}">
                <a16:creationId xmlns:a16="http://schemas.microsoft.com/office/drawing/2014/main" id="{4CD65139-3E7B-41AA-8D7D-56A75DD41D92}"/>
              </a:ext>
            </a:extLst>
          </xdr:cNvPr>
          <xdr:cNvSpPr/>
        </xdr:nvSpPr>
        <xdr:spPr>
          <a:xfrm>
            <a:off x="10114585" y="2360101"/>
            <a:ext cx="1144296" cy="590744"/>
          </a:xfrm>
          <a:custGeom>
            <a:avLst/>
            <a:gdLst/>
            <a:ahLst/>
            <a:cxnLst/>
            <a:rect l="0" t="0" r="0" b="0"/>
            <a:pathLst>
              <a:path w="1057910" h="584200">
                <a:moveTo>
                  <a:pt x="144005" y="0"/>
                </a:moveTo>
                <a:lnTo>
                  <a:pt x="98490" y="7340"/>
                </a:lnTo>
                <a:lnTo>
                  <a:pt x="58959" y="27782"/>
                </a:lnTo>
                <a:lnTo>
                  <a:pt x="27785" y="58954"/>
                </a:lnTo>
                <a:lnTo>
                  <a:pt x="7341" y="98485"/>
                </a:lnTo>
                <a:lnTo>
                  <a:pt x="0" y="144005"/>
                </a:lnTo>
                <a:lnTo>
                  <a:pt x="0" y="439597"/>
                </a:lnTo>
                <a:lnTo>
                  <a:pt x="7341" y="485112"/>
                </a:lnTo>
                <a:lnTo>
                  <a:pt x="27785" y="524643"/>
                </a:lnTo>
                <a:lnTo>
                  <a:pt x="58959" y="555817"/>
                </a:lnTo>
                <a:lnTo>
                  <a:pt x="98490" y="576261"/>
                </a:lnTo>
                <a:lnTo>
                  <a:pt x="144005" y="583603"/>
                </a:lnTo>
                <a:lnTo>
                  <a:pt x="913358" y="583603"/>
                </a:lnTo>
                <a:lnTo>
                  <a:pt x="958872" y="576261"/>
                </a:lnTo>
                <a:lnTo>
                  <a:pt x="998399" y="555817"/>
                </a:lnTo>
                <a:lnTo>
                  <a:pt x="1029569" y="524643"/>
                </a:lnTo>
                <a:lnTo>
                  <a:pt x="1050010" y="485112"/>
                </a:lnTo>
                <a:lnTo>
                  <a:pt x="1057351" y="439597"/>
                </a:lnTo>
                <a:lnTo>
                  <a:pt x="1057351" y="144005"/>
                </a:lnTo>
                <a:lnTo>
                  <a:pt x="1050010" y="98485"/>
                </a:lnTo>
                <a:lnTo>
                  <a:pt x="1029569" y="58954"/>
                </a:lnTo>
                <a:lnTo>
                  <a:pt x="998399" y="27782"/>
                </a:lnTo>
                <a:lnTo>
                  <a:pt x="958872" y="7340"/>
                </a:lnTo>
                <a:lnTo>
                  <a:pt x="913358" y="0"/>
                </a:lnTo>
                <a:lnTo>
                  <a:pt x="144005" y="0"/>
                </a:lnTo>
                <a:close/>
              </a:path>
            </a:pathLst>
          </a:custGeom>
          <a:ln w="12700">
            <a:solidFill>
              <a:schemeClr val="tx1"/>
            </a:solidFill>
          </a:ln>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137160</xdr:colOff>
      <xdr:row>0</xdr:row>
      <xdr:rowOff>167640</xdr:rowOff>
    </xdr:from>
    <xdr:to>
      <xdr:col>6</xdr:col>
      <xdr:colOff>398145</xdr:colOff>
      <xdr:row>3</xdr:row>
      <xdr:rowOff>134709</xdr:rowOff>
    </xdr:to>
    <xdr:pic>
      <xdr:nvPicPr>
        <xdr:cNvPr id="2" name="Picture 1">
          <a:extLst>
            <a:ext uri="{FF2B5EF4-FFF2-40B4-BE49-F238E27FC236}">
              <a16:creationId xmlns:a16="http://schemas.microsoft.com/office/drawing/2014/main" id="{249BB806-A9E4-4FFB-AB94-4F02BDC6A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035" y="167640"/>
          <a:ext cx="3007995" cy="5423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EED20818-9371-49F4-8051-C6AC0FEA9239}"/>
            </a:ext>
          </a:extLst>
        </xdr:cNvPr>
        <xdr:cNvCxnSpPr/>
      </xdr:nvCxnSpPr>
      <xdr:spPr>
        <a:xfrm>
          <a:off x="190500" y="3505200"/>
          <a:ext cx="4886325" cy="2286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C5AA3324-D857-42EB-A2B5-84CF5BD2E890}"/>
            </a:ext>
          </a:extLst>
        </xdr:cNvPr>
        <xdr:cNvSpPr/>
      </xdr:nvSpPr>
      <xdr:spPr>
        <a:xfrm>
          <a:off x="30480" y="571500"/>
          <a:ext cx="535305" cy="55626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A3356541-0A39-4EA8-AE6C-C53DD3147ECD}"/>
            </a:ext>
          </a:extLst>
        </xdr:cNvPr>
        <xdr:cNvSpPr/>
      </xdr:nvSpPr>
      <xdr:spPr>
        <a:xfrm>
          <a:off x="1685925" y="571500"/>
          <a:ext cx="533400" cy="55626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123D9EFC-F7BA-4776-9D95-D4483E7D5FA0}"/>
            </a:ext>
          </a:extLst>
        </xdr:cNvPr>
        <xdr:cNvSpPr/>
      </xdr:nvSpPr>
      <xdr:spPr>
        <a:xfrm>
          <a:off x="3333750" y="571500"/>
          <a:ext cx="523875" cy="55626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38C13F16-5F04-4629-AA42-11A03B20A556}"/>
            </a:ext>
          </a:extLst>
        </xdr:cNvPr>
        <xdr:cNvSpPr/>
      </xdr:nvSpPr>
      <xdr:spPr>
        <a:xfrm>
          <a:off x="5086350" y="571500"/>
          <a:ext cx="533400" cy="55626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A73387E3-24E8-4290-9C61-9D7333F0F777}"/>
            </a:ext>
          </a:extLst>
        </xdr:cNvPr>
        <xdr:cNvSpPr/>
      </xdr:nvSpPr>
      <xdr:spPr>
        <a:xfrm>
          <a:off x="6772275" y="571500"/>
          <a:ext cx="441960" cy="55626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30</xdr:row>
      <xdr:rowOff>75799</xdr:rowOff>
    </xdr:from>
    <xdr:to>
      <xdr:col>1</xdr:col>
      <xdr:colOff>458002</xdr:colOff>
      <xdr:row>32</xdr:row>
      <xdr:rowOff>171851</xdr:rowOff>
    </xdr:to>
    <xdr:pic>
      <xdr:nvPicPr>
        <xdr:cNvPr id="8" name="Graphic 7" descr="Box trolley">
          <a:extLst>
            <a:ext uri="{FF2B5EF4-FFF2-40B4-BE49-F238E27FC236}">
              <a16:creationId xmlns:a16="http://schemas.microsoft.com/office/drawing/2014/main" id="{1529949E-D8FF-444E-ABCA-0A3D7FA36AD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00025" y="4447774"/>
          <a:ext cx="458002" cy="473242"/>
        </a:xfrm>
        <a:prstGeom prst="rect">
          <a:avLst/>
        </a:prstGeom>
      </xdr:spPr>
    </xdr:pic>
    <xdr:clientData/>
  </xdr:twoCellAnchor>
  <xdr:twoCellAnchor editAs="oneCell">
    <xdr:from>
      <xdr:col>1</xdr:col>
      <xdr:colOff>0</xdr:colOff>
      <xdr:row>38</xdr:row>
      <xdr:rowOff>99060</xdr:rowOff>
    </xdr:from>
    <xdr:to>
      <xdr:col>1</xdr:col>
      <xdr:colOff>476250</xdr:colOff>
      <xdr:row>40</xdr:row>
      <xdr:rowOff>91440</xdr:rowOff>
    </xdr:to>
    <xdr:pic>
      <xdr:nvPicPr>
        <xdr:cNvPr id="9" name="Graphic 8" descr="Information">
          <a:extLst>
            <a:ext uri="{FF2B5EF4-FFF2-40B4-BE49-F238E27FC236}">
              <a16:creationId xmlns:a16="http://schemas.microsoft.com/office/drawing/2014/main" id="{BE06BA88-A627-4D73-A532-02D7B484DDA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0025" y="5594985"/>
          <a:ext cx="480060" cy="480060"/>
        </a:xfrm>
        <a:prstGeom prst="rect">
          <a:avLst/>
        </a:prstGeom>
      </xdr:spPr>
    </xdr:pic>
    <xdr:clientData/>
  </xdr:twoCellAnchor>
  <xdr:twoCellAnchor editAs="oneCell">
    <xdr:from>
      <xdr:col>1</xdr:col>
      <xdr:colOff>0</xdr:colOff>
      <xdr:row>35</xdr:row>
      <xdr:rowOff>0</xdr:rowOff>
    </xdr:from>
    <xdr:to>
      <xdr:col>1</xdr:col>
      <xdr:colOff>472440</xdr:colOff>
      <xdr:row>37</xdr:row>
      <xdr:rowOff>17145</xdr:rowOff>
    </xdr:to>
    <xdr:pic>
      <xdr:nvPicPr>
        <xdr:cNvPr id="10" name="Graphic 9" descr="Hammer">
          <a:extLst>
            <a:ext uri="{FF2B5EF4-FFF2-40B4-BE49-F238E27FC236}">
              <a16:creationId xmlns:a16="http://schemas.microsoft.com/office/drawing/2014/main" id="{B5827B78-AE8A-43B8-A055-C37DE90F39B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00025" y="5000625"/>
          <a:ext cx="464820" cy="4591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154305</xdr:colOff>
      <xdr:row>3</xdr:row>
      <xdr:rowOff>148590</xdr:rowOff>
    </xdr:to>
    <xdr:pic>
      <xdr:nvPicPr>
        <xdr:cNvPr id="2" name="Picture 1">
          <a:extLst>
            <a:ext uri="{FF2B5EF4-FFF2-40B4-BE49-F238E27FC236}">
              <a16:creationId xmlns:a16="http://schemas.microsoft.com/office/drawing/2014/main" id="{D9A8D07C-344C-49F2-A4AA-F553C8A61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86450" y="104775"/>
          <a:ext cx="2945130" cy="605790"/>
        </a:xfrm>
        <a:prstGeom prst="rect">
          <a:avLst/>
        </a:prstGeom>
        <a:solidFill>
          <a:schemeClr val="bg1"/>
        </a:solidFill>
        <a:effectLst>
          <a:outerShdw blurRad="50800" dist="38100" dir="2700000" algn="tl" rotWithShape="0">
            <a:prstClr val="black">
              <a:alpha val="57000"/>
            </a:prst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65A88DD6-155C-4F94-970C-F20D0BF4AD22}"/>
            </a:ext>
          </a:extLst>
        </xdr:cNvPr>
        <xdr:cNvCxnSpPr/>
      </xdr:nvCxnSpPr>
      <xdr:spPr>
        <a:xfrm>
          <a:off x="190500" y="3381375"/>
          <a:ext cx="5057775" cy="1905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D92E2E91-9E8A-4EA9-9ACF-CF2E8EEE1C3A}"/>
            </a:ext>
          </a:extLst>
        </xdr:cNvPr>
        <xdr:cNvSpPr/>
      </xdr:nvSpPr>
      <xdr:spPr>
        <a:xfrm>
          <a:off x="28575" y="542925"/>
          <a:ext cx="542925" cy="53340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48F3E97D-7231-4E9E-A89D-2414EB2C0E58}"/>
            </a:ext>
          </a:extLst>
        </xdr:cNvPr>
        <xdr:cNvSpPr/>
      </xdr:nvSpPr>
      <xdr:spPr>
        <a:xfrm>
          <a:off x="1762125" y="542925"/>
          <a:ext cx="542925" cy="53340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D73A5246-706A-4350-B7FB-7CBE69655104}"/>
            </a:ext>
          </a:extLst>
        </xdr:cNvPr>
        <xdr:cNvSpPr/>
      </xdr:nvSpPr>
      <xdr:spPr>
        <a:xfrm>
          <a:off x="3457575" y="542925"/>
          <a:ext cx="542925" cy="53340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503A521C-CE8A-43A3-BFD9-1D05C10DED01}"/>
            </a:ext>
          </a:extLst>
        </xdr:cNvPr>
        <xdr:cNvSpPr/>
      </xdr:nvSpPr>
      <xdr:spPr>
        <a:xfrm>
          <a:off x="5267325" y="542925"/>
          <a:ext cx="542925" cy="53340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47C95248-70E3-4471-AD9E-1A3BFBAB9153}"/>
            </a:ext>
          </a:extLst>
        </xdr:cNvPr>
        <xdr:cNvSpPr/>
      </xdr:nvSpPr>
      <xdr:spPr>
        <a:xfrm>
          <a:off x="7000875" y="542925"/>
          <a:ext cx="428625" cy="53340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120015</xdr:colOff>
      <xdr:row>22</xdr:row>
      <xdr:rowOff>79609</xdr:rowOff>
    </xdr:from>
    <xdr:to>
      <xdr:col>1</xdr:col>
      <xdr:colOff>587542</xdr:colOff>
      <xdr:row>25</xdr:row>
      <xdr:rowOff>168041</xdr:rowOff>
    </xdr:to>
    <xdr:pic>
      <xdr:nvPicPr>
        <xdr:cNvPr id="8" name="Graphic 7" descr="Box trolley">
          <a:extLst>
            <a:ext uri="{FF2B5EF4-FFF2-40B4-BE49-F238E27FC236}">
              <a16:creationId xmlns:a16="http://schemas.microsoft.com/office/drawing/2014/main" id="{CA89B23E-00CF-408C-8DC9-4F69CB5C984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9565" y="3594334"/>
          <a:ext cx="458002" cy="459907"/>
        </a:xfrm>
        <a:prstGeom prst="rect">
          <a:avLst/>
        </a:prstGeom>
      </xdr:spPr>
    </xdr:pic>
    <xdr:clientData/>
  </xdr:twoCellAnchor>
  <xdr:twoCellAnchor editAs="oneCell">
    <xdr:from>
      <xdr:col>1</xdr:col>
      <xdr:colOff>0</xdr:colOff>
      <xdr:row>38</xdr:row>
      <xdr:rowOff>99060</xdr:rowOff>
    </xdr:from>
    <xdr:to>
      <xdr:col>1</xdr:col>
      <xdr:colOff>476250</xdr:colOff>
      <xdr:row>40</xdr:row>
      <xdr:rowOff>91440</xdr:rowOff>
    </xdr:to>
    <xdr:pic>
      <xdr:nvPicPr>
        <xdr:cNvPr id="9" name="Graphic 8" descr="Information">
          <a:extLst>
            <a:ext uri="{FF2B5EF4-FFF2-40B4-BE49-F238E27FC236}">
              <a16:creationId xmlns:a16="http://schemas.microsoft.com/office/drawing/2014/main" id="{2F48BC26-1B09-4FA0-8016-717B1B121A5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9550" y="5400675"/>
          <a:ext cx="472440" cy="495300"/>
        </a:xfrm>
        <a:prstGeom prst="rect">
          <a:avLst/>
        </a:prstGeom>
      </xdr:spPr>
    </xdr:pic>
    <xdr:clientData/>
  </xdr:twoCellAnchor>
  <xdr:twoCellAnchor editAs="oneCell">
    <xdr:from>
      <xdr:col>1</xdr:col>
      <xdr:colOff>104775</xdr:colOff>
      <xdr:row>30</xdr:row>
      <xdr:rowOff>0</xdr:rowOff>
    </xdr:from>
    <xdr:to>
      <xdr:col>1</xdr:col>
      <xdr:colOff>590550</xdr:colOff>
      <xdr:row>32</xdr:row>
      <xdr:rowOff>95250</xdr:rowOff>
    </xdr:to>
    <xdr:pic>
      <xdr:nvPicPr>
        <xdr:cNvPr id="10" name="Graphic 9" descr="Hammer">
          <a:extLst>
            <a:ext uri="{FF2B5EF4-FFF2-40B4-BE49-F238E27FC236}">
              <a16:creationId xmlns:a16="http://schemas.microsoft.com/office/drawing/2014/main" id="{CC3A5F00-A0F5-406A-BA18-923DF67302A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314325" y="4210050"/>
          <a:ext cx="472440" cy="453390"/>
        </a:xfrm>
        <a:prstGeom prst="rect">
          <a:avLst/>
        </a:prstGeom>
      </xdr:spPr>
    </xdr:pic>
    <xdr:clientData/>
  </xdr:twoCellAnchor>
  <xdr:twoCellAnchor editAs="oneCell">
    <xdr:from>
      <xdr:col>1</xdr:col>
      <xdr:colOff>34290</xdr:colOff>
      <xdr:row>35</xdr:row>
      <xdr:rowOff>15240</xdr:rowOff>
    </xdr:from>
    <xdr:to>
      <xdr:col>1</xdr:col>
      <xdr:colOff>441391</xdr:colOff>
      <xdr:row>37</xdr:row>
      <xdr:rowOff>0</xdr:rowOff>
    </xdr:to>
    <xdr:pic>
      <xdr:nvPicPr>
        <xdr:cNvPr id="12" name="Picture 11" descr="Window Shutter Icon - Download in Line Style">
          <a:extLst>
            <a:ext uri="{FF2B5EF4-FFF2-40B4-BE49-F238E27FC236}">
              <a16:creationId xmlns:a16="http://schemas.microsoft.com/office/drawing/2014/main" id="{8705B742-1F6C-3CF4-FA89-19704F7A70FD}"/>
            </a:ext>
          </a:extLst>
        </xdr:cNvPr>
        <xdr:cNvPicPr>
          <a:picLocks noChangeAspect="1" noChangeArrowheads="1"/>
        </xdr:cNvPicPr>
      </xdr:nvPicPr>
      <xdr:blipFill>
        <a:blip xmlns:r="http://schemas.openxmlformats.org/officeDocument/2006/relationships" r:embed="rId12" cstate="print">
          <a:duotone>
            <a:schemeClr val="accent4">
              <a:shade val="45000"/>
              <a:satMod val="135000"/>
            </a:schemeClr>
            <a:prstClr val="white"/>
          </a:duotone>
          <a:extLst>
            <a:ext uri="{BEBA8EAE-BF5A-486C-A8C5-ECC9F3942E4B}">
              <a14:imgProps xmlns:a14="http://schemas.microsoft.com/office/drawing/2010/main">
                <a14:imgLayer r:embed="rId13">
                  <a14:imgEffect>
                    <a14:colorTemperature colorTemp="11200"/>
                  </a14:imgEffect>
                </a14:imgLayer>
              </a14:imgProps>
            </a:ext>
            <a:ext uri="{28A0092B-C50C-407E-A947-70E740481C1C}">
              <a14:useLocalDpi xmlns:a14="http://schemas.microsoft.com/office/drawing/2010/main" val="0"/>
            </a:ext>
          </a:extLst>
        </a:blip>
        <a:srcRect/>
        <a:stretch>
          <a:fillRect/>
        </a:stretch>
      </xdr:blipFill>
      <xdr:spPr bwMode="auto">
        <a:xfrm>
          <a:off x="243840" y="4825365"/>
          <a:ext cx="403291"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park/AppData/Local/Temp/Helen_12345.xlsx" TargetMode="External" /></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Projects/Shared%20Documents/Generator/Customer%20File%20Generator%202.0N%20-%20Do%20Not%20Use.xlsm" TargetMode="External" /></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Perfect%20Shutters%20Work/Survey%20Sheet%20-%20Sales%207a.xlsx"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Pro Quote"/>
      <sheetName val="Technical"/>
      <sheetName val="Original Pricing"/>
      <sheetName val="Survey Front"/>
      <sheetName val="Drawing"/>
      <sheetName val="Matrix2"/>
      <sheetName val="Data"/>
      <sheetName val="CS2"/>
      <sheetName val="Job Sheet"/>
      <sheetName val="Matrix"/>
      <sheetName val="Antigua"/>
      <sheetName val="Bermuda"/>
      <sheetName val="Cuba"/>
      <sheetName val="Java"/>
      <sheetName val="Fiji"/>
      <sheetName val="Samoa"/>
      <sheetName val="Helen_1234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Front End"/>
      <sheetName val="Pricing"/>
      <sheetName val="Survey Front"/>
      <sheetName val="Drawing"/>
      <sheetName val="Pro Quote"/>
      <sheetName val="Matrix2"/>
      <sheetName val="Data"/>
      <sheetName val="CS2"/>
      <sheetName val="Matrix"/>
      <sheetName val="Blinds Survey"/>
      <sheetName val="Delivery Note"/>
      <sheetName val="Delivery Note 2"/>
      <sheetName val="EDR"/>
      <sheetName val="EDR_2"/>
      <sheetName val="Blinds Delivery Note"/>
      <sheetName val="Jobs List"/>
      <sheetName val="Survey Jobs"/>
      <sheetName val="Install Jobs"/>
      <sheetName val="Pricecheck"/>
      <sheetName val="Technical"/>
      <sheetName val="Antigua"/>
      <sheetName val="Bermuda"/>
      <sheetName val="Cuba"/>
      <sheetName val="Java"/>
      <sheetName val="Fiji"/>
      <sheetName val="Samoa"/>
      <sheetName val="Customer File Generator 2"/>
      <sheetName val="Customers"/>
      <sheetName val="Install (2)"/>
    </sheetNames>
    <sheetDataSet>
      <sheetData sheetId="0"/>
      <sheetData sheetId="1"/>
      <sheetData sheetId="2"/>
      <sheetData sheetId="3"/>
      <sheetData sheetId="4"/>
      <sheetData sheetId="5"/>
      <sheetData sheetId="6">
        <row r="2">
          <cell r="A2" t="str">
            <v>Living room</v>
          </cell>
        </row>
        <row r="3">
          <cell r="A3" t="str">
            <v>Dining room</v>
          </cell>
        </row>
        <row r="4">
          <cell r="A4" t="str">
            <v>Kitchen</v>
          </cell>
        </row>
        <row r="5">
          <cell r="A5" t="str">
            <v>Hall</v>
          </cell>
        </row>
        <row r="6">
          <cell r="A6" t="str">
            <v>Bedroom</v>
          </cell>
        </row>
        <row r="7">
          <cell r="A7" t="str">
            <v>Bathroom</v>
          </cell>
        </row>
        <row r="8">
          <cell r="A8" t="str">
            <v>Conservatory</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Survey Front"/>
      <sheetName val="Drawing"/>
      <sheetName val="Technical"/>
      <sheetName val="Data"/>
      <sheetName val="Matrix2"/>
      <sheetName val="Pro Quote"/>
      <sheetName val="CS2"/>
      <sheetName val="Matrix"/>
      <sheetName val="Front Sheet"/>
      <sheetName val="Antigua"/>
      <sheetName val="Cuba"/>
      <sheetName val="Java"/>
      <sheetName val="Fiji"/>
      <sheetName val="Bermuda"/>
      <sheetName val="Samoa"/>
      <sheetName val="Survey Sheet - Sales 7a"/>
    </sheetNames>
    <sheetDataSet>
      <sheetData sheetId="0" refreshError="1"/>
      <sheetData sheetId="1" refreshError="1"/>
      <sheetData sheetId="2" refreshError="1"/>
      <sheetData sheetId="3" refreshError="1"/>
      <sheetData sheetId="4">
        <row r="2">
          <cell r="A2" t="str">
            <v>Living room</v>
          </cell>
          <cell r="B2" t="str">
            <v>Front</v>
          </cell>
          <cell r="C2" t="str">
            <v>Full Height</v>
          </cell>
          <cell r="D2" t="str">
            <v>Antigua</v>
          </cell>
        </row>
        <row r="3">
          <cell r="A3" t="str">
            <v>Dining room</v>
          </cell>
          <cell r="B3" t="str">
            <v>Back</v>
          </cell>
          <cell r="C3" t="str">
            <v>Café</v>
          </cell>
          <cell r="D3" t="str">
            <v>Bermuda</v>
          </cell>
        </row>
        <row r="4">
          <cell r="A4" t="str">
            <v>Kitchen</v>
          </cell>
          <cell r="B4" t="str">
            <v>Bay</v>
          </cell>
          <cell r="C4" t="str">
            <v>Tier on Tier</v>
          </cell>
          <cell r="D4" t="str">
            <v>Cuba</v>
          </cell>
        </row>
        <row r="5">
          <cell r="A5" t="str">
            <v>Hall</v>
          </cell>
          <cell r="B5" t="str">
            <v>Front Left</v>
          </cell>
          <cell r="C5" t="str">
            <v>Shape</v>
          </cell>
          <cell r="D5" t="str">
            <v>Java</v>
          </cell>
        </row>
        <row r="6">
          <cell r="A6" t="str">
            <v>Bedroom</v>
          </cell>
          <cell r="B6" t="str">
            <v>Front Right</v>
          </cell>
          <cell r="C6" t="str">
            <v>Tracked</v>
          </cell>
          <cell r="D6" t="str">
            <v>Fiji</v>
          </cell>
        </row>
        <row r="7">
          <cell r="A7" t="str">
            <v>Bathroom</v>
          </cell>
          <cell r="B7" t="str">
            <v>Front Centre</v>
          </cell>
          <cell r="C7" t="str">
            <v>S/Shade</v>
          </cell>
          <cell r="D7" t="str">
            <v>Samoa</v>
          </cell>
        </row>
        <row r="8">
          <cell r="A8" t="str">
            <v>Conservatory</v>
          </cell>
          <cell r="B8" t="str">
            <v>Back Left</v>
          </cell>
        </row>
        <row r="9">
          <cell r="B9" t="str">
            <v>Back Right</v>
          </cell>
        </row>
        <row r="10">
          <cell r="B10" t="str">
            <v>Back Centre</v>
          </cell>
        </row>
        <row r="11">
          <cell r="B11">
            <v>1</v>
          </cell>
        </row>
        <row r="12">
          <cell r="B12">
            <v>2</v>
          </cell>
        </row>
        <row r="13">
          <cell r="B13">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C8BC5F-8181-47EB-8FDA-143B5EE52200}" name="Table1" displayName="Table1" ref="A1:L56" totalsRowShown="0">
  <tableColumns count="12">
    <tableColumn id="1" xr3:uid="{0467B056-04C6-4214-82F2-B13416E60EA1}" name="Rooms"/>
    <tableColumn id="2" xr3:uid="{E5CE359A-C422-49BF-B6BC-909CF2EBDACD}" name="Room2"/>
    <tableColumn id="3" xr3:uid="{881FBE55-3366-4A68-ACCC-2ED5AE329386}" name="Type"/>
    <tableColumn id="4" xr3:uid="{3E79F933-26FE-44E0-9488-84469B2F0550}" name="Material"/>
    <tableColumn id="5" xr3:uid="{F51773FE-E48B-407F-B781-BC96BC2E4CDC}" name="Antigua"/>
    <tableColumn id="6" xr3:uid="{32390793-A989-428A-BEAD-8321C046E431}" name="Cuba"/>
    <tableColumn id="7" xr3:uid="{C144F47E-4E4A-4DD9-A38B-0EBB45BBFB62}" name="Java"/>
    <tableColumn id="8" xr3:uid="{7879953A-3CE2-4F3E-B2A6-42D4F84BDABF}" name="Fiji"/>
    <tableColumn id="9" xr3:uid="{AE6320C9-92E3-4FB5-BD9D-A10B8BB88643}" name="Bermuda"/>
    <tableColumn id="10" xr3:uid="{6E5386A4-DDCD-4FF1-9699-344833C6FE6C}" name="Samoa"/>
    <tableColumn id="11" xr3:uid="{956CBF0E-C155-4288-A9FD-19FFC7A0ED47}" name="Hampton"/>
    <tableColumn id="12" xr3:uid="{74C92ECD-63D9-4558-B341-A6BB737B67CD}" name="Arub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4AC4C75-9DA8-4CC7-90FF-E2A4D1954E5D}" name="Table16" displayName="Table16" ref="N11:N18" totalsRowShown="0">
  <autoFilter ref="N11:N18" xr:uid="{74E5C612-764E-4DC6-9D04-7DCBC5698AAE}"/>
  <tableColumns count="1">
    <tableColumn id="1" xr3:uid="{B8312957-B9D0-48B6-A462-6E191EFA72EE}" name="Side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B9B5D75-8A0E-4659-9397-D8D5D2E70FCD}" name="Table17" displayName="Table17" ref="P11:P18" totalsRowShown="0">
  <autoFilter ref="P11:P18" xr:uid="{20C9329E-28EC-434F-805B-CB0BFD313650}"/>
  <tableColumns count="1">
    <tableColumn id="1" xr3:uid="{55DFA0C9-67FF-42DC-91D5-DFE0448ABF12}" name="Surveyors"/>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74AD772-659E-429C-9809-D5261F22B87F}" name="Table18" displayName="Table18" ref="AA9:AA15" totalsRowShown="0">
  <autoFilter ref="AA9:AA15" xr:uid="{ED332332-2A01-41B4-896C-01BBA7B71608}"/>
  <tableColumns count="1">
    <tableColumn id="1" xr3:uid="{11084892-7F1C-40C6-988B-E3EA0ADE1532}" name="Discount Reaso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86633B-C11C-4502-B378-898910503672}" name="Table19" displayName="Table19" ref="X8:Y13" totalsRowShown="0">
  <autoFilter ref="X8:Y13" xr:uid="{AA1760FB-2A28-4D5B-99A9-142498CB11BA}"/>
  <tableColumns count="2">
    <tableColumn id="1" xr3:uid="{DBA4DEAC-EFF3-4F87-8252-03077585AA26}" name="Tframes"/>
    <tableColumn id="2" xr3:uid="{C89343A7-D475-47D2-8DAE-5B07F7E53042}" name="Column1"/>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A171E2-52DE-456C-BFEA-9502746DB8CB}" name="Table20" displayName="Table20" ref="AD8:AD16" totalsRowShown="0">
  <autoFilter ref="AD8:AD16" xr:uid="{C695E39D-118A-4D39-A50F-9D12D6A95394}"/>
  <sortState xmlns:xlrd2="http://schemas.microsoft.com/office/spreadsheetml/2017/richdata2" ref="AD9:AD16">
    <sortCondition ref="AD9:AD16"/>
  </sortState>
  <tableColumns count="1">
    <tableColumn id="1" xr3:uid="{876D70D5-35DA-4A55-BA7E-2ED1293DDFC8}" name="SalesTeam"/>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C98040A-94C0-484B-9567-F9267792F561}" name="Table21" displayName="Table21" ref="T1:T5" totalsRowShown="0">
  <autoFilter ref="T1:T5" xr:uid="{6C98040A-94C0-484B-9567-F9267792F561}"/>
  <tableColumns count="1">
    <tableColumn id="1" xr3:uid="{CFB9E643-5022-44FA-90FC-CF8893338CDF}" name="HamptonL"/>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D30FED54-1D88-4ADC-B4DB-B6A6AB4EDB98}" name="Table22" displayName="Table22" ref="U14:U16" totalsRowShown="0" headerRowDxfId="25" dataDxfId="24">
  <autoFilter ref="U14:U16" xr:uid="{D30FED54-1D88-4ADC-B4DB-B6A6AB4EDB98}"/>
  <tableColumns count="1">
    <tableColumn id="1" xr3:uid="{202DB4A7-B2C0-47EC-9F47-86F839A4F8CB}" name="HamptonStyle" dataDxfId="23"/>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820AC2C-BDE9-447B-A19F-215ED7108F31}" name="Table24" displayName="Table24" ref="U18:V21" totalsRowShown="0" headerRowDxfId="22" dataDxfId="21">
  <autoFilter ref="U18:V21" xr:uid="{D820AC2C-BDE9-447B-A19F-215ED7108F31}"/>
  <tableColumns count="2">
    <tableColumn id="1" xr3:uid="{36F5E48B-D54E-486A-BC22-55582F59DBD9}" name="HamptonTilt" dataDxfId="20"/>
    <tableColumn id="2" xr3:uid="{7EDE84CB-013E-4624-BDED-F1CEC79141D8}" name="ArubaTilt" dataDxfId="19"/>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664C217-9459-4BDA-9E8A-68D4038DA1A8}" name="Table26" displayName="Table26" ref="V7:V12" totalsRowShown="0" tableBorderDxfId="18">
  <autoFilter ref="V7:V12" xr:uid="{5664C217-9459-4BDA-9E8A-68D4038DA1A8}"/>
  <tableColumns count="1">
    <tableColumn id="1" xr3:uid="{A96530D7-9AC5-417F-B7F2-CDE14BA6282D}" name="ArubaF"/>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35CC978-5A3C-4E8E-9779-EF1BA2AADAD2}" name="TDAntigua" displayName="TDAntigua" ref="A1:W6" totalsRowShown="0">
  <autoFilter ref="A1:W6" xr:uid="{9CDCDDB5-2CDC-4277-8AD6-D561B2643E1E}"/>
  <tableColumns count="23">
    <tableColumn id="1" xr3:uid="{9A582BCB-81DD-4899-BA5F-4E9FC6483990}" name="Louvre Size"/>
    <tableColumn id="2" xr3:uid="{EDFEDD74-E6E4-445C-A86F-BC0A6BA70B28}" name="Min Width"/>
    <tableColumn id="3" xr3:uid="{C5895FC9-1B1F-44BF-9076-D4E981D533B8}" name="Max Width Single"/>
    <tableColumn id="4" xr3:uid="{72E5D9CC-2C88-4B74-B5F9-857B8FF3F9AD}" name="Max Width Bfold"/>
    <tableColumn id="5" xr3:uid="{3DE12CA0-36C0-4A5B-85DF-8D4F083F9B38}" name="Max Width Multifold"/>
    <tableColumn id="6" xr3:uid="{58A675D5-3B27-4D23-B2A0-B5B0392AE8B7}" name="Max Width Tracked"/>
    <tableColumn id="7" xr3:uid="{6EF33208-61E2-48BF-A5C2-86B275518F75}" name="Min Height"/>
    <tableColumn id="8" xr3:uid="{32C2C4C7-4F98-4389-AD89-093CD207A3BB}" name="Max Height"/>
    <tableColumn id="9" xr3:uid="{B24C96FE-8366-4087-8A21-251A7B78C168}" name="Midrail Required"/>
    <tableColumn id="10" xr3:uid="{C7472C9A-6C67-4A92-8296-DBF813F332F6}" name="Material"/>
    <tableColumn id="11" xr3:uid="{5F44EBBD-1798-40FD-9E2B-CFF093AF42D6}" name="Max Panels Hinged together"/>
    <tableColumn id="12" xr3:uid="{18D23FEE-00E4-46B0-8613-AF005471D2DB}" name="Solid Panels"/>
    <tableColumn id="13" xr3:uid="{E5ECBB56-AB02-431F-AB81-09921C6F3CBA}" name="Special Shapes"/>
    <tableColumn id="14" xr3:uid="{D0AA8212-2968-438D-AD49-82DA6F9F0C02}" name="Custom Bay Posts"/>
    <tableColumn id="15" xr3:uid="{A75AAFEB-A9CD-468C-8ED0-80449AA1444D}" name="Stile Type"/>
    <tableColumn id="16" xr3:uid="{21CFF6EB-E954-4B1C-A83A-BCCA5557043C}" name="Fixed Luvres"/>
    <tableColumn id="17" xr3:uid="{DA96FA6D-70F6-474E-B055-6DAE8FDDE5DC}" name="Midrail Tollerance" dataDxfId="13">
      <calculatedColumnFormula>+-19</calculatedColumnFormula>
    </tableColumn>
    <tableColumn id="18" xr3:uid="{77D8A195-00FF-4439-9946-565479AD669D}" name="Silent Tilt Split"/>
    <tableColumn id="19" xr3:uid="{434ECBCB-B182-4CD0-A612-BFEBC500C705}" name="Max Louvre Split" dataDxfId="12"/>
    <tableColumn id="20" xr3:uid="{797A09EA-72BE-445D-AE6E-6F7D23F4FEF2}" name="Top Track Only" dataDxfId="11"/>
    <tableColumn id="21" xr3:uid="{E70B8050-E78B-4BCA-9C0C-D96C151D7259}" name="Bifold/Bipass"/>
    <tableColumn id="22" xr3:uid="{F513CD69-4290-414C-95DC-D29F11FA5EE7}" name="Midrail Height"/>
    <tableColumn id="23" xr3:uid="{4D55B8AE-7F44-451A-BA8A-4C8A17A4297D}" name="Column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1FA9E-25BF-4260-A81F-0937A27A1A21}" name="Table2" displayName="Table2" ref="N1:S6" totalsRowShown="0">
  <autoFilter ref="N1:S6" xr:uid="{66D3B7D7-DA00-475B-B6E6-34ED2AB3585B}"/>
  <tableColumns count="6">
    <tableColumn id="1" xr3:uid="{76B02660-3404-4888-9B67-29CD339250A4}" name="AntiguaL"/>
    <tableColumn id="2" xr3:uid="{15123D73-96C4-4EEB-99D0-6EC63045D715}" name="CubaL"/>
    <tableColumn id="3" xr3:uid="{9FD145B6-5B9E-4C8F-8565-EA7D3E04E051}" name="JavaL"/>
    <tableColumn id="4" xr3:uid="{079788BF-CE3E-4DB1-BAC2-AFFC34FCD72D}" name="FijiL"/>
    <tableColumn id="5" xr3:uid="{DA35ECC6-ACDC-4FE8-A097-6E2711DFDD55}" name="BermudaL"/>
    <tableColumn id="6" xr3:uid="{805FB0C8-EF0F-4990-8BE3-4C9C1A19FC4C}" name="ArubaL"/>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78F09C-65F5-4071-9614-43552EEFE626}" name="TDBermuda" displayName="TDBermuda" ref="A1:V6" totalsRowShown="0">
  <autoFilter ref="A1:V6" xr:uid="{9CDCDDB5-2CDC-4277-8AD6-D561B2643E1E}"/>
  <tableColumns count="22">
    <tableColumn id="1" xr3:uid="{637E0E09-3726-4628-AF42-1531801C2F26}" name="Louvre Size"/>
    <tableColumn id="2" xr3:uid="{AF69FA80-DD5B-48AC-AF96-48561DD54F81}" name="Min Width"/>
    <tableColumn id="3" xr3:uid="{50CC656F-D16A-4CFD-8CCC-9B38EDF5A59B}" name="Max Width Single"/>
    <tableColumn id="4" xr3:uid="{AE3BC671-6128-4A6D-B4E1-5858F097E224}" name="Max Width Bfold"/>
    <tableColumn id="5" xr3:uid="{21924546-2D6D-44FC-B37C-96D960337C5E}" name="Max Width Multifold"/>
    <tableColumn id="6" xr3:uid="{668FC512-B8E3-4A83-8913-84F1019005E3}" name="Max Width Tracked"/>
    <tableColumn id="7" xr3:uid="{6E897A20-56E8-4490-9AD4-75F17131AFB2}" name="Min Height"/>
    <tableColumn id="8" xr3:uid="{93AE4EE9-AC78-421E-A618-9A11303D8DDB}" name="Max Height"/>
    <tableColumn id="9" xr3:uid="{C7323E9B-B1F4-4EC3-9449-C4F15CE8F4C0}" name="Midrail Required"/>
    <tableColumn id="10" xr3:uid="{840D3B26-EB9C-4925-9060-FC54551EACAD}" name="Material"/>
    <tableColumn id="11" xr3:uid="{E4E6CEA3-67D9-4896-8902-A5E16A4806D7}" name="Max Panels Hinged together" dataDxfId="10"/>
    <tableColumn id="12" xr3:uid="{3C81F701-53D6-4770-B495-F19621DE22DB}" name="Solid Panels"/>
    <tableColumn id="13" xr3:uid="{AFD9EA99-8926-4E2F-913D-422C921BB374}" name="Special Shapes"/>
    <tableColumn id="14" xr3:uid="{5C56C616-5636-4896-A099-F78BB64B7894}" name="Custom Bay Posts"/>
    <tableColumn id="15" xr3:uid="{A9A79988-D301-4E20-A94E-ECF6D0048B48}" name="Stile Type"/>
    <tableColumn id="16" xr3:uid="{287C488A-7313-4876-9EFC-D3DA63A0B5DC}" name="Fixed Luvres"/>
    <tableColumn id="17" xr3:uid="{B17C7B73-689B-446D-B256-A3AA0729E66C}" name="Midrail Tollerance" dataDxfId="9">
      <calculatedColumnFormula>+-19</calculatedColumnFormula>
    </tableColumn>
    <tableColumn id="18" xr3:uid="{B6652CEF-269B-4B11-96EC-520489589F1D}" name="Silent Tilt Split"/>
    <tableColumn id="19" xr3:uid="{AE644EB8-2141-45BA-8507-4D0F4F00C69F}" name="Max Louvre Split" dataDxfId="8"/>
    <tableColumn id="20" xr3:uid="{9D6454A9-653A-4AD1-B5B3-60E7B382B93A}" name="Top Track Only"/>
    <tableColumn id="21" xr3:uid="{AF8B3B59-1C81-4479-9723-AE2CDA020503}" name="Bifold/Bipass"/>
    <tableColumn id="22" xr3:uid="{C77E77DF-AF80-4394-A8BF-8C4276EC4A25}" name="Midrail Height"/>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F3D0A90-07F3-4827-AE75-8AC6B03320F7}" name="TDCuba" displayName="TDCuba" ref="A1:V6" totalsRowShown="0">
  <autoFilter ref="A1:V6" xr:uid="{9CDCDDB5-2CDC-4277-8AD6-D561B2643E1E}"/>
  <tableColumns count="22">
    <tableColumn id="1" xr3:uid="{C08C5D61-ECB1-482A-940A-5C564DBD096D}" name="Louvre Size"/>
    <tableColumn id="2" xr3:uid="{5F838665-D0E9-45BB-BEC5-488CF0F8D937}" name="Min Width"/>
    <tableColumn id="3" xr3:uid="{741DA079-E6F6-4128-812B-44113F890E2E}" name="Max Width Single"/>
    <tableColumn id="4" xr3:uid="{2406D68F-8C4D-4DE3-B683-C1B929F69D47}" name="Max Width Bfold"/>
    <tableColumn id="5" xr3:uid="{219E179F-8151-404D-A909-47086812752F}" name="Max Width Multifold"/>
    <tableColumn id="6" xr3:uid="{CBF5D19A-658C-42EB-94E5-9A1B16AF0FC8}" name="Max Width Tracked"/>
    <tableColumn id="7" xr3:uid="{66E5670F-B386-430A-ABBC-5F1234D61CC5}" name="Min Height"/>
    <tableColumn id="8" xr3:uid="{CD9C6AC5-4C04-42F8-AC3E-CFC7E6655F66}" name="Max Height"/>
    <tableColumn id="9" xr3:uid="{2B72918A-AD7A-4735-B022-863267AE0B04}" name="Midrail Required"/>
    <tableColumn id="10" xr3:uid="{8DA8E0F8-C2F5-42C1-8E04-2A32F6B957CD}" name="Material"/>
    <tableColumn id="11" xr3:uid="{9A4531EF-90ED-49CE-817B-28BDB9AD498C}" name="Max Panels Hinged together"/>
    <tableColumn id="12" xr3:uid="{EA266167-0907-4A83-A991-BD9F0DA5BE75}" name="Solid Panels"/>
    <tableColumn id="13" xr3:uid="{7DFBF657-98E5-479D-AE2E-B79AD204F64B}" name="Special Shapes"/>
    <tableColumn id="14" xr3:uid="{AABD1F67-1044-4735-80FC-2A77B2AC07EA}" name="Custom Bay Posts"/>
    <tableColumn id="15" xr3:uid="{53129229-28E2-4EAD-B38D-AAC29A960019}" name="Stile Type"/>
    <tableColumn id="16" xr3:uid="{5F48309C-13AF-4434-8AC8-102C644C1692}" name="Fixed Luvres"/>
    <tableColumn id="17" xr3:uid="{0FEA1AE1-F3E7-44E3-B306-E88B4B50B43A}" name="Midrail Tollerance" dataDxfId="7">
      <calculatedColumnFormula>+-19</calculatedColumnFormula>
    </tableColumn>
    <tableColumn id="18" xr3:uid="{6E75B330-76A4-49D5-807D-931DCC52F764}" name="Silent Tilt Split"/>
    <tableColumn id="19" xr3:uid="{52CDBA02-4224-4D4A-A75A-D418706D9372}" name="Max Louvre Split" dataDxfId="6"/>
    <tableColumn id="20" xr3:uid="{54BAAF9E-43AC-4B36-ABE2-8C3280F0E25F}" name="Top Track Only"/>
    <tableColumn id="21" xr3:uid="{948A5249-6AE9-4777-83CA-3034DF6440DF}" name="Bifold/Bipass"/>
    <tableColumn id="22" xr3:uid="{CB7B2309-A299-42DC-BCD4-7FD60D1E6FBB}" name="Midrail Height"/>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63BE0DC-409F-439D-9A07-62CFAD95F66B}" name="TDJava" displayName="TDJava" ref="A1:V6" totalsRowShown="0">
  <autoFilter ref="A1:V6" xr:uid="{9CDCDDB5-2CDC-4277-8AD6-D561B2643E1E}"/>
  <tableColumns count="22">
    <tableColumn id="1" xr3:uid="{B8889D71-2B4E-41A3-966A-DDF510F32D98}" name="Louvre Size"/>
    <tableColumn id="2" xr3:uid="{3FAA369E-BF2D-43A3-8A4B-6D8A89A8BD25}" name="Min Width"/>
    <tableColumn id="3" xr3:uid="{CD4BEC78-A671-49A8-93A6-709FF2868101}" name="Max Width Single"/>
    <tableColumn id="4" xr3:uid="{3B05A771-4ACF-48D8-BE4D-4C0AC89B894B}" name="Max Width Bfold"/>
    <tableColumn id="5" xr3:uid="{47677CAF-5E7C-4CB7-AEC5-FDF9668B7D18}" name="Max Width Multifold"/>
    <tableColumn id="6" xr3:uid="{4A96F0B1-DB35-4E5A-9530-3D740CEB187F}" name="Max Width Tracked"/>
    <tableColumn id="7" xr3:uid="{A6C8D8BB-87AF-4A29-A501-58F52381C7BA}" name="Min Height"/>
    <tableColumn id="8" xr3:uid="{A84EA7F6-5450-4590-9F6F-00E1B5D95810}" name="Max Height"/>
    <tableColumn id="9" xr3:uid="{A6CDC119-23E5-4DA8-A953-36DC4759ED03}" name="Midrail Required"/>
    <tableColumn id="10" xr3:uid="{6E2CF8D9-C74A-4103-ABAF-AEFAE7D73205}" name="Material"/>
    <tableColumn id="11" xr3:uid="{EB0AA6CD-C7C2-4655-8E0D-7F84316816F4}" name="Max Panels Hinged together"/>
    <tableColumn id="12" xr3:uid="{DDD5487C-7485-41E5-B8D3-479E4F353F05}" name="Solid Panels"/>
    <tableColumn id="13" xr3:uid="{B033ACC5-C5BD-4CB2-9ED4-C77CC8CDB162}" name="Special Shapes"/>
    <tableColumn id="14" xr3:uid="{D2D8FBD7-995E-456F-86C7-745471A00BEB}" name="Custom Bay Posts"/>
    <tableColumn id="15" xr3:uid="{8C136552-8B04-41F3-BA1E-C94DF8CB0FBD}" name="Stile Type"/>
    <tableColumn id="16" xr3:uid="{38A6B4D7-8AFE-4F8B-A3EA-2220265A8953}" name="Fixed Luvres"/>
    <tableColumn id="17" xr3:uid="{AB4FC9A0-FFB0-44FB-9FCB-1B13090E6A23}" name="Midrail Tollerance" dataDxfId="5">
      <calculatedColumnFormula>+-19</calculatedColumnFormula>
    </tableColumn>
    <tableColumn id="18" xr3:uid="{C5A4B8A9-1B85-4727-BBD3-11F81EFF2709}" name="Silent Tilt Split"/>
    <tableColumn id="19" xr3:uid="{08A77E8A-32B6-49FD-803E-036213671E19}" name="Max Louvre Split" dataDxfId="4"/>
    <tableColumn id="20" xr3:uid="{3AA6EBC3-7525-42D2-9C76-040555CF1FA8}" name="Top Track Only"/>
    <tableColumn id="21" xr3:uid="{71A114ED-3401-4117-B47B-2C9EBF36F06B}" name="Bifold/Bipass"/>
    <tableColumn id="22" xr3:uid="{65AFCEC6-74EB-44E9-AAB1-AE97EA43907A}" name="Midrail Heigh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1B9BD1C-9B0E-420C-9790-AD24CE0328C3}" name="TDFiji" displayName="TDFiji" ref="A1:W6" totalsRowShown="0">
  <autoFilter ref="A1:W6" xr:uid="{9CDCDDB5-2CDC-4277-8AD6-D561B2643E1E}"/>
  <tableColumns count="23">
    <tableColumn id="1" xr3:uid="{91680C0C-35BE-4DC6-899B-E886DADA96CC}" name="Louvre Size"/>
    <tableColumn id="2" xr3:uid="{671D7397-BD9A-4426-8358-D6DDBF1FA653}" name="Min Width"/>
    <tableColumn id="3" xr3:uid="{BF22F428-DA1A-4535-A7C2-4BE338AE953C}" name="Max Width Single"/>
    <tableColumn id="4" xr3:uid="{911B764A-488F-4FB3-B64E-1C218B757AD9}" name="Max Width Bfold"/>
    <tableColumn id="5" xr3:uid="{D5EA07CC-6CE1-4FF8-8BB0-62CD3DB30737}" name="Max Width Multifold"/>
    <tableColumn id="6" xr3:uid="{C024F824-26EB-43AE-A3FB-7DAC97C7A793}" name="Max Width Tracked"/>
    <tableColumn id="7" xr3:uid="{F7C2E9E4-C271-4303-B0AD-4631A18EF1D8}" name="Min Height"/>
    <tableColumn id="8" xr3:uid="{6BE64C5B-7184-4F2C-8595-CB00F1C3691B}" name="Max Height"/>
    <tableColumn id="9" xr3:uid="{B42CAA59-5DF2-444C-8B03-CF143EF80140}" name="Midrail Required"/>
    <tableColumn id="10" xr3:uid="{77C0B4B9-A9CE-43E1-8514-1B2048689429}" name="Material"/>
    <tableColumn id="11" xr3:uid="{FD104EEF-D79B-4418-AF40-A2233104F17E}" name="Max Panels Hinged together"/>
    <tableColumn id="12" xr3:uid="{F686B32F-58E0-4EF0-8B99-92B003BAA545}" name="Solid Panels"/>
    <tableColumn id="13" xr3:uid="{63400446-3B50-470B-903D-1D1E8C32CD14}" name="Special Shapes"/>
    <tableColumn id="14" xr3:uid="{918C5999-3C14-4E31-94C4-39ECCBC6E5B1}" name="Custom Bay Posts"/>
    <tableColumn id="15" xr3:uid="{4533CEAD-1114-4397-A111-94C456C5F9D1}" name="Stile Type"/>
    <tableColumn id="16" xr3:uid="{10F47199-4887-4879-88EF-14A96D10AEA2}" name="Fixed Luvres"/>
    <tableColumn id="17" xr3:uid="{9B09ADA9-125A-4F1B-94CE-E23DF72B995C}" name="Midrail Tollerance" dataDxfId="3">
      <calculatedColumnFormula>+-19</calculatedColumnFormula>
    </tableColumn>
    <tableColumn id="18" xr3:uid="{87259F97-BB51-47C4-BC96-06DAB0AA3548}" name="Silent Tilt Split"/>
    <tableColumn id="19" xr3:uid="{063804D8-8A5C-4C55-A85C-FE070ADF749C}" name="Max Louvre Split" dataDxfId="2"/>
    <tableColumn id="20" xr3:uid="{886F510E-FCF9-4554-A5EA-1FF26E0A5746}" name="Top Track Only"/>
    <tableColumn id="21" xr3:uid="{3BA37719-9E17-4A91-9A37-BF33FE65C660}" name="Bifold/Bipass"/>
    <tableColumn id="22" xr3:uid="{B79B68F6-4E37-47B7-AFE5-F83C475A8BF0}" name="Midrail Height"/>
    <tableColumn id="23" xr3:uid="{BF9CE285-6768-414E-9134-D0A5D241E801}" name="Skylight"/>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13C912-3B39-4551-881C-14268AF0B90A}" name="TDSamoa" displayName="TDSamoa" ref="A1:V6" totalsRowShown="0">
  <autoFilter ref="A1:V6" xr:uid="{9CDCDDB5-2CDC-4277-8AD6-D561B2643E1E}"/>
  <tableColumns count="22">
    <tableColumn id="1" xr3:uid="{C0CC6E99-00FC-4C0B-AC8E-5E400B6BE43A}" name="Louvre Size"/>
    <tableColumn id="2" xr3:uid="{67439CDC-4B36-498E-BAEB-27B1D8A1991A}" name="Min Width"/>
    <tableColumn id="3" xr3:uid="{262CDE6D-3161-43C5-9F08-7A2B5ADD9DB8}" name="Max Width Single"/>
    <tableColumn id="4" xr3:uid="{32864BFA-3ED3-4A49-A3E4-5DC70DBE2D5A}" name="Max Width Bfold"/>
    <tableColumn id="5" xr3:uid="{5D9B4650-8FC1-403B-9FBA-3BCB9DAE1641}" name="Max Width Multifold"/>
    <tableColumn id="6" xr3:uid="{8771B334-0C5F-494D-8B2B-04FAC048F79C}" name="Max Width Tracked"/>
    <tableColumn id="7" xr3:uid="{9FD703AE-7D9C-412E-B72C-5272650FD1E2}" name="Min Height"/>
    <tableColumn id="8" xr3:uid="{D6319554-006C-4B84-B5F0-2A73260B7513}" name="Max Height"/>
    <tableColumn id="9" xr3:uid="{2CF26522-C846-4884-B425-AEC3119441E3}" name="Midrail Required"/>
    <tableColumn id="10" xr3:uid="{806736B1-2D87-4D1E-96B8-C17850A4518D}" name="Material"/>
    <tableColumn id="11" xr3:uid="{DE8954F2-DF40-42D5-87B2-9C8B9BE11DDD}" name="Max Panels Hinged together"/>
    <tableColumn id="12" xr3:uid="{3FDE708F-BEDE-464A-A1E9-1D64F527D6D2}" name="Solid Panels"/>
    <tableColumn id="13" xr3:uid="{6A2B54C1-E9BA-4F3E-894D-49CEBB71E8B0}" name="Special Shapes"/>
    <tableColumn id="14" xr3:uid="{D9EEE8FB-7F82-4FA0-9E2A-83681307B00E}" name="Custom Bay Posts"/>
    <tableColumn id="15" xr3:uid="{BC9995F9-A7D4-4248-8528-BAE4E2176184}" name="Stile Type"/>
    <tableColumn id="16" xr3:uid="{40B11827-D448-499E-9030-D06CE963AE15}" name="Fixed Luvres"/>
    <tableColumn id="17" xr3:uid="{465E8A41-31AE-4293-9A44-F34FE011469C}" name="Midrail Tollerance" dataDxfId="1">
      <calculatedColumnFormula>+-19</calculatedColumnFormula>
    </tableColumn>
    <tableColumn id="18" xr3:uid="{1A61631B-2881-4E41-9EBB-64A5E93C27BE}" name="Silent Tilt Split"/>
    <tableColumn id="19" xr3:uid="{1410E43D-4546-4490-9778-57419BBAF771}" name="Max Louvre Split" dataDxfId="0"/>
    <tableColumn id="20" xr3:uid="{BE58EE03-FACC-4E72-869D-24D59BE650C3}" name="Top Track Only"/>
    <tableColumn id="21" xr3:uid="{07314558-CED3-483D-9C5E-9CCFB0A695B5}" name="Bifold/Bipass"/>
    <tableColumn id="22" xr3:uid="{8F0B927E-FEB4-476A-A1A1-EEE8233D128B}" name="Midrail Heigh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954F4A3-F055-4777-8AD1-121CB9459275}" name="Table3" displayName="Table3" ref="X1:Y6" totalsRowShown="0">
  <autoFilter ref="X1:Y6" xr:uid="{1996C0BD-1A9B-4A8A-B852-F5B59BC0251D}"/>
  <tableColumns count="2">
    <tableColumn id="1" xr3:uid="{2C36C35C-9028-4D74-A7F9-72AF75595082}" name="Frames"/>
    <tableColumn id="2" xr3:uid="{4E1413B3-EDD5-45F9-A9EA-A7899C797F74}" name="Frame alowan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E81B0-7A95-4066-9EA4-B5654281484E}" name="Table4" displayName="Table4" ref="Z1:Z4" totalsRowShown="0">
  <autoFilter ref="Z1:Z4" xr:uid="{9CAC6946-7F7C-434D-8862-5776184E8009}"/>
  <tableColumns count="1">
    <tableColumn id="1" xr3:uid="{10B500D5-DB67-4303-B525-683858B0AE7B}" name="Styl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41924E-B3BB-475D-892E-2FD610AF289A}" name="Table5" displayName="Table5" ref="AB1:AB10" totalsRowShown="0">
  <autoFilter ref="AB1:AB10" xr:uid="{072A3437-19AA-4168-83E0-A915652936DD}"/>
  <tableColumns count="1">
    <tableColumn id="1" xr3:uid="{F676DFC9-7DCF-444F-B537-8BBBE96D92BD}" name="TiltRo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7CF33A-E9F1-411D-8221-F02529D7DB82}" name="Table6" displayName="Table6" ref="AD1:AD3" totalsRowShown="0">
  <autoFilter ref="AD1:AD3" xr:uid="{7D3AA9E7-4C9F-4BFA-9D9F-6A30A6DB313B}"/>
  <tableColumns count="1">
    <tableColumn id="1" xr3:uid="{08C5F3D7-3696-4038-ABF9-666DDDFFD32B}" name="HorizontalPos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A60248C-546F-4D3B-827C-5BBFA6226F06}" name="Table13" displayName="Table13" ref="AF1:AM20" totalsRowShown="0" headerRowDxfId="35" headerRowBorderDxfId="34" tableBorderDxfId="33">
  <autoFilter ref="AF1:AM20" xr:uid="{5C034BEC-1C74-4981-9783-AA9F01AA5748}"/>
  <tableColumns count="8">
    <tableColumn id="1" xr3:uid="{592616F7-4514-497D-8254-F75CD0898F03}" name="AntiguaH"/>
    <tableColumn id="2" xr3:uid="{65A838AC-5A6E-4F9F-AABD-26A57996AA5C}" name="CubaH"/>
    <tableColumn id="3" xr3:uid="{E28A8BFC-ED90-4263-97C5-59E966957C8C}" name="JavaH"/>
    <tableColumn id="4" xr3:uid="{809AE020-000A-40D6-847D-E1D01AE0D2C4}" name="FijiH"/>
    <tableColumn id="5" xr3:uid="{CB80D18C-C6F3-4A4A-94C6-ED19BE4DFD55}" name="BermudaH"/>
    <tableColumn id="6" xr3:uid="{193DC20A-6BD2-43D8-8301-894278387E33}" name="SamoaH"/>
    <tableColumn id="7" xr3:uid="{3E9A2C56-8459-46E9-B830-C06EF670A17B}" name="HamptonH"/>
    <tableColumn id="8" xr3:uid="{93CDAB96-9738-48D0-8E90-54D87F581317}" name="ArubaH"/>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9F0A8B2-D4EF-48A8-B746-A404FA3CCBD5}" name="Table14" displayName="Table14" ref="Y21:Z51" totalsRowShown="0">
  <autoFilter ref="Y21:Z51" xr:uid="{AD521D9C-F775-4022-B17B-8DCD6325528C}"/>
  <tableColumns count="2">
    <tableColumn id="1" xr3:uid="{16848E79-ACA8-49C8-8706-4F5C3682DB11}" name="Samoa_Config"/>
    <tableColumn id="2" xr3:uid="{89BE96FD-119F-4911-9515-D879E04E5148}" name="Samoa_Tracked"/>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B57EA26-2581-4629-98A0-0973F044F4DD}" name="Table15" displayName="Table15" ref="AO1:AT2" totalsRowShown="0" dataDxfId="32">
  <autoFilter ref="AO1:AT2" xr:uid="{D363A0C6-96D8-432A-A567-5B0D20037B6C}"/>
  <tableColumns count="6">
    <tableColumn id="1" xr3:uid="{34072875-80BF-4DE5-ABF0-DD10E92EB9C8}" name="Samoa Hinged P" dataDxfId="31"/>
    <tableColumn id="2" xr3:uid="{8E9782AF-0DFF-40E9-8A76-43EC2E49F89E}" name="Fiji Hinged P" dataDxfId="30"/>
    <tableColumn id="3" xr3:uid="{20F09125-C153-49F2-B7E9-6AB19295E80D}" name="Java Hinged P" dataDxfId="29"/>
    <tableColumn id="4" xr3:uid="{1673213F-7DFE-490D-B228-E491AF11400D}" name="Cuba Hinged P" dataDxfId="28"/>
    <tableColumn id="5" xr3:uid="{D76FFBEB-DAA8-4343-B6A7-285F980323CD}" name="Bermuda Hinged P" dataDxfId="27"/>
    <tableColumn id="6" xr3:uid="{78F1A474-27EC-4F88-BB4C-9AE3D63B8B42}" name="Antigua Hinged P" dataDxfId="2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 /></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 /></Relationships>
</file>

<file path=xl/worksheets/_rels/sheet12.xml.rels><?xml version="1.0" encoding="UTF-8" standalone="yes"?>
<Relationships xmlns="http://schemas.openxmlformats.org/package/2006/relationships"><Relationship Id="rId8" Type="http://schemas.openxmlformats.org/officeDocument/2006/relationships/table" Target="../tables/table7.xml" /><Relationship Id="rId13" Type="http://schemas.openxmlformats.org/officeDocument/2006/relationships/table" Target="../tables/table12.xml" /><Relationship Id="rId18" Type="http://schemas.openxmlformats.org/officeDocument/2006/relationships/table" Target="../tables/table17.xml" /><Relationship Id="rId3" Type="http://schemas.openxmlformats.org/officeDocument/2006/relationships/table" Target="../tables/table2.xml" /><Relationship Id="rId7" Type="http://schemas.openxmlformats.org/officeDocument/2006/relationships/table" Target="../tables/table6.xml" /><Relationship Id="rId12" Type="http://schemas.openxmlformats.org/officeDocument/2006/relationships/table" Target="../tables/table11.xml" /><Relationship Id="rId17" Type="http://schemas.openxmlformats.org/officeDocument/2006/relationships/table" Target="../tables/table16.xml" /><Relationship Id="rId2" Type="http://schemas.openxmlformats.org/officeDocument/2006/relationships/table" Target="../tables/table1.xml" /><Relationship Id="rId16" Type="http://schemas.openxmlformats.org/officeDocument/2006/relationships/table" Target="../tables/table15.xml" /><Relationship Id="rId1" Type="http://schemas.openxmlformats.org/officeDocument/2006/relationships/printerSettings" Target="../printerSettings/printerSettings10.bin" /><Relationship Id="rId6" Type="http://schemas.openxmlformats.org/officeDocument/2006/relationships/table" Target="../tables/table5.xml" /><Relationship Id="rId11" Type="http://schemas.openxmlformats.org/officeDocument/2006/relationships/table" Target="../tables/table10.xml" /><Relationship Id="rId5" Type="http://schemas.openxmlformats.org/officeDocument/2006/relationships/table" Target="../tables/table4.xml" /><Relationship Id="rId15" Type="http://schemas.openxmlformats.org/officeDocument/2006/relationships/table" Target="../tables/table14.xml" /><Relationship Id="rId10" Type="http://schemas.openxmlformats.org/officeDocument/2006/relationships/table" Target="../tables/table9.xml" /><Relationship Id="rId19" Type="http://schemas.openxmlformats.org/officeDocument/2006/relationships/table" Target="../tables/table18.xml" /><Relationship Id="rId4" Type="http://schemas.openxmlformats.org/officeDocument/2006/relationships/table" Target="../tables/table3.xml" /><Relationship Id="rId9" Type="http://schemas.openxmlformats.org/officeDocument/2006/relationships/table" Target="../tables/table8.xml" /><Relationship Id="rId14" Type="http://schemas.openxmlformats.org/officeDocument/2006/relationships/table" Target="../tables/table13.xml" /></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7.xml" /><Relationship Id="rId1" Type="http://schemas.openxmlformats.org/officeDocument/2006/relationships/printerSettings" Target="../printerSettings/printerSettings11.bin" /></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 /><Relationship Id="rId1" Type="http://schemas.openxmlformats.org/officeDocument/2006/relationships/hyperlink" Target="mailto:sales@perfectblinds.co.uk" TargetMode="External" /></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 /><Relationship Id="rId2" Type="http://schemas.openxmlformats.org/officeDocument/2006/relationships/drawing" Target="../drawings/drawing9.xml" /><Relationship Id="rId1" Type="http://schemas.openxmlformats.org/officeDocument/2006/relationships/printerSettings" Target="../printerSettings/printerSettings12.bin" /></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 /><Relationship Id="rId1" Type="http://schemas.openxmlformats.org/officeDocument/2006/relationships/printerSettings" Target="../printerSettings/printerSettings13.bin" /></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 /><Relationship Id="rId1" Type="http://schemas.openxmlformats.org/officeDocument/2006/relationships/printerSettings" Target="../printerSettings/printerSettings14.bin" /></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 /></Relationships>
</file>

<file path=xl/worksheets/_rels/sheet19.xml.rels><?xml version="1.0" encoding="UTF-8" standalone="yes"?>
<Relationships xmlns="http://schemas.openxmlformats.org/package/2006/relationships"><Relationship Id="rId1" Type="http://schemas.openxmlformats.org/officeDocument/2006/relationships/table" Target="../tables/table19.xml" /></Relationships>
</file>

<file path=xl/worksheets/_rels/sheet20.xml.rels><?xml version="1.0" encoding="UTF-8" standalone="yes"?>
<Relationships xmlns="http://schemas.openxmlformats.org/package/2006/relationships"><Relationship Id="rId1" Type="http://schemas.openxmlformats.org/officeDocument/2006/relationships/table" Target="../tables/table20.xml" /></Relationships>
</file>

<file path=xl/worksheets/_rels/sheet21.xml.rels><?xml version="1.0" encoding="UTF-8" standalone="yes"?>
<Relationships xmlns="http://schemas.openxmlformats.org/package/2006/relationships"><Relationship Id="rId1" Type="http://schemas.openxmlformats.org/officeDocument/2006/relationships/table" Target="../tables/table21.xml" /></Relationships>
</file>

<file path=xl/worksheets/_rels/sheet22.xml.rels><?xml version="1.0" encoding="UTF-8" standalone="yes"?>
<Relationships xmlns="http://schemas.openxmlformats.org/package/2006/relationships"><Relationship Id="rId1" Type="http://schemas.openxmlformats.org/officeDocument/2006/relationships/table" Target="../tables/table22.xml" /></Relationships>
</file>

<file path=xl/worksheets/_rels/sheet23.xml.rels><?xml version="1.0" encoding="UTF-8" standalone="yes"?>
<Relationships xmlns="http://schemas.openxmlformats.org/package/2006/relationships"><Relationship Id="rId1" Type="http://schemas.openxmlformats.org/officeDocument/2006/relationships/table" Target="../tables/table23.xml" /></Relationships>
</file>

<file path=xl/worksheets/_rels/sheet24.xml.rels><?xml version="1.0" encoding="UTF-8" standalone="yes"?>
<Relationships xmlns="http://schemas.openxmlformats.org/package/2006/relationships"><Relationship Id="rId1" Type="http://schemas.openxmlformats.org/officeDocument/2006/relationships/table" Target="../tables/table24.xml" /></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 /></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 /></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 /></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 /><Relationship Id="rId1" Type="http://schemas.openxmlformats.org/officeDocument/2006/relationships/printerSettings" Target="../printerSettings/printerSettings2.bin" /></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 /><Relationship Id="rId1" Type="http://schemas.openxmlformats.org/officeDocument/2006/relationships/printerSettings" Target="../printerSettings/printerSettings3.bin" /></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 /><Relationship Id="rId1" Type="http://schemas.openxmlformats.org/officeDocument/2006/relationships/hyperlink" Target="mailto:sales@perfectblinds.co.uk" TargetMode="External" /></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 /><Relationship Id="rId1" Type="http://schemas.openxmlformats.org/officeDocument/2006/relationships/printerSettings" Target="../printerSettings/printerSettings4.bin" /></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 /><Relationship Id="rId1" Type="http://schemas.openxmlformats.org/officeDocument/2006/relationships/printerSettings" Target="../printerSettings/printerSettings5.bin" /></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 /></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D74F-10C1-4801-ACAE-937CF64779E5}">
  <sheetPr codeName="Sheet1"/>
  <dimension ref="A1:AI94"/>
  <sheetViews>
    <sheetView showGridLines="0" zoomScale="94" zoomScaleNormal="94" workbookViewId="0">
      <selection activeCell="C8" sqref="C8"/>
    </sheetView>
  </sheetViews>
  <sheetFormatPr defaultColWidth="8.875" defaultRowHeight="15" x14ac:dyDescent="0.2"/>
  <cols>
    <col min="1" max="1" width="2.15234375" style="8" customWidth="1"/>
    <col min="2" max="2" width="3.359375" style="8" customWidth="1"/>
    <col min="3" max="3" width="11.8359375" style="8" bestFit="1" customWidth="1"/>
    <col min="4" max="4" width="10.35546875" style="8" bestFit="1" customWidth="1"/>
    <col min="5" max="5" width="8.875" style="8"/>
    <col min="6" max="6" width="6.72265625" style="8" customWidth="1"/>
    <col min="7" max="7" width="9.953125" style="8" bestFit="1" customWidth="1"/>
    <col min="8" max="8" width="8.875" style="8"/>
    <col min="9" max="9" width="8.33984375" style="8" customWidth="1"/>
    <col min="10" max="10" width="8.875" style="8"/>
    <col min="11" max="11" width="18.0234375" style="8" customWidth="1"/>
    <col min="12" max="12" width="11.56640625" style="8" customWidth="1"/>
    <col min="13" max="13" width="11.56640625" style="8" bestFit="1" customWidth="1"/>
    <col min="14" max="14" width="11.56640625" style="8" customWidth="1"/>
    <col min="15" max="15" width="10.35546875" style="8" bestFit="1" customWidth="1"/>
    <col min="16" max="16" width="12.64453125" style="8" bestFit="1" customWidth="1"/>
    <col min="17" max="27" width="5.37890625" style="8" customWidth="1"/>
    <col min="28" max="28" width="6.72265625" style="8" customWidth="1"/>
    <col min="29" max="29" width="9.4140625" style="8" customWidth="1"/>
    <col min="30" max="30" width="9.68359375" style="8" customWidth="1"/>
    <col min="31" max="31" width="8.609375" style="8" customWidth="1"/>
    <col min="32" max="32" width="3.359375" style="8" customWidth="1"/>
    <col min="33" max="33" width="12.375" style="8" bestFit="1" customWidth="1"/>
    <col min="34" max="34" width="8.875" style="8"/>
    <col min="35" max="35" width="8.875" style="177" hidden="1" customWidth="1"/>
    <col min="36" max="16384" width="8.875" style="8"/>
  </cols>
  <sheetData>
    <row r="1" spans="1:35" x14ac:dyDescent="0.2">
      <c r="B1" s="9"/>
    </row>
    <row r="2" spans="1:35" x14ac:dyDescent="0.2">
      <c r="A2" s="9"/>
      <c r="B2" s="9"/>
      <c r="C2" s="9"/>
      <c r="D2" s="9"/>
      <c r="E2" s="9"/>
      <c r="F2" s="9"/>
      <c r="G2" s="9"/>
      <c r="L2" s="170"/>
      <c r="M2" s="170"/>
      <c r="N2" s="170"/>
    </row>
    <row r="3" spans="1:35" x14ac:dyDescent="0.2">
      <c r="A3" s="9"/>
      <c r="B3" s="9"/>
      <c r="C3" s="9"/>
      <c r="D3" s="9"/>
      <c r="E3" s="9"/>
      <c r="F3" s="9"/>
      <c r="G3" s="9"/>
      <c r="M3" s="170"/>
      <c r="N3" s="170"/>
    </row>
    <row r="4" spans="1:35" x14ac:dyDescent="0.2">
      <c r="A4" s="9"/>
      <c r="B4" s="9"/>
      <c r="C4" s="9"/>
      <c r="D4" s="9"/>
      <c r="E4" s="9"/>
      <c r="F4" s="9"/>
      <c r="G4" s="9"/>
      <c r="L4" s="170"/>
      <c r="M4" s="170"/>
      <c r="N4" s="170"/>
    </row>
    <row r="5" spans="1:35" x14ac:dyDescent="0.2">
      <c r="L5" s="170" t="s">
        <v>0</v>
      </c>
      <c r="M5" s="170"/>
      <c r="N5" s="170"/>
    </row>
    <row r="6" spans="1:35" ht="15.75" thickBot="1" x14ac:dyDescent="0.25"/>
    <row r="7" spans="1:35" ht="27.6" customHeight="1" thickTop="1" thickBot="1" x14ac:dyDescent="0.25">
      <c r="B7" s="212"/>
      <c r="C7" s="213" t="s">
        <v>1</v>
      </c>
      <c r="D7" s="213" t="s">
        <v>2</v>
      </c>
      <c r="E7" s="213" t="s">
        <v>3</v>
      </c>
      <c r="F7" s="524" t="s">
        <v>4</v>
      </c>
      <c r="G7" s="525"/>
      <c r="H7" s="214" t="s">
        <v>5</v>
      </c>
      <c r="I7" s="213" t="s">
        <v>6</v>
      </c>
      <c r="J7" s="213" t="s">
        <v>7</v>
      </c>
      <c r="K7" s="213" t="s">
        <v>8</v>
      </c>
      <c r="L7" s="213" t="s">
        <v>9</v>
      </c>
      <c r="M7" s="213" t="s">
        <v>10</v>
      </c>
      <c r="N7" s="214" t="s">
        <v>11</v>
      </c>
      <c r="O7" s="214"/>
      <c r="P7" s="524" t="s">
        <v>12</v>
      </c>
      <c r="Q7" s="526"/>
      <c r="R7" s="526"/>
      <c r="S7" s="526"/>
      <c r="T7" s="526"/>
      <c r="U7" s="526"/>
      <c r="V7" s="526"/>
      <c r="W7" s="526"/>
      <c r="X7" s="526"/>
      <c r="Y7" s="526"/>
      <c r="Z7" s="526"/>
      <c r="AA7" s="525"/>
      <c r="AB7" s="214" t="s">
        <v>13</v>
      </c>
      <c r="AC7" s="228" t="s">
        <v>14</v>
      </c>
      <c r="AD7" s="715" t="s">
        <v>782</v>
      </c>
      <c r="AE7" s="716"/>
      <c r="AI7" s="177" t="s">
        <v>15</v>
      </c>
    </row>
    <row r="8" spans="1:35" ht="15.75" thickTop="1" x14ac:dyDescent="0.2">
      <c r="B8" s="479">
        <v>1</v>
      </c>
      <c r="C8" s="246"/>
      <c r="D8" s="480"/>
      <c r="E8" s="482"/>
      <c r="F8" s="485"/>
      <c r="G8" s="486"/>
      <c r="H8" s="480"/>
      <c r="I8" s="480"/>
      <c r="J8" s="480"/>
      <c r="K8" s="482"/>
      <c r="L8" s="482"/>
      <c r="M8" s="482"/>
      <c r="N8" s="480" t="s">
        <v>25</v>
      </c>
      <c r="O8" s="507" t="s">
        <v>16</v>
      </c>
      <c r="P8" s="508"/>
      <c r="Q8" s="247"/>
      <c r="R8" s="247"/>
      <c r="S8" s="247"/>
      <c r="T8" s="247"/>
      <c r="U8" s="247"/>
      <c r="V8" s="247"/>
      <c r="W8" s="247"/>
      <c r="X8" s="247"/>
      <c r="Y8" s="247"/>
      <c r="Z8" s="247"/>
      <c r="AA8" s="247"/>
      <c r="AB8" s="248"/>
      <c r="AC8" s="249"/>
      <c r="AD8" s="485" t="s">
        <v>17</v>
      </c>
      <c r="AE8" s="714"/>
      <c r="AI8" s="177" t="str">
        <f>IFERROR(IF(E8="","",IF(ISNUMBER(SEARCH("(",Matrix2!AD22))=FALSE,IF(AND(E8="Antigua",H8="47mm",(VALUE(L8)/LEN(Matrix2!AD22))&gt;600),"Max panel width of 600mm with 47mm Louvre Exceeded",IF(AND(E8="Antigua",H8&lt;&gt;"47mm",VALUE(L8)/LEN(Matrix2!AD22)&gt;750),"Max panel width of 750mm with 63 - 114mm Louvre exceeded",IF(AND(E8="Antigua",ISNUMBER(SEARCH("RRR",Matrix2!AD22)),Matrix2!AD19=3),"Invalid configuration",IF(AND(E8="Antigua",ISNUMBER(SEARCH("LLL",Matrix2!AD22)),Matrix2!AD19=3),"Invalid configuration",IF(VALUE(M8)&gt;3000,"Maximum panel height exceeded",IF(AND(VALUE(M8)&gt;1879,N8="Please Select"),"MID RAIL required",IF(AND(D8="S/Shade",I8&lt;&gt;"FFrame"),"FFrame Required with Shutter and Shade",IF(AND(I8="FFrame",D8&lt;&gt;"S/Shade"),"F/Frame to be used with Shutter and Shade",IF(AND(C8="Bathroom",E8&lt;&gt;"Java"),"Recommend JAVA for bathrooms",IF(VALUE(M8)&lt;=249,"Minimum panel height is 250mm",IF(L8/Matrix2!AD19&lt;152,"Panels will be less than the minimum 152mm",IF(AND(E8="Bermuda",H8="47mm",(VALUE(L8)/LEN(Matrix2!AD22))&gt;610,OR(Matrix2!AD22&lt;&gt;"LL",Matrix2!AD22&lt;&gt;"RR")),"Max panel width of 610mm with 47mm Louvre Exceeded",IF(AND(E8="Bermuda",H8&lt;&gt;"47mm",(VALUE(L8)/LEN(Matrix2!AD22))&gt;915,OR(Matrix2!AD22&lt;&gt;"LL",Matrix!AD22&lt;&gt;"RR")),"Max panel width of 915mm with 63 - 114mm Louvre exceeded",IF(AND(E8="Bermuda",ISNUMBER(SEARCH("RRR",Matrix2!AD22))),"Invalid configuration",IF(AND(E8="Bermuda",ISNUMBER(SEARCH("LLL",Matrix2!AD22))),"Invalid configuration",IF(AND(C8="Bathroom",E8&lt;&gt;"Java"),"Recommend JAVA for bathrooms(Warranty Issue)",IF(OR(AND(D8="Shape",E8&lt;&gt;"Fiji"),AND(D8="Shape",E8&lt;&gt;"Samoa")),"Fiji or Samoa required for SHAPE shutters",IF(OR(AND(D8="French Door Cutout",E8&lt;&gt;"Fiji"),AND(D8="French Door Cutout",E8&lt;&gt;"Samoa")),"Fiji or Samoa required for French Doors",IF(ISNUMBER(SEARCH("(",Matrix2!AD22))=FALSE,IF(AND((Pricing!L8/LEN(Matrix2!AD22)&gt;750),E8="Cuba",H8="47mm",Matrix2!AD19=1),"Max Panel Width of 750 with Cuba, 47mm Louvre exceeded",IF(ISNUMBER(SEARCH("(",Matrix2!AD22))=FALSE,IF(ISNUMBER(SEARCH("(",Matrix2!AD22))=FALSE,IF(ISNUMBER(SEARCH("(",Matrix2!AD22))=FALSE,IF(OR(AND(L8/Matrix2!AD19&gt;660,E8="Cuba",ISNUMBER(SEARCH("LL",Matrix2!AD22))),AND(L8/Matrix2!AD19&gt;660,E8="Cuba",ISNUMBER(SEARCH("RR",Matrix2!AD22)))),"Max Bifold Panel width of 660 exceeded for Cuba",IF(AND((Pricing!L8/LEN(Matrix2!AD22)&gt;750),E8="Cuba",H8="47mm",Matrix2!AD19=2),"Max Panel Width of 750 with Cuba, 47mm Louvre exceeded",IF(AND((Pricing!L8/LEN(Matrix2!AD22)&gt;750),E8="Cuba",H8&lt;&gt;"47mm",Matrix2!AD19=2),"Max Panel Width of 890 with Cuba, 63 - 89mm Louvre exceeded",IF(ISNUMBER(SEARCH("(",Matrix2!AD22))=FALSE,IF(AND((Pricing!L8/LEN(Matrix2!AD22)&gt;550),E8="JAVA",H8="47mm",Matrix2!AD22=1),"Max Panel Width of 500 with Java 47mm Louvre exceeded",IF(ISNUMBER(SEARCH("(",Matrix2!AD22))=FALSE,IF(OR(AND((Pricing!L8/LEN(Matrix2!AD22)&gt;800),E8="JAVA",H8="63mm",OR(Matrix2!AD22="L",Matrix2!AD22="R",Matrix2!AD22="LR")),AND((Pricing!L8/LEN(Matrix2!AD22)&gt;800),E8="JAVA",H8="76mm",OR(Matrix2!AD22="L",Matrix2!AD22="R",Matrix2!AD22="LR"))),"Max Panel Width of 800mm with Java 63/76mm Louvre exceeded",IF(ISNUMBER(SEARCH("(",Matrix2!AD22))=FALSE,IF(OR(AND((Pricing!L8/LEN(Matrix2!AD22)&gt;890),E8="JAVA",H8="89mm",OR(Matrix2!AD22="L",Matrix2!AD22="R",Matrix2!AD22="LR")),AND((Pricing!L8/LEN(Matrix2!AD22)&gt;890),E8="JAVA",H8="114mm",OR(Matrix2!AD22="L",Matrix2!AD22="R",Matrix2!AD22="LR"))),"Max Panel Width of 800mm with Java 89/114mm Louvre exceeded",IF(ISNUMBER(SEARCH("(",Matrix2!AD22))=FALSE,IF(AND(OR(ISNUMBER(SEARCH("LL",Matrix2!AD22)),ISNUMBER(SEARCH("RR",Matrix2!AD22))),(L8/Matrix2!AD19)&gt;550,E8="Java",H8="47mm"),"Max Bifold Panel width of 550 exceeded for Java 47mm",IF(ISNUMBER(SEARCH("(",Matrix2!AD22))=FALSE,IF(AND(OR(ISNUMBER(SEARCH("LL",Matrix2!AD22)),ISNUMBER(SEARCH("RR",Matrix2!AD22))),(L8/Matrix2!AD19)&gt;610,E8="Java",H8&lt;&gt;"47mm"),"Max Bifold Panel width of 610 exceeded for Java 63 - 114mm",IF(ISNUMBER(SEARCH("(",Matrix2!AD22))=FALSE,IF(AND(OR(ISNUMBER(SEARCH("LLL",Matrix2!AD22)),ISNUMBER(SEARCH("RRR",Matrix2!AD22))),D8&lt;&gt;"Tracked",E8="Java",H8&lt;&gt;"47mm"),"This Configuration requires a Track System",IF(OR(AND(M8&gt;=1276,N8="Please Select",E8="Java"),AND(M8&gt;=1276,N8="No",E8="Java")),"A Mid Rail is required for this height",IF(ISNUMBER(SEARCH("(",Matrix2!AD22))=FALSE,IF(AND(OR(ISNUMBER(SEARCH("LLLL",Matrix2!AD22)),ISNUMBER(SEARCH("RRRR",Matrix2!AD22))),D8&lt;&gt;"Tracked",E8="Antigua"),"This configuration needs to be Tracked","The End"))))))))))))))))))))))))))))))))))))))))))),)</f>
        <v/>
      </c>
    </row>
    <row r="9" spans="1:35" x14ac:dyDescent="0.2">
      <c r="B9" s="479"/>
      <c r="C9" s="250"/>
      <c r="D9" s="481"/>
      <c r="E9" s="483"/>
      <c r="F9" s="522"/>
      <c r="G9" s="523"/>
      <c r="H9" s="481"/>
      <c r="I9" s="481"/>
      <c r="J9" s="481"/>
      <c r="K9" s="483"/>
      <c r="L9" s="483"/>
      <c r="M9" s="483"/>
      <c r="N9" s="481"/>
      <c r="O9" s="520" t="s">
        <v>18</v>
      </c>
      <c r="P9" s="521"/>
      <c r="Q9" s="251"/>
      <c r="R9" s="251"/>
      <c r="S9" s="251"/>
      <c r="T9" s="251"/>
      <c r="U9" s="251"/>
      <c r="V9" s="251"/>
      <c r="W9" s="251"/>
      <c r="X9" s="251"/>
      <c r="Y9" s="251"/>
      <c r="Z9" s="251"/>
      <c r="AA9" s="251" t="s">
        <v>19</v>
      </c>
      <c r="AB9" s="252" t="s">
        <v>20</v>
      </c>
      <c r="AC9" s="253" t="s">
        <v>21</v>
      </c>
      <c r="AD9" s="697">
        <f>IF(ISNA(IF(AD8="Quoted",INDEX(Matrix2!L45:L52,MATCH(Pricing!E8,Matrix2!K45:K52,0))+AC10*Matrix2!C19,INDEX(Matrix2!L3:L10,MATCH(Pricing!E8,Matrix2!K3:K10,0))+(AC10*Matrix2!C19)+Matrix2!O26+Matrix2!V26+Matrix2!R26+Matrix2!P26)),,IF(AD8="Quoted",INDEX(Matrix2!L45:L52,MATCH(Pricing!E8,Matrix2!K45:K52,0))+AC10*Matrix2!C19+Matrix2!O68+Matrix2!V68+Matrix2!R68+Matrix2!P68,INDEX(Matrix2!L3:L10,MATCH(Pricing!E8,Matrix2!K3:K10,0))+AC10*Matrix2!C19)+Matrix2!O26+Matrix2!V26+Matrix2!R26+Matrix2!P26)</f>
        <v>0</v>
      </c>
      <c r="AE9" s="698"/>
      <c r="AF9" s="161"/>
    </row>
    <row r="10" spans="1:35" ht="15.75" thickBot="1" x14ac:dyDescent="0.25">
      <c r="B10" s="479"/>
      <c r="C10" s="264"/>
      <c r="D10" s="481"/>
      <c r="E10" s="484"/>
      <c r="F10" s="255" t="s">
        <v>28</v>
      </c>
      <c r="G10" s="256"/>
      <c r="H10" s="487"/>
      <c r="I10" s="487"/>
      <c r="J10" s="487"/>
      <c r="K10" s="506"/>
      <c r="L10" s="506"/>
      <c r="M10" s="506"/>
      <c r="N10" s="487"/>
      <c r="O10" s="493" t="s">
        <v>22</v>
      </c>
      <c r="P10" s="494"/>
      <c r="Q10" s="495" t="str">
        <f>IFERROR(IF(AND(D8="S/Shade",E8="Samoa"),"S/SHADE NOT AVAILABLE IN SAMOA",IF(AND(H8="76mm",M8&gt;1372,OR(N8="Please Select",N8="No"),J8="Silent"),"Split Tilt or Midrail required",IF(AND(H8&lt;&gt;"76mm",M8&gt;1385,OR(N8="Please Select"),J8="Silent"),"Split Tilt or Midrail required",IF(AND(D8="Shape",I8="Plain L"),"Will Panels Open?",IF(AND(L8&gt;1500,M8&gt;2000),"Recomend Upgrade marerial",IF(AND(LEN(Matrix2!AD22)=2,OR(Matrix2!AD22= "LL","RR","FF"),Pricing!L8/Matrix2!AD19&gt;500),"Recommend Upgrade Material",IF(AND(E8="Antigua",H8="47mm",L8&gt;600,LEN(Matrix2!AD22=1)),"Single panel too wide for 47mm louvre",IF(AND(E8="Antigua",H8="47mm",L8&gt;600,LEN(Matrix2!AD22=2)),"Single panel too wide for 47mm louvre",IF(AND(E8="Antigua",H8&lt;&gt;"47mm",L8&gt;750,LEN(Matrix2!AD22=1)),"MAX Single panel width is 750mm",IF(OR(Matrix2!AN22=TRUE,Matrix2!AO22=TRUE),"Invalid Configuration",IF(AND(FIND("LRR",Matrix2!AD22),AA9="ROL"),"Ensure ROL is correct configuration",""))))))))))),IF(AND(D8="Tier On Tier",L8&gt;1219),"To wide for H-Tpost",""))</f>
        <v/>
      </c>
      <c r="R10" s="496"/>
      <c r="S10" s="496"/>
      <c r="T10" s="496"/>
      <c r="U10" s="496"/>
      <c r="V10" s="496"/>
      <c r="W10" s="496"/>
      <c r="X10" s="496"/>
      <c r="Y10" s="496"/>
      <c r="Z10" s="496"/>
      <c r="AA10" s="497"/>
      <c r="AB10" s="257" t="s">
        <v>23</v>
      </c>
      <c r="AC10" s="258">
        <f>IF(AD8="Quoted",Matrix2!N68,Matrix2!N26)</f>
        <v>0</v>
      </c>
      <c r="AD10" s="712">
        <f>IF(ISNA(IF(AD8="Quoted",INDEX(Matrix2!L57:L64,MATCH(Pricing!E8,Matrix2!K57:K64,0))+AC10*Matrix2!C19+Matrix2!O68+Matrix2!V68+Matrix2!R68+Matrix2!P68,INDEX(Matrix2!L15:L22,MATCH(Pricing!E8,Matrix2!K15:K22,0))+AC10*Matrix2!C19+Matrix2!O26+Matrix2!V26+Matrix2!R26+Matrix2!P26)),,IF(AD8="Quoted",INDEX(Matrix2!L57:L64,MATCH(Pricing!E8,Matrix2!K57:K64,0))+AC10*Matrix2!C19+Matrix2!O68+Matrix2!V68+Matrix2!R68+Matrix2!P68,INDEX(Matrix2!L15:L22,MATCH(Pricing!E8,Matrix2!K15:K22,0))+AC10*Matrix2!C19)+Matrix2!O26+Matrix2!V26+Matrix2!R26+Matrix2!P26)</f>
        <v>0</v>
      </c>
      <c r="AE10" s="713"/>
      <c r="AI10" s="177" t="s">
        <v>24</v>
      </c>
    </row>
    <row r="11" spans="1:35" ht="15.75" customHeight="1" thickTop="1" x14ac:dyDescent="0.2">
      <c r="B11" s="479">
        <v>2</v>
      </c>
      <c r="C11" s="265"/>
      <c r="D11" s="498"/>
      <c r="E11" s="513"/>
      <c r="F11" s="516"/>
      <c r="G11" s="517"/>
      <c r="H11" s="498"/>
      <c r="I11" s="498"/>
      <c r="J11" s="498"/>
      <c r="K11" s="488"/>
      <c r="L11" s="488"/>
      <c r="M11" s="488"/>
      <c r="N11" s="498" t="s">
        <v>25</v>
      </c>
      <c r="O11" s="509" t="s">
        <v>16</v>
      </c>
      <c r="P11" s="510"/>
      <c r="Q11" s="235"/>
      <c r="R11" s="235"/>
      <c r="S11" s="235"/>
      <c r="T11" s="235"/>
      <c r="U11" s="235"/>
      <c r="V11" s="235"/>
      <c r="W11" s="235"/>
      <c r="X11" s="235"/>
      <c r="Y11" s="235"/>
      <c r="Z11" s="235"/>
      <c r="AA11" s="235"/>
      <c r="AB11" s="236"/>
      <c r="AC11" s="237"/>
      <c r="AD11" s="710" t="s">
        <v>17</v>
      </c>
      <c r="AE11" s="711"/>
      <c r="AI11" s="177" t="str">
        <f>IFERROR(IF(E8="","",IF(ISNUMBER(SEARCH("(",Matrix2!AD22))=FALSE,IF(AND(E8="Bermuda",H8="47mm",(VALUE(L8)/LEN(Matrix2!AD22))&gt;610,OR(Matrix2!AD22&lt;&gt;"LL",Matrix2!AD22&lt;&gt;"RR")),"Max panel width of 610mm with 47mm Louvre Exceeded",IF(AND(E8="Bermuda",H8&lt;&gt;"47mm",(VALUE(L8)/LEN(Matrix2!AD22))&gt;915,OR(Matrix2!AD22&lt;&gt;"LL",Matrix!AD22&lt;&gt;"RR")),"Max panel width of 915mm with 63 - 114mm Louvre exceeded",IF(AND(E8="Bermuda",ISNUMBER(SEARCH("RRR",Matrix2!AD22))),"Invalid configuration",IF(AND(E8="Bermuda",ISNUMBER(SEARCH("LLL",Matrix2!AD22))),"Invalid configuration",IF(VALUE(M8)&gt;3000,"Maximum panel height exceeded",IF(AND(VALUE(M8)&gt;1981,N8="Please Select"),"MID RAIL required",IF(AND(D8="S/Shade",I8&lt;&gt;"FFrame"),"FFrame Required with Shutter and Shade",IF(AND(C8="Bathroom",E8&lt;&gt;"Java"),"Recommend JAVA for bathrooms",IF(VALUE(M8)&lt;=249,"Minimum panel height is 250mm",IF(L8/Matrix2!AD19&lt;152,"Panels will be less than the minimum 152mm","The End")))))))))))),)</f>
        <v/>
      </c>
    </row>
    <row r="12" spans="1:35" x14ac:dyDescent="0.2">
      <c r="B12" s="479"/>
      <c r="C12" s="238"/>
      <c r="D12" s="499"/>
      <c r="E12" s="514"/>
      <c r="F12" s="491"/>
      <c r="G12" s="492"/>
      <c r="H12" s="499"/>
      <c r="I12" s="499"/>
      <c r="J12" s="499"/>
      <c r="K12" s="489"/>
      <c r="L12" s="489"/>
      <c r="M12" s="489"/>
      <c r="N12" s="499"/>
      <c r="O12" s="511" t="s">
        <v>18</v>
      </c>
      <c r="P12" s="512"/>
      <c r="Q12" s="239"/>
      <c r="R12" s="239"/>
      <c r="S12" s="239"/>
      <c r="T12" s="239"/>
      <c r="U12" s="239"/>
      <c r="V12" s="239"/>
      <c r="W12" s="239"/>
      <c r="X12" s="239"/>
      <c r="Y12" s="239"/>
      <c r="Z12" s="239"/>
      <c r="AA12" s="239" t="s">
        <v>19</v>
      </c>
      <c r="AB12" s="215" t="s">
        <v>20</v>
      </c>
      <c r="AC12" s="216" t="s">
        <v>21</v>
      </c>
      <c r="AD12" s="708">
        <f>IF(ISNA(IF(AD11="Quoted",INDEX(Matrix2!M45:M52,MATCH(Pricing!E11,Matrix2!K45:K52,0))+AC13*Matrix2!C19,INDEX(Matrix2!M3:M10,MATCH(Pricing!E11,Matrix2!K3:K10,0))+(AC13*Matrix2!C19)+Matrix2!O27+Matrix2!V27+Matrix2!R27+Matrix2!P27)),,IF(AD11="Quoted",INDEX(Matrix2!M45:M52,MATCH(Pricing!E11,Matrix2!K45:K52,0))+AC13*Matrix2!C19+Matrix2!O69+Matrix2!V69+Matrix2!R69+Matrix2!P69,INDEX(Matrix2!M3:M10,MATCH(Pricing!E11,Matrix2!K3:K10,0))+AC13*Matrix2!C19)+Matrix2!O27+Matrix2!V27+Matrix2!R27+Matrix2!P27)</f>
        <v>0</v>
      </c>
      <c r="AE12" s="709"/>
    </row>
    <row r="13" spans="1:35" ht="15.75" thickBot="1" x14ac:dyDescent="0.25">
      <c r="B13" s="479"/>
      <c r="C13" s="266"/>
      <c r="D13" s="499"/>
      <c r="E13" s="515"/>
      <c r="F13" s="240" t="s">
        <v>28</v>
      </c>
      <c r="G13" s="241"/>
      <c r="H13" s="518"/>
      <c r="I13" s="518"/>
      <c r="J13" s="518"/>
      <c r="K13" s="490"/>
      <c r="L13" s="490"/>
      <c r="M13" s="490"/>
      <c r="N13" s="519"/>
      <c r="O13" s="504" t="s">
        <v>22</v>
      </c>
      <c r="P13" s="505"/>
      <c r="Q13" s="501" t="str">
        <f>IF(AND(D11="S/Shade",E11="Samoa"),"S/SHADE NOT AVAILABLE IN SAMOA","")</f>
        <v/>
      </c>
      <c r="R13" s="502"/>
      <c r="S13" s="502"/>
      <c r="T13" s="502"/>
      <c r="U13" s="502"/>
      <c r="V13" s="502"/>
      <c r="W13" s="502"/>
      <c r="X13" s="502"/>
      <c r="Y13" s="502"/>
      <c r="Z13" s="502"/>
      <c r="AA13" s="503"/>
      <c r="AB13" s="242" t="s">
        <v>23</v>
      </c>
      <c r="AC13" s="243">
        <f>IF(AD11="Quoted",Matrix2!N69,Matrix2!N27)</f>
        <v>0</v>
      </c>
      <c r="AD13" s="699">
        <f>IF(ISNA(IF(AD11="Quoted",INDEX(Matrix2!M57:M64,MATCH(Pricing!E11,Matrix2!K57:K64,0))+AC13*Matrix2!C19+Matrix2!O69+Matrix2!V69+Matrix2!R69+Matrix2!P69,INDEX(Matrix2!M15:M22,MATCH(Pricing!E11,Matrix2!K15:K22,0))+AC13*Matrix2!C19+Matrix2!O27+Matrix2!V27+Matrix2!R27+Matrix2!P27)),,IF(AD11="Quoted",INDEX(Matrix2!M57:M64,MATCH(Pricing!E11,Matrix2!K57:K64,0))+AC13*Matrix2!C19+Matrix2!O69+Matrix2!V69+Matrix2!R69+Matrix2!P69,INDEX(Matrix2!M15:M22,MATCH(Pricing!E11,Matrix2!K15:K22,0))+AC13*Matrix2!C19)+Matrix2!O27+Matrix2!V27+Matrix2!R27+Matrix2!P27)</f>
        <v>0</v>
      </c>
      <c r="AE13" s="700"/>
      <c r="AI13" s="177" t="s">
        <v>26</v>
      </c>
    </row>
    <row r="14" spans="1:35" ht="15.75" customHeight="1" thickTop="1" x14ac:dyDescent="0.2">
      <c r="B14" s="479">
        <v>3</v>
      </c>
      <c r="C14" s="248"/>
      <c r="D14" s="480"/>
      <c r="E14" s="482"/>
      <c r="F14" s="485"/>
      <c r="G14" s="486"/>
      <c r="H14" s="480"/>
      <c r="I14" s="480"/>
      <c r="J14" s="480"/>
      <c r="K14" s="482"/>
      <c r="L14" s="482"/>
      <c r="M14" s="482"/>
      <c r="N14" s="480" t="s">
        <v>25</v>
      </c>
      <c r="O14" s="507" t="s">
        <v>16</v>
      </c>
      <c r="P14" s="508"/>
      <c r="Q14" s="247"/>
      <c r="R14" s="247"/>
      <c r="S14" s="247"/>
      <c r="T14" s="247"/>
      <c r="U14" s="247"/>
      <c r="V14" s="247"/>
      <c r="W14" s="247"/>
      <c r="X14" s="247"/>
      <c r="Y14" s="247"/>
      <c r="Z14" s="247"/>
      <c r="AA14" s="247"/>
      <c r="AB14" s="259"/>
      <c r="AC14" s="260"/>
      <c r="AD14" s="701" t="s">
        <v>17</v>
      </c>
      <c r="AE14" s="702"/>
      <c r="AI14" s="177" t="str">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Doors",IF(ISNUMBER(SEARCH("(",Matrix2!AD22))=FALSE,IF(AND((Pricing!L8/LEN(Matrix2!AD22)&gt;750),E8="Cuba",H8="47mm",Matrix2!AD19=1),"Max Panel Width of 750 with Cuba, 47mm Louvre exceeded",IF(ISNUMBER(SEARCH("(",Matrix2!AD22))=FALSE,IF(ISNUMBER(SEARCH("(",Matrix2!AD22))=FALSE,IF(ISNUMBER(SEARCH("(",Matrix2!AD22))=FALSE,IF(OR(AND(L8/Matrix2!AD19&gt;660,E8="Cuba",ISNUMBER(SEARCH("LL",Matrix2!AD22))),AND(L8/Matrix2!AD19&gt;660,E8="Cuba",ISNUMBER(SEARCH("RR",Matrix2!AD22)))),"Max Bifold Panel width of 660 exceeded for Cuba",IF(AND((Pricing!L8/LEN(Matrix2!AD22)&gt;750),E8="Cuba",H8="47mm",Matrix2!AD19=2),"Max Panel Width of 750 with Cuba, 47mm Louvre exceeded",IF(AND((Pricing!L8/LEN(Matrix2!AD22)&gt;750),E8="Cuba",H8&lt;&gt;"47mm",Matrix2!AD19=2),"Max Panel Width of 890 with Cuba, 63 - 89mm Louvre exceeded",IF(ISNUMBER(SEARCH("(",Matrix2!AD22))=FALSE,IF((L8/Matrix2!AD19)&lt;152,"Minimum panel width of 152mm exceeded",IF(OR(AND(M8&gt;1981,N8="Please Select"),AND(M8&gt;1981,N8="No")),"A Mid Rail is required for this height","The End"))))))))))))))))),"")</f>
        <v/>
      </c>
    </row>
    <row r="15" spans="1:35" x14ac:dyDescent="0.2">
      <c r="B15" s="479"/>
      <c r="C15" s="250"/>
      <c r="D15" s="481"/>
      <c r="E15" s="483"/>
      <c r="F15" s="522"/>
      <c r="G15" s="523"/>
      <c r="H15" s="481"/>
      <c r="I15" s="481"/>
      <c r="J15" s="481"/>
      <c r="K15" s="483"/>
      <c r="L15" s="483"/>
      <c r="M15" s="483"/>
      <c r="N15" s="481"/>
      <c r="O15" s="520" t="s">
        <v>18</v>
      </c>
      <c r="P15" s="521"/>
      <c r="Q15" s="251"/>
      <c r="R15" s="251"/>
      <c r="S15" s="251"/>
      <c r="T15" s="251"/>
      <c r="U15" s="251"/>
      <c r="V15" s="251"/>
      <c r="W15" s="251"/>
      <c r="X15" s="251"/>
      <c r="Y15" s="251"/>
      <c r="Z15" s="251"/>
      <c r="AA15" s="251" t="s">
        <v>19</v>
      </c>
      <c r="AB15" s="252" t="s">
        <v>20</v>
      </c>
      <c r="AC15" s="253" t="s">
        <v>21</v>
      </c>
      <c r="AD15" s="697">
        <f>IF(ISNA(IF(AD14="Quoted",INDEX(Matrix2!N45:N52,MATCH(Pricing!E14,Matrix2!K45:K52,0))+AC16*Matrix2!C19,INDEX(Matrix2!N3:N10,MATCH(Pricing!E14,Matrix2!K3:K10,0))+(AC16*Matrix2!C19)+Matrix2!O28+Matrix2!V28+Matrix2!R28+Matrix2!P28)),,IF(AD14="Quoted",INDEX(Matrix2!N45:N52,MATCH(Pricing!E14,Matrix2!K45:K52,0))+AC16*Matrix2!C19+Matrix2!O70+Matrix2!V70+Matrix2!R70+Matrix2!P70,INDEX(Matrix2!N3:N10,MATCH(Pricing!E14,Matrix2!K3:K10,0))+AC16*Matrix2!C19)+Matrix2!O28+Matrix2!V28+Matrix2!R28+Matrix2!P28)</f>
        <v>0</v>
      </c>
      <c r="AE15" s="698"/>
    </row>
    <row r="16" spans="1:35" ht="15.75" thickBot="1" x14ac:dyDescent="0.25">
      <c r="B16" s="479"/>
      <c r="C16" s="264"/>
      <c r="D16" s="481"/>
      <c r="E16" s="484"/>
      <c r="F16" s="255" t="s">
        <v>28</v>
      </c>
      <c r="G16" s="256"/>
      <c r="H16" s="487"/>
      <c r="I16" s="487"/>
      <c r="J16" s="487"/>
      <c r="K16" s="506"/>
      <c r="L16" s="506"/>
      <c r="M16" s="506"/>
      <c r="N16" s="487"/>
      <c r="O16" s="493" t="s">
        <v>22</v>
      </c>
      <c r="P16" s="494"/>
      <c r="Q16" s="495" t="str">
        <f>IF(AND(D14="S/Shade",E14="Samoa"),"S/SHADE NOT AVAILABLE IN SAMOA","")</f>
        <v/>
      </c>
      <c r="R16" s="496"/>
      <c r="S16" s="496"/>
      <c r="T16" s="496"/>
      <c r="U16" s="496"/>
      <c r="V16" s="496"/>
      <c r="W16" s="496"/>
      <c r="X16" s="496"/>
      <c r="Y16" s="496"/>
      <c r="Z16" s="496"/>
      <c r="AA16" s="497"/>
      <c r="AB16" s="257" t="s">
        <v>23</v>
      </c>
      <c r="AC16" s="261">
        <f>IF(AD14="Quoted",Matrix2!N70,Matrix2!N28)</f>
        <v>0</v>
      </c>
      <c r="AD16" s="699">
        <f>IF(ISNA(IF(AD14="Quoted",INDEX(Matrix2!N57:N64,MATCH(Pricing!E14,Matrix2!K57:K64,0))+AC16*Matrix2!C19+Matrix2!O70+Matrix2!V70+Matrix2!R70+Matrix2!P70,INDEX(Matrix2!N15:N22,MATCH(Pricing!E14,Matrix2!K15:K22,0))+AC16*Matrix2!C19+Matrix2!O28+Matrix2!V28+Matrix2!R28+Matrix2!P28)),,IF(AD14="Quoted",INDEX(Matrix2!N57:N64,MATCH(Pricing!E14,Matrix2!K57:K64,0))+AC16*Matrix2!C19+Matrix2!O70+Matrix2!V70+Matrix2!R70+Matrix2!P70,INDEX(Matrix2!N15:N22,MATCH(Pricing!E14,Matrix2!K15:K22,0))+AC16*Matrix2!C19)+Matrix2!O28+Matrix2!V28+Matrix2!R28+Matrix2!P28)</f>
        <v>0</v>
      </c>
      <c r="AE16" s="700"/>
      <c r="AF16" s="162"/>
      <c r="AI16" s="177" t="s">
        <v>27</v>
      </c>
    </row>
    <row r="17" spans="2:35" ht="15.75" customHeight="1" thickTop="1" x14ac:dyDescent="0.2">
      <c r="B17" s="479">
        <v>4</v>
      </c>
      <c r="C17" s="265"/>
      <c r="D17" s="498"/>
      <c r="E17" s="488"/>
      <c r="F17" s="516"/>
      <c r="G17" s="517"/>
      <c r="H17" s="498"/>
      <c r="I17" s="498"/>
      <c r="J17" s="498"/>
      <c r="K17" s="488"/>
      <c r="L17" s="488"/>
      <c r="M17" s="488"/>
      <c r="N17" s="498" t="s">
        <v>25</v>
      </c>
      <c r="O17" s="509" t="s">
        <v>16</v>
      </c>
      <c r="P17" s="510"/>
      <c r="Q17" s="235"/>
      <c r="R17" s="235"/>
      <c r="S17" s="235"/>
      <c r="T17" s="235"/>
      <c r="U17" s="235"/>
      <c r="V17" s="235"/>
      <c r="W17" s="235"/>
      <c r="X17" s="235"/>
      <c r="Y17" s="235"/>
      <c r="Z17" s="235"/>
      <c r="AA17" s="235"/>
      <c r="AB17" s="236"/>
      <c r="AC17" s="237"/>
      <c r="AD17" s="710" t="s">
        <v>17</v>
      </c>
      <c r="AE17" s="711"/>
      <c r="AI17" s="177" t="str">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Doors",IF(ISNUMBER(SEARCH("(",Matrix2!AD22))=FALSE,IF(AND((Pricing!L8/LEN(Matrix2!AD22)&gt;550),E8="JAVA",H8="47mm",Matrix2!AD22=1),"Max Panel Width of 500 with Java 47mm Louvre exceeded",IF(ISNUMBER(SEARCH("(",Matrix2!AD22))=FALSE,IF(ISNUMBER(SEARCH("(",Matrix2!AD22))=FALSE,IF(OR(AND((Pricing!L8/LEN(Matrix2!AD22)&gt;800),E8="JAVA",H8="63mm",OR(Matrix2!AD22="L",Matrix2!AD22="R",Matrix2!AD22="LR")),AND((Pricing!L8/LEN(Matrix2!AD22)&gt;800),E8="JAVA",H8="76mm",OR(Matrix2!AD22="L",Matrix2!AD22="R",Matrix2!AD22="LR"))),"Max Panel Width of 800mm with Java 63/76mm Louvre exceeded",IF(ISNUMBER(SEARCH("(",Matrix2!AD22))=FALSE,IF(OR(AND((Pricing!L8/LEN(Matrix2!AD22)&gt;890),E8="JAVA",H8="89mm",OR(Matrix2!AD22="L",Matrix2!AD22="R",Matrix2!AD22="LR")),AND((Pricing!L8/LEN(Matrix2!AD22)&gt;890),E8="JAVA",H8="114mm",OR(Matrix2!AD22="L",Matrix2!AD22="R",Matrix2!AD22="LR"))),"Max Panel Width of 800mm with Java 89/114mm Louvre exceeded",IF(ISNUMBER(SEARCH("(",Matrix2!AD22))=FALSE,IF(AND(OR(ISNUMBER(SEARCH("LL",Matrix2!AD22)),ISNUMBER(SEARCH("RR",Matrix2!AD22))),(L8/Matrix2!AD19)&gt;550,E8="Java",H8="47mm"),"Max Bifold Panel width of 550 exceeded for Java 47mm",IF(ISNUMBER(SEARCH("(",Matrix2!AD22))=FALSE,IF(AND(OR(ISNUMBER(SEARCH("LL",Matrix2!AD22)),ISNUMBER(SEARCH("RR",Matrix2!AD22))),(L8/Matrix2!AD19)&gt;610,E8="Java",H8&lt;&gt;"47mm"),"Max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System",IF(ISNUMBER(SEARCH("(",Matrix2!AD22))=FALSE,IF((L8/Matrix2!AD19)&lt;152,"Minimum panel width of 152mm exceeded",IF(OR(AND(M8&gt;=1276,N8="Please Select",E8="Java"),AND(M8&gt;=1276,N8="No",E8="Java")),"A Mid Rail is required for this height","At The END")))))))))))))))))))))),"")</f>
        <v/>
      </c>
    </row>
    <row r="18" spans="2:35" x14ac:dyDescent="0.2">
      <c r="B18" s="479"/>
      <c r="C18" s="238"/>
      <c r="D18" s="499"/>
      <c r="E18" s="489"/>
      <c r="F18" s="491"/>
      <c r="G18" s="492"/>
      <c r="H18" s="499"/>
      <c r="I18" s="499"/>
      <c r="J18" s="499"/>
      <c r="K18" s="489"/>
      <c r="L18" s="489"/>
      <c r="M18" s="489"/>
      <c r="N18" s="499"/>
      <c r="O18" s="511" t="s">
        <v>18</v>
      </c>
      <c r="P18" s="512"/>
      <c r="Q18" s="239"/>
      <c r="R18" s="239"/>
      <c r="S18" s="239"/>
      <c r="T18" s="239"/>
      <c r="U18" s="239"/>
      <c r="V18" s="239"/>
      <c r="W18" s="239"/>
      <c r="X18" s="239"/>
      <c r="Y18" s="239"/>
      <c r="Z18" s="239"/>
      <c r="AA18" s="239" t="s">
        <v>19</v>
      </c>
      <c r="AB18" s="215" t="s">
        <v>20</v>
      </c>
      <c r="AC18" s="216" t="s">
        <v>21</v>
      </c>
      <c r="AD18" s="708">
        <f>IF(ISNA(IF(AD17="Quoted",INDEX(Matrix2!O45:O52,MATCH(Pricing!E17,Matrix2!K45:K52,0))+AC19*Matrix2!C19,INDEX(Matrix2!O3:O10,MATCH(Pricing!E17,Matrix2!K3:K10,0))+(AC19*Matrix2!C19)+Matrix2!O29+Matrix2!V29+Matrix2!R29+Matrix2!P29)),,IF(AD17="Quoted",INDEX(Matrix2!O45:O52,MATCH(Pricing!E17,Matrix2!K45:K52,0))+AC19*Matrix2!C19+Matrix2!O71+Matrix2!V71+Matrix2!R71+Matrix2!P71,INDEX(Matrix2!O3:O10,MATCH(Pricing!E17,Matrix2!K3:K10,0))+AC19*Matrix2!C19)+Matrix2!O29+Matrix2!V29+Matrix2!R29+Matrix2!P29)</f>
        <v>0</v>
      </c>
      <c r="AE18" s="709"/>
    </row>
    <row r="19" spans="2:35" ht="15.75" thickBot="1" x14ac:dyDescent="0.25">
      <c r="B19" s="479"/>
      <c r="C19" s="266"/>
      <c r="D19" s="499"/>
      <c r="E19" s="500"/>
      <c r="F19" s="240" t="s">
        <v>28</v>
      </c>
      <c r="G19" s="241"/>
      <c r="H19" s="518"/>
      <c r="I19" s="519"/>
      <c r="J19" s="518"/>
      <c r="K19" s="490"/>
      <c r="L19" s="490"/>
      <c r="M19" s="490"/>
      <c r="N19" s="519"/>
      <c r="O19" s="504" t="s">
        <v>22</v>
      </c>
      <c r="P19" s="505"/>
      <c r="Q19" s="501" t="str">
        <f>IF(AND(D17="S/Shade",E17="Samoa"),"S/SHADE NOT AVAILABLE IN SAMOA","")</f>
        <v/>
      </c>
      <c r="R19" s="502"/>
      <c r="S19" s="502"/>
      <c r="T19" s="502"/>
      <c r="U19" s="502"/>
      <c r="V19" s="502"/>
      <c r="W19" s="502"/>
      <c r="X19" s="502"/>
      <c r="Y19" s="502"/>
      <c r="Z19" s="502"/>
      <c r="AA19" s="503"/>
      <c r="AB19" s="242" t="s">
        <v>23</v>
      </c>
      <c r="AC19" s="243">
        <f>IF(AD17="Quoted",Matrix2!N71,Matrix2!N29)</f>
        <v>0</v>
      </c>
      <c r="AD19" s="699">
        <f>IF(ISNA(IF(AD17="Quoted",INDEX(Matrix2!O57:O64,MATCH(Pricing!E17,Matrix2!K57:K64,0))+AC19*Matrix2!C19+Matrix2!O71+Matrix2!V71+Matrix2!R71+Matrix2!P71,INDEX(Matrix2!O15:O22,MATCH(Pricing!E17,Matrix2!K15:K22,0))+AC19*Matrix2!C19+Matrix2!O29+Matrix2!V29+Matrix2!R29+Matrix2!P29)),,IF(AD17="Quoted",INDEX(Matrix2!O57:O64,MATCH(Pricing!E17,Matrix2!K57:K64,0))+AC19*Matrix2!C19+Matrix2!O71+Matrix2!V71+Matrix2!R71+Matrix2!P71,INDEX(Matrix2!O15:O22,MATCH(Pricing!E17,Matrix2!K15:K22,0))+AC19*Matrix2!C19)+Matrix2!O29+Matrix2!V29+Matrix2!R29+Matrix2!P29)</f>
        <v>0</v>
      </c>
      <c r="AE19" s="700"/>
      <c r="AI19" s="177" t="s">
        <v>29</v>
      </c>
    </row>
    <row r="20" spans="2:35" ht="15.75" customHeight="1" thickTop="1" x14ac:dyDescent="0.2">
      <c r="B20" s="479">
        <v>5</v>
      </c>
      <c r="C20" s="248"/>
      <c r="D20" s="480"/>
      <c r="E20" s="482"/>
      <c r="F20" s="485"/>
      <c r="G20" s="486"/>
      <c r="H20" s="480"/>
      <c r="I20" s="480"/>
      <c r="J20" s="480"/>
      <c r="K20" s="482"/>
      <c r="L20" s="482"/>
      <c r="M20" s="482"/>
      <c r="N20" s="480" t="s">
        <v>25</v>
      </c>
      <c r="O20" s="507" t="s">
        <v>16</v>
      </c>
      <c r="P20" s="508"/>
      <c r="Q20" s="247"/>
      <c r="R20" s="247"/>
      <c r="S20" s="247"/>
      <c r="T20" s="247"/>
      <c r="U20" s="247"/>
      <c r="V20" s="247"/>
      <c r="W20" s="247"/>
      <c r="X20" s="247"/>
      <c r="Y20" s="247"/>
      <c r="Z20" s="247"/>
      <c r="AA20" s="247"/>
      <c r="AB20" s="259"/>
      <c r="AC20" s="262"/>
      <c r="AD20" s="720" t="s">
        <v>17</v>
      </c>
      <c r="AE20" s="721"/>
      <c r="AI20" s="177" t="e">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Pricing!L8/LEN(Matrix2!AD22)&gt;890),E8="Fiji",H8="63mm",OR(Matrix2!AD22="L",Matrix2!AD22="R",Matrix2!AD22="LR")),AND((Pricing!L8/LEN(Matrix2!AD22)&gt;890),E8="Fiji",H8="76mm",OR(Matrix2!AD22="L",Matrix2!AD22="R",Matrix2!AD22="LR"))),"Max Panel Width of 890mm with Fiji 63/76mm Louvre exceeded","The End"),IF(ISNUMBER(SEARCH("(",Matrix2!AD22))=FALSE,IF(OR(AND((Pricing!L8/LEN(Matrix2!AD22)&gt;1047),E8="Fiji",H8="89mm",OR(Matrix2!AD22="L",Matrix2!AD22="R",Matrix2!AD22="LR")),AND((Pricing!L8/LEN(Matrix2!AD22)&gt;1047),E8="Fiji",H8="114mm",OR(Matrix2!AD22="L",Matrix2!AD22="R",Matrix2!AD22="LR"))),"Max Panel Width of 1047mm with Java 89/114mm Louvre exceeded",IF(ISNUMBER(SEARCH("(",Matrix2!AD22))=FALSE,IF(AND(OR(ISNUMBER(SEARCH("LL",Matrix2!AD22)),ISNUMBER(SEARCH("RR",Matrix2!AD22))),(L8/Matrix2!AD19)&gt;660,E8="Fiji"),"Max Bifold/Tracked Panel width of 660 exceeded",IF(ISNUMBER(SEARCH("(",Matrix2!AD22))=FALSE,IF(AND(I8="Top Track Only",(L8/Matrix2!AD19)&gt;550,E8="Fiji"),"Max (Top Track) Panel width of 550 exceeded"),"The End")))))))))))</f>
        <v>#DIV/0!</v>
      </c>
    </row>
    <row r="21" spans="2:35" x14ac:dyDescent="0.2">
      <c r="B21" s="479"/>
      <c r="C21" s="250"/>
      <c r="D21" s="481"/>
      <c r="E21" s="483"/>
      <c r="F21" s="527" t="str">
        <f>IF(AND(E20="Bermuda",F20="Custom Colour"),"Not Black",IF(AND(E20="Cuba",F20="Custom Colour"),"Solid Colours Only",IF(AND(E20="Java",F20="Custom Colour"),"Solid (no Black)",IF(AND(E20="Samoa",F20="Custom Colour"),"Surcharge for black",IF(D20="S/Shade","Note Shade Colour","")))))</f>
        <v/>
      </c>
      <c r="G21" s="528"/>
      <c r="H21" s="481"/>
      <c r="I21" s="481"/>
      <c r="J21" s="481"/>
      <c r="K21" s="483"/>
      <c r="L21" s="483"/>
      <c r="M21" s="483"/>
      <c r="N21" s="481"/>
      <c r="O21" s="520" t="s">
        <v>18</v>
      </c>
      <c r="P21" s="521"/>
      <c r="Q21" s="251"/>
      <c r="R21" s="251"/>
      <c r="S21" s="251"/>
      <c r="T21" s="251"/>
      <c r="U21" s="251"/>
      <c r="V21" s="251"/>
      <c r="W21" s="251"/>
      <c r="X21" s="251"/>
      <c r="Y21" s="251"/>
      <c r="Z21" s="251"/>
      <c r="AA21" s="251" t="s">
        <v>19</v>
      </c>
      <c r="AB21" s="252" t="s">
        <v>20</v>
      </c>
      <c r="AC21" s="253" t="s">
        <v>21</v>
      </c>
      <c r="AD21" s="697">
        <f>IF(ISNA(IF(AD20="Quoted",INDEX(Matrix2!P45:P52,MATCH(Pricing!E20,Matrix2!K45:K52,0))+AC22*Matrix2!C19,INDEX(Matrix2!P3:P10,MATCH(Pricing!E20,Matrix2!K3:K10,0))+(AC22*Matrix2!C19)+Matrix2!O30+Matrix2!V30+Matrix2!R30+Matrix2!P30)),,IF(AD20="Quoted",INDEX(Matrix2!P45:P52,MATCH(Pricing!E20,Matrix2!K45:K52,0))+AC22*Matrix2!C19+Matrix2!O72+Matrix2!V72+Matrix2!R72+Matrix2!P72,INDEX(Matrix2!P3:P10,MATCH(Pricing!E20,Matrix2!K3:K10,0))+AC22*Matrix2!C19)+Matrix2!O30+Matrix2!V30+Matrix2!R30+Matrix2!P30)</f>
        <v>0</v>
      </c>
      <c r="AE21" s="698"/>
    </row>
    <row r="22" spans="2:35" ht="15.75" thickBot="1" x14ac:dyDescent="0.25">
      <c r="B22" s="479"/>
      <c r="C22" s="264"/>
      <c r="D22" s="481"/>
      <c r="E22" s="484"/>
      <c r="F22" s="255" t="s">
        <v>28</v>
      </c>
      <c r="G22" s="256"/>
      <c r="H22" s="487"/>
      <c r="I22" s="529"/>
      <c r="J22" s="487"/>
      <c r="K22" s="506"/>
      <c r="L22" s="484"/>
      <c r="M22" s="506"/>
      <c r="N22" s="487"/>
      <c r="O22" s="493" t="s">
        <v>22</v>
      </c>
      <c r="P22" s="494"/>
      <c r="Q22" s="495" t="str">
        <f>IF(AND(D20="S/Shade",E20="Samoa"),"S/SHADE NOT AVAILABLE IN SAMOA","")</f>
        <v/>
      </c>
      <c r="R22" s="496"/>
      <c r="S22" s="496"/>
      <c r="T22" s="496"/>
      <c r="U22" s="496"/>
      <c r="V22" s="496"/>
      <c r="W22" s="496"/>
      <c r="X22" s="496"/>
      <c r="Y22" s="496"/>
      <c r="Z22" s="496"/>
      <c r="AA22" s="497"/>
      <c r="AB22" s="257" t="s">
        <v>23</v>
      </c>
      <c r="AC22" s="261">
        <f>IF(AD20="Quoted",Matrix2!N72,Matrix2!N30)</f>
        <v>0</v>
      </c>
      <c r="AD22" s="699">
        <f>IF(ISNA(IF(AD20="Quoted",INDEX(Matrix2!P57:P64,MATCH(Pricing!E20,Matrix2!K57:K64,0))+AC22*Matrix2!C19+Matrix2!O72+Matrix2!V72+Matrix2!R72+Matrix2!P72,INDEX(Matrix2!P15:P22,MATCH(Pricing!E20,Matrix2!K15:K22,0))+AC22*Matrix2!C19+Matrix2!O30+Matrix2!V30+Matrix2!R30+Matrix2!P30)),,IF(AD20="Quoted",INDEX(Matrix2!P57:P64,MATCH(Pricing!E20,Matrix2!K57:K64,0))+AC22*Matrix2!C19+Matrix2!O72+Matrix2!V72+Matrix2!R72+Matrix2!P72,INDEX(Matrix2!P15:P22,MATCH(Pricing!E20,Matrix2!K15:K22,0))+AC22*Matrix2!C19)+Matrix2!O30+Matrix2!V30+Matrix2!R30+Matrix2!P30)</f>
        <v>0</v>
      </c>
      <c r="AE22" s="700"/>
      <c r="AI22" s="177" t="s">
        <v>30</v>
      </c>
    </row>
    <row r="23" spans="2:35" ht="15.75" customHeight="1" thickTop="1" x14ac:dyDescent="0.2">
      <c r="B23" s="479">
        <v>6</v>
      </c>
      <c r="C23" s="265"/>
      <c r="D23" s="498"/>
      <c r="E23" s="488"/>
      <c r="F23" s="516"/>
      <c r="G23" s="517"/>
      <c r="H23" s="498"/>
      <c r="I23" s="498"/>
      <c r="J23" s="498"/>
      <c r="K23" s="488"/>
      <c r="L23" s="488"/>
      <c r="M23" s="488"/>
      <c r="N23" s="498" t="s">
        <v>25</v>
      </c>
      <c r="O23" s="509" t="s">
        <v>16</v>
      </c>
      <c r="P23" s="510"/>
      <c r="Q23" s="235"/>
      <c r="R23" s="235"/>
      <c r="S23" s="235"/>
      <c r="T23" s="235"/>
      <c r="U23" s="235"/>
      <c r="V23" s="235"/>
      <c r="W23" s="235"/>
      <c r="X23" s="235"/>
      <c r="Y23" s="235"/>
      <c r="Z23" s="235"/>
      <c r="AA23" s="235"/>
      <c r="AB23" s="236"/>
      <c r="AC23" s="237"/>
      <c r="AD23" s="710" t="s">
        <v>17</v>
      </c>
      <c r="AE23" s="711"/>
    </row>
    <row r="24" spans="2:35" x14ac:dyDescent="0.2">
      <c r="B24" s="479"/>
      <c r="C24" s="238"/>
      <c r="D24" s="499"/>
      <c r="E24" s="489"/>
      <c r="F24" s="491" t="str">
        <f>IF(AND(E23="Bermuda",F23="Custom Colour"),"Not Black",IF(AND(E23="Cuba",F23="Custom Colour"),"Solid Colours Only",IF(AND(E23="Java",F23="Custom Colour"),"Solid (no Black)",IF(AND(E23="Samoa",F23="Custom Colour"),"Surcharge for black",IF(D23="S/Shade","Note Shade Colour","")))))</f>
        <v/>
      </c>
      <c r="G24" s="492"/>
      <c r="H24" s="499"/>
      <c r="I24" s="499"/>
      <c r="J24" s="499"/>
      <c r="K24" s="489"/>
      <c r="L24" s="489"/>
      <c r="M24" s="489"/>
      <c r="N24" s="499"/>
      <c r="O24" s="511" t="s">
        <v>18</v>
      </c>
      <c r="P24" s="512"/>
      <c r="Q24" s="239"/>
      <c r="R24" s="239"/>
      <c r="S24" s="239"/>
      <c r="T24" s="239"/>
      <c r="U24" s="239"/>
      <c r="V24" s="239"/>
      <c r="W24" s="239"/>
      <c r="X24" s="239"/>
      <c r="Y24" s="239"/>
      <c r="Z24" s="239"/>
      <c r="AA24" s="239" t="s">
        <v>19</v>
      </c>
      <c r="AB24" s="215" t="s">
        <v>20</v>
      </c>
      <c r="AC24" s="216" t="s">
        <v>21</v>
      </c>
      <c r="AD24" s="708">
        <f>IF(ISNA(IF(AD23="Quoted",INDEX(Matrix2!Q45:Q52,MATCH(Pricing!E23,Matrix2!K45:K52,0))+AC25*Matrix2!C19,INDEX(Matrix2!Q3:Q10,MATCH(Pricing!E23,Matrix2!K3:K10,0))+(AC25*Matrix2!C19)+Matrix2!O31+Matrix2!V31+Matrix2!R31+Matrix2!P31)),,IF(AD23="Quoted",INDEX(Matrix2!Q45:Q52,MATCH(Pricing!E23,Matrix2!K45:K52,0))+AC25*Matrix2!C19+Matrix2!O73+Matrix2!V73+Matrix2!R73+Matrix2!P73,INDEX(Matrix2!Q3:Q10,MATCH(Pricing!E23,Matrix2!K3:K10,0))+AC25*Matrix2!C19)+Matrix2!O31+Matrix2!V31+Matrix2!R31+Matrix2!P31)</f>
        <v>0</v>
      </c>
      <c r="AE24" s="709"/>
    </row>
    <row r="25" spans="2:35" ht="15.75" thickBot="1" x14ac:dyDescent="0.25">
      <c r="B25" s="479"/>
      <c r="C25" s="266"/>
      <c r="D25" s="499"/>
      <c r="E25" s="500"/>
      <c r="F25" s="240" t="s">
        <v>28</v>
      </c>
      <c r="G25" s="241"/>
      <c r="H25" s="518"/>
      <c r="I25" s="519"/>
      <c r="J25" s="518"/>
      <c r="K25" s="490"/>
      <c r="L25" s="490"/>
      <c r="M25" s="490"/>
      <c r="N25" s="519"/>
      <c r="O25" s="504" t="s">
        <v>22</v>
      </c>
      <c r="P25" s="505"/>
      <c r="Q25" s="501"/>
      <c r="R25" s="502"/>
      <c r="S25" s="502"/>
      <c r="T25" s="502"/>
      <c r="U25" s="502"/>
      <c r="V25" s="502"/>
      <c r="W25" s="502"/>
      <c r="X25" s="502"/>
      <c r="Y25" s="502"/>
      <c r="Z25" s="502"/>
      <c r="AA25" s="503"/>
      <c r="AB25" s="242" t="s">
        <v>23</v>
      </c>
      <c r="AC25" s="243">
        <f>IF(AD23="Quoted",Matrix2!N73,Matrix2!N31)</f>
        <v>0</v>
      </c>
      <c r="AD25" s="699">
        <f>IF(ISNA(IF(AD23="Quoted",INDEX(Matrix2!Q57:Q64,MATCH(Pricing!E23,Matrix2!K57:K64,0))+AC25*Matrix2!C19+Matrix2!O73+Matrix2!V73+Matrix2!R73+Matrix2!P73,INDEX(Matrix2!Q15:Q22,MATCH(Pricing!E23,Matrix2!K15:K22,0))+AC25*Matrix2!C19+Matrix2!O31+Matrix2!V31+Matrix2!R31+Matrix2!P31)),,IF(AD23="Quoted",INDEX(Matrix2!Q57:Q64,MATCH(Pricing!E23,Matrix2!K57:K64,0))+AC25*Matrix2!C19+Matrix2!O73+Matrix2!V73+Matrix2!R73+Matrix2!P73,INDEX(Matrix2!Q15:Q22,MATCH(Pricing!E23,Matrix2!K15:K22,0))+AC25*Matrix2!C19)+Matrix2!O31+Matrix2!V31+Matrix2!R31+Matrix2!P31)</f>
        <v>0</v>
      </c>
      <c r="AE25" s="700"/>
    </row>
    <row r="26" spans="2:35" ht="15.75" customHeight="1" thickTop="1" x14ac:dyDescent="0.2">
      <c r="B26" s="479">
        <v>7</v>
      </c>
      <c r="C26" s="248"/>
      <c r="D26" s="480"/>
      <c r="E26" s="482"/>
      <c r="F26" s="485"/>
      <c r="G26" s="486"/>
      <c r="H26" s="480"/>
      <c r="I26" s="480"/>
      <c r="J26" s="480"/>
      <c r="K26" s="482"/>
      <c r="L26" s="482"/>
      <c r="M26" s="482"/>
      <c r="N26" s="480" t="s">
        <v>25</v>
      </c>
      <c r="O26" s="507" t="s">
        <v>16</v>
      </c>
      <c r="P26" s="508"/>
      <c r="Q26" s="247"/>
      <c r="R26" s="247"/>
      <c r="S26" s="247"/>
      <c r="T26" s="247"/>
      <c r="U26" s="247"/>
      <c r="V26" s="247"/>
      <c r="W26" s="247"/>
      <c r="X26" s="247"/>
      <c r="Y26" s="247"/>
      <c r="Z26" s="247"/>
      <c r="AA26" s="247"/>
      <c r="AB26" s="259"/>
      <c r="AC26" s="260"/>
      <c r="AD26" s="701" t="s">
        <v>17</v>
      </c>
      <c r="AE26" s="702"/>
    </row>
    <row r="27" spans="2:35" x14ac:dyDescent="0.2">
      <c r="B27" s="479"/>
      <c r="C27" s="250"/>
      <c r="D27" s="481"/>
      <c r="E27" s="483"/>
      <c r="F27" s="522" t="str">
        <f>IF(AND(E26="Bermuda",F26="Custom Colour"),"Not Black",IF(AND(E26="Cuba",F26="Custom Colour"),"Solid Colours Only",IF(AND(E26="Java",F26="Custom Colour"),"Solid (no Black)",IF(AND(E26="Samoa",F26="Custom Colour"),"Surcharge for black",IF(D26="S/Shade","Note Shade Colour","")))))</f>
        <v/>
      </c>
      <c r="G27" s="523"/>
      <c r="H27" s="481"/>
      <c r="I27" s="481"/>
      <c r="J27" s="481"/>
      <c r="K27" s="483"/>
      <c r="L27" s="483"/>
      <c r="M27" s="483"/>
      <c r="N27" s="481"/>
      <c r="O27" s="520" t="s">
        <v>18</v>
      </c>
      <c r="P27" s="521"/>
      <c r="Q27" s="251"/>
      <c r="R27" s="251"/>
      <c r="S27" s="251"/>
      <c r="T27" s="251"/>
      <c r="U27" s="251"/>
      <c r="V27" s="251"/>
      <c r="W27" s="251"/>
      <c r="X27" s="251"/>
      <c r="Y27" s="251"/>
      <c r="Z27" s="251"/>
      <c r="AA27" s="251" t="s">
        <v>19</v>
      </c>
      <c r="AB27" s="252" t="s">
        <v>20</v>
      </c>
      <c r="AC27" s="253" t="s">
        <v>21</v>
      </c>
      <c r="AD27" s="697">
        <f>IF(ISNA(IF(AD26="Quoted",INDEX(Matrix2!R45:R52,MATCH(Pricing!E26,Matrix2!K45:K52,0))+AC28*Matrix2!C19,INDEX(Matrix2!R3:R10,MATCH(Pricing!E26,Matrix2!K3:K10,0))+(AC28*Matrix2!C19)+Matrix2!O32+Matrix2!V32+Matrix2!R32+Matrix2!P32)),,IF(AD26="Quoted",INDEX(Matrix2!R45:R52,MATCH(Pricing!E26,Matrix2!K45:K52,0))+AC28*Matrix2!C19+Matrix2!O74+Matrix2!V74+Matrix2!R74+Matrix2!P74,INDEX(Matrix2!R3:R10,MATCH(Pricing!E26,Matrix2!K3:K10,0))+AC28*Matrix2!C19)+Matrix2!O32+Matrix2!V32+Matrix2!R32+Matrix2!P32)</f>
        <v>0</v>
      </c>
      <c r="AE27" s="698"/>
    </row>
    <row r="28" spans="2:35" ht="15.75" thickBot="1" x14ac:dyDescent="0.25">
      <c r="B28" s="479"/>
      <c r="C28" s="264"/>
      <c r="D28" s="481"/>
      <c r="E28" s="483"/>
      <c r="F28" s="255" t="s">
        <v>28</v>
      </c>
      <c r="G28" s="256"/>
      <c r="H28" s="487"/>
      <c r="I28" s="529"/>
      <c r="J28" s="487"/>
      <c r="K28" s="506"/>
      <c r="L28" s="506"/>
      <c r="M28" s="506"/>
      <c r="N28" s="487"/>
      <c r="O28" s="493" t="s">
        <v>22</v>
      </c>
      <c r="P28" s="494"/>
      <c r="Q28" s="495" t="str">
        <f>IF(AND(D26="S/Shade",E26="Samoa"),"S/SHADE NOT AVAILABLE IN SAMOA","")</f>
        <v/>
      </c>
      <c r="R28" s="496"/>
      <c r="S28" s="496"/>
      <c r="T28" s="496"/>
      <c r="U28" s="496"/>
      <c r="V28" s="496"/>
      <c r="W28" s="496"/>
      <c r="X28" s="496"/>
      <c r="Y28" s="496"/>
      <c r="Z28" s="496"/>
      <c r="AA28" s="497"/>
      <c r="AB28" s="257" t="s">
        <v>23</v>
      </c>
      <c r="AC28" s="261">
        <f>IF(AD26="Quoted",Matrix2!N74,Matrix2!N32)</f>
        <v>0</v>
      </c>
      <c r="AD28" s="699">
        <f>IF(ISNA(IF(AD26="Quoted",INDEX(Matrix2!R57:R64,MATCH(Pricing!E26,Matrix2!K57:K64,0))+AC28*Matrix2!C19+Matrix2!O74+Matrix2!V74+Matrix2!R74+Matrix2!P74,INDEX(Matrix2!R15:R22,MATCH(Pricing!E26,Matrix2!K15:K22,0))+AC28*Matrix2!C19+Matrix2!O32+Matrix2!V32+Matrix2!R32+Matrix2!P32)),,IF(AD26="Quoted",INDEX(Matrix2!R57:R64,MATCH(Pricing!E26,Matrix2!K57:K64,0))+AC28*Matrix2!C19+Matrix2!O74+Matrix2!V74+Matrix2!R74+Matrix2!P74,INDEX(Matrix2!R15:R22,MATCH(Pricing!E26,Matrix2!K15:K22,0))+AC28*Matrix2!C19)+Matrix2!O32+Matrix2!V32+Matrix2!R32+Matrix2!P32)</f>
        <v>0</v>
      </c>
      <c r="AE28" s="700"/>
    </row>
    <row r="29" spans="2:35" ht="15.75" customHeight="1" thickTop="1" x14ac:dyDescent="0.2">
      <c r="B29" s="479">
        <v>8</v>
      </c>
      <c r="C29" s="265"/>
      <c r="D29" s="498"/>
      <c r="E29" s="488"/>
      <c r="F29" s="516"/>
      <c r="G29" s="517"/>
      <c r="H29" s="498"/>
      <c r="I29" s="498"/>
      <c r="J29" s="498"/>
      <c r="K29" s="488"/>
      <c r="L29" s="488"/>
      <c r="M29" s="488"/>
      <c r="N29" s="498" t="s">
        <v>25</v>
      </c>
      <c r="O29" s="509" t="s">
        <v>16</v>
      </c>
      <c r="P29" s="510"/>
      <c r="Q29" s="235"/>
      <c r="R29" s="235"/>
      <c r="S29" s="235"/>
      <c r="T29" s="235"/>
      <c r="U29" s="235"/>
      <c r="V29" s="235"/>
      <c r="W29" s="235"/>
      <c r="X29" s="235"/>
      <c r="Y29" s="235"/>
      <c r="Z29" s="235"/>
      <c r="AA29" s="235"/>
      <c r="AB29" s="236"/>
      <c r="AC29" s="237"/>
      <c r="AD29" s="710" t="s">
        <v>17</v>
      </c>
      <c r="AE29" s="711"/>
    </row>
    <row r="30" spans="2:35" x14ac:dyDescent="0.2">
      <c r="B30" s="479"/>
      <c r="C30" s="238"/>
      <c r="D30" s="499"/>
      <c r="E30" s="489"/>
      <c r="F30" s="491" t="str">
        <f>IF(AND(E29="Bermuda",F29="Custom Colour"),"Not Black",IF(AND(E29="Cuba",F29="Custom Colour"),"Solid Colours Only",IF(AND(E29="Java",F29="Custom Colour"),"Solid (no Black)",IF(AND(E29="Samoa",F29="Custom Colour"),"Surcharge for black",IF(D29="S/Shade","Note Shade Colour","")))))</f>
        <v/>
      </c>
      <c r="G30" s="492"/>
      <c r="H30" s="499"/>
      <c r="I30" s="499"/>
      <c r="J30" s="499"/>
      <c r="K30" s="489"/>
      <c r="L30" s="489"/>
      <c r="M30" s="489"/>
      <c r="N30" s="499"/>
      <c r="O30" s="511" t="s">
        <v>18</v>
      </c>
      <c r="P30" s="512"/>
      <c r="Q30" s="239"/>
      <c r="R30" s="239"/>
      <c r="S30" s="239"/>
      <c r="T30" s="239"/>
      <c r="U30" s="239"/>
      <c r="V30" s="239"/>
      <c r="W30" s="239"/>
      <c r="X30" s="239"/>
      <c r="Y30" s="239"/>
      <c r="Z30" s="239"/>
      <c r="AA30" s="239" t="s">
        <v>19</v>
      </c>
      <c r="AB30" s="215" t="s">
        <v>20</v>
      </c>
      <c r="AC30" s="216" t="s">
        <v>21</v>
      </c>
      <c r="AD30" s="708">
        <f>IF(ISNA(IF(AD29="Quoted",INDEX(Matrix2!S45:S52,MATCH(Pricing!E29,Matrix2!K45:K52,0))+AC31*Matrix2!C19,INDEX(Matrix2!S3:S10,MATCH(Pricing!E29,Matrix2!K3:K10,0))+(AC31*Matrix2!C19)+Matrix2!O33+Matrix2!V33+Matrix2!R33+Matrix2!P33)),,IF(AD29="Quoted",INDEX(Matrix2!S45:S52,MATCH(Pricing!E29,Matrix2!K45:K52,0))+AC31*Matrix2!C19+Matrix2!O75+Matrix2!V75+Matrix2!R75+Matrix2!P75,INDEX(Matrix2!S3:S10,MATCH(Pricing!E29,Matrix2!K3:K10,0))+AC31*Matrix2!C19)+Matrix2!O33+Matrix2!V33+Matrix2!R33+Matrix2!P33)</f>
        <v>0</v>
      </c>
      <c r="AE30" s="709"/>
    </row>
    <row r="31" spans="2:35" ht="15.75" thickBot="1" x14ac:dyDescent="0.25">
      <c r="B31" s="479"/>
      <c r="C31" s="266"/>
      <c r="D31" s="499"/>
      <c r="E31" s="489"/>
      <c r="F31" s="240" t="s">
        <v>28</v>
      </c>
      <c r="G31" s="241"/>
      <c r="H31" s="518"/>
      <c r="I31" s="519"/>
      <c r="J31" s="518"/>
      <c r="K31" s="490"/>
      <c r="L31" s="490"/>
      <c r="M31" s="490"/>
      <c r="N31" s="518"/>
      <c r="O31" s="504" t="s">
        <v>22</v>
      </c>
      <c r="P31" s="505"/>
      <c r="Q31" s="501" t="str">
        <f>IF(AND(D29="S/Shade",E29="Samoa"),"S/SHADE NOT AVAILABLE IN SAMOA","")</f>
        <v/>
      </c>
      <c r="R31" s="502"/>
      <c r="S31" s="502"/>
      <c r="T31" s="502"/>
      <c r="U31" s="502"/>
      <c r="V31" s="502"/>
      <c r="W31" s="502"/>
      <c r="X31" s="502"/>
      <c r="Y31" s="502"/>
      <c r="Z31" s="502"/>
      <c r="AA31" s="503"/>
      <c r="AB31" s="242" t="s">
        <v>23</v>
      </c>
      <c r="AC31" s="243">
        <f>IF(AD29="Quoted",Matrix2!N75,Matrix2!N33)</f>
        <v>0</v>
      </c>
      <c r="AD31" s="699">
        <f>IF(ISNA(IF(AD29="Quoted",INDEX(Matrix2!S57:S64,MATCH(Pricing!E29,Matrix2!K57:K64,0))+AC31*Matrix2!C19+Matrix2!O75+Matrix2!V75+Matrix2!R75+Matrix2!P75,INDEX(Matrix2!S15:S22,MATCH(Pricing!E29,Matrix2!K15:K22,0))+AC31*Matrix2!C19+Matrix2!O33+Matrix2!V33+Matrix2!R33+Matrix2!P33)),,IF(AD29="Quoted",INDEX(Matrix2!S57:S64,MATCH(Pricing!E29,Matrix2!K57:K64,0))+AC31*Matrix2!C19+Matrix2!O75+Matrix2!V75+Matrix2!R75+Matrix2!P75,INDEX(Matrix2!S15:S22,MATCH(Pricing!E29,Matrix2!K15:K22,0))+AC31*Matrix2!C19)+Matrix2!O33+Matrix2!V33+Matrix2!R33+Matrix2!P33)</f>
        <v>0</v>
      </c>
      <c r="AE31" s="700"/>
    </row>
    <row r="32" spans="2:35" ht="15.75" customHeight="1" thickTop="1" x14ac:dyDescent="0.2">
      <c r="B32" s="479">
        <v>9</v>
      </c>
      <c r="C32" s="248"/>
      <c r="D32" s="480"/>
      <c r="E32" s="482"/>
      <c r="F32" s="485"/>
      <c r="G32" s="486"/>
      <c r="H32" s="480"/>
      <c r="I32" s="480"/>
      <c r="J32" s="480"/>
      <c r="K32" s="482"/>
      <c r="L32" s="482"/>
      <c r="M32" s="482"/>
      <c r="N32" s="480" t="s">
        <v>25</v>
      </c>
      <c r="O32" s="507" t="s">
        <v>16</v>
      </c>
      <c r="P32" s="508"/>
      <c r="Q32" s="247"/>
      <c r="R32" s="247"/>
      <c r="S32" s="247"/>
      <c r="T32" s="247"/>
      <c r="U32" s="247"/>
      <c r="V32" s="247"/>
      <c r="W32" s="247"/>
      <c r="X32" s="247"/>
      <c r="Y32" s="247"/>
      <c r="Z32" s="247"/>
      <c r="AA32" s="247"/>
      <c r="AB32" s="259"/>
      <c r="AC32" s="260"/>
      <c r="AD32" s="701" t="s">
        <v>17</v>
      </c>
      <c r="AE32" s="702"/>
    </row>
    <row r="33" spans="2:31" x14ac:dyDescent="0.2">
      <c r="B33" s="479"/>
      <c r="C33" s="250"/>
      <c r="D33" s="481"/>
      <c r="E33" s="483"/>
      <c r="F33" s="522" t="str">
        <f>IF(AND(E32="Bermuda",F32="Custom Colour"),"Not Black",IF(AND(E32="Cuba",F32="Custom Colour"),"Solid Colours Only",IF(AND(E32="Java",F32="Custom Colour"),"Solid (no Black)",IF(AND(E32="Samoa",F32="Custom Colour"),"Surcharge for black",IF(D32="S/Shade","Note Shade Colour","")))))</f>
        <v/>
      </c>
      <c r="G33" s="523"/>
      <c r="H33" s="481"/>
      <c r="I33" s="481"/>
      <c r="J33" s="481"/>
      <c r="K33" s="483"/>
      <c r="L33" s="483"/>
      <c r="M33" s="483"/>
      <c r="N33" s="481"/>
      <c r="O33" s="520" t="s">
        <v>18</v>
      </c>
      <c r="P33" s="521"/>
      <c r="Q33" s="251"/>
      <c r="R33" s="251"/>
      <c r="S33" s="251"/>
      <c r="T33" s="251"/>
      <c r="U33" s="251"/>
      <c r="V33" s="251"/>
      <c r="W33" s="251"/>
      <c r="X33" s="251"/>
      <c r="Y33" s="251"/>
      <c r="Z33" s="251"/>
      <c r="AA33" s="251" t="s">
        <v>19</v>
      </c>
      <c r="AB33" s="252" t="s">
        <v>20</v>
      </c>
      <c r="AC33" s="253" t="s">
        <v>21</v>
      </c>
      <c r="AD33" s="697">
        <f>IF(ISNA(IF(AD32="Quoted",INDEX(Matrix2!T45:T52,MATCH(Pricing!E32,Matrix2!K45:K52,0))+AC34*Matrix2!C19,INDEX(Matrix2!T3:T10,MATCH(Pricing!E32,Matrix2!K3:K10,0))+(AC34*Matrix2!C19)+Matrix2!O34+Matrix2!V34+Matrix2!R34+Matrix2!P34)),,IF(AD32="Quoted",INDEX(Matrix2!T45:T52,MATCH(Pricing!E32,Matrix2!K45:K52,0))+AC34*Matrix2!C19+Matrix2!O76+Matrix2!V76+Matrix2!R76+Matrix2!P76,INDEX(Matrix2!T3:T10,MATCH(Pricing!E32,Matrix2!K3:K10,0))+AC34*Matrix2!C19)+Matrix2!O34+Matrix2!V34+Matrix2!R34+Matrix2!P34)</f>
        <v>0</v>
      </c>
      <c r="AE33" s="698"/>
    </row>
    <row r="34" spans="2:31" ht="15.75" thickBot="1" x14ac:dyDescent="0.25">
      <c r="B34" s="479"/>
      <c r="C34" s="264"/>
      <c r="D34" s="481"/>
      <c r="E34" s="483"/>
      <c r="F34" s="255" t="s">
        <v>28</v>
      </c>
      <c r="G34" s="256"/>
      <c r="H34" s="487"/>
      <c r="I34" s="529"/>
      <c r="J34" s="487"/>
      <c r="K34" s="506"/>
      <c r="L34" s="506"/>
      <c r="M34" s="506"/>
      <c r="N34" s="487"/>
      <c r="O34" s="493" t="s">
        <v>22</v>
      </c>
      <c r="P34" s="494"/>
      <c r="Q34" s="495" t="str">
        <f>IF(AND(D32="S/Shade",E32="Samoa"),"S/SHADE NOT AVAILABLE IN SAMOA","")</f>
        <v/>
      </c>
      <c r="R34" s="496"/>
      <c r="S34" s="496"/>
      <c r="T34" s="496"/>
      <c r="U34" s="496"/>
      <c r="V34" s="496"/>
      <c r="W34" s="496"/>
      <c r="X34" s="496"/>
      <c r="Y34" s="496"/>
      <c r="Z34" s="496"/>
      <c r="AA34" s="497"/>
      <c r="AB34" s="257" t="s">
        <v>23</v>
      </c>
      <c r="AC34" s="261">
        <f>IF(AD32="Quoted",Matrix2!N76,Matrix2!N34)</f>
        <v>0</v>
      </c>
      <c r="AD34" s="699">
        <f>IF(ISNA(IF(AD32="Quoted",INDEX(Matrix2!T57:T64,MATCH(Pricing!E32,Matrix2!K57:K64,0))+AC34*Matrix2!C19+Matrix2!O76+Matrix2!V76+Matrix2!R76+Matrix2!P76,INDEX(Matrix2!T15:T22,MATCH(Pricing!E32,Matrix2!K15:K22,0))+AC34*Matrix2!C19+Matrix2!O34+Matrix2!V34+Matrix2!R34+Matrix2!P34)),,IF(AD32="Quoted",INDEX(Matrix2!T57:T64,MATCH(Pricing!E32,Matrix2!K57:K64,0))+AC34*Matrix2!C19+Matrix2!O76+Matrix2!V76+Matrix2!R76+Matrix2!P76,INDEX(Matrix2!T15:T22,MATCH(Pricing!E32,Matrix2!K15:K22,0))+AC34*Matrix2!C19)+Matrix2!O34+Matrix2!V34+Matrix2!R34+Matrix2!P34)</f>
        <v>0</v>
      </c>
      <c r="AE34" s="700"/>
    </row>
    <row r="35" spans="2:31" ht="15.75" thickTop="1" x14ac:dyDescent="0.2">
      <c r="B35" s="479">
        <v>10</v>
      </c>
      <c r="C35" s="265"/>
      <c r="D35" s="498"/>
      <c r="E35" s="488"/>
      <c r="F35" s="516"/>
      <c r="G35" s="517"/>
      <c r="H35" s="498"/>
      <c r="I35" s="498"/>
      <c r="J35" s="498"/>
      <c r="K35" s="488"/>
      <c r="L35" s="488"/>
      <c r="M35" s="488"/>
      <c r="N35" s="498" t="s">
        <v>25</v>
      </c>
      <c r="O35" s="509" t="s">
        <v>16</v>
      </c>
      <c r="P35" s="510"/>
      <c r="Q35" s="235"/>
      <c r="R35" s="235"/>
      <c r="S35" s="235"/>
      <c r="T35" s="235"/>
      <c r="U35" s="235"/>
      <c r="V35" s="235"/>
      <c r="W35" s="235"/>
      <c r="X35" s="235"/>
      <c r="Y35" s="235"/>
      <c r="Z35" s="235"/>
      <c r="AA35" s="235"/>
      <c r="AB35" s="236"/>
      <c r="AC35" s="237"/>
      <c r="AD35" s="710" t="s">
        <v>17</v>
      </c>
      <c r="AE35" s="711"/>
    </row>
    <row r="36" spans="2:31" x14ac:dyDescent="0.2">
      <c r="B36" s="479"/>
      <c r="C36" s="238"/>
      <c r="D36" s="499"/>
      <c r="E36" s="489"/>
      <c r="F36" s="491" t="str">
        <f>IF(AND(E35="Bermuda",F35="Custom Colour"),"Not Black",IF(AND(E35="Cuba",F35="Custom Colour"),"Solid Colours Only",IF(AND(E35="Java",F35="Custom Colour"),"Solid (no Black)",IF(AND(E35="Samoa",F35="Custom Colour"),"Surcharge for black",IF(D35="S/Shade","Note Shade Colour","")))))</f>
        <v/>
      </c>
      <c r="G36" s="492"/>
      <c r="H36" s="499"/>
      <c r="I36" s="499"/>
      <c r="J36" s="499"/>
      <c r="K36" s="489"/>
      <c r="L36" s="489"/>
      <c r="M36" s="489"/>
      <c r="N36" s="499"/>
      <c r="O36" s="511" t="s">
        <v>18</v>
      </c>
      <c r="P36" s="512"/>
      <c r="Q36" s="239"/>
      <c r="R36" s="239"/>
      <c r="S36" s="239"/>
      <c r="T36" s="239"/>
      <c r="U36" s="239"/>
      <c r="V36" s="239"/>
      <c r="W36" s="239"/>
      <c r="X36" s="239"/>
      <c r="Y36" s="239"/>
      <c r="Z36" s="239"/>
      <c r="AA36" s="239" t="s">
        <v>19</v>
      </c>
      <c r="AB36" s="215" t="s">
        <v>20</v>
      </c>
      <c r="AC36" s="216" t="s">
        <v>21</v>
      </c>
      <c r="AD36" s="708">
        <f>IF(ISNA(IF(AD35="Quoted",INDEX(Matrix2!U45:U52,MATCH(Pricing!E35,Matrix2!K45:K52,0))+AC37*Matrix2!C19,INDEX(Matrix2!U3:U10,MATCH(Pricing!E35,Matrix2!K3:K10,0))+(AC37*Matrix2!C19)+Matrix2!O35+Matrix2!V35+Matrix2!R35+Matrix2!P35)),,IF(AD35="Quoted",INDEX(Matrix2!U45:U52,MATCH(Pricing!E35,Matrix2!K45:K52,0))+AC37*Matrix2!C19+Matrix2!O77+Matrix2!V77+Matrix2!R77+Matrix2!P77,INDEX(Matrix2!U3:U10,MATCH(Pricing!E35,Matrix2!K3:K10,0))+AC37*Matrix2!C19)+Matrix2!O35+Matrix2!V35+Matrix2!R35+Matrix2!P35)</f>
        <v>0</v>
      </c>
      <c r="AE36" s="709"/>
    </row>
    <row r="37" spans="2:31" ht="15.75" thickBot="1" x14ac:dyDescent="0.25">
      <c r="B37" s="479"/>
      <c r="C37" s="266"/>
      <c r="D37" s="499"/>
      <c r="E37" s="489"/>
      <c r="F37" s="240" t="s">
        <v>28</v>
      </c>
      <c r="G37" s="241"/>
      <c r="H37" s="518"/>
      <c r="I37" s="519"/>
      <c r="J37" s="518"/>
      <c r="K37" s="490"/>
      <c r="L37" s="490"/>
      <c r="M37" s="490"/>
      <c r="N37" s="518"/>
      <c r="O37" s="504" t="s">
        <v>22</v>
      </c>
      <c r="P37" s="505"/>
      <c r="Q37" s="501" t="str">
        <f>IF(AND(D35="S/Shade",E35="Samoa"),"S/SHADE NOT AVAILABLE in Samoa","")</f>
        <v/>
      </c>
      <c r="R37" s="502"/>
      <c r="S37" s="502"/>
      <c r="T37" s="502"/>
      <c r="U37" s="502"/>
      <c r="V37" s="502"/>
      <c r="W37" s="502"/>
      <c r="X37" s="502"/>
      <c r="Y37" s="502"/>
      <c r="Z37" s="502"/>
      <c r="AA37" s="503"/>
      <c r="AB37" s="242" t="s">
        <v>23</v>
      </c>
      <c r="AC37" s="243">
        <f>IF(AD35="Quoted",Matrix2!N77,Matrix2!N35)</f>
        <v>0</v>
      </c>
      <c r="AD37" s="699">
        <f>IF(ISNA(IF(AD35="Quoted",INDEX(Matrix2!U57:U64,MATCH(Pricing!E35,Matrix2!K57:K64,0))+AC37*Matrix2!C19+Matrix2!O77+Matrix2!V77+Matrix2!R77+Matrix2!P77,INDEX(Matrix2!U15:U22,MATCH(Pricing!E35,Matrix2!K15:K22,0))+AC37*Matrix2!C19+Matrix2!O35+Matrix2!V35+Matrix2!R35+Matrix2!P35)),,IF(AD35="Quoted",INDEX(Matrix2!U57:U64,MATCH(Pricing!E35,Matrix2!K57:K64,0))+AC37*Matrix2!C19+Matrix2!O77+Matrix2!V77+Matrix2!R77+Matrix2!P77,INDEX(Matrix2!U15:U22,MATCH(Pricing!E35,Matrix2!K15:K22,0))+AC37*Matrix2!C19)+Matrix2!O35+Matrix2!V35+Matrix2!R35+Matrix2!P35)</f>
        <v>0</v>
      </c>
      <c r="AE37" s="700"/>
    </row>
    <row r="38" spans="2:31" ht="15.75" thickTop="1" x14ac:dyDescent="0.2">
      <c r="B38" s="479">
        <v>11</v>
      </c>
      <c r="C38" s="248"/>
      <c r="D38" s="480"/>
      <c r="E38" s="482"/>
      <c r="F38" s="485"/>
      <c r="G38" s="486"/>
      <c r="H38" s="480"/>
      <c r="I38" s="480"/>
      <c r="J38" s="480"/>
      <c r="K38" s="482"/>
      <c r="L38" s="482"/>
      <c r="M38" s="482"/>
      <c r="N38" s="480" t="s">
        <v>25</v>
      </c>
      <c r="O38" s="507" t="s">
        <v>16</v>
      </c>
      <c r="P38" s="508"/>
      <c r="Q38" s="247"/>
      <c r="R38" s="247"/>
      <c r="S38" s="247"/>
      <c r="T38" s="247"/>
      <c r="U38" s="247"/>
      <c r="V38" s="247"/>
      <c r="W38" s="247"/>
      <c r="X38" s="247"/>
      <c r="Y38" s="247"/>
      <c r="Z38" s="247"/>
      <c r="AA38" s="247"/>
      <c r="AB38" s="259"/>
      <c r="AC38" s="260"/>
      <c r="AD38" s="701" t="s">
        <v>17</v>
      </c>
      <c r="AE38" s="702"/>
    </row>
    <row r="39" spans="2:31" x14ac:dyDescent="0.2">
      <c r="B39" s="479"/>
      <c r="C39" s="250"/>
      <c r="D39" s="481"/>
      <c r="E39" s="483"/>
      <c r="F39" s="522" t="str">
        <f>IF(AND(E38="Bermuda",F38="Custom Colour"),"Not Black",IF(AND(E38="Cuba",F38="Custom Colour"),"Solid Colours Only",IF(AND(E38="Java",F38="Custom Colour"),"Solid (no Black)",IF(AND(E38="Samoa",F38="Custom Colour"),"Surcharge for black",IF(D38="S/Shade","Note Shade Colour","")))))</f>
        <v/>
      </c>
      <c r="G39" s="523"/>
      <c r="H39" s="481"/>
      <c r="I39" s="481"/>
      <c r="J39" s="481"/>
      <c r="K39" s="483"/>
      <c r="L39" s="483"/>
      <c r="M39" s="483"/>
      <c r="N39" s="481"/>
      <c r="O39" s="520" t="s">
        <v>18</v>
      </c>
      <c r="P39" s="521"/>
      <c r="Q39" s="251"/>
      <c r="R39" s="251"/>
      <c r="S39" s="251"/>
      <c r="T39" s="251"/>
      <c r="U39" s="251"/>
      <c r="V39" s="251"/>
      <c r="W39" s="251"/>
      <c r="X39" s="251"/>
      <c r="Y39" s="251"/>
      <c r="Z39" s="251"/>
      <c r="AA39" s="251" t="s">
        <v>19</v>
      </c>
      <c r="AB39" s="252" t="s">
        <v>20</v>
      </c>
      <c r="AC39" s="253" t="s">
        <v>21</v>
      </c>
      <c r="AD39" s="697">
        <f>IF(ISNA(IF(AD38="Quoted",INDEX(Matrix2!V45:V52,MATCH(Pricing!E38,Matrix2!K45:K52,0))+AC40*Matrix2!C19,INDEX(Matrix2!V3:V10,MATCH(Pricing!E38,Matrix2!K3:K10,0))+(AC40*Matrix2!C19)+Matrix2!O36+Matrix2!V36+Matrix2!R36+Matrix2!P36)),,IF(AD38="Quoted",INDEX(Matrix2!V45:V52,MATCH(Pricing!E38,Matrix2!K45:K52,0))+AC40*Matrix2!C19+Matrix2!O78+Matrix2!V78+Matrix2!R78+Matrix2!P78,INDEX(Matrix2!V3:V10,MATCH(Pricing!E38,Matrix2!K3:K10,0))+AC40*Matrix2!C19)+Matrix2!O36+Matrix2!V36+Matrix2!R36+Matrix2!P36)</f>
        <v>0</v>
      </c>
      <c r="AE39" s="698"/>
    </row>
    <row r="40" spans="2:31" ht="15.75" thickBot="1" x14ac:dyDescent="0.25">
      <c r="B40" s="479"/>
      <c r="C40" s="264"/>
      <c r="D40" s="481"/>
      <c r="E40" s="483"/>
      <c r="F40" s="255" t="s">
        <v>28</v>
      </c>
      <c r="G40" s="256"/>
      <c r="H40" s="487"/>
      <c r="I40" s="529"/>
      <c r="J40" s="487"/>
      <c r="K40" s="506"/>
      <c r="L40" s="506"/>
      <c r="M40" s="506"/>
      <c r="N40" s="487"/>
      <c r="O40" s="493" t="s">
        <v>22</v>
      </c>
      <c r="P40" s="494"/>
      <c r="Q40" s="495" t="str">
        <f>IF(AND(D38="S/Shade",E38="Samoa"),"S/SHADE NOT AVAILABLE IN SAMOA","")</f>
        <v/>
      </c>
      <c r="R40" s="496"/>
      <c r="S40" s="496"/>
      <c r="T40" s="496"/>
      <c r="U40" s="496"/>
      <c r="V40" s="496"/>
      <c r="W40" s="496"/>
      <c r="X40" s="496"/>
      <c r="Y40" s="496"/>
      <c r="Z40" s="496"/>
      <c r="AA40" s="497"/>
      <c r="AB40" s="257" t="s">
        <v>23</v>
      </c>
      <c r="AC40" s="261">
        <f>IF(AD38="Quoted",Matrix2!N78,Matrix2!N36)</f>
        <v>0</v>
      </c>
      <c r="AD40" s="699">
        <f>IF(ISNA(IF(AD35="Quoted",INDEX(Matrix2!V57:V64,MATCH(Pricing!E35,Matrix2!K57:K64,0))+AC37*Matrix2!C19+Matrix2!O78+Matrix2!V78+Matrix2!R78+Matrix2!P78,INDEX(Matrix2!V15:V22,MATCH(Pricing!E35,Matrix2!K15:K22,0))+AC37*Matrix2!C19+Matrix2!O36+Matrix2!V36+Matrix2!R36+Matrix2!P36)),,IF(AD38="Quoted",INDEX(Matrix2!V57:V64,MATCH(Pricing!E35,Matrix2!K57:K64,0))+AC37*Matrix2!C19+Matrix2!O78+Matrix2!V78+Matrix2!R78+Matrix2!P78,INDEX(Matrix2!V15:V22,MATCH(Pricing!E35,Matrix2!K15:K22,0))+AC37*Matrix2!C19)+Matrix2!O36+Matrix2!V36+Matrix2!R36+Matrix2!P36)</f>
        <v>0</v>
      </c>
      <c r="AE40" s="700"/>
    </row>
    <row r="41" spans="2:31" ht="15.75" thickTop="1" x14ac:dyDescent="0.2">
      <c r="B41" s="479">
        <v>12</v>
      </c>
      <c r="C41" s="265"/>
      <c r="D41" s="498"/>
      <c r="E41" s="488"/>
      <c r="F41" s="516"/>
      <c r="G41" s="517"/>
      <c r="H41" s="498"/>
      <c r="I41" s="498"/>
      <c r="J41" s="498"/>
      <c r="K41" s="488"/>
      <c r="L41" s="488"/>
      <c r="M41" s="488"/>
      <c r="N41" s="498" t="s">
        <v>25</v>
      </c>
      <c r="O41" s="509" t="s">
        <v>16</v>
      </c>
      <c r="P41" s="510"/>
      <c r="Q41" s="235"/>
      <c r="R41" s="235"/>
      <c r="S41" s="235"/>
      <c r="T41" s="235"/>
      <c r="U41" s="235"/>
      <c r="V41" s="235"/>
      <c r="W41" s="235"/>
      <c r="X41" s="235"/>
      <c r="Y41" s="235"/>
      <c r="Z41" s="235"/>
      <c r="AA41" s="235"/>
      <c r="AB41" s="236"/>
      <c r="AC41" s="244"/>
      <c r="AD41" s="710" t="s">
        <v>17</v>
      </c>
      <c r="AE41" s="711"/>
    </row>
    <row r="42" spans="2:31" x14ac:dyDescent="0.2">
      <c r="B42" s="479"/>
      <c r="C42" s="238"/>
      <c r="D42" s="499"/>
      <c r="E42" s="489"/>
      <c r="F42" s="491" t="str">
        <f>IF(AND(E41="Bermuda",F41="Custom Colour"),"Not Black",IF(AND(E41="Cuba",F41="Custom Colour"),"Solid Colours Only",IF(AND(E41="Java",F41="Custom Colour"),"Solid (no Black)",IF(AND(E41="Samoa",F41="Custom Colour"),"Surcharge for black",IF(D41="S/Shade","Note Shade Colour","")))))</f>
        <v/>
      </c>
      <c r="G42" s="492"/>
      <c r="H42" s="499"/>
      <c r="I42" s="499"/>
      <c r="J42" s="499"/>
      <c r="K42" s="489"/>
      <c r="L42" s="489"/>
      <c r="M42" s="489"/>
      <c r="N42" s="499"/>
      <c r="O42" s="511" t="s">
        <v>18</v>
      </c>
      <c r="P42" s="512"/>
      <c r="Q42" s="239"/>
      <c r="R42" s="239"/>
      <c r="S42" s="239"/>
      <c r="T42" s="239"/>
      <c r="U42" s="239"/>
      <c r="V42" s="239"/>
      <c r="W42" s="239"/>
      <c r="X42" s="239"/>
      <c r="Y42" s="239"/>
      <c r="Z42" s="239"/>
      <c r="AA42" s="239" t="s">
        <v>19</v>
      </c>
      <c r="AB42" s="215" t="s">
        <v>20</v>
      </c>
      <c r="AC42" s="216" t="s">
        <v>21</v>
      </c>
      <c r="AD42" s="708">
        <f>IF(ISNA(IF(AD41="Quoted",INDEX(Matrix2!W45:W52,MATCH(Pricing!E41,Matrix2!K45:K52,0))+AC43*Matrix2!C19,INDEX(Matrix2!W3:W10,MATCH(Pricing!E41,Matrix2!K3:K10,0))+(AC43*Matrix2!C19)+Matrix2!O37+Matrix2!V37+Matrix2!R37+Matrix2!P37)),,IF(AD41="Quoted",INDEX(Matrix2!W45:W52,MATCH(Pricing!E41,Matrix2!K45:K52,0))+AC43*Matrix2!C19+Matrix2!O79+Matrix2!V79+Matrix2!R79+Matrix2!P79,INDEX(Matrix2!W3:W10,MATCH(Pricing!E41,Matrix2!K3:K10,0))+AC43*Matrix2!C19)+Matrix2!O37+Matrix2!V37+Matrix2!R37+Matrix2!P37)</f>
        <v>0</v>
      </c>
      <c r="AE42" s="709"/>
    </row>
    <row r="43" spans="2:31" ht="15.75" thickBot="1" x14ac:dyDescent="0.25">
      <c r="B43" s="479"/>
      <c r="C43" s="266"/>
      <c r="D43" s="499"/>
      <c r="E43" s="489"/>
      <c r="F43" s="240" t="s">
        <v>28</v>
      </c>
      <c r="G43" s="241"/>
      <c r="H43" s="518"/>
      <c r="I43" s="519"/>
      <c r="J43" s="518"/>
      <c r="K43" s="490"/>
      <c r="L43" s="490"/>
      <c r="M43" s="490"/>
      <c r="N43" s="518"/>
      <c r="O43" s="504" t="s">
        <v>22</v>
      </c>
      <c r="P43" s="505"/>
      <c r="Q43" s="501" t="str">
        <f>IF(AND(D41="S/Shade",E41="Samoa"),"S/SHADE NOT AVAILABLE IN SAMOA","")</f>
        <v/>
      </c>
      <c r="R43" s="502"/>
      <c r="S43" s="502"/>
      <c r="T43" s="502"/>
      <c r="U43" s="502"/>
      <c r="V43" s="502"/>
      <c r="W43" s="502"/>
      <c r="X43" s="502"/>
      <c r="Y43" s="502"/>
      <c r="Z43" s="502"/>
      <c r="AA43" s="503"/>
      <c r="AB43" s="245" t="s">
        <v>23</v>
      </c>
      <c r="AC43" s="243">
        <f>IF(AD41="Quoted",Matrix2!N79,Matrix2!N37)</f>
        <v>0</v>
      </c>
      <c r="AD43" s="699">
        <f>IF(ISNA(IF(AD41="Quoted",INDEX(Matrix2!W57:W64,MATCH(Pricing!E41,Matrix2!K57:K64,0))+AC43*Matrix2!C19+Matrix2!O79+Matrix2!V79+Matrix2!R79+Matrix2!P79,INDEX(Matrix2!W15:W22,MATCH(Pricing!E41,Matrix2!K15:K22,0))+AC43*Matrix2!C19+Matrix2!O37+Matrix2!V37+Matrix2!R37+Matrix2!P37)),,IF(AD41="Quoted",INDEX(Matrix2!W57:W64,MATCH(Pricing!E41,Matrix2!K57:K64,0))+AC43*Matrix2!C19+Matrix2!O79+Matrix2!V79+Matrix2!R79+Matrix2!P79,INDEX(Matrix2!W15:W22,MATCH(Pricing!E41,Matrix2!K15:K22,0))+AC43*Matrix2!C19)+Matrix2!O37+Matrix2!V37+Matrix2!R37+Matrix2!P37)</f>
        <v>0</v>
      </c>
      <c r="AE43" s="700"/>
    </row>
    <row r="44" spans="2:31" ht="15.75" thickTop="1" x14ac:dyDescent="0.2">
      <c r="B44" s="479">
        <v>13</v>
      </c>
      <c r="C44" s="248"/>
      <c r="D44" s="480"/>
      <c r="E44" s="482"/>
      <c r="F44" s="485"/>
      <c r="G44" s="486"/>
      <c r="H44" s="480"/>
      <c r="I44" s="480"/>
      <c r="J44" s="480"/>
      <c r="K44" s="482"/>
      <c r="L44" s="482"/>
      <c r="M44" s="482"/>
      <c r="N44" s="480" t="s">
        <v>25</v>
      </c>
      <c r="O44" s="507" t="s">
        <v>16</v>
      </c>
      <c r="P44" s="508"/>
      <c r="Q44" s="247"/>
      <c r="R44" s="247"/>
      <c r="S44" s="247"/>
      <c r="T44" s="247"/>
      <c r="U44" s="247"/>
      <c r="V44" s="247"/>
      <c r="W44" s="247"/>
      <c r="X44" s="247"/>
      <c r="Y44" s="247"/>
      <c r="Z44" s="247"/>
      <c r="AA44" s="247"/>
      <c r="AB44" s="246"/>
      <c r="AC44" s="262"/>
      <c r="AD44" s="701" t="s">
        <v>17</v>
      </c>
      <c r="AE44" s="702"/>
    </row>
    <row r="45" spans="2:31" x14ac:dyDescent="0.2">
      <c r="B45" s="479"/>
      <c r="C45" s="250"/>
      <c r="D45" s="481"/>
      <c r="E45" s="483"/>
      <c r="F45" s="522" t="str">
        <f>IF(AND(E44="Bermuda",F44="Custom Colour"),"Not Black",IF(AND(E44="Cuba",F44="Custom Colour"),"Solid Colours Only",IF(AND(E44="Java",F44="Custom Colour"),"Solid (no Black)",IF(AND(E44="Samoa",F44="Custom Colour"),"Surcharge for black",IF(D44="S/Shade","Note Shade Colour","")))))</f>
        <v/>
      </c>
      <c r="G45" s="523"/>
      <c r="H45" s="481"/>
      <c r="I45" s="481"/>
      <c r="J45" s="481"/>
      <c r="K45" s="483"/>
      <c r="L45" s="483"/>
      <c r="M45" s="483"/>
      <c r="N45" s="481"/>
      <c r="O45" s="520" t="s">
        <v>18</v>
      </c>
      <c r="P45" s="521"/>
      <c r="Q45" s="251"/>
      <c r="R45" s="251"/>
      <c r="S45" s="251"/>
      <c r="T45" s="251"/>
      <c r="U45" s="251"/>
      <c r="V45" s="251"/>
      <c r="W45" s="251"/>
      <c r="X45" s="251"/>
      <c r="Y45" s="251"/>
      <c r="Z45" s="251"/>
      <c r="AA45" s="251" t="s">
        <v>19</v>
      </c>
      <c r="AB45" s="252" t="s">
        <v>20</v>
      </c>
      <c r="AC45" s="253" t="s">
        <v>21</v>
      </c>
      <c r="AD45" s="697">
        <f>IF(ISNA(IF(AD44="Quoted",INDEX(Matrix2!X45:X52,MATCH(Pricing!E44,Matrix2!K45:K52,0))+AC46*Matrix2!C19,INDEX(Matrix2!X3:X10,MATCH(Pricing!E44,Matrix2!K3:K10,0))+(AC46*Matrix2!C19)+Matrix2!O38+Matrix2!V38+Matrix2!R38+Matrix2!P38)),,IF(AD44="Quoted",INDEX(Matrix2!X45:X52,MATCH(Pricing!E44,Matrix2!K45:K52,0))+AC46*Matrix2!C19+Matrix2!O80+Matrix2!V80+Matrix2!R80+Matrix2!P80,INDEX(Matrix2!X3:X10,MATCH(Pricing!E44,Matrix2!K3:K10,0))+AC46*Matrix2!C19)+Matrix2!O38+Matrix2!V38+Matrix2!R38+Matrix2!P38)</f>
        <v>0</v>
      </c>
      <c r="AE45" s="698"/>
    </row>
    <row r="46" spans="2:31" ht="15.75" thickBot="1" x14ac:dyDescent="0.25">
      <c r="B46" s="479"/>
      <c r="C46" s="264"/>
      <c r="D46" s="481"/>
      <c r="E46" s="483"/>
      <c r="F46" s="255" t="s">
        <v>28</v>
      </c>
      <c r="G46" s="256"/>
      <c r="H46" s="487"/>
      <c r="I46" s="529"/>
      <c r="J46" s="487"/>
      <c r="K46" s="506"/>
      <c r="L46" s="506"/>
      <c r="M46" s="506"/>
      <c r="N46" s="487"/>
      <c r="O46" s="493" t="s">
        <v>22</v>
      </c>
      <c r="P46" s="494"/>
      <c r="Q46" s="495" t="str">
        <f>IF(AND(D44="S/Shade",E44="Samoa"),"S/SHADE NOT AVAILABLE IN SAMOA","")</f>
        <v/>
      </c>
      <c r="R46" s="496"/>
      <c r="S46" s="496"/>
      <c r="T46" s="496"/>
      <c r="U46" s="496"/>
      <c r="V46" s="496"/>
      <c r="W46" s="496"/>
      <c r="X46" s="496"/>
      <c r="Y46" s="496"/>
      <c r="Z46" s="496"/>
      <c r="AA46" s="497"/>
      <c r="AB46" s="257" t="s">
        <v>23</v>
      </c>
      <c r="AC46" s="261">
        <f>IF(AD44="Quoted",Matrix2!N80,Matrix2!N38)</f>
        <v>0</v>
      </c>
      <c r="AD46" s="699">
        <f>IF(ISNA(IF(AD44="Quoted",INDEX(Matrix2!X57:X64,MATCH(Pricing!E44,Matrix2!K57:K64,0))+AC46*Matrix2!C19+Matrix2!O80+Matrix2!V80+Matrix2!R80+Matrix2!P80,INDEX(Matrix2!X15:X22,MATCH(Pricing!E44,Matrix2!K15:K22,0))+AC46*Matrix2!C19+Matrix2!O38+Matrix2!V38+Matrix2!R38+Matrix2!P38)),,IF(AD44="Quoted",INDEX(Matrix2!X57:X64,MATCH(Pricing!E44,Matrix2!K57:K64,0))+AC46*Matrix2!C19+Matrix2!O80+Matrix2!V80+Matrix2!R80+Matrix2!P80,INDEX(Matrix2!X15:X22,MATCH(Pricing!E44,Matrix2!K15:K22,0))+AC46*Matrix2!C19)+Matrix2!O38+Matrix2!V38+Matrix2!R38+Matrix2!P38)</f>
        <v>0</v>
      </c>
      <c r="AE46" s="700"/>
    </row>
    <row r="47" spans="2:31" ht="15.75" thickTop="1" x14ac:dyDescent="0.2">
      <c r="B47" s="479">
        <v>14</v>
      </c>
      <c r="C47" s="265"/>
      <c r="D47" s="498"/>
      <c r="E47" s="488"/>
      <c r="F47" s="516"/>
      <c r="G47" s="517"/>
      <c r="H47" s="498"/>
      <c r="I47" s="498"/>
      <c r="J47" s="498"/>
      <c r="K47" s="488"/>
      <c r="L47" s="488"/>
      <c r="M47" s="488"/>
      <c r="N47" s="498" t="s">
        <v>25</v>
      </c>
      <c r="O47" s="509" t="s">
        <v>16</v>
      </c>
      <c r="P47" s="510"/>
      <c r="Q47" s="235"/>
      <c r="R47" s="235"/>
      <c r="S47" s="235"/>
      <c r="T47" s="235"/>
      <c r="U47" s="235"/>
      <c r="V47" s="235"/>
      <c r="W47" s="235"/>
      <c r="X47" s="235"/>
      <c r="Y47" s="235"/>
      <c r="Z47" s="235"/>
      <c r="AA47" s="235"/>
      <c r="AB47" s="236"/>
      <c r="AC47" s="244"/>
      <c r="AD47" s="710" t="s">
        <v>17</v>
      </c>
      <c r="AE47" s="711"/>
    </row>
    <row r="48" spans="2:31" x14ac:dyDescent="0.2">
      <c r="B48" s="479"/>
      <c r="C48" s="238"/>
      <c r="D48" s="499"/>
      <c r="E48" s="489"/>
      <c r="F48" s="491" t="str">
        <f>IF(AND(E47="Bermuda",F47="Custom Colour"),"Not Black",IF(AND(E47="Cuba",F47="Custom Colour"),"Solid Colours Only",IF(AND(E47="Java",F47="Custom Colour"),"Solid (no Black)",IF(AND(E47="Samoa",F47="Custom Colour"),"Surcharge for black",IF(D47="S/Shade","Note Shade Colour","")))))</f>
        <v/>
      </c>
      <c r="G48" s="492"/>
      <c r="H48" s="499"/>
      <c r="I48" s="499"/>
      <c r="J48" s="499"/>
      <c r="K48" s="489"/>
      <c r="L48" s="489"/>
      <c r="M48" s="489"/>
      <c r="N48" s="499"/>
      <c r="O48" s="511" t="s">
        <v>18</v>
      </c>
      <c r="P48" s="512"/>
      <c r="Q48" s="239"/>
      <c r="R48" s="239"/>
      <c r="S48" s="239"/>
      <c r="T48" s="239"/>
      <c r="U48" s="239"/>
      <c r="V48" s="239"/>
      <c r="W48" s="239"/>
      <c r="X48" s="239"/>
      <c r="Y48" s="239"/>
      <c r="Z48" s="239"/>
      <c r="AA48" s="239" t="s">
        <v>19</v>
      </c>
      <c r="AB48" s="215" t="s">
        <v>20</v>
      </c>
      <c r="AC48" s="216" t="s">
        <v>21</v>
      </c>
      <c r="AD48" s="708">
        <f>IF(ISNA(IF(AD47="Quoted",INDEX(Matrix2!Y45:Y52,MATCH(Pricing!E47,Matrix2!K45:K52,0))+AC49*Matrix2!C19,INDEX(Matrix2!Y3:Y10,MATCH(Pricing!E47,Matrix2!K3:K10,0))+(AC49*Matrix2!C19)+Matrix2!O39+Matrix2!V39+Matrix2!R39+Matrix2!P39)),,IF(AD47="Quoted",INDEX(Matrix2!Y45:Y52,MATCH(Pricing!E47,Matrix2!K45:K52,0))+AC49*Matrix2!C19+Matrix2!O81+Matrix2!V81+Matrix2!R81+Matrix2!P81,INDEX(Matrix2!Y3:Y10,MATCH(Pricing!E47,Matrix2!K3:K10,0))+AC49*Matrix2!C19)+Matrix2!O39+Matrix2!V39+Matrix2!R39+Matrix2!P39)</f>
        <v>0</v>
      </c>
      <c r="AE48" s="709"/>
    </row>
    <row r="49" spans="2:33" ht="15.75" thickBot="1" x14ac:dyDescent="0.25">
      <c r="B49" s="479"/>
      <c r="C49" s="266"/>
      <c r="D49" s="499"/>
      <c r="E49" s="489"/>
      <c r="F49" s="240" t="s">
        <v>28</v>
      </c>
      <c r="G49" s="241"/>
      <c r="H49" s="518"/>
      <c r="I49" s="519"/>
      <c r="J49" s="518"/>
      <c r="K49" s="490"/>
      <c r="L49" s="490"/>
      <c r="M49" s="490"/>
      <c r="N49" s="518"/>
      <c r="O49" s="504" t="s">
        <v>22</v>
      </c>
      <c r="P49" s="505"/>
      <c r="Q49" s="501" t="str">
        <f>IF(AND(D47="S/Shade",E47="Samoa"),"S/SHADE NOT AVAILABLE IN SAMOA","")</f>
        <v/>
      </c>
      <c r="R49" s="502"/>
      <c r="S49" s="502"/>
      <c r="T49" s="502"/>
      <c r="U49" s="502"/>
      <c r="V49" s="502"/>
      <c r="W49" s="502"/>
      <c r="X49" s="502"/>
      <c r="Y49" s="502"/>
      <c r="Z49" s="502"/>
      <c r="AA49" s="503"/>
      <c r="AB49" s="242" t="s">
        <v>23</v>
      </c>
      <c r="AC49" s="243">
        <f>IF(AD47="Quoted",Matrix2!N81,Matrix2!N39)</f>
        <v>0</v>
      </c>
      <c r="AD49" s="699">
        <f>IF(ISNA(IF(AD47="Quoted",INDEX(Matrix2!Y57:Y64,MATCH(Pricing!E47,Matrix2!K57:K64,0))+AC49*Matrix2!C19+Matrix2!O81+Matrix2!V81+Matrix2!R81+Matrix2!P81,INDEX(Matrix2!Y15:Y22,MATCH(Pricing!E47,Matrix2!K15:K22,0))+AC49*Matrix2!C19+Matrix2!O39+Matrix2!V39+Matrix2!R39+Matrix2!P39)),,IF(AD47="Quoted",INDEX(Matrix2!Y57:Y64,MATCH(Pricing!E47,Matrix2!K57:K64,0))+AC49*Matrix2!C19+Matrix2!O81+Matrix2!V81+Matrix2!R81+Matrix2!P81,INDEX(Matrix2!Y15:Y22,MATCH(Pricing!E47,Matrix2!K15:K22,0))+AC49*Matrix2!C19)+Matrix2!O39+Matrix2!V39+Matrix2!R39+Matrix2!P39)</f>
        <v>0</v>
      </c>
      <c r="AE49" s="700"/>
    </row>
    <row r="50" spans="2:33" ht="15.75" thickTop="1" x14ac:dyDescent="0.2">
      <c r="B50" s="479">
        <v>15</v>
      </c>
      <c r="C50" s="248"/>
      <c r="D50" s="480"/>
      <c r="E50" s="482"/>
      <c r="F50" s="485"/>
      <c r="G50" s="486"/>
      <c r="H50" s="480"/>
      <c r="I50" s="480"/>
      <c r="J50" s="480"/>
      <c r="K50" s="482"/>
      <c r="L50" s="482"/>
      <c r="M50" s="482"/>
      <c r="N50" s="480" t="s">
        <v>25</v>
      </c>
      <c r="O50" s="507" t="s">
        <v>16</v>
      </c>
      <c r="P50" s="508"/>
      <c r="Q50" s="247"/>
      <c r="R50" s="247"/>
      <c r="S50" s="247"/>
      <c r="T50" s="247"/>
      <c r="U50" s="247"/>
      <c r="V50" s="247"/>
      <c r="W50" s="247"/>
      <c r="X50" s="247"/>
      <c r="Y50" s="247"/>
      <c r="Z50" s="247"/>
      <c r="AA50" s="247"/>
      <c r="AB50" s="259"/>
      <c r="AC50" s="262"/>
      <c r="AD50" s="701" t="s">
        <v>17</v>
      </c>
      <c r="AE50" s="702"/>
    </row>
    <row r="51" spans="2:33" x14ac:dyDescent="0.2">
      <c r="B51" s="479"/>
      <c r="C51" s="250"/>
      <c r="D51" s="481"/>
      <c r="E51" s="483"/>
      <c r="F51" s="522" t="str">
        <f>IF(AND(E50="Bermuda",F50="Custom Colour"),"Not Black",IF(AND(E50="Cuba",F50="Custom Colour"),"Solid Colours Only",IF(AND(E50="Java",F50="Custom Colour"),"Solid (no Black)",IF(AND(E50="Samoa",F50="Custom Colour"),"Surcharge for black",IF(D50="S/Shade","Note Shade Colour","")))))</f>
        <v/>
      </c>
      <c r="G51" s="523"/>
      <c r="H51" s="481"/>
      <c r="I51" s="481"/>
      <c r="J51" s="481"/>
      <c r="K51" s="483"/>
      <c r="L51" s="483"/>
      <c r="M51" s="483"/>
      <c r="N51" s="481"/>
      <c r="O51" s="520" t="s">
        <v>18</v>
      </c>
      <c r="P51" s="521"/>
      <c r="Q51" s="251"/>
      <c r="R51" s="251"/>
      <c r="S51" s="251"/>
      <c r="T51" s="251"/>
      <c r="U51" s="251"/>
      <c r="V51" s="251"/>
      <c r="W51" s="251"/>
      <c r="X51" s="251"/>
      <c r="Y51" s="251"/>
      <c r="Z51" s="251"/>
      <c r="AA51" s="251" t="s">
        <v>19</v>
      </c>
      <c r="AB51" s="252" t="s">
        <v>20</v>
      </c>
      <c r="AC51" s="253" t="s">
        <v>21</v>
      </c>
      <c r="AD51" s="697">
        <f>IF(ISNA(IF(AD50="Quoted",INDEX(Matrix2!Z45:Z52,MATCH(Pricing!E50,Matrix2!K45:K52,0))+AC52*Matrix2!C19,INDEX(Matrix2!Z3:Z10,MATCH(Pricing!E50,Matrix2!K3:K10,0))+(AC52*Matrix2!C19)+Matrix2!O40+Matrix2!V40+Matrix2!R40+Matrix2!P40)),,IF(AD50="Quoted",INDEX(Matrix2!Z45:Z52,MATCH(Pricing!E50,Matrix2!K45:K52,0))+AC52*Matrix2!C19+Matrix2!O82+Matrix2!V82+Matrix2!R82+Matrix2!P82,INDEX(Matrix2!Z3:Z10,MATCH(Pricing!E50,Matrix2!K3:K10,0))+AC52*Matrix2!C19)+Matrix2!O40+Matrix2!V40+Matrix2!R40+Matrix2!P40)</f>
        <v>0</v>
      </c>
      <c r="AE51" s="698"/>
    </row>
    <row r="52" spans="2:33" ht="15.75" thickBot="1" x14ac:dyDescent="0.25">
      <c r="B52" s="479"/>
      <c r="C52" s="254"/>
      <c r="D52" s="481"/>
      <c r="E52" s="483"/>
      <c r="F52" s="255" t="s">
        <v>28</v>
      </c>
      <c r="G52" s="256"/>
      <c r="H52" s="487"/>
      <c r="I52" s="487"/>
      <c r="J52" s="487"/>
      <c r="K52" s="506"/>
      <c r="L52" s="506"/>
      <c r="M52" s="506"/>
      <c r="N52" s="487"/>
      <c r="O52" s="493" t="s">
        <v>22</v>
      </c>
      <c r="P52" s="494"/>
      <c r="Q52" s="552" t="str">
        <f>IF(AND(D50="S/Shade",E50="Samoa"),"S/SHADE NOT AVAILABLE IN SAMOA","")</f>
        <v/>
      </c>
      <c r="R52" s="496"/>
      <c r="S52" s="496"/>
      <c r="T52" s="496"/>
      <c r="U52" s="496"/>
      <c r="V52" s="496"/>
      <c r="W52" s="496"/>
      <c r="X52" s="496"/>
      <c r="Y52" s="496"/>
      <c r="Z52" s="496"/>
      <c r="AA52" s="497"/>
      <c r="AB52" s="263" t="s">
        <v>23</v>
      </c>
      <c r="AC52" s="258">
        <f>IF(AD50="Quoted",Matrix2!N82,Matrix2!N40)</f>
        <v>0</v>
      </c>
      <c r="AD52" s="699">
        <f>IF(ISNA(IF(AD50="Quoted",INDEX(Matrix2!Z57:Z64,MATCH(Pricing!E50,Matrix2!K57:K64,0))+AC52*Matrix2!C19+Matrix2!O82+Matrix2!V82+Matrix2!R82+Matrix2!P82,INDEX(Matrix2!Z15:Z22,MATCH(Pricing!E50,Matrix2!K15:K22,0))+AC52*Matrix2!C19+Matrix2!O40+Matrix2!V40+Matrix2!R40+Matrix2!P40)),,IF(AD50="Quoted",INDEX(Matrix2!Z57:Z64,MATCH(Pricing!E50,Matrix2!K57:K64,0))+AC52*Matrix2!C19+Matrix2!O82+Matrix2!V82+Matrix2!R82+Matrix2!P82,INDEX(Matrix2!Z15:Z22,MATCH(Pricing!E50,Matrix2!K15:K22,0))+AC52*Matrix2!C19)+Matrix2!O40+Matrix2!V40+Matrix2!R40+Matrix2!P40)</f>
        <v>0</v>
      </c>
      <c r="AE52" s="700"/>
    </row>
    <row r="53" spans="2:33" x14ac:dyDescent="0.2">
      <c r="B53" s="553"/>
      <c r="C53" s="554"/>
      <c r="D53" s="555"/>
      <c r="E53" s="562"/>
      <c r="F53" s="563"/>
      <c r="G53" s="563"/>
      <c r="H53" s="563"/>
      <c r="I53" s="563"/>
      <c r="J53" s="563"/>
      <c r="K53" s="563"/>
      <c r="L53" s="563"/>
      <c r="M53" s="563"/>
      <c r="N53" s="563"/>
      <c r="O53" s="563"/>
      <c r="P53" s="563"/>
      <c r="Q53" s="563"/>
      <c r="R53" s="563"/>
      <c r="S53" s="563"/>
      <c r="T53" s="563"/>
      <c r="U53" s="563"/>
      <c r="V53" s="563"/>
      <c r="W53" s="563"/>
      <c r="X53" s="563"/>
      <c r="Y53" s="563"/>
      <c r="Z53" s="563"/>
      <c r="AA53" s="563"/>
      <c r="AB53" s="564"/>
      <c r="AC53" s="224" t="str">
        <f>""</f>
        <v/>
      </c>
      <c r="AD53" s="227" t="s">
        <v>31</v>
      </c>
      <c r="AE53" s="226" t="str">
        <f>IF(AC53="","","Discount")</f>
        <v/>
      </c>
    </row>
    <row r="54" spans="2:33" x14ac:dyDescent="0.2">
      <c r="B54" s="556"/>
      <c r="C54" s="557"/>
      <c r="D54" s="558"/>
      <c r="E54" s="565"/>
      <c r="F54" s="566"/>
      <c r="G54" s="566"/>
      <c r="H54" s="566"/>
      <c r="I54" s="566"/>
      <c r="J54" s="566"/>
      <c r="K54" s="566"/>
      <c r="L54" s="566"/>
      <c r="M54" s="566"/>
      <c r="N54" s="566"/>
      <c r="O54" s="566"/>
      <c r="P54" s="566"/>
      <c r="Q54" s="566"/>
      <c r="R54" s="566"/>
      <c r="S54" s="566"/>
      <c r="T54" s="566"/>
      <c r="U54" s="566"/>
      <c r="V54" s="566"/>
      <c r="W54" s="566"/>
      <c r="X54" s="566"/>
      <c r="Y54" s="566"/>
      <c r="Z54" s="566"/>
      <c r="AA54" s="566"/>
      <c r="AB54" s="564"/>
      <c r="AC54" s="703" t="str">
        <f>IF(AC53="","",SUM(IF(AC9="3 for 2",AC10,0) + IF(AC12="3 for 2",AC13,0) + IF(AC15="3 for 2",AC16,0)) + IF(AC18="3 for 2",AC19,0) +IF(AC21="3 for 2",AC22,0) + IF(AC24="3 for 2",AC25,0)+IF(AC27="3 for 2",AC28,0)+IF(AC30="3 for 2",AC31,0)+IF(AC33="3 for 2",AC34,0) +IF(AC36="3 for 2",AC37,0) +IF(AC39="3 for 2",AC40,0) + IF(AC42="3 for 2",AC43,0) +IF(AC45="3 for 2",AC46,0) + IF(AC48="3 for 2",AC49,0) +IF(AC51="3 for 2",AC52,0))</f>
        <v/>
      </c>
      <c r="AD54" s="703">
        <f>SUM(Matrix2!N26:N40)</f>
        <v>0</v>
      </c>
      <c r="AE54" s="705" t="str">
        <f>IF(AC53="","",IF(AD54=AC54,"N/A",(AD54-AC54)/AD54 - 1))</f>
        <v/>
      </c>
    </row>
    <row r="55" spans="2:33" ht="15.75" thickBot="1" x14ac:dyDescent="0.25">
      <c r="B55" s="559"/>
      <c r="C55" s="560"/>
      <c r="D55" s="561"/>
      <c r="E55" s="567"/>
      <c r="F55" s="568"/>
      <c r="G55" s="568"/>
      <c r="H55" s="568"/>
      <c r="I55" s="568"/>
      <c r="J55" s="568"/>
      <c r="K55" s="568"/>
      <c r="L55" s="568"/>
      <c r="M55" s="568"/>
      <c r="N55" s="568"/>
      <c r="O55" s="568"/>
      <c r="P55" s="568"/>
      <c r="Q55" s="568"/>
      <c r="R55" s="568"/>
      <c r="S55" s="568"/>
      <c r="T55" s="568"/>
      <c r="U55" s="568"/>
      <c r="V55" s="568"/>
      <c r="W55" s="568"/>
      <c r="X55" s="568"/>
      <c r="Y55" s="568"/>
      <c r="Z55" s="568"/>
      <c r="AA55" s="568"/>
      <c r="AB55" s="569"/>
      <c r="AC55" s="704"/>
      <c r="AD55" s="704"/>
      <c r="AE55" s="706"/>
    </row>
    <row r="56" spans="2:33" ht="15.75" thickBot="1" x14ac:dyDescent="0.25">
      <c r="B56" s="167"/>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9"/>
      <c r="AF56" s="14"/>
    </row>
    <row r="57" spans="2:33" ht="16.5" thickTop="1" thickBot="1" x14ac:dyDescent="0.25">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row>
    <row r="58" spans="2:33" ht="23.45" customHeight="1" thickTop="1" thickBot="1" x14ac:dyDescent="0.25">
      <c r="B58" s="542" t="s">
        <v>32</v>
      </c>
      <c r="C58" s="543"/>
      <c r="D58" s="544"/>
      <c r="E58" s="199" t="s">
        <v>33</v>
      </c>
      <c r="F58" s="200"/>
      <c r="G58" s="549" t="s">
        <v>34</v>
      </c>
      <c r="H58" s="550"/>
      <c r="I58" s="550"/>
      <c r="J58" s="551"/>
      <c r="K58" s="545" t="s">
        <v>35</v>
      </c>
      <c r="L58" s="546"/>
      <c r="M58" s="229" t="s">
        <v>36</v>
      </c>
      <c r="N58" s="319" t="s">
        <v>808</v>
      </c>
      <c r="O58" s="230" t="s">
        <v>37</v>
      </c>
      <c r="P58" s="547" t="s">
        <v>38</v>
      </c>
      <c r="Q58" s="548"/>
      <c r="R58" s="570" t="s">
        <v>39</v>
      </c>
      <c r="S58" s="570"/>
      <c r="T58" s="570"/>
      <c r="U58" s="570"/>
      <c r="V58" s="570"/>
      <c r="W58" s="579" t="s">
        <v>40</v>
      </c>
      <c r="X58" s="579"/>
      <c r="Y58" s="579"/>
      <c r="Z58" s="579"/>
      <c r="AA58" s="579" t="s">
        <v>37</v>
      </c>
      <c r="AB58" s="579"/>
      <c r="AC58" s="579"/>
      <c r="AD58" s="717">
        <f>IF(ISERROR(+(N59-O59)/N59),,+(N59-O59)/N59)</f>
        <v>0</v>
      </c>
      <c r="AE58" s="717"/>
      <c r="AF58" s="197"/>
      <c r="AG58" s="198"/>
    </row>
    <row r="59" spans="2:33" x14ac:dyDescent="0.2">
      <c r="B59" s="530"/>
      <c r="C59" s="531"/>
      <c r="D59" s="531"/>
      <c r="E59" s="534"/>
      <c r="F59" s="535"/>
      <c r="G59" s="538"/>
      <c r="H59" s="539"/>
      <c r="I59" s="539"/>
      <c r="J59" s="539"/>
      <c r="K59" s="385" t="s">
        <v>41</v>
      </c>
      <c r="L59" s="386"/>
      <c r="M59" s="320">
        <f>IF(AD54&gt;0,AD54,)</f>
        <v>0</v>
      </c>
      <c r="N59" s="321">
        <f>IF(M59="","",IF(M59&gt;0,ROUNDDOWN(INDEX(Matrix2!$AA$3:$AA$10,MATCH(Pricing!K59,Matrix2!$K$3:$K$10,0)),0.2),))</f>
        <v>0</v>
      </c>
      <c r="O59" s="321">
        <f>IF(M59="","",IF(M59&gt;0,ROUNDDOWN(INDEX(Matrix2!$AA$15:$AA$22,MATCH(Pricing!K59,Matrix2!$K$15:$K$22,0)),0.2),))</f>
        <v>0</v>
      </c>
      <c r="P59" s="540">
        <f>IF(SUM(Matrix2!N68:N82)&gt;0,Matrix2!AA57,)</f>
        <v>0</v>
      </c>
      <c r="Q59" s="541"/>
      <c r="R59" s="573">
        <f>IF(ISERROR(+(N59-O59)/N59),,+(N59-O59)/N59)</f>
        <v>0</v>
      </c>
      <c r="S59" s="574"/>
      <c r="T59" s="574"/>
      <c r="U59" s="574"/>
      <c r="V59" s="575"/>
      <c r="W59" s="580">
        <f>N59</f>
        <v>0</v>
      </c>
      <c r="X59" s="581"/>
      <c r="Y59" s="581"/>
      <c r="Z59" s="581"/>
      <c r="AA59" s="580">
        <f>O59</f>
        <v>0</v>
      </c>
      <c r="AB59" s="581"/>
      <c r="AC59" s="581"/>
      <c r="AD59" s="717"/>
      <c r="AE59" s="717"/>
    </row>
    <row r="60" spans="2:33" x14ac:dyDescent="0.2">
      <c r="B60" s="532"/>
      <c r="C60" s="533"/>
      <c r="D60" s="533"/>
      <c r="E60" s="536"/>
      <c r="F60" s="537"/>
      <c r="G60" s="571" t="s">
        <v>42</v>
      </c>
      <c r="H60" s="572"/>
      <c r="I60" s="572"/>
      <c r="J60" s="572"/>
      <c r="K60" s="387" t="str" cm="1">
        <f t="array" ref="K60">_xlfn._xlws.SORT(_xlfn.UNIQUE(_xlfn._xlws.FILTER(E8:E52,(E8:E52&lt;&gt;"")*(E8:E52&lt;&gt;"Antigua"),"")))</f>
        <v/>
      </c>
      <c r="L60" s="388"/>
      <c r="M60" s="320" t="str">
        <f>IF(ISNA(INDEX(Matrix2!$AA$87:$AA$94,MATCH(Pricing!K60,Matrix2!$K$87:$K$94,0))),"",INDEX(Matrix2!$AA$87:$AA$94,MATCH(Pricing!K60,Matrix2!$K$87:$K$94,0)))</f>
        <v/>
      </c>
      <c r="N60" s="321" t="str">
        <f>IF(ISNA(INDEX(Matrix2!$AE$86:$AE$93,MATCH(Pricing!K60,Matrix2!$AC$86:$AC$93,0))),"",INDEX(Matrix2!$AE$86:$AE$93,MATCH(Pricing!K60,Matrix2!$AC$86:$AC$93,0)))</f>
        <v/>
      </c>
      <c r="O60" s="321" t="str">
        <f t="shared" ref="O60:O66" si="0">N60</f>
        <v/>
      </c>
      <c r="P60" s="540" t="str">
        <f>IF(ISNA(IF(INDEX(Matrix2!$AA$99:$AA$106,MATCH(Pricing!K60,Matrix2!$K$99:$K$106,0))&gt;0,ROUNDDOWN(INDEX(Matrix2!$AA$110:$AA$117,MATCH(Pricing!K60,Matrix2!$K$110:$K$117,0)),0.2),)),"",IF(INDEX(Matrix2!$AA$99:$AA$106,MATCH(Pricing!K60,Matrix2!$K$99:$K$106,0))&gt;0,ROUNDDOWN(INDEX(Matrix2!$AA$110:$AA$117,MATCH(Pricing!K60,Matrix2!$K$110:$K$117,0)),0.2),))</f>
        <v/>
      </c>
      <c r="Q60" s="541"/>
      <c r="R60" s="576">
        <f>IF(ISERROR((SUM(N60:N69)-SUM(O60:O69)+O74)/SUM(N60:N69)),,(SUM(N60:N69)-SUM(O60:O69)+O74)/SUM(N60:N69))</f>
        <v>0</v>
      </c>
      <c r="S60" s="577"/>
      <c r="T60" s="577"/>
      <c r="U60" s="577"/>
      <c r="V60" s="578"/>
      <c r="W60" s="581"/>
      <c r="X60" s="581"/>
      <c r="Y60" s="581"/>
      <c r="Z60" s="581"/>
      <c r="AA60" s="581"/>
      <c r="AB60" s="581"/>
      <c r="AC60" s="581"/>
      <c r="AD60" s="717"/>
      <c r="AE60" s="717"/>
    </row>
    <row r="61" spans="2:33" x14ac:dyDescent="0.2">
      <c r="B61" s="636" t="s">
        <v>44</v>
      </c>
      <c r="C61" s="637"/>
      <c r="D61" s="638"/>
      <c r="E61" s="639" t="s">
        <v>45</v>
      </c>
      <c r="F61" s="640"/>
      <c r="G61" s="641" t="s">
        <v>46</v>
      </c>
      <c r="H61" s="642"/>
      <c r="I61" s="642"/>
      <c r="J61" s="642"/>
      <c r="K61" s="387"/>
      <c r="L61" s="388"/>
      <c r="M61" s="320" t="str">
        <f>IF(ISNA(INDEX(Matrix2!$AA$87:$AA$94,MATCH(Pricing!K61,Matrix2!$K$87:$K$94,0))),"",INDEX(Matrix2!$AA$87:$AA$94,MATCH(Pricing!K61,Matrix2!$K$87:$K$94,0)))</f>
        <v/>
      </c>
      <c r="N61" s="321" t="str">
        <f>IF(ISNA(INDEX(Matrix2!$AE$86:$AE$93,MATCH(Pricing!K61,Matrix2!$AC$86:$AC$93,0))),"",INDEX(Matrix2!$AE$86:$AE$93,MATCH(Pricing!K61,Matrix2!$AC$86:$AC$93,0)))</f>
        <v/>
      </c>
      <c r="O61" s="321" t="str">
        <f t="shared" si="0"/>
        <v/>
      </c>
      <c r="P61" s="540" t="str">
        <f>IF(ISNA(IF(INDEX(Matrix2!$AA$99:$AA$106,MATCH(Pricing!K61,Matrix2!$K$99:$K$106,0))&gt;0,ROUNDDOWN(INDEX(Matrix2!$AA$110:$AA$117,MATCH(Pricing!K61,Matrix2!$K$110:$K$117,0)),0.2),)),"",IF(INDEX(Matrix2!$AA$99:$AA$106,MATCH(Pricing!K61,Matrix2!$K$99:$K$106,0))&gt;0,ROUNDDOWN(INDEX(Matrix2!$AA$110:$AA$117,MATCH(Pricing!K61,Matrix2!$K$110:$K$117,0)),0.2),))</f>
        <v/>
      </c>
      <c r="Q61" s="541"/>
      <c r="R61" s="610" t="s">
        <v>946</v>
      </c>
      <c r="S61" s="610"/>
      <c r="T61" s="610"/>
      <c r="U61" s="610"/>
      <c r="V61" s="610"/>
      <c r="W61" s="579" t="s">
        <v>760</v>
      </c>
      <c r="X61" s="579"/>
      <c r="Y61" s="579"/>
      <c r="Z61" s="579"/>
      <c r="AA61" s="579"/>
      <c r="AB61" s="579"/>
      <c r="AC61" s="579"/>
      <c r="AD61" s="717">
        <f>IF(ISERROR(+(W62-AA62)/W62),,+(W62-AA62)/W62)</f>
        <v>0</v>
      </c>
      <c r="AE61" s="717"/>
    </row>
    <row r="62" spans="2:33" x14ac:dyDescent="0.2">
      <c r="B62" s="647"/>
      <c r="C62" s="629"/>
      <c r="D62" s="629"/>
      <c r="E62" s="582"/>
      <c r="F62" s="583"/>
      <c r="G62" s="571" t="s">
        <v>48</v>
      </c>
      <c r="H62" s="572"/>
      <c r="I62" s="572"/>
      <c r="J62" s="572"/>
      <c r="K62" s="387"/>
      <c r="L62" s="388"/>
      <c r="M62" s="320" t="str">
        <f>IF(ISNA(INDEX(Matrix2!$AA$87:$AA$94,MATCH(Pricing!K62,Matrix2!$K$87:$K$94,0))),"",INDEX(Matrix2!$AA$87:$AA$94,MATCH(Pricing!K62,Matrix2!$K$87:$K$94,0)))</f>
        <v/>
      </c>
      <c r="N62" s="321" t="str">
        <f>IF(ISNA(INDEX(Matrix2!$AE$86:$AE$93,MATCH(Pricing!K62,Matrix2!$AC$86:$AC$93,0))),"",INDEX(Matrix2!$AE$86:$AE$93,MATCH(Pricing!K62,Matrix2!$AC$86:$AC$93,0)))</f>
        <v/>
      </c>
      <c r="O62" s="321" t="str">
        <f t="shared" si="0"/>
        <v/>
      </c>
      <c r="P62" s="540" t="str">
        <f>IF(ISNA(IF(INDEX(Matrix2!$AA$99:$AA$106,MATCH(Pricing!K62,Matrix2!$K$99:$K$106,0))&gt;0,ROUNDDOWN(INDEX(Matrix2!$AA$110:$AA$117,MATCH(Pricing!K62,Matrix2!$K$110:$K$117,0)),0.2),)),"",IF(INDEX(Matrix2!$AA$99:$AA$106,MATCH(Pricing!K62,Matrix2!$K$99:$K$106,0))&gt;0,ROUNDDOWN(INDEX(Matrix2!$AA$110:$AA$117,MATCH(Pricing!K62,Matrix2!$K$110:$K$117,0)),0.2),))</f>
        <v/>
      </c>
      <c r="Q62" s="541"/>
      <c r="R62" s="594" t="s">
        <v>50</v>
      </c>
      <c r="S62" s="618"/>
      <c r="T62" s="612">
        <f>AA66</f>
        <v>0</v>
      </c>
      <c r="U62" s="613"/>
      <c r="V62" s="613"/>
      <c r="W62" s="580">
        <f>SUM(N60:N71)</f>
        <v>0</v>
      </c>
      <c r="X62" s="581"/>
      <c r="Y62" s="581"/>
      <c r="Z62" s="581"/>
      <c r="AA62" s="580">
        <f>IF(W61= "Upgrade &amp; Extras (10%)", W62-(W62*10%),SUM(O60:O71))</f>
        <v>0</v>
      </c>
      <c r="AB62" s="581"/>
      <c r="AC62" s="581"/>
      <c r="AD62" s="717"/>
      <c r="AE62" s="717"/>
      <c r="AF62" s="164"/>
    </row>
    <row r="63" spans="2:33" ht="18.75" customHeight="1" x14ac:dyDescent="0.2">
      <c r="B63" s="532"/>
      <c r="C63" s="533"/>
      <c r="D63" s="533"/>
      <c r="E63" s="536"/>
      <c r="F63" s="537"/>
      <c r="G63" s="641" t="s">
        <v>25</v>
      </c>
      <c r="H63" s="642"/>
      <c r="I63" s="642"/>
      <c r="J63" s="642"/>
      <c r="K63" s="387"/>
      <c r="L63" s="388"/>
      <c r="M63" s="320" t="str">
        <f>IF(ISNA(INDEX(Matrix2!$AA$87:$AA$94,MATCH(Pricing!K63,Matrix2!$K$87:$K$94,0))),"",INDEX(Matrix2!$AA$87:$AA$94,MATCH(Pricing!K63,Matrix2!$K$87:$K$94,0)))</f>
        <v/>
      </c>
      <c r="N63" s="321" t="str">
        <f>IF(ISNA(INDEX(Matrix2!$AE$86:$AE$93,MATCH(Pricing!K63,Matrix2!$AC$86:$AC$93,0))),"",INDEX(Matrix2!$AE$86:$AE$93,MATCH(Pricing!K63,Matrix2!$AC$86:$AC$93,0)))</f>
        <v/>
      </c>
      <c r="O63" s="321" t="str">
        <f t="shared" si="0"/>
        <v/>
      </c>
      <c r="P63" s="540" t="str">
        <f>IF(ISNA(IF(INDEX(Matrix2!$AA$99:$AA$106,MATCH(Pricing!K63,Matrix2!$K$99:$K$106,0))&gt;0,ROUNDDOWN(INDEX(Matrix2!$AA$110:$AA$117,MATCH(Pricing!K63,Matrix2!$K$110:$K$117,0)),0.2),)),"",IF(INDEX(Matrix2!$AA$99:$AA$106,MATCH(Pricing!K63,Matrix2!$K$99:$K$106,0))&gt;0,ROUNDDOWN(INDEX(Matrix2!$AA$110:$AA$117,MATCH(Pricing!K63,Matrix2!$K$110:$K$117,0)),0.2),))</f>
        <v/>
      </c>
      <c r="Q63" s="541"/>
      <c r="R63" s="611" t="s">
        <v>52</v>
      </c>
      <c r="S63" s="594"/>
      <c r="T63" s="612" t="str">
        <f>IF(R61="Finance Yes (12 months @ 0%)",IF(T62="","",ROUNDUP(Matrix2!C12*T62,0.2)),IF(R61="Finance Yes (24 months @ 19.9%)",ROUNDUP(Matrix2!D12*T62,0.2),IF(R61="Finance Yes (36 months @ 19.9%",ROUNDUP(Matrix2!D12*T62,0.2),"")))</f>
        <v/>
      </c>
      <c r="U63" s="613"/>
      <c r="V63" s="613"/>
      <c r="W63" s="579" t="s">
        <v>53</v>
      </c>
      <c r="X63" s="579"/>
      <c r="Y63" s="579"/>
      <c r="Z63" s="579"/>
      <c r="AA63" s="579"/>
      <c r="AB63" s="579"/>
      <c r="AC63" s="579"/>
      <c r="AD63" s="717">
        <f>IF(ISERROR(+(W64-AA64)/W64),,+(W64-AA64)/W64)</f>
        <v>0</v>
      </c>
      <c r="AE63" s="717"/>
      <c r="AF63" s="173"/>
    </row>
    <row r="64" spans="2:33" ht="18" customHeight="1" thickBot="1" x14ac:dyDescent="0.25">
      <c r="B64" s="317"/>
      <c r="C64" s="318"/>
      <c r="D64" s="318"/>
      <c r="E64" s="171"/>
      <c r="F64" s="172"/>
      <c r="G64" s="643" t="s">
        <v>54</v>
      </c>
      <c r="H64" s="644"/>
      <c r="I64" s="644"/>
      <c r="J64" s="644"/>
      <c r="K64" s="387"/>
      <c r="L64" s="388"/>
      <c r="M64" s="320" t="str">
        <f>IF(ISNA(INDEX(Matrix2!$AA$87:$AA$94,MATCH(Pricing!K64,Matrix2!$K$87:$K$94,0))),"",INDEX(Matrix2!$AA$87:$AA$94,MATCH(Pricing!K64,Matrix2!$K$87:$K$94,0)))</f>
        <v/>
      </c>
      <c r="N64" s="321" t="str">
        <f>IF(ISNA(INDEX(Matrix2!$AE$86:$AE$93,MATCH(Pricing!K64,Matrix2!$AC$86:$AC$93,0))),"",INDEX(Matrix2!$AE$86:$AE$93,MATCH(Pricing!K64,Matrix2!$AC$86:$AC$93,0)))</f>
        <v/>
      </c>
      <c r="O64" s="321" t="str">
        <f t="shared" si="0"/>
        <v/>
      </c>
      <c r="P64" s="540" t="str">
        <f>IF(ISNA(IF(INDEX(Matrix2!$AA$99:$AA$106,MATCH(Pricing!K64,Matrix2!$K$99:$K$106,0))&gt;0,ROUNDDOWN(INDEX(Matrix2!$AA$110:$AA$117,MATCH(Pricing!K64,Matrix2!$K$110:$K$117,0)),0.2),)),"",IF(INDEX(Matrix2!$AA$99:$AA$106,MATCH(Pricing!K64,Matrix2!$K$99:$K$106,0))&gt;0,ROUNDDOWN(INDEX(Matrix2!$AA$110:$AA$117,MATCH(Pricing!K64,Matrix2!$K$110:$K$117,0)),0.2),))</f>
        <v/>
      </c>
      <c r="Q64" s="541"/>
      <c r="R64" s="614" t="s">
        <v>56</v>
      </c>
      <c r="S64" s="615"/>
      <c r="T64" s="616" t="str">
        <f>IF(ISERROR(IF(OR(R61="Finance Please Select",R61="Finance No"),"",T63/T62)),,IF(OR(R61="Finance Please Select",R61="Finance No"),"",T63/T62))</f>
        <v/>
      </c>
      <c r="U64" s="617"/>
      <c r="V64" s="617"/>
      <c r="W64" s="580">
        <f>SUM(Matrix2!Z26:Z40)</f>
        <v>0</v>
      </c>
      <c r="X64" s="580"/>
      <c r="Y64" s="580"/>
      <c r="Z64" s="580"/>
      <c r="AA64" s="580">
        <f>IF(W63 = "Survey &amp; Installation 25%",(W64-W64*0.25),W64)</f>
        <v>0</v>
      </c>
      <c r="AB64" s="580"/>
      <c r="AC64" s="580"/>
      <c r="AD64" s="717"/>
      <c r="AE64" s="717"/>
      <c r="AF64" s="173"/>
    </row>
    <row r="65" spans="2:33" ht="18" customHeight="1" thickBot="1" x14ac:dyDescent="0.25">
      <c r="B65" s="604" t="s">
        <v>57</v>
      </c>
      <c r="C65" s="605"/>
      <c r="D65" s="523"/>
      <c r="E65" s="621" t="s">
        <v>58</v>
      </c>
      <c r="F65" s="622"/>
      <c r="G65" s="623"/>
      <c r="H65" s="624"/>
      <c r="I65" s="624"/>
      <c r="J65" s="624"/>
      <c r="K65" s="593" t="s">
        <v>266</v>
      </c>
      <c r="L65" s="594"/>
      <c r="M65" s="323">
        <f>SUM(Matrix2!U26:U40)</f>
        <v>0</v>
      </c>
      <c r="N65" s="178">
        <f>ROUNDDOWN(SUM(Matrix2!O26:O40),0.2)</f>
        <v>0</v>
      </c>
      <c r="O65" s="178">
        <f t="shared" si="0"/>
        <v>0</v>
      </c>
      <c r="P65" s="595">
        <f>SUM(Matrix2!O68:O82)</f>
        <v>0</v>
      </c>
      <c r="Q65" s="596"/>
      <c r="R65" s="650" t="s">
        <v>59</v>
      </c>
      <c r="S65" s="650"/>
      <c r="T65" s="651" t="str">
        <f>IF(ISERROR(T62-T63),"",T62-T63)</f>
        <v/>
      </c>
      <c r="U65" s="652"/>
      <c r="V65" s="652"/>
      <c r="W65" s="668" t="s">
        <v>60</v>
      </c>
      <c r="X65" s="668"/>
      <c r="Y65" s="668"/>
      <c r="Z65" s="668"/>
      <c r="AA65" s="669" t="s">
        <v>61</v>
      </c>
      <c r="AB65" s="669"/>
      <c r="AC65" s="669"/>
      <c r="AD65" s="718" t="s">
        <v>62</v>
      </c>
      <c r="AE65" s="718"/>
    </row>
    <row r="66" spans="2:33" ht="18" customHeight="1" x14ac:dyDescent="0.2">
      <c r="B66" s="628"/>
      <c r="C66" s="629"/>
      <c r="D66" s="630"/>
      <c r="E66" s="632"/>
      <c r="F66" s="633"/>
      <c r="G66" s="625"/>
      <c r="H66" s="566"/>
      <c r="I66" s="566"/>
      <c r="J66" s="566"/>
      <c r="K66" s="619" t="s">
        <v>63</v>
      </c>
      <c r="L66" s="620"/>
      <c r="M66" s="322">
        <f>IF(COUNTIF(D8:D52,"=Tracked")&gt;=1,SUM(Matrix2!Q26:Q40),)</f>
        <v>0</v>
      </c>
      <c r="N66" s="324">
        <f>ROUNDDOWN(SUM(Matrix2!P26:P40),0.2)</f>
        <v>0</v>
      </c>
      <c r="O66" s="231">
        <f t="shared" si="0"/>
        <v>0</v>
      </c>
      <c r="P66" s="595">
        <f>IF(COUNT(Matrix2!Q68:Q82&gt;=1),ROUNDDOWN(SUM(Matrix2!P68:P82),0.2),)</f>
        <v>0</v>
      </c>
      <c r="Q66" s="596"/>
      <c r="R66" s="655" t="s">
        <v>64</v>
      </c>
      <c r="S66" s="656"/>
      <c r="T66" s="657" t="str">
        <f>IF(OR(R61="Finance Please Select",R61="Finance No"),"",PMT(Matrix2!C22/12,12,-(T62-T63)))</f>
        <v/>
      </c>
      <c r="U66" s="658"/>
      <c r="V66" s="658"/>
      <c r="W66" s="670">
        <f>SUM(W59+W62+W64)</f>
        <v>0</v>
      </c>
      <c r="X66" s="670"/>
      <c r="Y66" s="670"/>
      <c r="Z66" s="670"/>
      <c r="AA66" s="671">
        <f>(AA59+AA62+AA64)-(IF(O74="",,O74))-O75</f>
        <v>0</v>
      </c>
      <c r="AB66" s="671"/>
      <c r="AC66" s="671"/>
      <c r="AD66" s="719">
        <f>W66-AA66</f>
        <v>0</v>
      </c>
      <c r="AE66" s="719"/>
    </row>
    <row r="67" spans="2:33" ht="18" customHeight="1" x14ac:dyDescent="0.2">
      <c r="B67" s="530"/>
      <c r="C67" s="531"/>
      <c r="D67" s="631"/>
      <c r="E67" s="634"/>
      <c r="F67" s="635"/>
      <c r="G67" s="625"/>
      <c r="H67" s="566"/>
      <c r="I67" s="566"/>
      <c r="J67" s="566"/>
      <c r="K67" s="593" t="s">
        <v>65</v>
      </c>
      <c r="L67" s="594"/>
      <c r="M67" s="323">
        <f>IF(COUNTIF(Matrix2!T26:T40,"&gt;=1"),SUM(Matrix2!T26:T40),)</f>
        <v>0</v>
      </c>
      <c r="N67" s="15">
        <f>IF(M67&gt;=1,ROUNDDOWN(SUM(Matrix2!R26:R40),0.2),)</f>
        <v>0</v>
      </c>
      <c r="O67" s="15">
        <f t="shared" ref="O67:O69" si="1">N67</f>
        <v>0</v>
      </c>
      <c r="P67" s="595">
        <f>IF(COUNTIF(Matrix2!T68:T82,"&gt;=1"),ROUNDDOWN(SUM(Matrix2!R68:R82),0.2),)</f>
        <v>0</v>
      </c>
      <c r="Q67" s="596"/>
      <c r="R67" s="653" t="s">
        <v>66</v>
      </c>
      <c r="S67" s="654"/>
      <c r="T67" s="648" t="str">
        <f>IF(OR(R61="Finance Please Select",R61="Finance No"),"",PMT(Matrix2!C23/12,24,-(T62-T63)))</f>
        <v/>
      </c>
      <c r="U67" s="649"/>
      <c r="V67" s="649"/>
      <c r="W67" s="670"/>
      <c r="X67" s="670"/>
      <c r="Y67" s="670"/>
      <c r="Z67" s="670"/>
      <c r="AA67" s="671"/>
      <c r="AB67" s="671"/>
      <c r="AC67" s="671"/>
      <c r="AD67" s="719"/>
      <c r="AE67" s="719"/>
    </row>
    <row r="68" spans="2:33" ht="18.75" x14ac:dyDescent="0.25">
      <c r="B68" s="604" t="s">
        <v>67</v>
      </c>
      <c r="C68" s="605"/>
      <c r="D68" s="605"/>
      <c r="E68" s="605"/>
      <c r="F68" s="606"/>
      <c r="G68" s="625"/>
      <c r="H68" s="566"/>
      <c r="I68" s="566"/>
      <c r="J68" s="566"/>
      <c r="K68" s="593" t="s">
        <v>68</v>
      </c>
      <c r="L68" s="594"/>
      <c r="M68" s="325">
        <f>SUMPRODUCT(COUNTIF(Matrix2!Y26:Y40,"&gt;=1"))</f>
        <v>0</v>
      </c>
      <c r="N68" s="178">
        <f>SUM(Matrix2!Y26:Y40)</f>
        <v>0</v>
      </c>
      <c r="O68" s="178">
        <f t="shared" si="1"/>
        <v>0</v>
      </c>
      <c r="P68" s="595">
        <f>IF(COUNTIF(Matrix2!Y68:Y82,"&gt;=1"),ROUNDDOWN(SUM(Matrix2!Y68:Y82),0.2),)</f>
        <v>0</v>
      </c>
      <c r="Q68" s="596"/>
      <c r="R68" s="653" t="s">
        <v>69</v>
      </c>
      <c r="S68" s="654"/>
      <c r="T68" s="648" t="str">
        <f>IF(OR(R61="Finance Please Select",R61="Finance No"),"",PMT(Matrix2!C24/12,36,-(T62-T63)))</f>
        <v/>
      </c>
      <c r="U68" s="649"/>
      <c r="V68" s="649"/>
      <c r="W68" s="666" t="s">
        <v>43</v>
      </c>
      <c r="X68" s="666"/>
      <c r="Y68" s="666"/>
      <c r="Z68" s="666"/>
      <c r="AA68" s="667" t="s">
        <v>47</v>
      </c>
      <c r="AB68" s="667"/>
      <c r="AC68" s="667"/>
      <c r="AD68" s="707" t="s">
        <v>51</v>
      </c>
      <c r="AE68" s="707"/>
    </row>
    <row r="69" spans="2:33" x14ac:dyDescent="0.2">
      <c r="B69" s="584"/>
      <c r="C69" s="585"/>
      <c r="D69" s="585"/>
      <c r="E69" s="585"/>
      <c r="F69" s="586"/>
      <c r="G69" s="625"/>
      <c r="H69" s="566"/>
      <c r="I69" s="566"/>
      <c r="J69" s="566"/>
      <c r="K69" s="593" t="s">
        <v>70</v>
      </c>
      <c r="L69" s="594"/>
      <c r="M69" s="326">
        <f>IF(Matrix2!X41&gt;0,1,0)</f>
        <v>0</v>
      </c>
      <c r="N69" s="178">
        <f>IF(M69&gt;=1,M69*Matrix2!F11,)</f>
        <v>0</v>
      </c>
      <c r="O69" s="178">
        <f t="shared" si="1"/>
        <v>0</v>
      </c>
      <c r="P69" s="608">
        <f>IF(COUNTIF(Matrix2!X68:X82,"&gt;=1"),ROUNDDOWN(SUM(Matrix2!X68:X82),0.2),)</f>
        <v>0</v>
      </c>
      <c r="Q69" s="609"/>
      <c r="R69" s="659" t="s">
        <v>71</v>
      </c>
      <c r="S69" s="659"/>
      <c r="T69" s="659"/>
      <c r="U69" s="659"/>
      <c r="V69" s="659"/>
      <c r="W69" s="674" t="str">
        <f>TEXT(INDEX(Matrix2!AA187:AA194,MATCH(Pricing!W68,Matrix2!K187:K194,0)),"£#,##0")  &amp; IF(TEXT(INDEX(Matrix2!AA187:AA194,MATCH(Pricing!W68,Matrix2!K187:K194,0)),"£#,##0")="£0",,  "  (£"&amp;ROUND(INDEX(Matrix2!AA174:AA181,MATCH(Pricing!W68,Matrix2!K174:K181,0))+O59+SUM(O65:O71),0)&amp;")")</f>
        <v>£0</v>
      </c>
      <c r="X69" s="675"/>
      <c r="Y69" s="675"/>
      <c r="Z69" s="676"/>
      <c r="AA69" s="681" t="str">
        <f>TEXT(INDEX(Matrix2!AA187:AA194,MATCH(Pricing!AA68,Matrix2!K187:K194,0)),"£#,##0")  &amp; IF(TEXT(INDEX(Matrix2!AA187:AA194,MATCH(Pricing!AA68,Matrix2!K187:K194,0)),"£#,##0")="£0",,  "  (£"&amp;ROUND(INDEX(Matrix2!AA174:AA181,MATCH(Pricing!AA68,Matrix2!K174:K181,0))+O59+SUM(O65:O71),0)&amp;")")</f>
        <v>£0</v>
      </c>
      <c r="AB69" s="682"/>
      <c r="AC69" s="683"/>
      <c r="AD69" s="687" t="str">
        <f>TEXT(INDEX(Matrix2!AA187:AA194,MATCH(Pricing!AD68,Matrix2!K187:K194,0)),"£#,##0")  &amp; IF(TEXT(INDEX(Matrix2!AA187:AA194,MATCH(Pricing!AD68,Matrix2!K187:K194,0)),"£#,##0")="£0",,  "  (£"&amp;ROUND(INDEX(Matrix2!AA174:AA181,MATCH(Pricing!AD68,Matrix2!K174:K181,0))+O59+SUM(O65:O71),0)&amp;")")</f>
        <v>£0</v>
      </c>
      <c r="AE69" s="688"/>
      <c r="AG69" s="234"/>
    </row>
    <row r="70" spans="2:33" ht="15.75" thickBot="1" x14ac:dyDescent="0.25">
      <c r="B70" s="587"/>
      <c r="C70" s="588"/>
      <c r="D70" s="588"/>
      <c r="E70" s="588"/>
      <c r="F70" s="589"/>
      <c r="G70" s="625"/>
      <c r="H70" s="566"/>
      <c r="I70" s="566"/>
      <c r="J70" s="566"/>
      <c r="K70" s="593" t="s">
        <v>72</v>
      </c>
      <c r="L70" s="594"/>
      <c r="M70" s="326">
        <f>IF(COUNTIF(Matrix2!V26:V40,"&gt;=1"),SUM(Matrix2!V26:V40),)</f>
        <v>0</v>
      </c>
      <c r="N70" s="178">
        <f>M70</f>
        <v>0</v>
      </c>
      <c r="O70" s="178">
        <f>N70</f>
        <v>0</v>
      </c>
      <c r="P70" s="608">
        <f>IF(COUNTIF(Matrix2!V68:V82,"&gt;=1"),ROUNDDOWN(SUM(Matrix2!V68:V82),0.2),)</f>
        <v>0</v>
      </c>
      <c r="Q70" s="609"/>
      <c r="R70" s="268"/>
      <c r="S70" s="268"/>
      <c r="T70" s="268"/>
      <c r="U70" s="268"/>
      <c r="V70" s="268"/>
      <c r="W70" s="677"/>
      <c r="X70" s="678"/>
      <c r="Y70" s="678"/>
      <c r="Z70" s="679"/>
      <c r="AA70" s="684"/>
      <c r="AB70" s="685"/>
      <c r="AC70" s="686"/>
      <c r="AD70" s="689"/>
      <c r="AE70" s="690"/>
      <c r="AG70" s="234"/>
    </row>
    <row r="71" spans="2:33" x14ac:dyDescent="0.2">
      <c r="B71" s="587"/>
      <c r="C71" s="588"/>
      <c r="D71" s="588"/>
      <c r="E71" s="588"/>
      <c r="F71" s="589"/>
      <c r="G71" s="625"/>
      <c r="H71" s="566"/>
      <c r="I71" s="566"/>
      <c r="J71" s="566"/>
      <c r="K71" s="593" t="s">
        <v>73</v>
      </c>
      <c r="L71" s="594"/>
      <c r="M71" s="326">
        <f>IF(COUNTIF(Matrix2!M26:M40,"&gt;=1"),SUM(Matrix2!M26:M40),)</f>
        <v>0</v>
      </c>
      <c r="N71" s="178">
        <f>M71</f>
        <v>0</v>
      </c>
      <c r="O71" s="178">
        <f>N71</f>
        <v>0</v>
      </c>
      <c r="P71" s="608">
        <f>IF(COUNTIF(Matrix2!M68:M82,"&gt;=1"),ROUNDDOWN(SUM(Matrix2!M68:M82),0.2),)</f>
        <v>0</v>
      </c>
      <c r="Q71" s="609"/>
      <c r="R71" s="660"/>
      <c r="S71" s="660"/>
      <c r="T71" s="660"/>
      <c r="U71" s="660"/>
      <c r="V71" s="660"/>
      <c r="W71" s="672" t="s">
        <v>74</v>
      </c>
      <c r="X71" s="672"/>
      <c r="Y71" s="672"/>
      <c r="Z71" s="672"/>
      <c r="AA71" s="579" t="s">
        <v>75</v>
      </c>
      <c r="AB71" s="579"/>
      <c r="AC71" s="579"/>
      <c r="AD71" s="672" t="s">
        <v>76</v>
      </c>
      <c r="AE71" s="672"/>
    </row>
    <row r="72" spans="2:33" ht="14.45" customHeight="1" x14ac:dyDescent="0.2">
      <c r="B72" s="587"/>
      <c r="C72" s="588"/>
      <c r="D72" s="588"/>
      <c r="E72" s="588"/>
      <c r="F72" s="589"/>
      <c r="G72" s="625"/>
      <c r="H72" s="566"/>
      <c r="I72" s="566"/>
      <c r="J72" s="566"/>
      <c r="K72" s="607"/>
      <c r="L72" s="528"/>
      <c r="M72" s="323"/>
      <c r="N72" s="178"/>
      <c r="O72" s="178"/>
      <c r="P72" s="595" t="str">
        <f>"(S &amp; I): £" &amp; ROUND(SUM(Matrix2!Z68:Z82),0.2)</f>
        <v>(S &amp; I): £0</v>
      </c>
      <c r="Q72" s="596"/>
      <c r="R72" s="661"/>
      <c r="S72" s="661"/>
      <c r="T72" s="661"/>
      <c r="U72" s="661"/>
      <c r="V72" s="661"/>
      <c r="W72" s="672"/>
      <c r="X72" s="672"/>
      <c r="Y72" s="672"/>
      <c r="Z72" s="672"/>
      <c r="AA72" s="691">
        <f>IF(AA66=0,0,ROUNDUP(50%*AA66,0.2))</f>
        <v>0</v>
      </c>
      <c r="AB72" s="692"/>
      <c r="AC72" s="693"/>
      <c r="AD72" s="672"/>
      <c r="AE72" s="672"/>
    </row>
    <row r="73" spans="2:33" x14ac:dyDescent="0.2">
      <c r="B73" s="587"/>
      <c r="C73" s="588"/>
      <c r="D73" s="588"/>
      <c r="E73" s="588"/>
      <c r="F73" s="589"/>
      <c r="G73" s="625"/>
      <c r="H73" s="566"/>
      <c r="I73" s="566"/>
      <c r="J73" s="566"/>
      <c r="K73" s="602"/>
      <c r="L73" s="603"/>
      <c r="M73" s="327" t="s">
        <v>77</v>
      </c>
      <c r="N73" s="328">
        <f>SUM(N59:N71)</f>
        <v>0</v>
      </c>
      <c r="O73" s="328">
        <f>ROUND(SUM(O59:O71),0.2)</f>
        <v>0</v>
      </c>
      <c r="P73" s="645">
        <f>ROUND(SUM(P59:Q72)+SUM(Matrix2!Z68:Z82),0.2)</f>
        <v>0</v>
      </c>
      <c r="Q73" s="646"/>
      <c r="R73" s="661"/>
      <c r="S73" s="661"/>
      <c r="T73" s="661"/>
      <c r="U73" s="661"/>
      <c r="V73" s="661"/>
      <c r="W73" s="672"/>
      <c r="X73" s="672"/>
      <c r="Y73" s="672"/>
      <c r="Z73" s="672"/>
      <c r="AA73" s="579" t="s">
        <v>78</v>
      </c>
      <c r="AB73" s="579"/>
      <c r="AC73" s="579"/>
      <c r="AD73" s="672"/>
      <c r="AE73" s="672"/>
    </row>
    <row r="74" spans="2:33" x14ac:dyDescent="0.2">
      <c r="B74" s="587"/>
      <c r="C74" s="588"/>
      <c r="D74" s="588"/>
      <c r="E74" s="588"/>
      <c r="F74" s="589"/>
      <c r="G74" s="625"/>
      <c r="H74" s="566"/>
      <c r="I74" s="566"/>
      <c r="J74" s="566"/>
      <c r="K74" s="232"/>
      <c r="L74" s="233"/>
      <c r="M74" s="527" t="s">
        <v>79</v>
      </c>
      <c r="N74" s="528"/>
      <c r="O74" s="15"/>
      <c r="P74" s="597" t="str">
        <f>IF(M74="Price Match","Copy quote required","")</f>
        <v/>
      </c>
      <c r="Q74" s="598"/>
      <c r="R74" s="661"/>
      <c r="S74" s="661"/>
      <c r="T74" s="661"/>
      <c r="U74" s="661"/>
      <c r="V74" s="661"/>
      <c r="W74" s="673" t="s">
        <v>80</v>
      </c>
      <c r="X74" s="673"/>
      <c r="Y74" s="673"/>
      <c r="Z74" s="673"/>
      <c r="AA74" s="691">
        <f>AA66-AA72</f>
        <v>0</v>
      </c>
      <c r="AB74" s="692"/>
      <c r="AC74" s="693"/>
      <c r="AD74" s="680" t="s">
        <v>81</v>
      </c>
      <c r="AE74" s="680"/>
    </row>
    <row r="75" spans="2:33" ht="15.75" thickBot="1" x14ac:dyDescent="0.25">
      <c r="B75" s="590"/>
      <c r="C75" s="591"/>
      <c r="D75" s="591"/>
      <c r="E75" s="591"/>
      <c r="F75" s="592"/>
      <c r="G75" s="626"/>
      <c r="H75" s="627"/>
      <c r="I75" s="627"/>
      <c r="J75" s="627"/>
      <c r="K75" s="599" t="str">
        <f>IF(AD54=0,"",IFERROR("BP: "&amp;ROUND(SUM(AA66-SUM(N60:N71))/AD54,0)&amp;" | SVBP: 0",IFERROR("BP: "&amp;ROUND(SUM(AA66-SUM(N60:N71))/AD54,0)&amp;" | "&amp;"SVBP:"&amp;TEXT(Matrix2!AA123+Matrix2!Z136,"#,##0"),"BP: 0")))</f>
        <v/>
      </c>
      <c r="L75" s="600"/>
      <c r="M75" s="663" t="str">
        <f>IF(M74="Other:","","Other:")</f>
        <v/>
      </c>
      <c r="N75" s="664"/>
      <c r="O75" s="267"/>
      <c r="P75" s="601" t="str">
        <f>IF(M75="Price Match","Copy quote required","")</f>
        <v/>
      </c>
      <c r="Q75" s="601"/>
      <c r="R75" s="662"/>
      <c r="S75" s="662"/>
      <c r="T75" s="662"/>
      <c r="U75" s="662"/>
      <c r="V75" s="662"/>
      <c r="W75" s="673"/>
      <c r="X75" s="673"/>
      <c r="Y75" s="673"/>
      <c r="Z75" s="673"/>
      <c r="AA75" s="694"/>
      <c r="AB75" s="695"/>
      <c r="AC75" s="696"/>
      <c r="AD75" s="665"/>
      <c r="AE75" s="665"/>
    </row>
    <row r="76" spans="2:33" ht="15.75" thickTop="1" x14ac:dyDescent="0.2">
      <c r="L76" s="360"/>
      <c r="M76" s="361" t="e">
        <f>ROUND(SUM(AA66-SUM(N60:N71))/AD54,0)</f>
        <v>#DIV/0!</v>
      </c>
      <c r="O76" s="361"/>
      <c r="P76" s="362" t="e">
        <f>(O76-M76)/O76</f>
        <v>#DIV/0!</v>
      </c>
      <c r="R76" s="361" t="e">
        <f>IF(P76=0,"",IF(OR(P76&gt;=0.05,P76&lt;=0.05),"True",IF(P76=0,"","")))</f>
        <v>#DIV/0!</v>
      </c>
    </row>
    <row r="77" spans="2:33" x14ac:dyDescent="0.2">
      <c r="B77" s="470" t="s">
        <v>82</v>
      </c>
      <c r="C77" s="471"/>
      <c r="D77" s="471"/>
      <c r="E77" s="471"/>
      <c r="F77" s="471"/>
      <c r="G77" s="471"/>
      <c r="H77" s="471"/>
      <c r="I77" s="471"/>
      <c r="J77" s="471"/>
      <c r="K77" s="471"/>
      <c r="L77" s="471"/>
      <c r="M77" s="471"/>
      <c r="N77" s="471"/>
      <c r="O77" s="471"/>
      <c r="P77" s="471"/>
      <c r="Q77" s="471"/>
      <c r="R77" s="471"/>
      <c r="S77" s="471"/>
      <c r="T77" s="471"/>
      <c r="U77" s="471"/>
      <c r="V77" s="471"/>
      <c r="W77" s="471"/>
      <c r="X77" s="471"/>
      <c r="Y77" s="471"/>
      <c r="Z77" s="471"/>
      <c r="AA77" s="471"/>
      <c r="AB77" s="471"/>
      <c r="AC77" s="471"/>
      <c r="AD77" s="471"/>
      <c r="AE77" s="472"/>
    </row>
    <row r="78" spans="2:33" x14ac:dyDescent="0.2">
      <c r="B78" s="473"/>
      <c r="C78" s="474"/>
      <c r="D78" s="474"/>
      <c r="E78" s="474"/>
      <c r="F78" s="474"/>
      <c r="G78" s="474"/>
      <c r="H78" s="474"/>
      <c r="I78" s="474"/>
      <c r="J78" s="474"/>
      <c r="K78" s="474"/>
      <c r="L78" s="474"/>
      <c r="M78" s="474"/>
      <c r="N78" s="474"/>
      <c r="O78" s="474"/>
      <c r="P78" s="474"/>
      <c r="Q78" s="474"/>
      <c r="R78" s="474"/>
      <c r="S78" s="474"/>
      <c r="T78" s="474"/>
      <c r="U78" s="474"/>
      <c r="V78" s="474"/>
      <c r="W78" s="474"/>
      <c r="X78" s="474"/>
      <c r="Y78" s="474"/>
      <c r="Z78" s="474"/>
      <c r="AA78" s="474"/>
      <c r="AB78" s="474"/>
      <c r="AC78" s="474"/>
      <c r="AD78" s="474"/>
      <c r="AE78" s="475"/>
    </row>
    <row r="79" spans="2:33" x14ac:dyDescent="0.2">
      <c r="B79" s="473"/>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4"/>
      <c r="AD79" s="474"/>
      <c r="AE79" s="475"/>
    </row>
    <row r="80" spans="2:33" x14ac:dyDescent="0.2">
      <c r="B80" s="473"/>
      <c r="C80" s="474"/>
      <c r="D80" s="474"/>
      <c r="E80" s="474"/>
      <c r="F80" s="474"/>
      <c r="G80" s="474"/>
      <c r="H80" s="474"/>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5"/>
    </row>
    <row r="81" spans="2:31" x14ac:dyDescent="0.2">
      <c r="B81" s="473"/>
      <c r="C81" s="474"/>
      <c r="D81" s="474"/>
      <c r="E81" s="474"/>
      <c r="F81" s="474"/>
      <c r="G81" s="474"/>
      <c r="H81" s="474"/>
      <c r="I81" s="474"/>
      <c r="J81" s="474"/>
      <c r="K81" s="474"/>
      <c r="L81" s="474"/>
      <c r="M81" s="474"/>
      <c r="N81" s="474"/>
      <c r="O81" s="474"/>
      <c r="P81" s="474"/>
      <c r="Q81" s="474"/>
      <c r="R81" s="474"/>
      <c r="S81" s="474"/>
      <c r="T81" s="474"/>
      <c r="U81" s="474"/>
      <c r="V81" s="474"/>
      <c r="W81" s="474"/>
      <c r="X81" s="474"/>
      <c r="Y81" s="474"/>
      <c r="Z81" s="474"/>
      <c r="AA81" s="474"/>
      <c r="AB81" s="474"/>
      <c r="AC81" s="474"/>
      <c r="AD81" s="474"/>
      <c r="AE81" s="475"/>
    </row>
    <row r="82" spans="2:31" x14ac:dyDescent="0.2">
      <c r="B82" s="473"/>
      <c r="C82" s="474"/>
      <c r="D82" s="474"/>
      <c r="E82" s="474"/>
      <c r="F82" s="474"/>
      <c r="G82" s="474"/>
      <c r="H82" s="474"/>
      <c r="I82" s="474"/>
      <c r="J82" s="474"/>
      <c r="K82" s="474"/>
      <c r="L82" s="474"/>
      <c r="M82" s="474"/>
      <c r="N82" s="474"/>
      <c r="O82" s="474"/>
      <c r="P82" s="474"/>
      <c r="Q82" s="474"/>
      <c r="R82" s="474"/>
      <c r="S82" s="474"/>
      <c r="T82" s="474"/>
      <c r="U82" s="474"/>
      <c r="V82" s="474"/>
      <c r="W82" s="474"/>
      <c r="X82" s="474"/>
      <c r="Y82" s="474"/>
      <c r="Z82" s="474"/>
      <c r="AA82" s="474"/>
      <c r="AB82" s="474"/>
      <c r="AC82" s="474"/>
      <c r="AD82" s="474"/>
      <c r="AE82" s="475"/>
    </row>
    <row r="83" spans="2:31" x14ac:dyDescent="0.2">
      <c r="B83" s="473"/>
      <c r="C83" s="474"/>
      <c r="D83" s="474"/>
      <c r="E83" s="474"/>
      <c r="F83" s="474"/>
      <c r="G83" s="474"/>
      <c r="H83" s="474"/>
      <c r="I83" s="474"/>
      <c r="J83" s="474"/>
      <c r="K83" s="474"/>
      <c r="L83" s="474"/>
      <c r="M83" s="474"/>
      <c r="N83" s="474"/>
      <c r="O83" s="474"/>
      <c r="P83" s="474"/>
      <c r="Q83" s="474"/>
      <c r="R83" s="474"/>
      <c r="S83" s="474"/>
      <c r="T83" s="474"/>
      <c r="U83" s="474"/>
      <c r="V83" s="474"/>
      <c r="W83" s="474"/>
      <c r="X83" s="474"/>
      <c r="Y83" s="474"/>
      <c r="Z83" s="474"/>
      <c r="AA83" s="474"/>
      <c r="AB83" s="474"/>
      <c r="AC83" s="474"/>
      <c r="AD83" s="474"/>
      <c r="AE83" s="475"/>
    </row>
    <row r="84" spans="2:31" x14ac:dyDescent="0.2">
      <c r="B84" s="473"/>
      <c r="C84" s="474"/>
      <c r="D84" s="474"/>
      <c r="E84" s="474"/>
      <c r="F84" s="474"/>
      <c r="G84" s="474"/>
      <c r="H84" s="474"/>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5"/>
    </row>
    <row r="85" spans="2:31" x14ac:dyDescent="0.2">
      <c r="B85" s="473"/>
      <c r="C85" s="474"/>
      <c r="D85" s="474"/>
      <c r="E85" s="474"/>
      <c r="F85" s="474"/>
      <c r="G85" s="474"/>
      <c r="H85" s="474"/>
      <c r="I85" s="474"/>
      <c r="J85" s="474"/>
      <c r="K85" s="474"/>
      <c r="L85" s="474"/>
      <c r="M85" s="474"/>
      <c r="N85" s="474"/>
      <c r="O85" s="474"/>
      <c r="P85" s="474"/>
      <c r="Q85" s="474"/>
      <c r="R85" s="474"/>
      <c r="S85" s="474"/>
      <c r="T85" s="474"/>
      <c r="U85" s="474"/>
      <c r="V85" s="474"/>
      <c r="W85" s="474"/>
      <c r="X85" s="474"/>
      <c r="Y85" s="474"/>
      <c r="Z85" s="474"/>
      <c r="AA85" s="474"/>
      <c r="AB85" s="474"/>
      <c r="AC85" s="474"/>
      <c r="AD85" s="474"/>
      <c r="AE85" s="475"/>
    </row>
    <row r="86" spans="2:31" x14ac:dyDescent="0.2">
      <c r="B86" s="473"/>
      <c r="C86" s="474"/>
      <c r="D86" s="474"/>
      <c r="E86" s="474"/>
      <c r="F86" s="474"/>
      <c r="G86" s="474"/>
      <c r="H86" s="474"/>
      <c r="I86" s="474"/>
      <c r="J86" s="474"/>
      <c r="K86" s="474"/>
      <c r="L86" s="474"/>
      <c r="M86" s="474"/>
      <c r="N86" s="474"/>
      <c r="O86" s="474"/>
      <c r="P86" s="474"/>
      <c r="Q86" s="474"/>
      <c r="R86" s="474"/>
      <c r="S86" s="474"/>
      <c r="T86" s="474"/>
      <c r="U86" s="474"/>
      <c r="V86" s="474"/>
      <c r="W86" s="474"/>
      <c r="X86" s="474"/>
      <c r="Y86" s="474"/>
      <c r="Z86" s="474"/>
      <c r="AA86" s="474"/>
      <c r="AB86" s="474"/>
      <c r="AC86" s="474"/>
      <c r="AD86" s="474"/>
      <c r="AE86" s="475"/>
    </row>
    <row r="87" spans="2:31" x14ac:dyDescent="0.2">
      <c r="B87" s="473"/>
      <c r="C87" s="474"/>
      <c r="D87" s="474"/>
      <c r="E87" s="474"/>
      <c r="F87" s="474"/>
      <c r="G87" s="474"/>
      <c r="H87" s="474"/>
      <c r="I87" s="474"/>
      <c r="J87" s="474"/>
      <c r="K87" s="474"/>
      <c r="L87" s="474"/>
      <c r="M87" s="474"/>
      <c r="N87" s="474"/>
      <c r="O87" s="474"/>
      <c r="P87" s="474"/>
      <c r="Q87" s="474"/>
      <c r="R87" s="474"/>
      <c r="S87" s="474"/>
      <c r="T87" s="474"/>
      <c r="U87" s="474"/>
      <c r="V87" s="474"/>
      <c r="W87" s="474"/>
      <c r="X87" s="474"/>
      <c r="Y87" s="474"/>
      <c r="Z87" s="474"/>
      <c r="AA87" s="474"/>
      <c r="AB87" s="474"/>
      <c r="AC87" s="474"/>
      <c r="AD87" s="474"/>
      <c r="AE87" s="475"/>
    </row>
    <row r="88" spans="2:31" x14ac:dyDescent="0.2">
      <c r="B88" s="473"/>
      <c r="C88" s="474"/>
      <c r="D88" s="474"/>
      <c r="E88" s="474"/>
      <c r="F88" s="474"/>
      <c r="G88" s="474"/>
      <c r="H88" s="474"/>
      <c r="I88" s="474"/>
      <c r="J88" s="474"/>
      <c r="K88" s="474"/>
      <c r="L88" s="474"/>
      <c r="M88" s="474"/>
      <c r="N88" s="474"/>
      <c r="O88" s="474"/>
      <c r="P88" s="474"/>
      <c r="Q88" s="474"/>
      <c r="R88" s="474"/>
      <c r="S88" s="474"/>
      <c r="T88" s="474"/>
      <c r="U88" s="474"/>
      <c r="V88" s="474"/>
      <c r="W88" s="474"/>
      <c r="X88" s="474"/>
      <c r="Y88" s="474"/>
      <c r="Z88" s="474"/>
      <c r="AA88" s="474"/>
      <c r="AB88" s="474"/>
      <c r="AC88" s="474"/>
      <c r="AD88" s="474"/>
      <c r="AE88" s="475"/>
    </row>
    <row r="89" spans="2:31" x14ac:dyDescent="0.2">
      <c r="B89" s="476"/>
      <c r="C89" s="477"/>
      <c r="D89" s="477"/>
      <c r="E89" s="477"/>
      <c r="F89" s="477"/>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8"/>
    </row>
    <row r="90" spans="2:31" x14ac:dyDescent="0.2">
      <c r="B90" s="160" t="str">
        <f>Matrix2!A1</f>
        <v>Version: 8F7E</v>
      </c>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row>
    <row r="91" spans="2:31" x14ac:dyDescent="0.2">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row>
    <row r="92" spans="2:31" x14ac:dyDescent="0.2">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row>
    <row r="93" spans="2:31" x14ac:dyDescent="0.2">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row>
    <row r="94" spans="2:31" x14ac:dyDescent="0.2">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row>
  </sheetData>
  <dataConsolidate/>
  <mergeCells count="400">
    <mergeCell ref="AD10:AE10"/>
    <mergeCell ref="AD9:AE9"/>
    <mergeCell ref="AD8:AE8"/>
    <mergeCell ref="AD7:AE7"/>
    <mergeCell ref="AD58:AE60"/>
    <mergeCell ref="AD61:AE62"/>
    <mergeCell ref="AD63:AE64"/>
    <mergeCell ref="AD65:AE65"/>
    <mergeCell ref="AD66:AE67"/>
    <mergeCell ref="AD19:AE19"/>
    <mergeCell ref="AD18:AE18"/>
    <mergeCell ref="AD17:AE17"/>
    <mergeCell ref="AD16:AE16"/>
    <mergeCell ref="AD15:AE15"/>
    <mergeCell ref="AD14:AE14"/>
    <mergeCell ref="AD13:AE13"/>
    <mergeCell ref="AD12:AE12"/>
    <mergeCell ref="AD11:AE11"/>
    <mergeCell ref="AD28:AE28"/>
    <mergeCell ref="AD21:AE21"/>
    <mergeCell ref="AD20:AE20"/>
    <mergeCell ref="AD37:AE37"/>
    <mergeCell ref="AD36:AE36"/>
    <mergeCell ref="AD35:AE35"/>
    <mergeCell ref="AD25:AE25"/>
    <mergeCell ref="AD24:AE24"/>
    <mergeCell ref="AD23:AE23"/>
    <mergeCell ref="AD22:AE22"/>
    <mergeCell ref="AD48:AE48"/>
    <mergeCell ref="AD49:AE49"/>
    <mergeCell ref="AD47:AE47"/>
    <mergeCell ref="AD46:AE46"/>
    <mergeCell ref="AD45:AE45"/>
    <mergeCell ref="AD44:AE44"/>
    <mergeCell ref="AD43:AE43"/>
    <mergeCell ref="AD42:AE42"/>
    <mergeCell ref="AD41:AE41"/>
    <mergeCell ref="AD34:AE34"/>
    <mergeCell ref="AD33:AE33"/>
    <mergeCell ref="AD32:AE32"/>
    <mergeCell ref="AD31:AE31"/>
    <mergeCell ref="AD30:AE30"/>
    <mergeCell ref="AD29:AE29"/>
    <mergeCell ref="AD40:AE40"/>
    <mergeCell ref="AD39:AE39"/>
    <mergeCell ref="AD38:AE38"/>
    <mergeCell ref="AD27:AE27"/>
    <mergeCell ref="AD26:AE26"/>
    <mergeCell ref="AD51:AE51"/>
    <mergeCell ref="AD52:AE52"/>
    <mergeCell ref="AD50:AE50"/>
    <mergeCell ref="AC54:AC55"/>
    <mergeCell ref="AD54:AD55"/>
    <mergeCell ref="AE54:AE55"/>
    <mergeCell ref="AD68:AE68"/>
    <mergeCell ref="AA64:AC64"/>
    <mergeCell ref="W61:AC61"/>
    <mergeCell ref="W63:AC63"/>
    <mergeCell ref="AD75:AE75"/>
    <mergeCell ref="AA73:AC73"/>
    <mergeCell ref="W68:Z68"/>
    <mergeCell ref="AA68:AC68"/>
    <mergeCell ref="W62:Z62"/>
    <mergeCell ref="AA62:AC62"/>
    <mergeCell ref="W64:Z64"/>
    <mergeCell ref="W65:Z65"/>
    <mergeCell ref="AA65:AC65"/>
    <mergeCell ref="W66:Z67"/>
    <mergeCell ref="AA66:AC67"/>
    <mergeCell ref="AA71:AC71"/>
    <mergeCell ref="W71:Z73"/>
    <mergeCell ref="W74:Z75"/>
    <mergeCell ref="W69:Z70"/>
    <mergeCell ref="AD71:AE73"/>
    <mergeCell ref="AD74:AE74"/>
    <mergeCell ref="AA69:AC70"/>
    <mergeCell ref="AD69:AE70"/>
    <mergeCell ref="AA72:AC72"/>
    <mergeCell ref="AA74:AC75"/>
    <mergeCell ref="T67:V67"/>
    <mergeCell ref="K69:L69"/>
    <mergeCell ref="K71:L71"/>
    <mergeCell ref="P69:Q69"/>
    <mergeCell ref="P72:Q72"/>
    <mergeCell ref="R65:S65"/>
    <mergeCell ref="T65:V65"/>
    <mergeCell ref="R68:S68"/>
    <mergeCell ref="T68:V68"/>
    <mergeCell ref="R66:S66"/>
    <mergeCell ref="T66:V66"/>
    <mergeCell ref="P65:Q65"/>
    <mergeCell ref="R67:S67"/>
    <mergeCell ref="R69:V69"/>
    <mergeCell ref="R71:V75"/>
    <mergeCell ref="M75:N75"/>
    <mergeCell ref="M74:N74"/>
    <mergeCell ref="R61:V61"/>
    <mergeCell ref="R63:S63"/>
    <mergeCell ref="T63:V63"/>
    <mergeCell ref="R64:S64"/>
    <mergeCell ref="T64:V64"/>
    <mergeCell ref="R62:S62"/>
    <mergeCell ref="T62:V62"/>
    <mergeCell ref="K66:L66"/>
    <mergeCell ref="B65:D65"/>
    <mergeCell ref="E65:F65"/>
    <mergeCell ref="G65:J75"/>
    <mergeCell ref="K65:L65"/>
    <mergeCell ref="B66:D67"/>
    <mergeCell ref="E66:F67"/>
    <mergeCell ref="P66:Q66"/>
    <mergeCell ref="B61:D61"/>
    <mergeCell ref="E61:F61"/>
    <mergeCell ref="G61:J61"/>
    <mergeCell ref="P61:Q61"/>
    <mergeCell ref="P63:Q63"/>
    <mergeCell ref="G64:J64"/>
    <mergeCell ref="G63:J63"/>
    <mergeCell ref="P73:Q73"/>
    <mergeCell ref="B62:D63"/>
    <mergeCell ref="E62:F63"/>
    <mergeCell ref="G62:J62"/>
    <mergeCell ref="B69:F75"/>
    <mergeCell ref="K67:L67"/>
    <mergeCell ref="P67:Q67"/>
    <mergeCell ref="P74:Q74"/>
    <mergeCell ref="K75:L75"/>
    <mergeCell ref="P75:Q75"/>
    <mergeCell ref="K73:L73"/>
    <mergeCell ref="B68:F68"/>
    <mergeCell ref="K68:L68"/>
    <mergeCell ref="P68:Q68"/>
    <mergeCell ref="P62:Q62"/>
    <mergeCell ref="P64:Q64"/>
    <mergeCell ref="K70:L70"/>
    <mergeCell ref="K72:L72"/>
    <mergeCell ref="P71:Q71"/>
    <mergeCell ref="P70:Q70"/>
    <mergeCell ref="R58:V58"/>
    <mergeCell ref="G60:J60"/>
    <mergeCell ref="P60:Q60"/>
    <mergeCell ref="R59:V59"/>
    <mergeCell ref="R60:V60"/>
    <mergeCell ref="W58:Z58"/>
    <mergeCell ref="W59:Z60"/>
    <mergeCell ref="AA58:AC58"/>
    <mergeCell ref="AA59:AC60"/>
    <mergeCell ref="B59:D60"/>
    <mergeCell ref="E59:F60"/>
    <mergeCell ref="G59:J59"/>
    <mergeCell ref="P59:Q59"/>
    <mergeCell ref="B58:D58"/>
    <mergeCell ref="K58:L58"/>
    <mergeCell ref="P58:Q58"/>
    <mergeCell ref="G58:J58"/>
    <mergeCell ref="O52:P52"/>
    <mergeCell ref="Q52:AA52"/>
    <mergeCell ref="B53:D55"/>
    <mergeCell ref="E53:AB55"/>
    <mergeCell ref="K50:K52"/>
    <mergeCell ref="L50:L52"/>
    <mergeCell ref="M50:M52"/>
    <mergeCell ref="N50:N52"/>
    <mergeCell ref="O50:P50"/>
    <mergeCell ref="F51:G51"/>
    <mergeCell ref="O51:P51"/>
    <mergeCell ref="B50:B52"/>
    <mergeCell ref="D50:D52"/>
    <mergeCell ref="E50:E52"/>
    <mergeCell ref="F50:G50"/>
    <mergeCell ref="H50:H52"/>
    <mergeCell ref="I50:I52"/>
    <mergeCell ref="J50:J52"/>
    <mergeCell ref="Q46:AA46"/>
    <mergeCell ref="B47:B49"/>
    <mergeCell ref="D47:D49"/>
    <mergeCell ref="E47:E49"/>
    <mergeCell ref="F47:G47"/>
    <mergeCell ref="H47:H49"/>
    <mergeCell ref="I47:I49"/>
    <mergeCell ref="J47:J49"/>
    <mergeCell ref="K44:K46"/>
    <mergeCell ref="L44:L46"/>
    <mergeCell ref="M44:M46"/>
    <mergeCell ref="N44:N46"/>
    <mergeCell ref="O44:P44"/>
    <mergeCell ref="F45:G45"/>
    <mergeCell ref="O45:P45"/>
    <mergeCell ref="O49:P49"/>
    <mergeCell ref="Q49:AA49"/>
    <mergeCell ref="M47:M49"/>
    <mergeCell ref="N47:N49"/>
    <mergeCell ref="O47:P47"/>
    <mergeCell ref="O48:P48"/>
    <mergeCell ref="B44:B46"/>
    <mergeCell ref="D44:D46"/>
    <mergeCell ref="E44:E46"/>
    <mergeCell ref="F44:G44"/>
    <mergeCell ref="H44:H46"/>
    <mergeCell ref="I44:I46"/>
    <mergeCell ref="J44:J46"/>
    <mergeCell ref="K47:K49"/>
    <mergeCell ref="L47:L49"/>
    <mergeCell ref="F48:G48"/>
    <mergeCell ref="O40:P40"/>
    <mergeCell ref="O46:P46"/>
    <mergeCell ref="O43:P43"/>
    <mergeCell ref="F42:G42"/>
    <mergeCell ref="Q43:AA43"/>
    <mergeCell ref="M41:M43"/>
    <mergeCell ref="N41:N43"/>
    <mergeCell ref="O41:P41"/>
    <mergeCell ref="O42:P42"/>
    <mergeCell ref="J41:J43"/>
    <mergeCell ref="K38:K40"/>
    <mergeCell ref="L38:L40"/>
    <mergeCell ref="J38:J40"/>
    <mergeCell ref="K41:K43"/>
    <mergeCell ref="L41:L43"/>
    <mergeCell ref="Q40:AA40"/>
    <mergeCell ref="M38:M40"/>
    <mergeCell ref="N38:N40"/>
    <mergeCell ref="O38:P38"/>
    <mergeCell ref="O39:P39"/>
    <mergeCell ref="B38:B40"/>
    <mergeCell ref="D38:D40"/>
    <mergeCell ref="E38:E40"/>
    <mergeCell ref="B41:B43"/>
    <mergeCell ref="D41:D43"/>
    <mergeCell ref="E41:E43"/>
    <mergeCell ref="F41:G41"/>
    <mergeCell ref="H41:H43"/>
    <mergeCell ref="I41:I43"/>
    <mergeCell ref="F39:G39"/>
    <mergeCell ref="F38:G38"/>
    <mergeCell ref="H38:H40"/>
    <mergeCell ref="I38:I40"/>
    <mergeCell ref="K35:K37"/>
    <mergeCell ref="L35:L37"/>
    <mergeCell ref="F36:G36"/>
    <mergeCell ref="Q34:AA34"/>
    <mergeCell ref="M32:M34"/>
    <mergeCell ref="N32:N34"/>
    <mergeCell ref="O32:P32"/>
    <mergeCell ref="O33:P33"/>
    <mergeCell ref="O37:P37"/>
    <mergeCell ref="Q37:AA37"/>
    <mergeCell ref="M35:M37"/>
    <mergeCell ref="N35:N37"/>
    <mergeCell ref="O35:P35"/>
    <mergeCell ref="O36:P36"/>
    <mergeCell ref="B26:B28"/>
    <mergeCell ref="D26:D28"/>
    <mergeCell ref="B35:B37"/>
    <mergeCell ref="D35:D37"/>
    <mergeCell ref="E35:E37"/>
    <mergeCell ref="F35:G35"/>
    <mergeCell ref="H35:H37"/>
    <mergeCell ref="I35:I37"/>
    <mergeCell ref="J35:J37"/>
    <mergeCell ref="F33:G33"/>
    <mergeCell ref="B32:B34"/>
    <mergeCell ref="D32:D34"/>
    <mergeCell ref="E32:E34"/>
    <mergeCell ref="F32:G32"/>
    <mergeCell ref="H32:H34"/>
    <mergeCell ref="I32:I34"/>
    <mergeCell ref="J32:J34"/>
    <mergeCell ref="K29:K31"/>
    <mergeCell ref="L29:L31"/>
    <mergeCell ref="F30:G30"/>
    <mergeCell ref="O22:P22"/>
    <mergeCell ref="O28:P28"/>
    <mergeCell ref="K23:K25"/>
    <mergeCell ref="L23:L25"/>
    <mergeCell ref="F24:G24"/>
    <mergeCell ref="O34:P34"/>
    <mergeCell ref="O25:P25"/>
    <mergeCell ref="J20:J22"/>
    <mergeCell ref="M23:M25"/>
    <mergeCell ref="O23:P23"/>
    <mergeCell ref="O24:P24"/>
    <mergeCell ref="J23:J25"/>
    <mergeCell ref="K20:K22"/>
    <mergeCell ref="L20:L22"/>
    <mergeCell ref="O21:P21"/>
    <mergeCell ref="N23:N25"/>
    <mergeCell ref="O29:P29"/>
    <mergeCell ref="O30:P30"/>
    <mergeCell ref="K32:K34"/>
    <mergeCell ref="L32:L34"/>
    <mergeCell ref="Q28:AA28"/>
    <mergeCell ref="B29:B31"/>
    <mergeCell ref="D29:D31"/>
    <mergeCell ref="E29:E31"/>
    <mergeCell ref="F29:G29"/>
    <mergeCell ref="H29:H31"/>
    <mergeCell ref="I29:I31"/>
    <mergeCell ref="J29:J31"/>
    <mergeCell ref="K26:K28"/>
    <mergeCell ref="L26:L28"/>
    <mergeCell ref="M26:M28"/>
    <mergeCell ref="N26:N28"/>
    <mergeCell ref="O26:P26"/>
    <mergeCell ref="F27:G27"/>
    <mergeCell ref="O27:P27"/>
    <mergeCell ref="O31:P31"/>
    <mergeCell ref="Q31:AA31"/>
    <mergeCell ref="M29:M31"/>
    <mergeCell ref="N29:N31"/>
    <mergeCell ref="E26:E28"/>
    <mergeCell ref="F26:G26"/>
    <mergeCell ref="H26:H28"/>
    <mergeCell ref="I26:I28"/>
    <mergeCell ref="J26:J28"/>
    <mergeCell ref="F7:G7"/>
    <mergeCell ref="P7:AA7"/>
    <mergeCell ref="Q10:AA10"/>
    <mergeCell ref="F12:G12"/>
    <mergeCell ref="F15:G15"/>
    <mergeCell ref="B23:B25"/>
    <mergeCell ref="D23:D25"/>
    <mergeCell ref="E23:E25"/>
    <mergeCell ref="F23:G23"/>
    <mergeCell ref="H23:H25"/>
    <mergeCell ref="I23:I25"/>
    <mergeCell ref="F21:G21"/>
    <mergeCell ref="F20:G20"/>
    <mergeCell ref="H20:H22"/>
    <mergeCell ref="I20:I22"/>
    <mergeCell ref="B20:B22"/>
    <mergeCell ref="D20:D22"/>
    <mergeCell ref="E20:E22"/>
    <mergeCell ref="B8:B10"/>
    <mergeCell ref="D8:D10"/>
    <mergeCell ref="E8:E10"/>
    <mergeCell ref="F8:G8"/>
    <mergeCell ref="H8:H10"/>
    <mergeCell ref="I8:I10"/>
    <mergeCell ref="J8:J10"/>
    <mergeCell ref="K8:K10"/>
    <mergeCell ref="O10:P10"/>
    <mergeCell ref="N8:N10"/>
    <mergeCell ref="O8:P8"/>
    <mergeCell ref="F9:G9"/>
    <mergeCell ref="O9:P9"/>
    <mergeCell ref="L8:L10"/>
    <mergeCell ref="M8:M10"/>
    <mergeCell ref="Q13:AA13"/>
    <mergeCell ref="M11:M13"/>
    <mergeCell ref="O11:P11"/>
    <mergeCell ref="O12:P12"/>
    <mergeCell ref="K11:K13"/>
    <mergeCell ref="L11:L13"/>
    <mergeCell ref="N14:N16"/>
    <mergeCell ref="O13:P13"/>
    <mergeCell ref="O14:P14"/>
    <mergeCell ref="L14:L16"/>
    <mergeCell ref="M14:M16"/>
    <mergeCell ref="K14:K16"/>
    <mergeCell ref="O15:P15"/>
    <mergeCell ref="O18:P18"/>
    <mergeCell ref="M17:M19"/>
    <mergeCell ref="B11:B13"/>
    <mergeCell ref="D11:D13"/>
    <mergeCell ref="E11:E13"/>
    <mergeCell ref="F11:G11"/>
    <mergeCell ref="H11:H13"/>
    <mergeCell ref="I11:I13"/>
    <mergeCell ref="J11:J13"/>
    <mergeCell ref="I17:I19"/>
    <mergeCell ref="J17:J19"/>
    <mergeCell ref="F17:G17"/>
    <mergeCell ref="H17:H19"/>
    <mergeCell ref="N11:N13"/>
    <mergeCell ref="N17:N19"/>
    <mergeCell ref="B77:AE89"/>
    <mergeCell ref="B14:B16"/>
    <mergeCell ref="D14:D16"/>
    <mergeCell ref="E14:E16"/>
    <mergeCell ref="F14:G14"/>
    <mergeCell ref="H14:H16"/>
    <mergeCell ref="I14:I16"/>
    <mergeCell ref="J14:J16"/>
    <mergeCell ref="K17:K19"/>
    <mergeCell ref="L17:L19"/>
    <mergeCell ref="F18:G18"/>
    <mergeCell ref="O16:P16"/>
    <mergeCell ref="Q16:AA16"/>
    <mergeCell ref="B17:B19"/>
    <mergeCell ref="D17:D19"/>
    <mergeCell ref="E17:E19"/>
    <mergeCell ref="Q25:AA25"/>
    <mergeCell ref="O19:P19"/>
    <mergeCell ref="Q22:AA22"/>
    <mergeCell ref="M20:M22"/>
    <mergeCell ref="N20:N22"/>
    <mergeCell ref="O20:P20"/>
    <mergeCell ref="Q19:AA19"/>
    <mergeCell ref="O17:P17"/>
  </mergeCells>
  <conditionalFormatting sqref="B1:B3">
    <cfRule type="expression" dxfId="1473" priority="1308">
      <formula>$AG1="Quoted"</formula>
    </cfRule>
  </conditionalFormatting>
  <conditionalFormatting sqref="C14:AE16">
    <cfRule type="expression" dxfId="1472" priority="381">
      <formula>$AD$14="Quoted"</formula>
    </cfRule>
  </conditionalFormatting>
  <conditionalFormatting sqref="R59">
    <cfRule type="cellIs" dxfId="1471" priority="1305" operator="greaterThan">
      <formula>34%</formula>
    </cfRule>
  </conditionalFormatting>
  <conditionalFormatting sqref="O66">
    <cfRule type="expression" dxfId="1470" priority="1298">
      <formula>$N$66&lt;&gt;$O$66</formula>
    </cfRule>
  </conditionalFormatting>
  <conditionalFormatting sqref="O71:O72">
    <cfRule type="expression" dxfId="1469" priority="1297">
      <formula>$N$71&lt;&gt;$O$71</formula>
    </cfRule>
  </conditionalFormatting>
  <conditionalFormatting sqref="P59:Q73">
    <cfRule type="expression" dxfId="1468" priority="1287">
      <formula>$P$73&gt;0</formula>
    </cfRule>
  </conditionalFormatting>
  <conditionalFormatting sqref="R66:V66 R61">
    <cfRule type="expression" dxfId="1467" priority="330">
      <formula>$R$61="Finance Yes (12 months @ 0%)"</formula>
    </cfRule>
  </conditionalFormatting>
  <conditionalFormatting sqref="R61 T67 R67">
    <cfRule type="expression" dxfId="1466" priority="1285">
      <formula>$R$61="Finance Yes (24 months @ 19.9%)"</formula>
    </cfRule>
  </conditionalFormatting>
  <conditionalFormatting sqref="T63:V63">
    <cfRule type="expression" dxfId="1465" priority="1281" stopIfTrue="1">
      <formula>$T$63&gt;0</formula>
    </cfRule>
    <cfRule type="expression" dxfId="1464" priority="1282">
      <formula>$T$63&lt;ROUNDDOWN((20%*T62),0.2)</formula>
    </cfRule>
    <cfRule type="expression" dxfId="1463" priority="1283">
      <formula>AND($R$61&lt;&gt;"Finance Please Select",$R$61&lt;&gt;"Finance No")</formula>
    </cfRule>
  </conditionalFormatting>
  <conditionalFormatting sqref="R66:V66 R68 T68">
    <cfRule type="expression" dxfId="1462" priority="1280">
      <formula>$R$61="Finance Yes (24 months @ 14.9%)"</formula>
    </cfRule>
  </conditionalFormatting>
  <conditionalFormatting sqref="R67:R68 T67:T68">
    <cfRule type="expression" dxfId="1461" priority="1279">
      <formula>$R$61="Finance Yes (12 months @ 0%)"</formula>
    </cfRule>
  </conditionalFormatting>
  <conditionalFormatting sqref="R66:V66 R67 T67">
    <cfRule type="expression" dxfId="1460" priority="1277">
      <formula>$R$61="Finance Yes (36 months @ 14.9%)"</formula>
    </cfRule>
  </conditionalFormatting>
  <conditionalFormatting sqref="Q10:AA10">
    <cfRule type="cellIs" dxfId="1459" priority="1273" operator="greaterThan">
      <formula>""""""</formula>
    </cfRule>
  </conditionalFormatting>
  <conditionalFormatting sqref="Z9">
    <cfRule type="expression" dxfId="1458" priority="1258">
      <formula>AND(OR(Z8="(C)",Z8="(B)",Z8="(CB)",Z8="(T)",Z8="(G)"),Z9="")</formula>
    </cfRule>
  </conditionalFormatting>
  <conditionalFormatting sqref="Q13:AA13">
    <cfRule type="cellIs" dxfId="1457" priority="1251" operator="greaterThan">
      <formula>""""""</formula>
    </cfRule>
  </conditionalFormatting>
  <conditionalFormatting sqref="R12">
    <cfRule type="expression" dxfId="1456" priority="1247">
      <formula>AND(OR(R11="(C)",R11="(B)",R11="(CB)",R11="(T)",R11="(G)"),R12="")</formula>
    </cfRule>
  </conditionalFormatting>
  <conditionalFormatting sqref="Q12">
    <cfRule type="expression" dxfId="1455" priority="1246">
      <formula>AND(OR(Q11="(C)",Q11="(B)",Q11="(CB)",Q11="(T)",Q11="(G)"),Q12="")</formula>
    </cfRule>
  </conditionalFormatting>
  <conditionalFormatting sqref="S12">
    <cfRule type="expression" dxfId="1454" priority="1245">
      <formula>AND(OR(S11="(C)",S11="(B)",S11="(CB)",S11="(T)",S11="(G)"),S12="")</formula>
    </cfRule>
  </conditionalFormatting>
  <conditionalFormatting sqref="T12">
    <cfRule type="expression" dxfId="1453" priority="1244">
      <formula>AND(OR(T11="(C)",T11="(B)",T11="(CB)",T11="(T)",T11="(G)"),T12="")</formula>
    </cfRule>
  </conditionalFormatting>
  <conditionalFormatting sqref="U12">
    <cfRule type="expression" dxfId="1452" priority="1243">
      <formula>AND(OR(U11="(C)",U11="(B)",U11="(CB)",U11="(T)",U11="(G)"),U12="")</formula>
    </cfRule>
  </conditionalFormatting>
  <conditionalFormatting sqref="V12">
    <cfRule type="expression" dxfId="1451" priority="1242">
      <formula>AND(OR(V11="(C)",V11="(B)",V11="(CB)",V11="(T)",V11="(G)"),V12="")</formula>
    </cfRule>
  </conditionalFormatting>
  <conditionalFormatting sqref="W12">
    <cfRule type="expression" dxfId="1450" priority="1241">
      <formula>AND(OR(W11="(C)",W11="(B)",W11="(CB)",W11="(T)",W11="(G)"),W12="")</formula>
    </cfRule>
  </conditionalFormatting>
  <conditionalFormatting sqref="X12">
    <cfRule type="expression" dxfId="1449" priority="1239">
      <formula>AND(OR(X11="(C)",X11="(B)",X11="(CB)",X11="(T)",X11="(G)"),X12="")</formula>
    </cfRule>
  </conditionalFormatting>
  <conditionalFormatting sqref="Y12">
    <cfRule type="expression" dxfId="1448" priority="1238">
      <formula>AND(OR(Y11="(C)",Y11="(B)",Y11="(CB)",Y11="(T)",Y11="(G)"),Y12="")</formula>
    </cfRule>
  </conditionalFormatting>
  <conditionalFormatting sqref="Z12">
    <cfRule type="expression" dxfId="1447" priority="1237">
      <formula>AND(OR(Z11="(C)",Z11="(B)",Z11="(CB)",Z11="(T)",Z11="(G)"),Z12="")</formula>
    </cfRule>
  </conditionalFormatting>
  <conditionalFormatting sqref="Q16:AA16">
    <cfRule type="cellIs" dxfId="1446" priority="1230" operator="greaterThan">
      <formula>""""""</formula>
    </cfRule>
  </conditionalFormatting>
  <conditionalFormatting sqref="Z15">
    <cfRule type="expression" dxfId="1445" priority="1215">
      <formula>AND(OR(Z14="(C)",Z14="(B)",Z14="(CB)",Z14="(T)",Z14="(G)"),Z15="")</formula>
    </cfRule>
  </conditionalFormatting>
  <conditionalFormatting sqref="Q19:AA19">
    <cfRule type="cellIs" dxfId="1444" priority="1208" operator="greaterThan">
      <formula>""""""</formula>
    </cfRule>
  </conditionalFormatting>
  <conditionalFormatting sqref="W18">
    <cfRule type="expression" dxfId="1443" priority="1196">
      <formula>AND(OR(W17="(C)",W17="(B)",W17="(CB)",W17="(T)",W17="(G)"),W18="")</formula>
    </cfRule>
  </conditionalFormatting>
  <conditionalFormatting sqref="X18">
    <cfRule type="expression" dxfId="1442" priority="1195">
      <formula>AND(OR(X17="(C)",X17="(B)",X17="(CB)",X17="(T)",X17="(G)"),X18="")</formula>
    </cfRule>
  </conditionalFormatting>
  <conditionalFormatting sqref="Y18">
    <cfRule type="expression" dxfId="1441" priority="1194">
      <formula>AND(OR(Y17="(C)",Y17="(B)",Y17="(CB)",Y17="(T)",Y17="(G)"),Y18="")</formula>
    </cfRule>
  </conditionalFormatting>
  <conditionalFormatting sqref="Z18">
    <cfRule type="expression" dxfId="1440" priority="1193">
      <formula>AND(OR(Z17="(C)",Z17="(B)",Z17="(CB)",Z17="(T)",Z17="(G)"),Z18="")</formula>
    </cfRule>
  </conditionalFormatting>
  <conditionalFormatting sqref="G22">
    <cfRule type="expression" dxfId="1439" priority="1191">
      <formula>AND($E20 = "Java",$G22 &lt;&gt; "Stainless Steel")</formula>
    </cfRule>
  </conditionalFormatting>
  <conditionalFormatting sqref="M20:M22">
    <cfRule type="expression" dxfId="1438" priority="1187">
      <formula>OR(AND($M20&gt;=1,$M20&lt;=249,E20&lt;&gt;"Samoa"),AND($M20&gt;=1,$M20&lt;=304.8,E20="Samoa"))</formula>
    </cfRule>
    <cfRule type="expression" dxfId="1437" priority="1192">
      <formula>OR(AND($E20&lt;&gt;"Samoa",$M20&gt;3000),AND($E20="Samoa",$M20&gt;3657))</formula>
    </cfRule>
  </conditionalFormatting>
  <conditionalFormatting sqref="Q22:AA22">
    <cfRule type="cellIs" dxfId="1436" priority="1186" operator="greaterThan">
      <formula>""""""</formula>
    </cfRule>
  </conditionalFormatting>
  <conditionalFormatting sqref="R21">
    <cfRule type="expression" dxfId="1435" priority="1181">
      <formula>AND(OR(R20="(C)",R20="(B)",R20="(CB)",R20="(T)",R20="(G)"),R21="")</formula>
    </cfRule>
  </conditionalFormatting>
  <conditionalFormatting sqref="Q21">
    <cfRule type="expression" dxfId="1434" priority="1180">
      <formula>AND(OR(Q20="(C)",Q20="(B)",Q20="(CB)",Q20="(T)",Q20="(G)"),Q21="")</formula>
    </cfRule>
  </conditionalFormatting>
  <conditionalFormatting sqref="S21">
    <cfRule type="expression" dxfId="1433" priority="1179">
      <formula>AND(OR(S20="(C)",S20="(B)",S20="(CB)",S20="(T)",S20="(G)"),S21="")</formula>
    </cfRule>
  </conditionalFormatting>
  <conditionalFormatting sqref="T21">
    <cfRule type="expression" dxfId="1432" priority="1178">
      <formula>AND(OR(T20="(C)",T20="(B)",T20="(CB)",T20="(T)",T20="(G)"),T21="")</formula>
    </cfRule>
  </conditionalFormatting>
  <conditionalFormatting sqref="U21">
    <cfRule type="expression" dxfId="1431" priority="1177">
      <formula>AND(OR(U20="(C)",U20="(B)",U20="(CB)",U20="(T)",U20="(G)"),U21="")</formula>
    </cfRule>
  </conditionalFormatting>
  <conditionalFormatting sqref="V21">
    <cfRule type="expression" dxfId="1430" priority="1176">
      <formula>AND(OR(V20="(C)",V20="(B)",V20="(CB)",V20="(T)",V20="(G)"),V21="")</formula>
    </cfRule>
  </conditionalFormatting>
  <conditionalFormatting sqref="W21">
    <cfRule type="expression" dxfId="1429" priority="1174">
      <formula>AND(OR(W20="(C)",W20="(B)",W20="(CB)",W20="(T)",W20="(G)"),W21="")</formula>
    </cfRule>
  </conditionalFormatting>
  <conditionalFormatting sqref="X21">
    <cfRule type="expression" dxfId="1428" priority="1173">
      <formula>AND(OR(X20="(C)",X20="(B)",X20="(CB)",X20="(T)",X20="(G)"),X21="")</formula>
    </cfRule>
  </conditionalFormatting>
  <conditionalFormatting sqref="Y21">
    <cfRule type="expression" dxfId="1427" priority="1172">
      <formula>AND(OR(Y20="(C)",Y20="(B)",Y20="(CB)",Y20="(T)",Y20="(G)"),Y21="")</formula>
    </cfRule>
  </conditionalFormatting>
  <conditionalFormatting sqref="Z21">
    <cfRule type="expression" dxfId="1426" priority="1171">
      <formula>AND(OR(Z20="(C)",Z20="(B)",Z20="(CB)",Z20="(T)",Z20="(G)"),Z21="")</formula>
    </cfRule>
  </conditionalFormatting>
  <conditionalFormatting sqref="G25">
    <cfRule type="expression" dxfId="1425" priority="1169">
      <formula>AND($E23 = "Java",$G25 &lt;&gt; "Stainless Steel")</formula>
    </cfRule>
  </conditionalFormatting>
  <conditionalFormatting sqref="M23:M25">
    <cfRule type="expression" dxfId="1424" priority="1165">
      <formula>OR(AND($M23&gt;=1,$M23&lt;=249,E23&lt;&gt;"Samoa"),AND($M23&gt;=1,$M23&lt;=304.8,E23="Samoa"))</formula>
    </cfRule>
    <cfRule type="expression" dxfId="1423" priority="1170">
      <formula>OR(AND($E23&lt;&gt;"Samoa",$M23&gt;3000),AND($E23="Samoa",$M23&gt;3657))</formula>
    </cfRule>
  </conditionalFormatting>
  <conditionalFormatting sqref="R24">
    <cfRule type="expression" dxfId="1422" priority="1159">
      <formula>AND(OR(R23="(C)",R23="(B)",R23="(CB)",R23="(T)",R23="(G)"),R24="")</formula>
    </cfRule>
  </conditionalFormatting>
  <conditionalFormatting sqref="Q24">
    <cfRule type="expression" dxfId="1421" priority="1158">
      <formula>AND(OR(Q23="(C)",Q23="(B)",Q23="(CB)",Q23="(T)",Q23="(G)"),Q24="")</formula>
    </cfRule>
  </conditionalFormatting>
  <conditionalFormatting sqref="S24">
    <cfRule type="expression" dxfId="1420" priority="1157">
      <formula>AND(OR(S23="(C)",S23="(B)",S23="(CB)",S23="(T)",S23="(G)"),S24="")</formula>
    </cfRule>
  </conditionalFormatting>
  <conditionalFormatting sqref="T24">
    <cfRule type="expression" dxfId="1419" priority="1156">
      <formula>AND(OR(T23="(C)",T23="(B)",T23="(CB)",T23="(T)",T23="(G)"),T24="")</formula>
    </cfRule>
  </conditionalFormatting>
  <conditionalFormatting sqref="U24">
    <cfRule type="expression" dxfId="1418" priority="1155">
      <formula>AND(OR(U23="(C)",U23="(B)",U23="(CB)",U23="(T)",U23="(G)"),U24="")</formula>
    </cfRule>
  </conditionalFormatting>
  <conditionalFormatting sqref="V24">
    <cfRule type="expression" dxfId="1417" priority="1154">
      <formula>AND(OR(V23="(C)",V23="(B)",V23="(CB)",V23="(T)",V23="(G)"),V24="")</formula>
    </cfRule>
  </conditionalFormatting>
  <conditionalFormatting sqref="W24">
    <cfRule type="expression" dxfId="1416" priority="1152">
      <formula>AND(OR(W23="(C)",W23="(B)",W23="(CB)",W23="(T)",W23="(G)"),W24="")</formula>
    </cfRule>
  </conditionalFormatting>
  <conditionalFormatting sqref="X24">
    <cfRule type="expression" dxfId="1415" priority="1151">
      <formula>AND(OR(X23="(C)",X23="(B)",X23="(CB)",X23="(T)",X23="(G)"),X24="")</formula>
    </cfRule>
  </conditionalFormatting>
  <conditionalFormatting sqref="Y24">
    <cfRule type="expression" dxfId="1414" priority="1150">
      <formula>AND(OR(Y23="(C)",Y23="(B)",Y23="(CB)",Y23="(T)",Y23="(G)"),Y24="")</formula>
    </cfRule>
  </conditionalFormatting>
  <conditionalFormatting sqref="Z24">
    <cfRule type="expression" dxfId="1413" priority="1149">
      <formula>AND(OR(Z23="(C)",Z23="(B)",Z23="(CB)",Z23="(T)",Z23="(G)"),Z24="")</formula>
    </cfRule>
  </conditionalFormatting>
  <conditionalFormatting sqref="G28">
    <cfRule type="expression" dxfId="1412" priority="1147">
      <formula>AND($E26 = "Java",$G28 &lt;&gt; "Stainless Steel")</formula>
    </cfRule>
  </conditionalFormatting>
  <conditionalFormatting sqref="M26:M28">
    <cfRule type="expression" dxfId="1411" priority="1143">
      <formula>OR(AND($M26&gt;=1,$M26&lt;=249,E26&lt;&gt;"Samoa"),AND($M26&gt;=1,$M26&lt;=304.8,E26="Samoa"))</formula>
    </cfRule>
    <cfRule type="expression" dxfId="1410" priority="1148">
      <formula>OR(AND($E26&lt;&gt;"Samoa",$M26&gt;3000),AND($E26="Samoa",$M26&gt;3657))</formula>
    </cfRule>
  </conditionalFormatting>
  <conditionalFormatting sqref="Q28:AA28">
    <cfRule type="cellIs" dxfId="1409" priority="1142" operator="greaterThan">
      <formula>""""""</formula>
    </cfRule>
  </conditionalFormatting>
  <conditionalFormatting sqref="R27">
    <cfRule type="expression" dxfId="1408" priority="1137">
      <formula>AND(OR(R26="(C)",R26="(B)",R26="(CB)",R26="(T)",R26="(G)"),R27="")</formula>
    </cfRule>
  </conditionalFormatting>
  <conditionalFormatting sqref="Q27">
    <cfRule type="expression" dxfId="1407" priority="1136">
      <formula>AND(OR(Q26="(C)",Q26="(B)",Q26="(CB)",Q26="(T)",Q26="(G)"),Q27="")</formula>
    </cfRule>
  </conditionalFormatting>
  <conditionalFormatting sqref="S27">
    <cfRule type="expression" dxfId="1406" priority="1135">
      <formula>AND(OR(S26="(C)",S26="(B)",S26="(CB)",S26="(T)",S26="(G)"),S27="")</formula>
    </cfRule>
  </conditionalFormatting>
  <conditionalFormatting sqref="T27">
    <cfRule type="expression" dxfId="1405" priority="1134">
      <formula>AND(OR(T26="(C)",T26="(B)",T26="(CB)",T26="(T)",T26="(G)"),T27="")</formula>
    </cfRule>
  </conditionalFormatting>
  <conditionalFormatting sqref="U27">
    <cfRule type="expression" dxfId="1404" priority="1133">
      <formula>AND(OR(U26="(C)",U26="(B)",U26="(CB)",U26="(T)",U26="(G)"),U27="")</formula>
    </cfRule>
  </conditionalFormatting>
  <conditionalFormatting sqref="V27">
    <cfRule type="expression" dxfId="1403" priority="1132">
      <formula>AND(OR(V26="(C)",V26="(B)",V26="(CB)",V26="(T)",V26="(G)"),V27="")</formula>
    </cfRule>
  </conditionalFormatting>
  <conditionalFormatting sqref="W27">
    <cfRule type="expression" dxfId="1402" priority="1131">
      <formula>AND(OR(W26="(C)",W26="(B)",W26="(CB)",W26="(T)",W26="(G)"),W27="")</formula>
    </cfRule>
  </conditionalFormatting>
  <conditionalFormatting sqref="X27">
    <cfRule type="expression" dxfId="1401" priority="1129">
      <formula>AND(OR(X26="(C)",X26="(B)",X26="(CB)",X26="(T)",X26="(G)"),X27="")</formula>
    </cfRule>
  </conditionalFormatting>
  <conditionalFormatting sqref="Y27">
    <cfRule type="expression" dxfId="1400" priority="1128">
      <formula>AND(OR(Y26="(C)",Y26="(B)",Y26="(CB)",Y26="(T)",Y26="(G)"),Y27="")</formula>
    </cfRule>
  </conditionalFormatting>
  <conditionalFormatting sqref="Z27">
    <cfRule type="expression" dxfId="1399" priority="1127">
      <formula>AND(OR(Z26="(C)",Z26="(B)",Z26="(CB)",Z26="(T)",Z26="(G)"),Z27="")</formula>
    </cfRule>
  </conditionalFormatting>
  <conditionalFormatting sqref="G31">
    <cfRule type="expression" dxfId="1398" priority="1125">
      <formula>AND($E29 = "Java",$G31 &lt;&gt; "Stainless Steel")</formula>
    </cfRule>
  </conditionalFormatting>
  <conditionalFormatting sqref="M29:M31">
    <cfRule type="expression" dxfId="1397" priority="1121">
      <formula>OR(AND($M29&gt;=1,$M29&lt;=249,E29&lt;&gt;"Samoa"),AND($M29&gt;=1,$M29&lt;=304.8,E29="Samoa"))</formula>
    </cfRule>
    <cfRule type="expression" dxfId="1396" priority="1126">
      <formula>OR(AND($E29&lt;&gt;"Samoa",$M29&gt;3000),AND($E29="Samoa",$M29&gt;3657))</formula>
    </cfRule>
  </conditionalFormatting>
  <conditionalFormatting sqref="Q31:AA31">
    <cfRule type="cellIs" dxfId="1395" priority="1120" operator="greaterThan">
      <formula>""""""</formula>
    </cfRule>
  </conditionalFormatting>
  <conditionalFormatting sqref="R30">
    <cfRule type="expression" dxfId="1394" priority="1115">
      <formula>AND(OR(R29="(C)",R29="(B)",R29="(CB)",R29="(T)",R29="(G)"),R30="")</formula>
    </cfRule>
  </conditionalFormatting>
  <conditionalFormatting sqref="Q30">
    <cfRule type="expression" dxfId="1393" priority="1114">
      <formula>AND(OR(Q29="(C)",Q29="(B)",Q29="(CB)",Q29="(T)",Q29="(G)"),Q30="")</formula>
    </cfRule>
  </conditionalFormatting>
  <conditionalFormatting sqref="S30">
    <cfRule type="expression" dxfId="1392" priority="1113">
      <formula>AND(OR(S29="(C)",S29="(B)",S29="(CB)",S29="(T)",S29="(G)"),S30="")</formula>
    </cfRule>
  </conditionalFormatting>
  <conditionalFormatting sqref="T30">
    <cfRule type="expression" dxfId="1391" priority="1112">
      <formula>AND(OR(T29="(C)",T29="(B)",T29="(CB)",T29="(T)",T29="(G)"),T30="")</formula>
    </cfRule>
  </conditionalFormatting>
  <conditionalFormatting sqref="U30">
    <cfRule type="expression" dxfId="1390" priority="1111">
      <formula>AND(OR(U29="(C)",U29="(B)",U29="(CB)",U29="(T)",U29="(G)"),U30="")</formula>
    </cfRule>
  </conditionalFormatting>
  <conditionalFormatting sqref="V30">
    <cfRule type="expression" dxfId="1389" priority="1110">
      <formula>AND(OR(V29="(C)",V29="(B)",V29="(CB)",V29="(T)",V29="(G)"),V30="")</formula>
    </cfRule>
  </conditionalFormatting>
  <conditionalFormatting sqref="W30">
    <cfRule type="expression" dxfId="1388" priority="1109">
      <formula>AND(OR(W29="(C)",W29="(B)",W29="(CB)",W29="(T)",W29="(G)"),W30="")</formula>
    </cfRule>
  </conditionalFormatting>
  <conditionalFormatting sqref="X30">
    <cfRule type="expression" dxfId="1387" priority="1107">
      <formula>AND(OR(X29="(C)",X29="(B)",X29="(CB)",X29="(T)",X29="(G)"),X30="")</formula>
    </cfRule>
  </conditionalFormatting>
  <conditionalFormatting sqref="Y30">
    <cfRule type="expression" dxfId="1386" priority="1106">
      <formula>AND(OR(Y29="(C)",Y29="(B)",Y29="(CB)",Y29="(T)",Y29="(G)"),Y30="")</formula>
    </cfRule>
  </conditionalFormatting>
  <conditionalFormatting sqref="Z30">
    <cfRule type="expression" dxfId="1385" priority="1105">
      <formula>AND(OR(Z29="(C)",Z29="(B)",Z29="(CB)",Z29="(T)",Z29="(G)"),Z30="")</formula>
    </cfRule>
  </conditionalFormatting>
  <conditionalFormatting sqref="G34">
    <cfRule type="expression" dxfId="1384" priority="1103">
      <formula>AND($E32 = "Java",$G34 &lt;&gt; "Stainless Steel")</formula>
    </cfRule>
  </conditionalFormatting>
  <conditionalFormatting sqref="M32:M34">
    <cfRule type="expression" dxfId="1383" priority="1099">
      <formula>OR(AND($M32&gt;=1,$M32&lt;=249,E32&lt;&gt;"Samoa"),AND($M32&gt;=1,$M32&lt;=304.8,E32="Samoa"))</formula>
    </cfRule>
    <cfRule type="expression" dxfId="1382" priority="1104">
      <formula>OR(AND($E32&lt;&gt;"Samoa",$M32&gt;3000),AND($E32="Samoa",$M32&gt;3657))</formula>
    </cfRule>
  </conditionalFormatting>
  <conditionalFormatting sqref="Q34:AA34">
    <cfRule type="cellIs" dxfId="1381" priority="1098" operator="greaterThan">
      <formula>""""""</formula>
    </cfRule>
  </conditionalFormatting>
  <conditionalFormatting sqref="R33">
    <cfRule type="expression" dxfId="1380" priority="1093">
      <formula>AND(OR(R32="(C)",R32="(B)",R32="(CB)",R32="(T)",R32="(G)"),R33="")</formula>
    </cfRule>
  </conditionalFormatting>
  <conditionalFormatting sqref="Q33">
    <cfRule type="expression" dxfId="1379" priority="1092">
      <formula>AND(OR(Q32="(C)",Q32="(B)",Q32="(CB)",Q32="(T)",Q32="(G)"),Q33="")</formula>
    </cfRule>
  </conditionalFormatting>
  <conditionalFormatting sqref="S33">
    <cfRule type="expression" dxfId="1378" priority="1091">
      <formula>AND(OR(S32="(C)",S32="(B)",S32="(CB)",S32="(T)",S32="(G)"),S33="")</formula>
    </cfRule>
  </conditionalFormatting>
  <conditionalFormatting sqref="T33">
    <cfRule type="expression" dxfId="1377" priority="1090">
      <formula>AND(OR(T32="(C)",T32="(B)",T32="(CB)",T32="(T)",T32="(G)"),T33="")</formula>
    </cfRule>
  </conditionalFormatting>
  <conditionalFormatting sqref="U33">
    <cfRule type="expression" dxfId="1376" priority="1089">
      <formula>AND(OR(U32="(C)",U32="(B)",U32="(CB)",U32="(T)",U32="(G)"),U33="")</formula>
    </cfRule>
  </conditionalFormatting>
  <conditionalFormatting sqref="V33">
    <cfRule type="expression" dxfId="1375" priority="1088">
      <formula>AND(OR(V32="(C)",V32="(B)",V32="(CB)",V32="(T)",V32="(G)"),V33="")</formula>
    </cfRule>
  </conditionalFormatting>
  <conditionalFormatting sqref="W33">
    <cfRule type="expression" dxfId="1374" priority="1087">
      <formula>AND(OR(W32="(C)",W32="(B)",W32="(CB)",W32="(T)",W32="(G)"),W33="")</formula>
    </cfRule>
  </conditionalFormatting>
  <conditionalFormatting sqref="X33">
    <cfRule type="expression" dxfId="1373" priority="1085">
      <formula>AND(OR(X32="(C)",X32="(B)",X32="(CB)",X32="(T)",X32="(G)"),X33="")</formula>
    </cfRule>
  </conditionalFormatting>
  <conditionalFormatting sqref="Y33">
    <cfRule type="expression" dxfId="1372" priority="1084">
      <formula>AND(OR(Y32="(C)",Y32="(B)",Y32="(CB)",Y32="(T)",Y32="(G)"),Y33="")</formula>
    </cfRule>
  </conditionalFormatting>
  <conditionalFormatting sqref="Z33">
    <cfRule type="expression" dxfId="1371" priority="1083">
      <formula>AND(OR(Z32="(C)",Z32="(B)",Z32="(CB)",Z32="(T)",Z32="(G)"),Z33="")</formula>
    </cfRule>
  </conditionalFormatting>
  <conditionalFormatting sqref="G37">
    <cfRule type="expression" dxfId="1370" priority="1081">
      <formula>AND($E35 = "Java",$G37 &lt;&gt; "Stainless Steel")</formula>
    </cfRule>
  </conditionalFormatting>
  <conditionalFormatting sqref="I35:I37">
    <cfRule type="expression" dxfId="1369" priority="347">
      <formula>AND($D35&lt;&gt;"S/Shade",$I35="FFrame")</formula>
    </cfRule>
    <cfRule type="expression" dxfId="1368" priority="348">
      <formula>AND($D35="S/Shade",$I35&lt;&gt;"FFrame")</formula>
    </cfRule>
    <cfRule type="expression" dxfId="1367" priority="391">
      <formula>OR(AND($D35="Tracked",I35="M Track"),AND($D35="Tracked",$I35="Track and Board"),AND($D35="Tracked",$I35="Top Track Only"))</formula>
    </cfRule>
    <cfRule type="expression" dxfId="1366" priority="1079">
      <formula>OR(AND($D35="Tracked",I35&lt;&gt;"M Track"),AND($D35="Tracked",$I35&lt;&gt;"Track and Board"),AND($D35="Tracked",$I35&lt;&gt;"Top Track Only"))</formula>
    </cfRule>
    <cfRule type="expression" dxfId="1365" priority="1080">
      <formula>OR(AND($D35&lt;&gt;"Tracked",I35="M Track"),AND($D35&lt;&gt;"Tracked",$I35="Track and Board"),AND($D35&lt;&gt;"Tracked",$I35="Top Track Only"))</formula>
    </cfRule>
  </conditionalFormatting>
  <conditionalFormatting sqref="N35">
    <cfRule type="expression" dxfId="1364" priority="150">
      <formula>OR(AND(M35&gt;1372,N35="Please Select"),AND(M35&gt;1372,N35="No"))</formula>
    </cfRule>
    <cfRule type="expression" dxfId="1363" priority="1078">
      <formula>OR(AND($M35&gt;1879,$E35="Antigua",$N35="Please Select"),(AND($M35&gt;1879,$E35="Antigua",$N35="No")),AND($M35&gt;1981,$E35="Bermuda",$N35="Please Select"),AND($M35&gt;1981,$E35="Bermuda",$N35="No"),AND($M35&gt;1981,$E35="Cuba",$N35="Please Select"),AND($M35&gt;1981,$E35="Cuba",$N35="No"),AND($M35&gt;1828.8,$E35="Java",$N35="Please Select"),AND($M35&gt;1828.8,$E35="Java",$N35="No"),AND($M35&gt;1981,$E35="Fiji",$N35="Please Select"),AND($M35&gt;1981,$E35="Fiji",$N35="No"),AND($M35&gt;2133,$E35="Samoa",$N35="Please Select"),AND($M35&gt;2133,$E35="Samoa",$N35="No"))</formula>
    </cfRule>
  </conditionalFormatting>
  <conditionalFormatting sqref="M35:M37">
    <cfRule type="expression" dxfId="1362" priority="1077">
      <formula>OR(AND($M35&gt;=1,$M35&lt;=249,E35&lt;&gt;"Samoa"),AND($M35&gt;=1,$M35&lt;=304.8,E35="Samoa"))</formula>
    </cfRule>
    <cfRule type="expression" dxfId="1361" priority="1082">
      <formula>OR(AND($E35&lt;&gt;"Samoa",$M35&gt;3000),AND($E35="Samoa",$M35&gt;3657))</formula>
    </cfRule>
  </conditionalFormatting>
  <conditionalFormatting sqref="Q37:AA37">
    <cfRule type="cellIs" dxfId="1360" priority="1076" operator="greaterThan">
      <formula>""""""</formula>
    </cfRule>
  </conditionalFormatting>
  <conditionalFormatting sqref="R36">
    <cfRule type="expression" dxfId="1359" priority="1071">
      <formula>AND(OR(R35="(C)",R35="(B)",R35="(CB)",R35="(T)",R35="(G)"),R36="")</formula>
    </cfRule>
  </conditionalFormatting>
  <conditionalFormatting sqref="Q36">
    <cfRule type="expression" dxfId="1358" priority="1070">
      <formula>AND(OR(Q35="(C)",Q35="(B)",Q35="(CB)",Q35="(T)",Q35="(G)"),Q36="")</formula>
    </cfRule>
  </conditionalFormatting>
  <conditionalFormatting sqref="S36">
    <cfRule type="expression" dxfId="1357" priority="1069">
      <formula>AND(OR(S35="(C)",S35="(B)",S35="(CB)",S35="(T)",S35="(G)"),S36="")</formula>
    </cfRule>
  </conditionalFormatting>
  <conditionalFormatting sqref="T36">
    <cfRule type="expression" dxfId="1356" priority="1068">
      <formula>AND(OR(T35="(C)",T35="(B)",T35="(CB)",T35="(T)",T35="(G)"),T36="")</formula>
    </cfRule>
  </conditionalFormatting>
  <conditionalFormatting sqref="U36">
    <cfRule type="expression" dxfId="1355" priority="1067">
      <formula>AND(OR(U35="(C)",U35="(B)",U35="(CB)",U35="(T)",U35="(G)"),U36="")</formula>
    </cfRule>
  </conditionalFormatting>
  <conditionalFormatting sqref="V36">
    <cfRule type="expression" dxfId="1354" priority="1066">
      <formula>AND(OR(V35="(C)",V35="(B)",V35="(CB)",V35="(T)",V35="(G)"),V36="")</formula>
    </cfRule>
  </conditionalFormatting>
  <conditionalFormatting sqref="W36">
    <cfRule type="expression" dxfId="1353" priority="1065">
      <formula>AND(OR(W35="(C)",W35="(B)",W35="(CB)",W35="(T)",W35="(G)"),W36="")</formula>
    </cfRule>
  </conditionalFormatting>
  <conditionalFormatting sqref="X36">
    <cfRule type="expression" dxfId="1352" priority="1063">
      <formula>AND(OR(X35="(C)",X35="(B)",X35="(CB)",X35="(T)",X35="(G)"),X36="")</formula>
    </cfRule>
  </conditionalFormatting>
  <conditionalFormatting sqref="Y36">
    <cfRule type="expression" dxfId="1351" priority="1062">
      <formula>AND(OR(Y35="(C)",Y35="(B)",Y35="(CB)",Y35="(T)",Y35="(G)"),Y36="")</formula>
    </cfRule>
  </conditionalFormatting>
  <conditionalFormatting sqref="Z36">
    <cfRule type="expression" dxfId="1350" priority="1061">
      <formula>AND(OR(Z35="(C)",Z35="(B)",Z35="(CB)",Z35="(T)",Z35="(G)"),Z36="")</formula>
    </cfRule>
  </conditionalFormatting>
  <conditionalFormatting sqref="G40">
    <cfRule type="expression" dxfId="1349" priority="1059">
      <formula>AND($E38 = "Java",$G40 &lt;&gt; "Stainless Steel")</formula>
    </cfRule>
  </conditionalFormatting>
  <conditionalFormatting sqref="I38:I40">
    <cfRule type="expression" dxfId="1348" priority="344">
      <formula>AND($D38&lt;&gt;"S/Shade",$I38="FFrame")</formula>
    </cfRule>
    <cfRule type="expression" dxfId="1347" priority="345">
      <formula>AND($D38="S/Shade",$I38&lt;&gt;"FFrame")</formula>
    </cfRule>
    <cfRule type="expression" dxfId="1346" priority="390">
      <formula>OR(AND($D38="Tracked",I38="M Track"),AND($D38="Tracked",$I38="Track and Board"),AND($D38="Tracked",$I38="Top Track Only"))</formula>
    </cfRule>
    <cfRule type="expression" dxfId="1345" priority="1057">
      <formula>OR(AND($D38="Tracked",I38&lt;&gt;"M Track"),AND($D38="Tracked",$I38&lt;&gt;"Track and Board"),AND($D38="Tracked",$I38&lt;&gt;"Top Track Only"))</formula>
    </cfRule>
    <cfRule type="expression" dxfId="1344" priority="1058">
      <formula>OR(AND($D38&lt;&gt;"Tracked",I38="M Track"),AND($D38&lt;&gt;"Tracked",$I38="Track and Board"),AND($D38&lt;&gt;"Tracked",$I38="Top Track Only"))</formula>
    </cfRule>
  </conditionalFormatting>
  <conditionalFormatting sqref="N38">
    <cfRule type="expression" dxfId="1343" priority="149">
      <formula>OR(AND(M38&gt;1372,N38="Please Select"),AND(M38&gt;1372,N38="No"))</formula>
    </cfRule>
    <cfRule type="expression" dxfId="1342" priority="1056">
      <formula>OR(AND($M38&gt;1879,$E38="Antigua",$N38="Please Select"),(AND($M38&gt;1879,$E38="Antigua",$N38="No")),AND($M38&gt;1981,$E38="Bermuda",$N38="Please Select"),AND($M38&gt;1981,$E38="Bermuda",$N38="No"),AND($M38&gt;1981,$E38="Cuba",$N38="Please Select"),AND($M38&gt;1981,$E38="Cuba",$N38="No"),AND($M38&gt;1828.8,$E38="Java",$N38="Please Select"),AND($M38&gt;1828.8,$E38="Java",$N38="No"),AND($M38&gt;1981,$E38="Fiji",$N38="Please Select"),AND($M38&gt;1981,$E38="Fiji",$N38="No"),AND($M38&gt;2133,$E38="Samoa",$N38="Please Select"),AND($M38&gt;2133,$E38="Samoa",$N38="No"))</formula>
    </cfRule>
  </conditionalFormatting>
  <conditionalFormatting sqref="M38:M40">
    <cfRule type="expression" dxfId="1341" priority="1055">
      <formula>OR(AND($M38&gt;=1,$M38&lt;=249,E38&lt;&gt;"Samoa"),AND($M38&gt;=1,$M38&lt;=304.8,E38="Samoa"))</formula>
    </cfRule>
    <cfRule type="expression" dxfId="1340" priority="1060">
      <formula>OR(AND($E38&lt;&gt;"Samoa",$M38&gt;3000),AND($E38="Samoa",$M38&gt;3657))</formula>
    </cfRule>
  </conditionalFormatting>
  <conditionalFormatting sqref="Q40:AA40">
    <cfRule type="cellIs" dxfId="1339" priority="1054" operator="greaterThan">
      <formula>""""""</formula>
    </cfRule>
  </conditionalFormatting>
  <conditionalFormatting sqref="R39">
    <cfRule type="expression" dxfId="1338" priority="1049">
      <formula>AND(OR(R38="(C)",R38="(B)",R38="(CB)",R38="(T)",R38="(G)"),R39="")</formula>
    </cfRule>
  </conditionalFormatting>
  <conditionalFormatting sqref="Q39">
    <cfRule type="expression" dxfId="1337" priority="1048">
      <formula>AND(OR(Q38="(C)",Q38="(B)",Q38="(CB)",Q38="(T)",Q38="(G)"),Q39="")</formula>
    </cfRule>
  </conditionalFormatting>
  <conditionalFormatting sqref="S39">
    <cfRule type="expression" dxfId="1336" priority="1047">
      <formula>AND(OR(S38="(C)",S38="(B)",S38="(CB)",S38="(T)",S38="(G)"),S39="")</formula>
    </cfRule>
  </conditionalFormatting>
  <conditionalFormatting sqref="T39">
    <cfRule type="expression" dxfId="1335" priority="1046">
      <formula>AND(OR(T38="(C)",T38="(B)",T38="(CB)",T38="(T)",T38="(G)"),T39="")</formula>
    </cfRule>
  </conditionalFormatting>
  <conditionalFormatting sqref="U39">
    <cfRule type="expression" dxfId="1334" priority="1045">
      <formula>AND(OR(U38="(C)",U38="(B)",U38="(CB)",U38="(T)",U38="(G)"),U39="")</formula>
    </cfRule>
  </conditionalFormatting>
  <conditionalFormatting sqref="V39">
    <cfRule type="expression" dxfId="1333" priority="1044">
      <formula>AND(OR(V38="(C)",V38="(B)",V38="(CB)",V38="(T)",V38="(G)"),V39="")</formula>
    </cfRule>
  </conditionalFormatting>
  <conditionalFormatting sqref="W39">
    <cfRule type="expression" dxfId="1332" priority="1043">
      <formula>AND(OR(W38="(C)",W38="(B)",W38="(CB)",W38="(T)",W38="(G)"),W39="")</formula>
    </cfRule>
  </conditionalFormatting>
  <conditionalFormatting sqref="X39">
    <cfRule type="expression" dxfId="1331" priority="1041">
      <formula>AND(OR(X38="(C)",X38="(B)",X38="(CB)",X38="(T)",X38="(G)"),X39="")</formula>
    </cfRule>
  </conditionalFormatting>
  <conditionalFormatting sqref="Y39">
    <cfRule type="expression" dxfId="1330" priority="1040">
      <formula>AND(OR(Y38="(C)",Y38="(B)",Y38="(CB)",Y38="(T)",Y38="(G)"),Y39="")</formula>
    </cfRule>
  </conditionalFormatting>
  <conditionalFormatting sqref="Z39">
    <cfRule type="expression" dxfId="1329" priority="1039">
      <formula>AND(OR(Z38="(C)",Z38="(B)",Z38="(CB)",Z38="(T)",Z38="(G)"),Z39="")</formula>
    </cfRule>
  </conditionalFormatting>
  <conditionalFormatting sqref="G43">
    <cfRule type="expression" dxfId="1328" priority="1037">
      <formula>AND($E41 = "Java",$G43 &lt;&gt; "Stainless Steel")</formula>
    </cfRule>
  </conditionalFormatting>
  <conditionalFormatting sqref="I41:I43">
    <cfRule type="expression" dxfId="1327" priority="341">
      <formula>AND($D41&lt;&gt;"S/Shade",$I41="FFrame")</formula>
    </cfRule>
    <cfRule type="expression" dxfId="1326" priority="342">
      <formula>AND($D41="S/Shade",$I41&lt;&gt;"FFrame")</formula>
    </cfRule>
    <cfRule type="expression" dxfId="1325" priority="389">
      <formula>OR(AND($D41="Tracked",I41="M Track"),AND($D41="Tracked",$I41="Track and Board"),AND($D41="Tracked",$I41="Top Track Only"))</formula>
    </cfRule>
    <cfRule type="expression" dxfId="1324" priority="1035">
      <formula>OR(AND($D41="Tracked",I41&lt;&gt;"M Track"),AND($D41="Tracked",$I41&lt;&gt;"Track and Board"),AND($D41="Tracked",$I41&lt;&gt;"Top Track Only"))</formula>
    </cfRule>
    <cfRule type="expression" dxfId="1323" priority="1036">
      <formula>OR(AND($D41&lt;&gt;"Tracked",I41="M Track"),AND($D41&lt;&gt;"Tracked",$I41="Track and Board"),AND($D41&lt;&gt;"Tracked",$I41="Top Track Only"))</formula>
    </cfRule>
  </conditionalFormatting>
  <conditionalFormatting sqref="N41">
    <cfRule type="expression" dxfId="1322" priority="148">
      <formula>OR(AND(M41&gt;1372,N41="Please Select"),AND(M41&gt;1372,N41="No"))</formula>
    </cfRule>
    <cfRule type="expression" dxfId="1321" priority="1034">
      <formula>OR(AND($M41&gt;1879,$E41="Antigua",$N41="Please Select"),(AND($M41&gt;1879,$E41="Antigua",$N41="No")),AND($M41&gt;1981,$E41="Bermuda",$N41="Please Select"),AND($M41&gt;1981,$E41="Bermuda",$N41="No"),AND($M41&gt;1981,$E41="Cuba",$N41="Please Select"),AND($M41&gt;1981,$E41="Cuba",$N41="No"),AND($M41&gt;1828.8,$E41="Java",$N41="Please Select"),AND($M41&gt;1828.8,$E41="Java",$N41="No"),AND($M41&gt;1981,$E41="Fiji",$N41="Please Select"),AND($M41&gt;1981,$E41="Fiji",$N41="No"),AND($M41&gt;2133,$E41="Samoa",$N41="Please Select"),AND($M41&gt;2133,$E41="Samoa",$N41="No"))</formula>
    </cfRule>
  </conditionalFormatting>
  <conditionalFormatting sqref="Q43:AA43">
    <cfRule type="cellIs" dxfId="1320" priority="1032" operator="greaterThan">
      <formula>""""""</formula>
    </cfRule>
  </conditionalFormatting>
  <conditionalFormatting sqref="R42">
    <cfRule type="expression" dxfId="1319" priority="1027">
      <formula>AND(OR(R41="(C)",R41="(B)",R41="(CB)",R41="(T)",R41="(G)"),R42="")</formula>
    </cfRule>
  </conditionalFormatting>
  <conditionalFormatting sqref="Q42">
    <cfRule type="expression" dxfId="1318" priority="1026">
      <formula>AND(OR(Q41="(C)",Q41="(B)",Q41="(CB)",Q41="(T)",Q41="(G)"),Q42="")</formula>
    </cfRule>
  </conditionalFormatting>
  <conditionalFormatting sqref="S42">
    <cfRule type="expression" dxfId="1317" priority="1025">
      <formula>AND(OR(S41="(C)",S41="(B)",S41="(CB)",S41="(T)",S41="(G)"),S42="")</formula>
    </cfRule>
  </conditionalFormatting>
  <conditionalFormatting sqref="T42">
    <cfRule type="expression" dxfId="1316" priority="1024">
      <formula>AND(OR(T41="(C)",T41="(B)",T41="(CB)",T41="(T)",T41="(G)"),T42="")</formula>
    </cfRule>
  </conditionalFormatting>
  <conditionalFormatting sqref="U42">
    <cfRule type="expression" dxfId="1315" priority="1023">
      <formula>AND(OR(U41="(C)",U41="(B)",U41="(CB)",U41="(T)",U41="(G)"),U42="")</formula>
    </cfRule>
  </conditionalFormatting>
  <conditionalFormatting sqref="V42">
    <cfRule type="expression" dxfId="1314" priority="1022">
      <formula>AND(OR(V41="(C)",V41="(B)",V41="(CB)",V41="(T)",V41="(G)"),V42="")</formula>
    </cfRule>
  </conditionalFormatting>
  <conditionalFormatting sqref="W42">
    <cfRule type="expression" dxfId="1313" priority="1021">
      <formula>AND(OR(W41="(C)",W41="(B)",W41="(CB)",W41="(T)",W41="(G)"),W42="")</formula>
    </cfRule>
  </conditionalFormatting>
  <conditionalFormatting sqref="X42">
    <cfRule type="expression" dxfId="1312" priority="1019">
      <formula>AND(OR(X41="(C)",X41="(B)",X41="(CB)",X41="(T)",X41="(G)"),X42="")</formula>
    </cfRule>
  </conditionalFormatting>
  <conditionalFormatting sqref="Y42">
    <cfRule type="expression" dxfId="1311" priority="1018">
      <formula>AND(OR(Y41="(C)",Y41="(B)",Y41="(CB)",Y41="(T)",Y41="(G)"),Y42="")</formula>
    </cfRule>
  </conditionalFormatting>
  <conditionalFormatting sqref="Z42">
    <cfRule type="expression" dxfId="1310" priority="1017">
      <formula>AND(OR(Z41="(C)",Z41="(B)",Z41="(CB)",Z41="(T)",Z41="(G)"),Z42="")</formula>
    </cfRule>
  </conditionalFormatting>
  <conditionalFormatting sqref="G46">
    <cfRule type="expression" dxfId="1309" priority="1015">
      <formula>AND($E44 = "Java",$G46 &lt;&gt; "Stainless Steel")</formula>
    </cfRule>
  </conditionalFormatting>
  <conditionalFormatting sqref="I44:I46">
    <cfRule type="expression" dxfId="1308" priority="338">
      <formula>AND($D44&lt;&gt;"S/Shade",$I44="FFrame")</formula>
    </cfRule>
    <cfRule type="expression" dxfId="1307" priority="339">
      <formula>AND($D44="S/Shade",$I44&lt;&gt;"FFrame")</formula>
    </cfRule>
    <cfRule type="expression" dxfId="1306" priority="388">
      <formula>" =OR(AND($D44=""Tracked"",I44=""M Track""),AND($D44=""Tracked"",$I44=""Track and Board""),AND($D44=""Tracked"",$I44=""Top Track Only""))"</formula>
    </cfRule>
    <cfRule type="expression" dxfId="1305" priority="1013">
      <formula>OR(AND($D44="Tracked",I44&lt;&gt;"M Track"),AND($D44="Tracked",$I44&lt;&gt;"Track and Board"),AND($D44="Tracked",$I44&lt;&gt;"Top Track Only"))</formula>
    </cfRule>
    <cfRule type="expression" dxfId="1304" priority="1014">
      <formula>OR(AND($D44&lt;&gt;"Tracked",I44="M Track"),AND($D44&lt;&gt;"Tracked",$I44="Track and Board"),AND($D44&lt;&gt;"Tracked",$I44="Top Track Only"))</formula>
    </cfRule>
  </conditionalFormatting>
  <conditionalFormatting sqref="N44">
    <cfRule type="expression" dxfId="1303" priority="147">
      <formula>OR(AND(M44&gt;1372,N44="Please Select"),AND(M44&gt;1372,N44="No"))</formula>
    </cfRule>
    <cfRule type="expression" dxfId="1302" priority="1012">
      <formula>OR(AND($M44&gt;1879,$E44="Antigua",$N44="Please Select"),(AND($M44&gt;1879,$E44="Antigua",$N44="No")),AND($M44&gt;1981,$E44="Bermuda",$N44="Please Select"),AND($M44&gt;1981,$E44="Bermuda",$N44="No"),AND($M44&gt;1981,$E44="Cuba",$N44="Please Select"),AND($M44&gt;1981,$E44="Cuba",$N44="No"),AND($M44&gt;1828.8,$E44="Java",$N44="Please Select"),AND($M44&gt;1828.8,$E44="Java",$N44="No"),AND($M44&gt;1981,$E44="Fiji",$N44="Please Select"),AND($M44&gt;1981,$E44="Fiji",$N44="No"),AND($M44&gt;2133,$E44="Samoa",$N44="Please Select"),AND($M44&gt;2133,$E44="Samoa",$N44="No"))</formula>
    </cfRule>
  </conditionalFormatting>
  <conditionalFormatting sqref="M44:M46">
    <cfRule type="expression" dxfId="1301" priority="1011">
      <formula>OR(AND($M44&gt;=1,$M44&lt;=249,E44&lt;&gt;"Samoa"),AND($M44&gt;=1,$M44&lt;=304.8,E44="Samoa"))</formula>
    </cfRule>
    <cfRule type="expression" dxfId="1300" priority="1016">
      <formula>OR(AND($E44&lt;&gt;"Samoa",$M44&gt;3000),AND($E44="Samoa",$M44&gt;3657))</formula>
    </cfRule>
  </conditionalFormatting>
  <conditionalFormatting sqref="Q46:AA46">
    <cfRule type="cellIs" dxfId="1299" priority="1010" operator="greaterThan">
      <formula>""""""</formula>
    </cfRule>
  </conditionalFormatting>
  <conditionalFormatting sqref="R45">
    <cfRule type="expression" dxfId="1298" priority="1005">
      <formula>AND(OR(R44="(C)",R44="(B)",R44="(CB)",R44="(T)",R44="(G)"),R45="")</formula>
    </cfRule>
  </conditionalFormatting>
  <conditionalFormatting sqref="Q45">
    <cfRule type="expression" dxfId="1297" priority="1004">
      <formula>AND(OR(Q44="(C)",Q44="(B)",Q44="(CB)",Q44="(T)",Q44="(G)"),Q45="")</formula>
    </cfRule>
  </conditionalFormatting>
  <conditionalFormatting sqref="S45">
    <cfRule type="expression" dxfId="1296" priority="1003">
      <formula>AND(OR(S44="(C)",S44="(B)",S44="(CB)",S44="(T)",S44="(G)"),S45="")</formula>
    </cfRule>
  </conditionalFormatting>
  <conditionalFormatting sqref="T45">
    <cfRule type="expression" dxfId="1295" priority="1002">
      <formula>AND(OR(T44="(C)",T44="(B)",T44="(CB)",T44="(T)",T44="(G)"),T45="")</formula>
    </cfRule>
  </conditionalFormatting>
  <conditionalFormatting sqref="U45">
    <cfRule type="expression" dxfId="1294" priority="1001">
      <formula>AND(OR(U44="(C)",U44="(B)",U44="(CB)",U44="(T)",U44="(G)"),U45="")</formula>
    </cfRule>
  </conditionalFormatting>
  <conditionalFormatting sqref="V45">
    <cfRule type="expression" dxfId="1293" priority="1000">
      <formula>AND(OR(V44="(C)",V44="(B)",V44="(CB)",V44="(T)",V44="(G)"),V45="")</formula>
    </cfRule>
  </conditionalFormatting>
  <conditionalFormatting sqref="W45">
    <cfRule type="expression" dxfId="1292" priority="998">
      <formula>AND(OR(W44="(C)",W44="(B)",W44="(CB)",W44="(T)",W44="(G)"),W45="")</formula>
    </cfRule>
    <cfRule type="expression" dxfId="1291" priority="999">
      <formula>AND(OR(W44="(C)",W44="(B)",W44="(CB)",W44="(T)",W44="(G)"),W45="")</formula>
    </cfRule>
  </conditionalFormatting>
  <conditionalFormatting sqref="X45">
    <cfRule type="expression" dxfId="1290" priority="997">
      <formula>AND(OR(X44="(C)",X44="(B)",X44="(CB)",X44="(T)",X44="(G)"),X45="")</formula>
    </cfRule>
  </conditionalFormatting>
  <conditionalFormatting sqref="Y45">
    <cfRule type="expression" dxfId="1289" priority="996">
      <formula>AND(OR(Y44="(C)",Y44="(B)",Y44="(CB)",Y44="(T)",Y44="(G)"),Y45="")</formula>
    </cfRule>
  </conditionalFormatting>
  <conditionalFormatting sqref="Z45">
    <cfRule type="expression" dxfId="1288" priority="995">
      <formula>AND(OR(Z44="(C)",Z44="(B)",Z44="(CB)",Z44="(T)",Z44="(G)"),Z45="")</formula>
    </cfRule>
  </conditionalFormatting>
  <conditionalFormatting sqref="G49">
    <cfRule type="expression" dxfId="1287" priority="993">
      <formula>AND($E47 = "Java",$G49 &lt;&gt; "Stainless Steel")</formula>
    </cfRule>
  </conditionalFormatting>
  <conditionalFormatting sqref="I47:I49">
    <cfRule type="expression" dxfId="1286" priority="335">
      <formula>AND($D47&lt;&gt;"S/Shade",$I47="FFrame")</formula>
    </cfRule>
    <cfRule type="expression" dxfId="1285" priority="336">
      <formula>AND($D47="S/Shade",$I47&lt;&gt;"FFrame")</formula>
    </cfRule>
    <cfRule type="expression" dxfId="1284" priority="387">
      <formula>OR(AND($D47="Tracked",I47="M Track"),AND($D47="Tracked",$I47="Track and Board"),AND($D47="Tracked",$I47="Top Track Only"))</formula>
    </cfRule>
    <cfRule type="expression" dxfId="1283" priority="991">
      <formula>OR(AND($D47="Tracked",I47&lt;&gt;"M Track"),AND($D47="Tracked",$I47&lt;&gt;"Track and Board"),AND($D47="Tracked",$I47&lt;&gt;"Top Track Only"))</formula>
    </cfRule>
    <cfRule type="expression" dxfId="1282" priority="992">
      <formula>OR(AND($D47&lt;&gt;"Tracked",I47="M Track"),AND($D47&lt;&gt;"Tracked",$I47="Track and Board"),AND($D47&lt;&gt;"Tracked",$I47="Top Track Only"))</formula>
    </cfRule>
  </conditionalFormatting>
  <conditionalFormatting sqref="N47">
    <cfRule type="expression" dxfId="1281" priority="146">
      <formula>OR(AND(M47&gt;1372,N47="Please Select"),AND(M47&gt;1372,N47="No"))</formula>
    </cfRule>
    <cfRule type="expression" dxfId="1280" priority="990">
      <formula>OR(AND($M47&gt;1879,$E47="Antigua",$N47="Please Select"),(AND($M47&gt;1879,$E47="Antigua",$N47="No")),AND($M47&gt;1981,$E47="Bermuda",$N47="Please Select"),AND($M47&gt;1981,$E47="Bermuda",$N47="No"),AND($M47&gt;1981,$E47="Cuba",$N47="Please Select"),AND($M47&gt;1981,$E47="Cuba",$N47="No"),AND($M47&gt;1828.8,$E47="Java",$N47="Please Select"),AND($M47&gt;1828.8,$E47="Java",$N47="No"),AND($M47&gt;1981,$E47="Fiji",$N47="Please Select"),AND($M47&gt;1981,$E47="Fiji",$N47="No"),AND($M47&gt;2133,$E47="Samoa",$N47="Please Select"),AND($M47&gt;2133,$E47="Samoa",$N47="No"))</formula>
    </cfRule>
  </conditionalFormatting>
  <conditionalFormatting sqref="M47:M49">
    <cfRule type="expression" dxfId="1279" priority="989">
      <formula>OR(AND($M47&gt;=1,$M47&lt;=249,E47&lt;&gt;"Samoa"),AND($M47&gt;=1,$M47&lt;=304.8,E47="Samoa"))</formula>
    </cfRule>
    <cfRule type="expression" dxfId="1278" priority="994">
      <formula>OR(AND($E47&lt;&gt;"Samoa",$M47&gt;3000),AND($E47="Samoa",$M47&gt;3657))</formula>
    </cfRule>
  </conditionalFormatting>
  <conditionalFormatting sqref="Q49:AA49">
    <cfRule type="cellIs" dxfId="1277" priority="988" operator="greaterThan">
      <formula>""""""</formula>
    </cfRule>
  </conditionalFormatting>
  <conditionalFormatting sqref="R48">
    <cfRule type="expression" dxfId="1276" priority="983">
      <formula>AND(OR(R47="(C)",R47="(B)",R47="(CB)",R47="(T)",R47="(G)"),R48="")</formula>
    </cfRule>
  </conditionalFormatting>
  <conditionalFormatting sqref="Q48">
    <cfRule type="expression" dxfId="1275" priority="982">
      <formula>AND(OR(Q47="(C)",Q47="(B)",Q47="(CB)",Q47="(T)",Q47="(G)"),Q48="")</formula>
    </cfRule>
  </conditionalFormatting>
  <conditionalFormatting sqref="S48">
    <cfRule type="expression" dxfId="1274" priority="981">
      <formula>AND(OR(S47="(C)",S47="(B)",S47="(CB)",S47="(T)",S47="(G)"),S48="")</formula>
    </cfRule>
  </conditionalFormatting>
  <conditionalFormatting sqref="T48">
    <cfRule type="expression" dxfId="1273" priority="980">
      <formula>AND(OR(T47="(C)",T47="(B)",T47="(CB)",T47="(T)",T47="(G)"),T48="")</formula>
    </cfRule>
  </conditionalFormatting>
  <conditionalFormatting sqref="U48">
    <cfRule type="expression" dxfId="1272" priority="979">
      <formula>AND(OR(U47="(C)",U47="(B)",U47="(CB)",U47="(T)",U47="(G)"),U48="")</formula>
    </cfRule>
  </conditionalFormatting>
  <conditionalFormatting sqref="V48">
    <cfRule type="expression" dxfId="1271" priority="978">
      <formula>AND(OR(V47="(C)",V47="(B)",V47="(CB)",V47="(T)",V47="(G)"),V48="")</formula>
    </cfRule>
  </conditionalFormatting>
  <conditionalFormatting sqref="W48">
    <cfRule type="expression" dxfId="1270" priority="977">
      <formula>AND(OR(W47="(C)",W47="(B)",W47="(CB)",W47="(T)",W47="(G)"),W48="")</formula>
    </cfRule>
  </conditionalFormatting>
  <conditionalFormatting sqref="X48">
    <cfRule type="expression" dxfId="1269" priority="975">
      <formula>AND(OR(X47="(C)",X47="(B)",X47="(CB)",X47="(T)",X47="(G)"),X48="")</formula>
    </cfRule>
  </conditionalFormatting>
  <conditionalFormatting sqref="Y48">
    <cfRule type="expression" dxfId="1268" priority="974">
      <formula>AND(OR(Y47="(C)",Y47="(B)",Y47="(CB)",Y47="(T)",Y47="(G)"),Y48="")</formula>
    </cfRule>
  </conditionalFormatting>
  <conditionalFormatting sqref="Z48">
    <cfRule type="expression" dxfId="1267" priority="973">
      <formula>AND(OR(Z47="(C)",Z47="(B)",Z47="(CB)",Z47="(T)",Z47="(G)"),Z48="")</formula>
    </cfRule>
  </conditionalFormatting>
  <conditionalFormatting sqref="G52">
    <cfRule type="expression" dxfId="1266" priority="971">
      <formula>AND($E50 = "Java",$G52 &lt;&gt; "Stainless Steel")</formula>
    </cfRule>
  </conditionalFormatting>
  <conditionalFormatting sqref="I50:I52">
    <cfRule type="expression" dxfId="1265" priority="332">
      <formula>AND($D50&lt;&gt;"S/Shade",$I50="FFrame")</formula>
    </cfRule>
    <cfRule type="expression" dxfId="1264" priority="333">
      <formula>AND($D50="S/Shade",$I50&lt;&gt;"FFrame")</formula>
    </cfRule>
    <cfRule type="expression" dxfId="1263" priority="401">
      <formula>OR(AND($D50="Tracked",I50="M Track"),AND($D50="Tracked",$I50="Track and Board"),AND($D50="Tracked",$I50="Top Track Only"))</formula>
    </cfRule>
    <cfRule type="expression" dxfId="1262" priority="969">
      <formula>OR(AND($D50="Tracked",I50&lt;&gt;"M Track"),AND($D50="Tracked",$I50&lt;&gt;"Track and Board"),AND($D50="Tracked",$I50&lt;&gt;"Top Track Only"))</formula>
    </cfRule>
    <cfRule type="expression" dxfId="1261" priority="970">
      <formula>OR(AND($D50&lt;&gt;"Tracked",I50="M Track"),AND($D50&lt;&gt;"Tracked",$I50="Track and Board"),AND($D50&lt;&gt;"Tracked",$I50="Top Track Only"))</formula>
    </cfRule>
  </conditionalFormatting>
  <conditionalFormatting sqref="N50">
    <cfRule type="expression" dxfId="1260" priority="145">
      <formula>OR(AND(M50&gt;1372,N50="Please Select"),AND(M50&gt;1372,N50="No"))</formula>
    </cfRule>
    <cfRule type="expression" dxfId="1259" priority="968">
      <formula>OR(AND($M50&gt;1879,$E50="Antigua",$N50="Please Select"),(AND($M50&gt;1879,$E50="Antigua",$N50="No")),AND($M50&gt;1981,$E50="Bermuda",$N50="Please Select"),AND($M50&gt;1981,$E50="Bermuda",$N50="No"),AND($M50&gt;1981,$E50="Cuba",$N50="Please Select"),AND($M50&gt;1981,$E50="Cuba",$N50="No"),AND($M50&gt;1828.8,$E50="Java",$N50="Please Select"),AND($M50&gt;1828.8,$E50="Java",$N50="No"),AND($M50&gt;1981,$E50="Fiji",$N50="Please Select"),AND($M50&gt;1981,$E50="Fiji",$N50="No"),AND($M50&gt;2133,$E50="Samoa",$N50="Please Select"),AND($M50&gt;2133,$E50="Samoa",$N50="No"))</formula>
    </cfRule>
  </conditionalFormatting>
  <conditionalFormatting sqref="M50:M52">
    <cfRule type="expression" dxfId="1258" priority="967">
      <formula>OR(AND($M50&gt;=1,$M50&lt;=249,E50&lt;&gt;"Samoa"),AND($M50&gt;=1,$M50&lt;=304.8,E50="Samoa"))</formula>
    </cfRule>
    <cfRule type="expression" dxfId="1257" priority="972">
      <formula>OR(AND($E50&lt;&gt;"Samoa",$M50&gt;3000),AND($E50="Samoa",$M50&gt;3657))</formula>
    </cfRule>
  </conditionalFormatting>
  <conditionalFormatting sqref="Q52:AA52">
    <cfRule type="cellIs" dxfId="1256" priority="966" operator="greaterThan">
      <formula>""""""</formula>
    </cfRule>
  </conditionalFormatting>
  <conditionalFormatting sqref="R51">
    <cfRule type="expression" dxfId="1255" priority="961">
      <formula>AND(OR(R50="(C)",R50="(B)",R50="(CB)",R50="(T)",R50="(G)"),R51="")</formula>
    </cfRule>
  </conditionalFormatting>
  <conditionalFormatting sqref="Q51">
    <cfRule type="expression" dxfId="1254" priority="960">
      <formula>AND(OR(Q50="(C)",Q50="(B)",Q50="(CB)",Q50="(T)",Q50="(G)"),Q51="")</formula>
    </cfRule>
  </conditionalFormatting>
  <conditionalFormatting sqref="S51">
    <cfRule type="expression" dxfId="1253" priority="959">
      <formula>AND(OR(S50="(C)",S50="(B)",S50="(CB)",S50="(T)",S50="(G)"),S51="")</formula>
    </cfRule>
  </conditionalFormatting>
  <conditionalFormatting sqref="T51">
    <cfRule type="expression" dxfId="1252" priority="958">
      <formula>AND(OR(T50="(C)",T50="(B)",T50="(CB)",T50="(T)",T50="(G)"),T51="")</formula>
    </cfRule>
  </conditionalFormatting>
  <conditionalFormatting sqref="U51">
    <cfRule type="expression" dxfId="1251" priority="957">
      <formula>AND(OR(U50="(C)",U50="(B)",U50="(CB)",U50="(T)",U50="(G)"),U51="")</formula>
    </cfRule>
  </conditionalFormatting>
  <conditionalFormatting sqref="V51">
    <cfRule type="expression" dxfId="1250" priority="956">
      <formula>AND(OR(V50="(C)",V50="(B)",V50="(CB)",V50="(T)",V50="(G)"),V51="")</formula>
    </cfRule>
  </conditionalFormatting>
  <conditionalFormatting sqref="W51">
    <cfRule type="expression" dxfId="1249" priority="954">
      <formula>AND(OR(W50="(C)",W50="(B)",W50="(CB)",W50="(T)",W50="(G)"),W51="")</formula>
    </cfRule>
    <cfRule type="expression" dxfId="1248" priority="955">
      <formula>AND(OR(W50="(C)",W50="(B)",W50="(CB)",W50="(T)",W50="(G)"),W51="")</formula>
    </cfRule>
  </conditionalFormatting>
  <conditionalFormatting sqref="X51">
    <cfRule type="expression" dxfId="1247" priority="953">
      <formula>AND(OR(X50="(C)",X50="(B)",X50="(CB)",X50="(T)",X50="(G)"),X51="")</formula>
    </cfRule>
  </conditionalFormatting>
  <conditionalFormatting sqref="Y51">
    <cfRule type="expression" dxfId="1246" priority="952">
      <formula>AND(OR(Y50="(C)",Y50="(B)",Y50="(CB)",Y50="(T)",Y50="(G)"),Y51="")</formula>
    </cfRule>
  </conditionalFormatting>
  <conditionalFormatting sqref="Z51">
    <cfRule type="expression" dxfId="1245" priority="951">
      <formula>AND(OR(Z50="(C)",Z50="(B)",Z50="(CB)",Z50="(T)",Z50="(G)"),Z51="")</formula>
    </cfRule>
  </conditionalFormatting>
  <conditionalFormatting sqref="L20:L22">
    <cfRule type="expression" dxfId="1244" priority="609">
      <formula>IF($L$20="","",AND($L$20&gt;=1,$L$20&lt;152))</formula>
    </cfRule>
  </conditionalFormatting>
  <conditionalFormatting sqref="K17:K19 O19:AE19 O17:P18 W17:AE18">
    <cfRule type="expression" dxfId="1243" priority="363">
      <formula>$AD$17="Quoted"</formula>
    </cfRule>
  </conditionalFormatting>
  <conditionalFormatting sqref="C20:AE22">
    <cfRule type="expression" dxfId="1242" priority="360">
      <formula>$AD$20="Quoted"</formula>
    </cfRule>
  </conditionalFormatting>
  <conditionalFormatting sqref="C23:AE23 C24:D25 F24:AE25">
    <cfRule type="expression" dxfId="1241" priority="357">
      <formula>$AD$23="Quoted"</formula>
    </cfRule>
  </conditionalFormatting>
  <conditionalFormatting sqref="C29:AE31">
    <cfRule type="expression" dxfId="1240" priority="352">
      <formula>$AD$29="Quoted"</formula>
    </cfRule>
  </conditionalFormatting>
  <conditionalFormatting sqref="C32:AE34">
    <cfRule type="expression" dxfId="1239" priority="349">
      <formula>$AD$32="Quoted"</formula>
    </cfRule>
  </conditionalFormatting>
  <conditionalFormatting sqref="C35:AE37">
    <cfRule type="expression" dxfId="1238" priority="346">
      <formula>$AD$35="Quoted"</formula>
    </cfRule>
  </conditionalFormatting>
  <conditionalFormatting sqref="C38:AE40">
    <cfRule type="expression" dxfId="1237" priority="343">
      <formula>$AD$38="Quoted"</formula>
    </cfRule>
  </conditionalFormatting>
  <conditionalFormatting sqref="C41:AE43">
    <cfRule type="expression" dxfId="1236" priority="340">
      <formula>$AD$41="Quoted"</formula>
    </cfRule>
  </conditionalFormatting>
  <conditionalFormatting sqref="C44:AE46">
    <cfRule type="expression" dxfId="1235" priority="337">
      <formula>$AD$44="Quoted"</formula>
    </cfRule>
  </conditionalFormatting>
  <conditionalFormatting sqref="C47:AE49">
    <cfRule type="expression" dxfId="1234" priority="334">
      <formula>$AD$47="Quoted"</formula>
    </cfRule>
  </conditionalFormatting>
  <conditionalFormatting sqref="C50:AE52">
    <cfRule type="expression" dxfId="1233" priority="331">
      <formula>$AD$50="Quoted"</formula>
    </cfRule>
  </conditionalFormatting>
  <conditionalFormatting sqref="E35:E37">
    <cfRule type="expression" dxfId="1232" priority="473">
      <formula>AND($C$35="Bathroom",$E$35&lt;&gt;"Java")</formula>
    </cfRule>
    <cfRule type="expression" dxfId="1231" priority="488">
      <formula>IF(D35="","",AND(D35="Shape",E35&lt;&gt;"Fiji",D35="Shape",E35&lt;&gt;"Samoa"))</formula>
    </cfRule>
  </conditionalFormatting>
  <conditionalFormatting sqref="E38:E40">
    <cfRule type="expression" dxfId="1230" priority="443">
      <formula>AND($C$38="Bathroom",$E$38&lt;&gt;"Java")</formula>
    </cfRule>
    <cfRule type="expression" dxfId="1229" priority="472">
      <formula>IF(D38="","",AND(D38="Shape",E38&lt;&gt;"Fiji",D38="Shape",E38&lt;&gt;"Samoa"))</formula>
    </cfRule>
  </conditionalFormatting>
  <conditionalFormatting sqref="E41:E43">
    <cfRule type="expression" dxfId="1228" priority="471">
      <formula>AND($C$41="Bathroom",$E$41&lt;&gt;"Java")</formula>
    </cfRule>
    <cfRule type="expression" dxfId="1227" priority="486">
      <formula>IF(D41="","",AND(D41="Shape",E41&lt;&gt;"Fiji",D41="Shape",E41&lt;&gt;"Samoa"))</formula>
    </cfRule>
  </conditionalFormatting>
  <conditionalFormatting sqref="E44:E46">
    <cfRule type="expression" dxfId="1226" priority="470">
      <formula>AND($C$44="Bathroom",$E$44&lt;&gt;"Java")</formula>
    </cfRule>
    <cfRule type="expression" dxfId="1225" priority="485">
      <formula>IF(D44="","",AND(D44="Shape",E44&lt;&gt;"Fiji",D44="Shape",E44&lt;&gt;"Samoa"))</formula>
    </cfRule>
  </conditionalFormatting>
  <conditionalFormatting sqref="E47:E49">
    <cfRule type="expression" dxfId="1224" priority="469">
      <formula>AND($C$47="Bathroom",$E$47&lt;&gt;"Java")</formula>
    </cfRule>
    <cfRule type="expression" dxfId="1223" priority="484">
      <formula>IF(D47="","",AND(D47="Shape",E47&lt;&gt;"Fiji",D47="Shape",E47&lt;&gt;"Samoa"))</formula>
    </cfRule>
  </conditionalFormatting>
  <conditionalFormatting sqref="E50:E52">
    <cfRule type="expression" dxfId="1222" priority="468">
      <formula>AND($C$50="Bathroom",$E$50&lt;&gt;"Java")</formula>
    </cfRule>
    <cfRule type="expression" dxfId="1221" priority="483">
      <formula>IF(D50="","",AND(D50="Shape",E50&lt;&gt;"Fiji",D50="Shape",E50&lt;&gt;"Samoa"))</formula>
    </cfRule>
  </conditionalFormatting>
  <conditionalFormatting sqref="AA9">
    <cfRule type="expression" dxfId="1220" priority="467">
      <formula>$AA$9="LOR"</formula>
    </cfRule>
  </conditionalFormatting>
  <conditionalFormatting sqref="AA12">
    <cfRule type="expression" dxfId="1219" priority="466">
      <formula>$AA$12="LOR"</formula>
    </cfRule>
  </conditionalFormatting>
  <conditionalFormatting sqref="AA15">
    <cfRule type="expression" dxfId="1218" priority="465">
      <formula>$AA$15="LOR"</formula>
    </cfRule>
  </conditionalFormatting>
  <conditionalFormatting sqref="AA18">
    <cfRule type="expression" dxfId="1217" priority="464">
      <formula>$AA$18="LOR"</formula>
    </cfRule>
  </conditionalFormatting>
  <conditionalFormatting sqref="AA21">
    <cfRule type="expression" dxfId="1216" priority="463">
      <formula>$AA$21="LOR"</formula>
    </cfRule>
  </conditionalFormatting>
  <conditionalFormatting sqref="AA24">
    <cfRule type="expression" dxfId="1215" priority="462">
      <formula>$AA$24="LOR"</formula>
    </cfRule>
  </conditionalFormatting>
  <conditionalFormatting sqref="AA27">
    <cfRule type="expression" dxfId="1214" priority="461">
      <formula>$AA$27="LOR"</formula>
    </cfRule>
  </conditionalFormatting>
  <conditionalFormatting sqref="AA30">
    <cfRule type="expression" dxfId="1213" priority="460">
      <formula>$AA$30="LOR"</formula>
    </cfRule>
  </conditionalFormatting>
  <conditionalFormatting sqref="AA33">
    <cfRule type="expression" dxfId="1212" priority="459">
      <formula>$AA$33="LOR"</formula>
    </cfRule>
  </conditionalFormatting>
  <conditionalFormatting sqref="AA36">
    <cfRule type="expression" dxfId="1211" priority="458">
      <formula>$AA$36="LOR"</formula>
    </cfRule>
  </conditionalFormatting>
  <conditionalFormatting sqref="AA39">
    <cfRule type="expression" dxfId="1210" priority="457">
      <formula>$AA$39="LOR"</formula>
    </cfRule>
  </conditionalFormatting>
  <conditionalFormatting sqref="AA42">
    <cfRule type="expression" dxfId="1209" priority="456">
      <formula>$AA$42="LOR"</formula>
    </cfRule>
  </conditionalFormatting>
  <conditionalFormatting sqref="AA45">
    <cfRule type="expression" dxfId="1208" priority="455">
      <formula>$AA$45="LOR"</formula>
    </cfRule>
  </conditionalFormatting>
  <conditionalFormatting sqref="AA48">
    <cfRule type="expression" dxfId="1207" priority="454">
      <formula>$AA$48="LOR"</formula>
    </cfRule>
  </conditionalFormatting>
  <conditionalFormatting sqref="AA51">
    <cfRule type="expression" dxfId="1206" priority="453">
      <formula>$AA$51="LOR"</formula>
    </cfRule>
  </conditionalFormatting>
  <conditionalFormatting sqref="F24:G24">
    <cfRule type="expression" dxfId="1205" priority="435">
      <formula>$F$24&gt;""</formula>
    </cfRule>
  </conditionalFormatting>
  <conditionalFormatting sqref="F27:G27">
    <cfRule type="expression" dxfId="1204" priority="433">
      <formula>$F$27&gt;""</formula>
    </cfRule>
  </conditionalFormatting>
  <conditionalFormatting sqref="F30:G30">
    <cfRule type="expression" dxfId="1203" priority="432">
      <formula>$F$30&gt;""</formula>
    </cfRule>
  </conditionalFormatting>
  <conditionalFormatting sqref="F33:G33">
    <cfRule type="expression" dxfId="1202" priority="431">
      <formula>$F$33&gt;""</formula>
    </cfRule>
  </conditionalFormatting>
  <conditionalFormatting sqref="F36:G36">
    <cfRule type="expression" dxfId="1201" priority="430">
      <formula>$F$36&gt;""</formula>
    </cfRule>
  </conditionalFormatting>
  <conditionalFormatting sqref="F39:G39">
    <cfRule type="expression" dxfId="1200" priority="429">
      <formula>$F$39&gt;""</formula>
    </cfRule>
  </conditionalFormatting>
  <conditionalFormatting sqref="F42:G42">
    <cfRule type="expression" dxfId="1199" priority="428">
      <formula>$F$42&gt;""</formula>
    </cfRule>
  </conditionalFormatting>
  <conditionalFormatting sqref="F45:G45">
    <cfRule type="expression" dxfId="1198" priority="427">
      <formula>$F$45&gt;""</formula>
    </cfRule>
  </conditionalFormatting>
  <conditionalFormatting sqref="F48:G48">
    <cfRule type="expression" dxfId="1197" priority="426">
      <formula>$F$48&gt;""</formula>
    </cfRule>
  </conditionalFormatting>
  <conditionalFormatting sqref="F51:G51">
    <cfRule type="expression" dxfId="1196" priority="425">
      <formula>$F$51&gt;""</formula>
    </cfRule>
  </conditionalFormatting>
  <conditionalFormatting sqref="O68">
    <cfRule type="expression" dxfId="1195" priority="423">
      <formula>$O$68&lt;&gt;$N$68</formula>
    </cfRule>
  </conditionalFormatting>
  <conditionalFormatting sqref="O67">
    <cfRule type="expression" dxfId="1194" priority="421">
      <formula>$N$67&lt;&gt;$O$67</formula>
    </cfRule>
  </conditionalFormatting>
  <conditionalFormatting sqref="O65">
    <cfRule type="expression" dxfId="1193" priority="416">
      <formula>$N$65&lt;&gt;$O$65</formula>
    </cfRule>
  </conditionalFormatting>
  <conditionalFormatting sqref="J20:J22">
    <cfRule type="expression" dxfId="1192" priority="411">
      <formula>OR(AND(J20="Silent",M20&gt;1276,M20&lt;=1879,N20="Please Select"),AND(J20="Silent",M20&gt;1276,M8&lt;=1879,N20="No"))</formula>
    </cfRule>
  </conditionalFormatting>
  <conditionalFormatting sqref="J23:J25">
    <cfRule type="expression" dxfId="1191" priority="410">
      <formula>OR(AND(J23="Silent",M23&gt;1276,M23&lt;=1879,N23="Please Select"),AND(J23="Silent",M23&gt;1276,M8&lt;=1879,N23="No"))</formula>
    </cfRule>
  </conditionalFormatting>
  <conditionalFormatting sqref="J26:J28">
    <cfRule type="expression" dxfId="1190" priority="394">
      <formula>OR(AND(J26="Silent",M26&gt;1276,M26&lt;=1879,N26="Please Select"),AND(J26="Silent",M26&gt;1276,M8&lt;=1879,N26="No"))</formula>
    </cfRule>
  </conditionalFormatting>
  <conditionalFormatting sqref="J29:J31">
    <cfRule type="expression" dxfId="1189" priority="408">
      <formula>OR(AND(J29="Silent",M29&gt;1276,M29&lt;=1879,N29="Please Select"),AND(J29="Silent",M29&gt;1276,M8&lt;=1879,N29="No"))</formula>
    </cfRule>
  </conditionalFormatting>
  <conditionalFormatting sqref="J32:J34">
    <cfRule type="expression" dxfId="1188" priority="407">
      <formula>OR(AND(J32="Silent",M32&gt;1276,M32&lt;=1879,N32="Please Select"),AND(J32="Silent",M32&gt;1276,M8&lt;=1879,N32="No"))</formula>
    </cfRule>
  </conditionalFormatting>
  <conditionalFormatting sqref="J35:J37">
    <cfRule type="expression" dxfId="1187" priority="406">
      <formula>OR(AND(J35="Silent",M35&gt;1276,M35&lt;=1879,N35="Please Select"),AND(J35="Silent",M35&gt;1276,M8&lt;=1879,N35="No"))</formula>
    </cfRule>
  </conditionalFormatting>
  <conditionalFormatting sqref="J38:J40">
    <cfRule type="expression" dxfId="1186" priority="405">
      <formula>OR(AND(J38="Silent",M38&gt;1276,M38&lt;=1879,N38="Please Select"),AND(J38="Silent",M38&gt;1276,M8&lt;=1879,N38="No"))</formula>
    </cfRule>
  </conditionalFormatting>
  <conditionalFormatting sqref="J41:J43">
    <cfRule type="expression" dxfId="1185" priority="404">
      <formula>OR(AND(J41="Silent",M41&gt;1276,M41&lt;=1879,N41="Please Select"),AND(J41="Silent",M41&gt;1276,M8&lt;=1879,N41="No"))</formula>
    </cfRule>
  </conditionalFormatting>
  <conditionalFormatting sqref="J44:J46">
    <cfRule type="expression" dxfId="1184" priority="403">
      <formula>OR(AND(J44="Silent",M44&gt;1276,M44&lt;=1879,N44="Please Select"),AND(J44="Silent",M44&gt;1276,M8&lt;=1879,N44="No"))</formula>
    </cfRule>
  </conditionalFormatting>
  <conditionalFormatting sqref="J47:J49">
    <cfRule type="expression" dxfId="1183" priority="402">
      <formula>OR(AND(J47="Silent",M47&gt;1276,M47&lt;=1879,N47="Please Select"),AND(J47="Silent",M47&gt;1276,M8&lt;=1879,N47="No"))</formula>
    </cfRule>
  </conditionalFormatting>
  <conditionalFormatting sqref="J50:J52">
    <cfRule type="expression" dxfId="1182" priority="386">
      <formula>OR(AND(J50="Silent",M50&gt;1276,M50&lt;=1879,N50="Please Select"),AND(J50="Silent",M50&gt;1276,M8&lt;=1879,N50="No"))</formula>
    </cfRule>
  </conditionalFormatting>
  <conditionalFormatting sqref="I20:I34">
    <cfRule type="expression" dxfId="1181" priority="372">
      <formula>OR(AND($D20="Tracked",I20="M Track"),AND($D20="Tracked",$I20="Track and Board"),AND($D20="Tracked",$I20="Top Track Only"))</formula>
    </cfRule>
  </conditionalFormatting>
  <conditionalFormatting sqref="R61:V61">
    <cfRule type="expression" dxfId="1180" priority="124">
      <formula>$R$61="Finance No"</formula>
    </cfRule>
  </conditionalFormatting>
  <conditionalFormatting sqref="O59:O64">
    <cfRule type="expression" dxfId="1179" priority="419">
      <formula>$O$59&lt;ROUNDDOWN((+(N59-O59)/N59),0.2)</formula>
    </cfRule>
  </conditionalFormatting>
  <conditionalFormatting sqref="R59:V59">
    <cfRule type="cellIs" dxfId="1178" priority="322" operator="between">
      <formula>0.33</formula>
      <formula>0.339</formula>
    </cfRule>
  </conditionalFormatting>
  <conditionalFormatting sqref="O69:O70">
    <cfRule type="expression" dxfId="1177" priority="321">
      <formula>$N$69&lt;&gt;$O$69</formula>
    </cfRule>
  </conditionalFormatting>
  <conditionalFormatting sqref="AD74">
    <cfRule type="expression" dxfId="1176" priority="319">
      <formula>$AD$74="Building Works"</formula>
    </cfRule>
  </conditionalFormatting>
  <conditionalFormatting sqref="P74:Q75">
    <cfRule type="cellIs" dxfId="1175" priority="317" operator="greaterThan">
      <formula>""""""</formula>
    </cfRule>
  </conditionalFormatting>
  <conditionalFormatting sqref="O74">
    <cfRule type="expression" dxfId="1174" priority="123">
      <formula>OR($M$74&lt;&gt;"Other:",$M$74="")</formula>
    </cfRule>
  </conditionalFormatting>
  <conditionalFormatting sqref="AD58">
    <cfRule type="cellIs" dxfId="1173" priority="1317" operator="equal">
      <formula>+(N59-O59)/N59</formula>
    </cfRule>
  </conditionalFormatting>
  <conditionalFormatting sqref="AC9:AC51">
    <cfRule type="cellIs" dxfId="1172" priority="297" operator="equal">
      <formula>"3 for 2"</formula>
    </cfRule>
  </conditionalFormatting>
  <conditionalFormatting sqref="AE54">
    <cfRule type="expression" dxfId="1171" priority="296">
      <formula>$AE$54="N/A"</formula>
    </cfRule>
  </conditionalFormatting>
  <conditionalFormatting sqref="O75">
    <cfRule type="cellIs" dxfId="1170" priority="276" operator="greaterThan">
      <formula>0</formula>
    </cfRule>
    <cfRule type="cellIs" dxfId="1169" priority="280" operator="greaterThan">
      <formula>0</formula>
    </cfRule>
    <cfRule type="expression" dxfId="1168" priority="281">
      <formula>"&lt;&gt;"""""</formula>
    </cfRule>
  </conditionalFormatting>
  <conditionalFormatting sqref="N23">
    <cfRule type="expression" dxfId="1167" priority="154">
      <formula>OR(AND(M23&gt;1372,N23="Please Select"),AND(M23&gt;1372,N23="No"))</formula>
    </cfRule>
    <cfRule type="expression" dxfId="1166" priority="266">
      <formula>OR(AND($M23&gt;=1,$M23&lt;=249,F23&lt;&gt;"Samoa"),AND($M23&gt;=1,$M23&lt;=304.8,F23="Samoa"))</formula>
    </cfRule>
    <cfRule type="expression" dxfId="1165" priority="267">
      <formula>OR(AND($E23&lt;&gt;"Samoa",$M23&gt;3000),AND($E23="Samoa",$M23&gt;3657))</formula>
    </cfRule>
  </conditionalFormatting>
  <conditionalFormatting sqref="Q25:AA25">
    <cfRule type="cellIs" dxfId="1164" priority="255" operator="greaterThan">
      <formula>""""""</formula>
    </cfRule>
  </conditionalFormatting>
  <conditionalFormatting sqref="E20 E23 E26:E52">
    <cfRule type="expression" dxfId="1163" priority="122">
      <formula>IF(D20="","",AND(D20="French Door Cutout",E20&lt;&gt;"Fiji",D20="French Door Cutout",E20&lt;&gt;"Samoa"))</formula>
    </cfRule>
    <cfRule type="expression" dxfId="1162" priority="452">
      <formula>AND($C20="Bathroom",$E20&lt;&gt;"Java")</formula>
    </cfRule>
    <cfRule type="expression" dxfId="1161" priority="482">
      <formula>IF(D20="","",AND(D20="Shape",E20&lt;&gt;"Fiji",D20="Shape",E20&lt;&gt;"Samoa"))</formula>
    </cfRule>
  </conditionalFormatting>
  <conditionalFormatting sqref="C11:AE13">
    <cfRule type="expression" dxfId="1160" priority="233">
      <formula>$AD$11="Quoted"</formula>
    </cfRule>
  </conditionalFormatting>
  <conditionalFormatting sqref="C26:AE28">
    <cfRule type="expression" dxfId="1159" priority="229">
      <formula>$AD$26="Quoted"</formula>
    </cfRule>
  </conditionalFormatting>
  <conditionalFormatting sqref="D20">
    <cfRule type="expression" dxfId="1158" priority="228">
      <formula>OR($D$20="Tracked",$D$20="S/Shade", $D$20="Shape",$D$20="French Door Cutout")</formula>
    </cfRule>
    <cfRule type="expression" dxfId="1157" priority="230">
      <formula>AND($C$20="Bathroom",$E$20&lt;&gt;"Java")</formula>
    </cfRule>
    <cfRule type="expression" dxfId="1156" priority="231">
      <formula>IF(C20="","",AND(C20="Shape",D20&lt;&gt;"Fiji",C20="Shape",D20&lt;&gt;"Samoa"))</formula>
    </cfRule>
  </conditionalFormatting>
  <conditionalFormatting sqref="D23">
    <cfRule type="expression" dxfId="1155" priority="222">
      <formula>OR($D$23="Tracked",$D$23="S/Shade", $D$23="Shape",$D$23="French Door Cutout")</formula>
    </cfRule>
    <cfRule type="expression" dxfId="1154" priority="223">
      <formula>AND($C$23="Bathroom",$E$23&lt;&gt;"Java")</formula>
    </cfRule>
    <cfRule type="expression" dxfId="1153" priority="224">
      <formula>IF(C23="","",AND(C23="Shape",D23&lt;&gt;"Fiji",C23="Shape",D23&lt;&gt;"Samoa"))</formula>
    </cfRule>
  </conditionalFormatting>
  <conditionalFormatting sqref="D26">
    <cfRule type="expression" dxfId="1152" priority="219">
      <formula>OR($D$26="Tracked",$D$26="S/Shade", $D$26="Shape",$D$26="French Door Cutout")</formula>
    </cfRule>
    <cfRule type="expression" dxfId="1151" priority="220">
      <formula>AND($C$26="Bathroom",$E$26&lt;&gt;"Java")</formula>
    </cfRule>
    <cfRule type="expression" dxfId="1150" priority="221">
      <formula>IF(C26="","",AND(C26="Shape",D26&lt;&gt;"Fiji",C26="Shape",D26&lt;&gt;"Samoa"))</formula>
    </cfRule>
  </conditionalFormatting>
  <conditionalFormatting sqref="D29:D31">
    <cfRule type="expression" dxfId="1149" priority="218">
      <formula>$AD$29="Quoted"</formula>
    </cfRule>
  </conditionalFormatting>
  <conditionalFormatting sqref="D29">
    <cfRule type="expression" dxfId="1148" priority="215">
      <formula>OR($D$29="Tracked",$D$29="S/Shade", $D$29="Shape",$D$29="French Door Cutout")</formula>
    </cfRule>
    <cfRule type="expression" dxfId="1147" priority="216">
      <formula>AND($C$29="Bathroom",$E$29&lt;&gt;"Java")</formula>
    </cfRule>
    <cfRule type="expression" dxfId="1146" priority="217">
      <formula>IF(C29="","",AND(C29="Shape",D29&lt;&gt;"Fiji",C29="Shape",D29&lt;&gt;"Samoa"))</formula>
    </cfRule>
  </conditionalFormatting>
  <conditionalFormatting sqref="D32:D34">
    <cfRule type="expression" dxfId="1145" priority="214">
      <formula>$AD$32="Quoted"</formula>
    </cfRule>
  </conditionalFormatting>
  <conditionalFormatting sqref="D32">
    <cfRule type="expression" dxfId="1144" priority="211">
      <formula>OR($D$32="Tracked",$D$32="S/Shade", $D$32="Shape",$D$32="French Door Cutout")</formula>
    </cfRule>
    <cfRule type="expression" dxfId="1143" priority="212">
      <formula>AND($C$32="Bathroom",$E$32&lt;&gt;"Java")</formula>
    </cfRule>
    <cfRule type="expression" dxfId="1142" priority="213">
      <formula>IF(C32="","",AND(C32="Shape",D32&lt;&gt;"Fiji",C32="Shape",D32&lt;&gt;"Samoa"))</formula>
    </cfRule>
  </conditionalFormatting>
  <conditionalFormatting sqref="D35">
    <cfRule type="expression" dxfId="1141" priority="207">
      <formula>OR($D$35="Tracked",$D$35="S/Shade", $D$35="Shape",$D$35="French Door Cutout")</formula>
    </cfRule>
    <cfRule type="expression" dxfId="1140" priority="208">
      <formula>AND($C$35="Bathroom",$E$35&lt;&gt;"Java")</formula>
    </cfRule>
    <cfRule type="expression" dxfId="1139" priority="209">
      <formula>IF(C35="","",AND(C35="Shape",D35&lt;&gt;"Fiji",C35="Shape",D35&lt;&gt;"Samoa"))</formula>
    </cfRule>
    <cfRule type="expression" dxfId="1138" priority="210">
      <formula>$AD$35="Quoted"</formula>
    </cfRule>
  </conditionalFormatting>
  <conditionalFormatting sqref="D38">
    <cfRule type="expression" dxfId="1137" priority="203">
      <formula>OR($D$38="Tracked",$D$38="S/Shade", $D$38="Shape",$D$38="French Door Cutout")</formula>
    </cfRule>
    <cfRule type="expression" dxfId="1136" priority="204">
      <formula>AND($C$38="Bathroom",$E$38&lt;&gt;"Java")</formula>
    </cfRule>
    <cfRule type="expression" dxfId="1135" priority="205">
      <formula>IF(C38="","",AND(C38="Shape",D38&lt;&gt;"Fiji",C38="Shape",D38&lt;&gt;"Samoa"))</formula>
    </cfRule>
    <cfRule type="expression" dxfId="1134" priority="206">
      <formula>$AD$38="Quoted"</formula>
    </cfRule>
  </conditionalFormatting>
  <conditionalFormatting sqref="D41">
    <cfRule type="expression" dxfId="1133" priority="199">
      <formula>OR($D$41="Tracked",$D$41="S/Shade", $D$41="Shape",$D$41="French Door Cutout")</formula>
    </cfRule>
    <cfRule type="expression" dxfId="1132" priority="200">
      <formula>AND($C$41="Bathroom",$E$41&lt;&gt;"Java")</formula>
    </cfRule>
    <cfRule type="expression" dxfId="1131" priority="201">
      <formula>IF(C41="","",AND(C41="Shape",D41&lt;&gt;"Fiji",C41="Shape",D41&lt;&gt;"Samoa"))</formula>
    </cfRule>
    <cfRule type="expression" dxfId="1130" priority="202">
      <formula>$AD$41="Quoted"</formula>
    </cfRule>
  </conditionalFormatting>
  <conditionalFormatting sqref="D44">
    <cfRule type="expression" dxfId="1129" priority="195">
      <formula>OR($D$44="Tracked",$D$44="S/Shade", $D$44="Shape",$D$44="French Door Cutout")</formula>
    </cfRule>
    <cfRule type="expression" dxfId="1128" priority="196">
      <formula>AND($C$44="Bathroom",$E$44&lt;&gt;"Java")</formula>
    </cfRule>
    <cfRule type="expression" dxfId="1127" priority="197">
      <formula>IF(C44="","",AND(C44="Shape",D44&lt;&gt;"Fiji",C44="Shape",D44&lt;&gt;"Samoa"))</formula>
    </cfRule>
    <cfRule type="expression" dxfId="1126" priority="198">
      <formula>$AD$44="Quoted"</formula>
    </cfRule>
  </conditionalFormatting>
  <conditionalFormatting sqref="D47">
    <cfRule type="expression" dxfId="1125" priority="191">
      <formula>OR($D$47="Tracked",$D$47="S/Shade", $D$47="Shape",$D$47="French Door Cutout")</formula>
    </cfRule>
    <cfRule type="expression" dxfId="1124" priority="192">
      <formula>AND($C$47="Bathroom",$E$47&lt;&gt;"Java")</formula>
    </cfRule>
    <cfRule type="expression" dxfId="1123" priority="193">
      <formula>IF(C47="","",AND(C47="Shape",D47&lt;&gt;"Fiji",C47="Shape",D47&lt;&gt;"Samoa"))</formula>
    </cfRule>
    <cfRule type="expression" dxfId="1122" priority="194">
      <formula>$AD$47="Quoted"</formula>
    </cfRule>
  </conditionalFormatting>
  <conditionalFormatting sqref="D50">
    <cfRule type="expression" dxfId="1121" priority="187">
      <formula>OR($D$50="Tracked",$D$50="S/Shade", $D$50="Shape",$D$50="French Door Cutout")</formula>
    </cfRule>
    <cfRule type="expression" dxfId="1120" priority="188">
      <formula>AND($C$50="Bathroom",$E$50&lt;&gt;"Java")</formula>
    </cfRule>
    <cfRule type="expression" dxfId="1119" priority="189">
      <formula>IF(C50="","",AND(C50="Shape",D50&lt;&gt;"Fiji",C50="Shape",D50&lt;&gt;"Samoa"))</formula>
    </cfRule>
    <cfRule type="expression" dxfId="1118" priority="190">
      <formula>$AD$50="Quoted"</formula>
    </cfRule>
  </conditionalFormatting>
  <conditionalFormatting sqref="N20:N22">
    <cfRule type="expression" dxfId="1117" priority="155">
      <formula>OR(AND(M20&gt;1372,N20="Please Select"),AND(M20&gt;1372,N20="No"))</formula>
    </cfRule>
    <cfRule type="expression" dxfId="1116" priority="181">
      <formula>OR(AND($M20&gt;1879,$E20="Antigua",$N20="Please Select"),(AND($M20&gt;1879,$E20="Antigua",$N20="No")),AND($M20&gt;1981,$E20="Bermuda",$N20="Please Select"),AND($M20&gt;1981,$E20="Bermuda",$N20="No"),AND($M20&gt;1981,$E20="Cuba",$N20="Please Select"),AND($M20&gt;1981,$E20="Cuba",$N20="No"),AND($M20&gt;1828.8,$E20="Java",$N20="Please Select"),AND($M20&gt;1828.8,$E20="Java",$N20="No"),AND($M20&gt;1981,$E20="Fiji",$N20="Please Select"),AND($M20&gt;1981,$E20="Fiji",$N20="No"),AND($M20&gt;2133,$E20="Samoa",$N20="Please Select"),AND($M20&gt;2133,$E20="Samoa",$N20="No"))</formula>
    </cfRule>
  </conditionalFormatting>
  <conditionalFormatting sqref="N23:N25">
    <cfRule type="expression" dxfId="1115" priority="180">
      <formula>OR(AND($M23&gt;1879,$E23="Antigua",$N23="Please Select"),(AND($M23&gt;1879,$E23="Antigua",$N23="No")),AND($M23&gt;1981,$E23="Bermuda",$N23="Please Select"),AND($M23&gt;1981,$E23="Bermuda",$N23="No"),AND($M23&gt;1981,$E23="Cuba",$N23="Please Select"),AND($M23&gt;1981,$E23="Cuba",$N23="No"),AND($M23&gt;1828.8,$E23="Java",$N23="Please Select"),AND($M23&gt;1828.8,$E23="Java",$N23="No"),AND($M23&gt;1981,$E23="Fiji",$N23="Please Select"),AND($M23&gt;1981,$E23="Fiji",$N23="No"),AND($M23&gt;2133,$E23="Samoa",$N23="Please Select"),AND($M23&gt;2133,$E23="Samoa",$N23="No"))</formula>
    </cfRule>
  </conditionalFormatting>
  <conditionalFormatting sqref="K75">
    <cfRule type="expression" dxfId="1114" priority="162">
      <formula>IF(P76=0,"",IF(OR(P76&gt;=0.05,P76&lt;=0.05),"True",IF(P76=0,"","")))</formula>
    </cfRule>
  </conditionalFormatting>
  <conditionalFormatting sqref="C8:AE10">
    <cfRule type="expression" dxfId="1113" priority="161">
      <formula>$AD$8="Quoted"</formula>
    </cfRule>
  </conditionalFormatting>
  <conditionalFormatting sqref="N26">
    <cfRule type="expression" dxfId="1112" priority="153">
      <formula>OR(AND(M26&gt;1372,N26="Please Select"),AND(M26&gt;1372,N26="No"))</formula>
    </cfRule>
    <cfRule type="expression" dxfId="1111" priority="179">
      <formula>OR(AND($M26&gt;1879,$E26="Antigua",$N26="Please Select"),(AND($M26&gt;1879,$E26="Antigua",$N26="No")),AND($M26&gt;1981,$E26="Bermuda",$N26="Please Select"),AND($M26&gt;1981,$E26="Bermuda",$N26="No"),AND($M26&gt;1981,$E26="Cuba",$N26="Please Select"),AND($M26&gt;1981,$E26="Cuba",$N26="No"),AND($M26&gt;1828.8,$E26="Java",$N26="Please Select"),AND($M26&gt;1828.8,$E26="Java",$N26="No"),AND($M26&gt;1981,$E26="Fiji",$N26="Please Select"),AND($M26&gt;1981,$E26="Fiji",$N26="No"),AND($M26&gt;2133,$E26="Samoa",$N26="Please Select"),AND($M26&gt;2133,$E26="Samoa",$N26="No"))</formula>
    </cfRule>
    <cfRule type="expression" dxfId="1110" priority="260">
      <formula>OR(AND($M26&gt;=1,$M26&lt;=249,F26&lt;&gt;"Samoa"),AND($M26&gt;=1,$M26&lt;=304.8,F26="Samoa"))</formula>
    </cfRule>
    <cfRule type="expression" dxfId="1109" priority="261">
      <formula>OR(AND($E26&lt;&gt;"Samoa",$M26&gt;3000),AND($E26="Samoa",$M26&gt;3657))</formula>
    </cfRule>
  </conditionalFormatting>
  <conditionalFormatting sqref="N29">
    <cfRule type="expression" dxfId="1108" priority="152">
      <formula>OR(AND(M29&gt;1372,N29="Please Select"),AND(M29&gt;1372,N29="No"))</formula>
    </cfRule>
    <cfRule type="expression" dxfId="1107" priority="178">
      <formula>OR(AND($M29&gt;1879,$E29="Antigua",$N29="Please Select"),(AND($M29&gt;1879,$E29="Antigua",$N29="No")),AND($M29&gt;1981,$E29="Bermuda",$N29="Please Select"),AND($M29&gt;1981,$E29="Bermuda",$N29="No"),AND($M29&gt;1981,$E29="Cuba",$N29="Please Select"),AND($M29&gt;1981,$E29="Cuba",$N29="No"),AND($M29&gt;1828.8,$E29="Java",$N29="Please Select"),AND($M29&gt;1828.8,$E29="Java",$N29="No"),AND($M29&gt;1981,$E29="Fiji",$N29="Please Select"),AND($M29&gt;1981,$E29="Fiji",$N29="No"),AND($M29&gt;2133,$E29="Samoa",$N29="Please Select"),AND($M29&gt;2133,$E29="Samoa",$N29="No"))</formula>
    </cfRule>
    <cfRule type="expression" dxfId="1106" priority="257">
      <formula>OR(AND($M29&gt;=1,$M29&lt;=249,F29&lt;&gt;"Samoa"),AND($M29&gt;=1,$M29&lt;=304.8,F29="Samoa"))</formula>
    </cfRule>
    <cfRule type="expression" dxfId="1105" priority="258">
      <formula>OR(AND($E29&lt;&gt;"Samoa",$M29&gt;3000),AND($E29="Samoa",$M29&gt;3657))</formula>
    </cfRule>
  </conditionalFormatting>
  <conditionalFormatting sqref="N32">
    <cfRule type="expression" dxfId="1104" priority="151">
      <formula>OR(AND(M32&gt;1372,N32="Please Select"),AND(M32&gt;1372,N32="No"))</formula>
    </cfRule>
    <cfRule type="expression" dxfId="1103" priority="177">
      <formula>OR(AND($M32&gt;1879,$E32="Antigua",$N32="Please Select"),(AND($M32&gt;1879,$E32="Antigua",$N32="No")),AND($M32&gt;1981,$E32="Bermuda",$N32="Please Select"),AND($M32&gt;1981,$E32="Bermuda",$N32="No"),AND($M32&gt;1981,$E32="Cuba",$N32="Please Select"),AND($M32&gt;1981,$E32="Cuba",$N32="No"),AND($M32&gt;1828.8,$E32="Java",$N32="Please Select"),AND($M32&gt;1828.8,$E32="Java",$N32="No"),AND($M32&gt;1981,$E32="Fiji",$N32="Please Select"),AND($M32&gt;1981,$E32="Fiji",$N32="No"),AND($M32&gt;2133,$E32="Samoa",$N32="Please Select"),AND($M32&gt;2133,$E32="Samoa",$N32="No"))</formula>
    </cfRule>
  </conditionalFormatting>
  <conditionalFormatting sqref="L20">
    <cfRule type="expression" dxfId="1102" priority="140">
      <formula>AND(D20="Tier on Tier",L20&gt;1219)</formula>
    </cfRule>
  </conditionalFormatting>
  <conditionalFormatting sqref="L23">
    <cfRule type="expression" dxfId="1101" priority="139">
      <formula>AND(D23="Tier on Tier",L23&gt;1219)</formula>
    </cfRule>
    <cfRule type="expression" dxfId="1100" priority="601">
      <formula>IF($L$23="","",AND($L$23&gt;=1,$L$23&lt;152))</formula>
    </cfRule>
  </conditionalFormatting>
  <conditionalFormatting sqref="L26">
    <cfRule type="expression" dxfId="1099" priority="138">
      <formula>AND(D26="Tier on Tier",L26&gt;1219)</formula>
    </cfRule>
    <cfRule type="expression" dxfId="1098" priority="579">
      <formula>IF($L$26="","",AND($L$26&gt;=1,$L$26&lt;152))</formula>
    </cfRule>
  </conditionalFormatting>
  <conditionalFormatting sqref="L29">
    <cfRule type="expression" dxfId="1097" priority="137">
      <formula>AND(D29="Tier on Tier",L29&gt;1219)</formula>
    </cfRule>
    <cfRule type="expression" dxfId="1096" priority="573">
      <formula>IF($L$29="","",AND($L$29&gt;=1,$L$29&lt;152))</formula>
    </cfRule>
  </conditionalFormatting>
  <conditionalFormatting sqref="L32">
    <cfRule type="expression" dxfId="1095" priority="136">
      <formula>AND(D32="Tier on Tier",L32&gt;1219)</formula>
    </cfRule>
    <cfRule type="expression" dxfId="1094" priority="561">
      <formula>IF($L$32="","",AND($L$32&gt;=1,$L$32&lt;152))</formula>
    </cfRule>
  </conditionalFormatting>
  <conditionalFormatting sqref="L35">
    <cfRule type="expression" dxfId="1093" priority="135">
      <formula>AND(D35="Tier on Tier",L35&gt;1219)</formula>
    </cfRule>
    <cfRule type="expression" dxfId="1092" priority="540">
      <formula>IF($L$35="","",AND($L$35&gt;=1,$L$35&lt;152))</formula>
    </cfRule>
  </conditionalFormatting>
  <conditionalFormatting sqref="L38">
    <cfRule type="expression" dxfId="1091" priority="134">
      <formula>AND(D38="Tier on Tier",L38&gt;1219)</formula>
    </cfRule>
    <cfRule type="expression" dxfId="1090" priority="487">
      <formula>IF($L$38="","",AND($L$38&gt;=1,$L$38&lt;152))</formula>
    </cfRule>
  </conditionalFormatting>
  <conditionalFormatting sqref="L41">
    <cfRule type="expression" dxfId="1089" priority="133">
      <formula>AND(D41="Tier on Tier",L41&gt;1219)</formula>
    </cfRule>
    <cfRule type="expression" dxfId="1088" priority="533">
      <formula>IF($L$41="","",AND($L$41&gt;=1,$L$41&lt;152))</formula>
    </cfRule>
  </conditionalFormatting>
  <conditionalFormatting sqref="L44">
    <cfRule type="expression" dxfId="1087" priority="132">
      <formula>AND(D44="Tier on Tier",L44&gt;1219)</formula>
    </cfRule>
    <cfRule type="expression" dxfId="1086" priority="526">
      <formula>IF($L$44="","",AND($L$44&gt;=1,$L$44&lt;152))</formula>
    </cfRule>
  </conditionalFormatting>
  <conditionalFormatting sqref="L47">
    <cfRule type="expression" dxfId="1085" priority="131">
      <formula>AND(D47="Tier on Tier",L47&gt;1219)</formula>
    </cfRule>
    <cfRule type="expression" dxfId="1084" priority="512">
      <formula>IF($L$47="","",AND($L$47&gt;=1,$L$47&lt;152))</formula>
    </cfRule>
  </conditionalFormatting>
  <conditionalFormatting sqref="L50">
    <cfRule type="expression" dxfId="1083" priority="130">
      <formula>AND(D50="Tier on Tier",L50&gt;1219)</formula>
    </cfRule>
    <cfRule type="expression" dxfId="1082" priority="498">
      <formula>IF($L$50="","",AND($L$50&gt;=1,$L$50&lt;152))</formula>
    </cfRule>
  </conditionalFormatting>
  <conditionalFormatting sqref="D1:D7 D20:D1048576">
    <cfRule type="containsText" dxfId="1081" priority="129" operator="containsText" text="Tier">
      <formula>NOT(ISERROR(SEARCH("Tier",D1)))</formula>
    </cfRule>
  </conditionalFormatting>
  <conditionalFormatting sqref="J20:J52">
    <cfRule type="expression" dxfId="1080" priority="127">
      <formula>AND(E20="Hampton",J20&lt;&gt;"Clearview",J20&lt;&gt;"Central",J20&lt;&gt;"Offset")</formula>
    </cfRule>
    <cfRule type="expression" dxfId="1079" priority="128">
      <formula>AND(E20="Aruba",J20&lt;&gt;"Silent")</formula>
    </cfRule>
  </conditionalFormatting>
  <conditionalFormatting sqref="I20:I52">
    <cfRule type="expression" dxfId="1078" priority="126">
      <formula>AND(E20="Hampton",I20&lt;&gt;"L Frame",I20&lt;&gt;"Z Frame",I20&lt;&gt;"Deco Frame",I20&lt;&gt;"Tier on Tier +HTP")</formula>
    </cfRule>
    <cfRule type="expression" dxfId="1077" priority="370">
      <formula>AND($D20&lt;&gt;"S/Shade",$I20="FFrame")</formula>
    </cfRule>
    <cfRule type="expression" dxfId="1076" priority="371">
      <formula>AND($D20="S/Shade",$I20&lt;&gt;"FFrame")</formula>
    </cfRule>
    <cfRule type="expression" dxfId="1075" priority="373">
      <formula>OR(AND($D20="Tracked",I20&lt;&gt;"M Track"),AND($D20="Tracked",$I20&lt;&gt;"Track and Board"),AND($D20="Tracked",$I20&lt;&gt;"Top Track Only"))</formula>
    </cfRule>
    <cfRule type="expression" dxfId="1074" priority="374">
      <formula>OR(AND($D20&lt;&gt;"Tracked",I20="M Track"),AND($D20&lt;&gt;"Tracked",$I20="Track and Board"),AND($D20&lt;&gt;"Tracked",$I20="Top Track Only"))</formula>
    </cfRule>
  </conditionalFormatting>
  <conditionalFormatting sqref="L20:L52">
    <cfRule type="expression" dxfId="1073" priority="125">
      <formula>AND($E20="Hampton",$L20&lt;266)</formula>
    </cfRule>
  </conditionalFormatting>
  <conditionalFormatting sqref="R61 R68 T68">
    <cfRule type="expression" dxfId="1072" priority="1286">
      <formula>$R61="Finance Yes (36 months @ 19.9%)"</formula>
    </cfRule>
  </conditionalFormatting>
  <conditionalFormatting sqref="F21:G21">
    <cfRule type="expression" dxfId="1071" priority="119">
      <formula>$F$21="Note Shade Colour"</formula>
    </cfRule>
  </conditionalFormatting>
  <conditionalFormatting sqref="G10">
    <cfRule type="expression" dxfId="1070" priority="118">
      <formula>AND($E8 = "Java",$G10 &lt;&gt; "Stainless Steel")</formula>
    </cfRule>
  </conditionalFormatting>
  <conditionalFormatting sqref="C14:C16">
    <cfRule type="expression" dxfId="1069" priority="111">
      <formula>$AD$14="Quoted"</formula>
    </cfRule>
  </conditionalFormatting>
  <conditionalFormatting sqref="G19">
    <cfRule type="expression" dxfId="1068" priority="117">
      <formula>AND($E17 = "Java",$G19 &lt;&gt; "Stainless Steel")</formula>
    </cfRule>
  </conditionalFormatting>
  <conditionalFormatting sqref="C17:J17 C18:D19 F18:J19">
    <cfRule type="expression" dxfId="1067" priority="105">
      <formula>$AD$17="Quoted"</formula>
    </cfRule>
  </conditionalFormatting>
  <conditionalFormatting sqref="F9:G9">
    <cfRule type="expression" dxfId="1066" priority="114">
      <formula>$F$9&lt;&gt;""</formula>
    </cfRule>
  </conditionalFormatting>
  <conditionalFormatting sqref="F18:G18">
    <cfRule type="expression" dxfId="1065" priority="113">
      <formula>$F$18&gt;""</formula>
    </cfRule>
  </conditionalFormatting>
  <conditionalFormatting sqref="J8">
    <cfRule type="expression" dxfId="1064" priority="112">
      <formula>OR(AND(J8="Silent",M8&gt;1276,M8&lt;=1879,N8="Please Select"),AND(J8="Silent",M8&gt;1276,M8&lt;=1879,N8="No"))</formula>
    </cfRule>
  </conditionalFormatting>
  <conditionalFormatting sqref="I8:I19">
    <cfRule type="expression" dxfId="1063" priority="106">
      <formula>AND($D8&lt;&gt;"S/Shade",$I8="FFrame")</formula>
    </cfRule>
    <cfRule type="expression" dxfId="1062" priority="107">
      <formula>AND($D8="S/Shade",$I8&lt;&gt;"FFrame")</formula>
    </cfRule>
    <cfRule type="expression" dxfId="1061" priority="108">
      <formula>OR(AND($D8="Tracked",I8="M Track"),AND($D8="Tracked",$I8="Track and Board"),AND($D8="Tracked",$I8="Top Track Only"))</formula>
    </cfRule>
    <cfRule type="expression" dxfId="1060" priority="109">
      <formula>OR(AND($D8="Tracked",I8&lt;&gt;"M Track"),AND($D8="Tracked",$I8&lt;&gt;"Track and Board"),AND($D8="Tracked",$I8&lt;&gt;"Top Track Only"))</formula>
    </cfRule>
    <cfRule type="expression" dxfId="1059" priority="110">
      <formula>OR(AND($D8&lt;&gt;"Tracked",I8="M Track"),AND($D8&lt;&gt;"Tracked",$I8="Track and Board"),AND($D8&lt;&gt;"Tracked",$I8="Top Track Only"))</formula>
    </cfRule>
  </conditionalFormatting>
  <conditionalFormatting sqref="E8 E17 E11 E14">
    <cfRule type="expression" dxfId="1058" priority="115">
      <formula>AND($C8="Bathroom",$E8&lt;&gt;"Java")</formula>
    </cfRule>
    <cfRule type="expression" dxfId="1057" priority="116">
      <formula>IF(D8="","",AND(D8="Shape",E8&lt;&gt;"Fiji",D8="Shape",E8&lt;&gt;"Samoa"))</formula>
    </cfRule>
  </conditionalFormatting>
  <conditionalFormatting sqref="D17:D19">
    <cfRule type="expression" dxfId="1056" priority="97">
      <formula>OR($D$17="Tracked",$D$17="S/Shade", $D$17="Shape",$D$17="French Door Cutout")</formula>
    </cfRule>
    <cfRule type="expression" dxfId="1055" priority="98">
      <formula>$AD$17="Quoted"</formula>
    </cfRule>
  </conditionalFormatting>
  <conditionalFormatting sqref="D17:D19">
    <cfRule type="expression" dxfId="1054" priority="99">
      <formula>AND($C$17="Bathroom",$E$17&lt;&gt;"Java")</formula>
    </cfRule>
    <cfRule type="expression" dxfId="1053" priority="100">
      <formula>IF(C17="","",AND(C17="Shape",D17&lt;&gt;"Fiji",C17="Shape",D17&lt;&gt;"Samoa"))</formula>
    </cfRule>
  </conditionalFormatting>
  <conditionalFormatting sqref="C11:C13">
    <cfRule type="expression" dxfId="1052" priority="96">
      <formula>$AD$11="Quoted"</formula>
    </cfRule>
  </conditionalFormatting>
  <conditionalFormatting sqref="D8">
    <cfRule type="expression" dxfId="1051" priority="95">
      <formula>OR($D$8="Tracked",$D$8="S/Shade", $D$8="Shape",$D$8="French Door Cutout")</formula>
    </cfRule>
  </conditionalFormatting>
  <conditionalFormatting sqref="C8:J8 C9:D10 F9:J10">
    <cfRule type="expression" dxfId="1050" priority="94">
      <formula>$AD$8="Quoted"</formula>
    </cfRule>
  </conditionalFormatting>
  <conditionalFormatting sqref="D8:D52">
    <cfRule type="containsText" dxfId="1049" priority="93" operator="containsText" text="Tier">
      <formula>NOT(ISERROR(SEARCH("Tier",D8)))</formula>
    </cfRule>
  </conditionalFormatting>
  <conditionalFormatting sqref="H8">
    <cfRule type="expression" dxfId="1048" priority="103">
      <formula>AND($C$8="Bathroom",$E$8&lt;&gt;"Java")</formula>
    </cfRule>
    <cfRule type="expression" dxfId="1047" priority="104">
      <formula>IF(G8="","",AND(G8="Shape",H8&lt;&gt;"Fiji",G8="Shape",H8&lt;&gt;"Samoa"))</formula>
    </cfRule>
  </conditionalFormatting>
  <conditionalFormatting sqref="I8">
    <cfRule type="expression" dxfId="1046" priority="101">
      <formula>AND($C$8="Bathroom",$E$8&lt;&gt;"Java")</formula>
    </cfRule>
    <cfRule type="expression" dxfId="1045" priority="102">
      <formula>IF(H8="","",AND(H8="Shape",I8&lt;&gt;"Fiji",H8="Shape",I8&lt;&gt;"Samoa"))</formula>
    </cfRule>
  </conditionalFormatting>
  <conditionalFormatting sqref="J8:J19">
    <cfRule type="expression" dxfId="1044" priority="91">
      <formula>AND(E8="Hampton",J8&lt;&gt;"Clearview",J8&lt;&gt;"Central",J8&lt;&gt;"Offset")</formula>
    </cfRule>
    <cfRule type="expression" dxfId="1043" priority="92">
      <formula>AND(E8="Aruba",J8&lt;&gt;"Silent")</formula>
    </cfRule>
  </conditionalFormatting>
  <conditionalFormatting sqref="I8:I19">
    <cfRule type="expression" dxfId="1042" priority="90">
      <formula>AND(E8="Hampton",I8&lt;&gt;"L Frame",I8&lt;&gt;"Z Frame",I8&lt;&gt;"Deco Frame",I8&lt;&gt;"Tier on Tier +HTP")</formula>
    </cfRule>
  </conditionalFormatting>
  <conditionalFormatting sqref="G13">
    <cfRule type="expression" dxfId="1041" priority="89">
      <formula>AND($E11 = "Java",$G13 &lt;&gt; "Stainless Steel")</formula>
    </cfRule>
  </conditionalFormatting>
  <conditionalFormatting sqref="F12:G12">
    <cfRule type="expression" dxfId="1040" priority="88">
      <formula>$F$9&lt;&gt;""</formula>
    </cfRule>
  </conditionalFormatting>
  <conditionalFormatting sqref="J11">
    <cfRule type="expression" dxfId="1039" priority="87">
      <formula>OR(AND(J11="Silent",M11&gt;1276,M11&lt;=1879,N11="Please Select"),AND(J11="Silent",M11&gt;1276,M11&lt;=1879,N11="No"))</formula>
    </cfRule>
  </conditionalFormatting>
  <conditionalFormatting sqref="D11">
    <cfRule type="expression" dxfId="1038" priority="82">
      <formula>OR($D$11="Tracked",$D$11="S/Shade", $D$11="Shape",$D$11="French Door Cutout")</formula>
    </cfRule>
  </conditionalFormatting>
  <conditionalFormatting sqref="H11">
    <cfRule type="expression" dxfId="1037" priority="85">
      <formula>AND($C$8="Bathroom",$E$8&lt;&gt;"Java")</formula>
    </cfRule>
    <cfRule type="expression" dxfId="1036" priority="86">
      <formula>IF(G11="","",AND(G11="Shape",H11&lt;&gt;"Fiji",G11="Shape",H11&lt;&gt;"Samoa"))</formula>
    </cfRule>
  </conditionalFormatting>
  <conditionalFormatting sqref="I11">
    <cfRule type="expression" dxfId="1035" priority="83">
      <formula>AND($C$8="Bathroom",$E$8&lt;&gt;"Java")</formula>
    </cfRule>
    <cfRule type="expression" dxfId="1034" priority="84">
      <formula>IF(H11="","",AND(H11="Shape",I11&lt;&gt;"Fiji",H11="Shape",I11&lt;&gt;"Samoa"))</formula>
    </cfRule>
  </conditionalFormatting>
  <conditionalFormatting sqref="G16">
    <cfRule type="expression" dxfId="1033" priority="80">
      <formula>AND($E14 = "Java",$G16 &lt;&gt; "Stainless Steel")</formula>
    </cfRule>
  </conditionalFormatting>
  <conditionalFormatting sqref="F15:G15">
    <cfRule type="expression" dxfId="1032" priority="79">
      <formula>$F$9&lt;&gt;""</formula>
    </cfRule>
  </conditionalFormatting>
  <conditionalFormatting sqref="J14">
    <cfRule type="expression" dxfId="1031" priority="78">
      <formula>OR(AND(J14="Silent",M14&gt;1276,M14&lt;=1879,N14="Please Select"),AND(J14="Silent",M14&gt;1276,M14&lt;=1879,N14="No"))</formula>
    </cfRule>
  </conditionalFormatting>
  <conditionalFormatting sqref="D14">
    <cfRule type="expression" dxfId="1030" priority="73">
      <formula>OR($D$14="Tracked",$D$14="S/Shade", $D$14="Shape",$D$14="French Door Cutout")</formula>
    </cfRule>
  </conditionalFormatting>
  <conditionalFormatting sqref="H14">
    <cfRule type="expression" dxfId="1029" priority="76">
      <formula>AND($C$8="Bathroom",$E$8&lt;&gt;"Java")</formula>
    </cfRule>
    <cfRule type="expression" dxfId="1028" priority="77">
      <formula>IF(G14="","",AND(G14="Shape",H14&lt;&gt;"Fiji",G14="Shape",H14&lt;&gt;"Samoa"))</formula>
    </cfRule>
  </conditionalFormatting>
  <conditionalFormatting sqref="I14">
    <cfRule type="expression" dxfId="1027" priority="74">
      <formula>AND($C$8="Bathroom",$E$8&lt;&gt;"Java")</formula>
    </cfRule>
    <cfRule type="expression" dxfId="1026" priority="75">
      <formula>IF(H14="","",AND(H14="Shape",I14&lt;&gt;"Fiji",H14="Shape",I14&lt;&gt;"Samoa"))</formula>
    </cfRule>
  </conditionalFormatting>
  <conditionalFormatting sqref="L14:N16">
    <cfRule type="expression" dxfId="1025" priority="54">
      <formula>$AD$14="Quoted"</formula>
    </cfRule>
  </conditionalFormatting>
  <conditionalFormatting sqref="N8">
    <cfRule type="expression" dxfId="1024" priority="43">
      <formula>OR(AND(M8&gt;1372,N8="Please Select"),AND(M8&gt;1372,N8="No"))</formula>
    </cfRule>
    <cfRule type="expression" dxfId="1023" priority="70">
      <formula>OR(AND($M8&gt;1879,$E8="Antigua",$N8="Please Select"),(AND($M8&gt;1879,$E8="Antigua",$N8="No")),AND($M8&gt;1981,$E8="Bermuda",$N8="Please Select"),AND($M8&gt;1981,$E8="Bermuda",$N8="No"),AND($M8&gt;1981,$E8="Cuba",$N8="Please Select"),AND($M8&gt;1981,$E8="Cuba",$N8="No"),AND($M8&gt;1828.8,$E8="Java",$N8="Please Select"),AND($M8&gt;1828.8,$E8="Java",$N8="No"),AND($M8&gt;1981,$E8="Fiji",$N8="Please Select"),AND($M8&gt;1981,$E8="Fiji",$N8="No"),AND($M8&gt;2133,$E8="Samoa",$N8="Please Select"),AND($M8&gt;2133,$E8="Samoa",$N8="No"),AND(H8="76mm",M8&gt;1372))</formula>
    </cfRule>
  </conditionalFormatting>
  <conditionalFormatting sqref="M8:M10">
    <cfRule type="expression" dxfId="1022" priority="69">
      <formula>OR(AND($M8&gt;=1,$M8&lt;=249,E8&lt;&gt;"Samoa"),AND($M8&gt;=1,$M8&lt;=304.8,E8="Samoa"))</formula>
    </cfRule>
    <cfRule type="expression" dxfId="1021" priority="71">
      <formula>OR(AND($E8&lt;&gt;"Samoa",$M8&gt;3000),AND($E8="Samoa",$M8&gt;3657))</formula>
    </cfRule>
  </conditionalFormatting>
  <conditionalFormatting sqref="M11:M13">
    <cfRule type="expression" dxfId="1020" priority="66">
      <formula>OR(AND($M11&gt;=1,$M11&lt;=249,E11&lt;&gt;"Samoa"),AND($M11&gt;=1,$M11&lt;=304.8,E11="Samoa"))</formula>
    </cfRule>
    <cfRule type="expression" dxfId="1019" priority="67">
      <formula>OR(AND($E11&lt;&gt;"Samoa",$M11&gt;3000),AND($E11="Samoa",$M11&gt;3657))</formula>
    </cfRule>
  </conditionalFormatting>
  <conditionalFormatting sqref="M14:M16">
    <cfRule type="expression" dxfId="1018" priority="64">
      <formula>OR(AND($M14&gt;=1,$M14&lt;=249,E14&lt;&gt;"Samoa"),AND($M14&gt;=1,$M14&lt;=304.8,E14="Samoa"))</formula>
    </cfRule>
    <cfRule type="expression" dxfId="1017" priority="65">
      <formula>OR(AND($E14&lt;&gt;"Samoa",$M14&gt;3000),AND($E14="Samoa",$M14&gt;3657))</formula>
    </cfRule>
  </conditionalFormatting>
  <conditionalFormatting sqref="M17:M19">
    <cfRule type="expression" dxfId="1016" priority="62">
      <formula>OR(AND($M17&gt;=1,$M17&lt;=249,E17&lt;&gt;"Samoa"),AND($M17&gt;=1,$M17&lt;=304.8,E17="Samoa"))</formula>
    </cfRule>
    <cfRule type="expression" dxfId="1015" priority="63">
      <formula>OR(AND($E17&lt;&gt;"Samoa",$M17&gt;3000),AND($E17="Samoa",$M17&gt;3657))</formula>
    </cfRule>
  </conditionalFormatting>
  <conditionalFormatting sqref="L8">
    <cfRule type="expression" dxfId="1014" priority="39">
      <formula>AND(D8="Tier on Tier",L8&gt;1219)</formula>
    </cfRule>
    <cfRule type="expression" dxfId="1013" priority="61">
      <formula>IF($L$8="","",AND($L$8&gt;=1,$L$8&lt;152))</formula>
    </cfRule>
    <cfRule type="expression" dxfId="1012" priority="68">
      <formula>AND(E8="Samoa",L8&lt;152.4)</formula>
    </cfRule>
  </conditionalFormatting>
  <conditionalFormatting sqref="L14:L16">
    <cfRule type="expression" dxfId="1011" priority="56">
      <formula>IF($L$14="","",AND($L$14&gt;=1,$L$14&lt;152))</formula>
    </cfRule>
    <cfRule type="expression" dxfId="1010" priority="59">
      <formula>AND(E14="Samoa",L14&lt;152.4)</formula>
    </cfRule>
  </conditionalFormatting>
  <conditionalFormatting sqref="L17:L19">
    <cfRule type="expression" dxfId="1009" priority="55">
      <formula>IF($L$17="","",AND($L$17&gt;=1,$L$17&lt;152))</formula>
    </cfRule>
    <cfRule type="expression" dxfId="1008" priority="58">
      <formula>AND(E17="Samoa",L17&lt;152.4)</formula>
    </cfRule>
  </conditionalFormatting>
  <conditionalFormatting sqref="L17:N19">
    <cfRule type="expression" dxfId="1007" priority="53">
      <formula>$AD$17="Quoted"</formula>
    </cfRule>
  </conditionalFormatting>
  <conditionalFormatting sqref="L11">
    <cfRule type="expression" dxfId="1006" priority="38">
      <formula>AND(D11="Tier on Tier",L11&gt;1219)</formula>
    </cfRule>
    <cfRule type="expression" dxfId="1005" priority="57">
      <formula>IF($L$11="","",AND($L$11&gt;=1,$L$11&lt;152))</formula>
    </cfRule>
    <cfRule type="expression" dxfId="1004" priority="60">
      <formula>AND(E11="Samoa",L11&lt;152.4)</formula>
    </cfRule>
  </conditionalFormatting>
  <conditionalFormatting sqref="N11">
    <cfRule type="expression" dxfId="1003" priority="42">
      <formula>OR(AND(M11&gt;1372,N11="Please Select"),AND(M11&gt;1372,N11="No"))</formula>
    </cfRule>
    <cfRule type="expression" dxfId="1002" priority="47">
      <formula>OR(AND($M11&gt;1879,$E11="Antigua",$N11="Please Select"),(AND($M11&gt;1879,$E11="Antigua",$N11="No")),AND($M11&gt;1981,$E11="Bermuda",$N11="Please Select"),AND($M11&gt;1981,$E11="Bermuda",$N11="No"),AND($M11&gt;1981,$E11="Cuba",$N11="Please Select"),AND($M11&gt;1981,$E11="Cuba",$N11="No"),AND($M11&gt;1828.8,$E11="Java",$N11="Please Select"),AND($M11&gt;1828.8,$E11="Java",$N11="No"),AND($M11&gt;1981,$E11="Fiji",$N11="Please Select"),AND($M11&gt;1981,$E11="Fiji",$N11="No"),AND($M11&gt;2133,$E11="Samoa",$N11="Please Select"),AND($M11&gt;2133,$E11="Samoa",$N11="No"))</formula>
    </cfRule>
    <cfRule type="expression" dxfId="1001" priority="51">
      <formula>OR(AND($M11&gt;=1,$M11&lt;=249,F11&lt;&gt;"Samoa"),AND($M11&gt;=1,$M11&lt;=304.8,F11="Samoa"))</formula>
    </cfRule>
    <cfRule type="expression" dxfId="1000" priority="52">
      <formula>OR(AND($E11&lt;&gt;"Samoa",$M11&gt;3000),AND($E11="Samoa",$M11&gt;3657))</formula>
    </cfRule>
  </conditionalFormatting>
  <conditionalFormatting sqref="N17">
    <cfRule type="expression" dxfId="999" priority="40">
      <formula>OR(AND(M17&gt;1372,N17="Please Select"),AND(M17&gt;1372,N17="No"))</formula>
    </cfRule>
    <cfRule type="expression" dxfId="998" priority="45">
      <formula>OR(AND($M17&gt;1879,$E17="Antigua",$N17="Please Select"),(AND($M17&gt;1879,$E17="Antigua",$N17="No")),AND($M17&gt;1981,$E17="Bermuda",$N17="Please Select"),AND($M17&gt;1981,$E17="Bermuda",$N17="No"),AND($M17&gt;1981,$E17="Cuba",$N17="Please Select"),AND($M17&gt;1981,$E17="Cuba",$N17="No"),AND($M17&gt;1828.8,$E17="Java",$N17="Please Select"),AND($M17&gt;1828.8,$E17="Java",$N17="No"),AND($M17&gt;1981,$E17="Fiji",$N17="Please Select"),AND($M17&gt;1981,$E17="Fiji",$N17="No"),AND($M17&gt;2133,$E17="Samoa",$N17="Please Select"),AND($M17&gt;2133,$E17="Samoa",$N17="No"))</formula>
    </cfRule>
    <cfRule type="expression" dxfId="997" priority="49">
      <formula>OR(AND($M17&gt;=1,$M17&lt;=249,F17&lt;&gt;"Samoa"),AND($M17&gt;=1,$M17&lt;=304.8,F17="Samoa"))</formula>
    </cfRule>
    <cfRule type="expression" dxfId="996" priority="50">
      <formula>OR(AND($E17&lt;&gt;"Samoa",$M17&gt;3000),AND($E17="Samoa",$M17&gt;3657))</formula>
    </cfRule>
  </conditionalFormatting>
  <conditionalFormatting sqref="L11:N13">
    <cfRule type="expression" dxfId="995" priority="48">
      <formula>$AD$11="Quoted"</formula>
    </cfRule>
  </conditionalFormatting>
  <conditionalFormatting sqref="N14:N16">
    <cfRule type="expression" dxfId="994" priority="46">
      <formula>OR(AND($M14&gt;1879,$E14="Antigua",$N14="Please Select"),(AND($M14&gt;1879,$E14="Antigua",$N14="No")),AND($M14&gt;1981,$E14="Bermuda",$N14="Please Select"),AND($M14&gt;1981,$E14="Bermuda",$N14="No"),AND($M14&gt;1981,$E14="Cuba",$N14="Please Select"),AND($M14&gt;1981,$E14="Cuba",$N14="No"),AND($M14&gt;1828.8,$E14="Java",$N14="Please Select"),AND($M14&gt;1828.8,$E14="Java",$N14="No"),AND($M14&gt;1981,$E14="Fiji",$N14="Please Select"),AND($M14&gt;1981,$E14="Fiji",$N14="No"),AND($M14&gt;2133,$E14="Samoa",$N14="Please Select"),AND($M14&gt;2133,$E14="Samoa",$N14="No"))</formula>
    </cfRule>
  </conditionalFormatting>
  <conditionalFormatting sqref="L8:N10">
    <cfRule type="expression" dxfId="993" priority="44">
      <formula>$AD$8="Quoted"</formula>
    </cfRule>
  </conditionalFormatting>
  <conditionalFormatting sqref="N14">
    <cfRule type="expression" dxfId="992" priority="41">
      <formula>OR(AND(M14&gt;1372,N14="Please Select"),AND(M14&gt;1372,N14="No"))</formula>
    </cfRule>
  </conditionalFormatting>
  <conditionalFormatting sqref="L14">
    <cfRule type="expression" dxfId="991" priority="37">
      <formula>AND(D14="Tier on Tier",L14&gt;1219)</formula>
    </cfRule>
  </conditionalFormatting>
  <conditionalFormatting sqref="L17">
    <cfRule type="expression" dxfId="990" priority="36">
      <formula>AND(D17="Tier on Tier",L17&gt;1219)</formula>
    </cfRule>
  </conditionalFormatting>
  <conditionalFormatting sqref="L8:L19">
    <cfRule type="expression" dxfId="989" priority="35">
      <formula>AND($E8="Hampton",$L8&lt;266)</formula>
    </cfRule>
  </conditionalFormatting>
  <conditionalFormatting sqref="R9">
    <cfRule type="expression" dxfId="988" priority="34">
      <formula>AND(OR(R8="(C)",R8="(B)",R8="(CB)",R8="(T)",R8="(G)"),R9="")</formula>
    </cfRule>
  </conditionalFormatting>
  <conditionalFormatting sqref="Q9">
    <cfRule type="expression" dxfId="987" priority="33">
      <formula>AND(OR(Q8="(C)",Q8="(B)",Q8="(CB)",Q8="(T)",Q8="(G)"),Q9="")</formula>
    </cfRule>
  </conditionalFormatting>
  <conditionalFormatting sqref="S9">
    <cfRule type="expression" dxfId="986" priority="32">
      <formula>AND(OR(S8="(C)",S8="(B)",S8="(CB)",S8="(T)",S8="(G)"),S9="")</formula>
    </cfRule>
  </conditionalFormatting>
  <conditionalFormatting sqref="T9">
    <cfRule type="expression" dxfId="985" priority="31">
      <formula>AND(OR(T8="(C)",T8="(B)",T8="(CB)",T8="(T)",T8="(G)"),T9="")</formula>
    </cfRule>
  </conditionalFormatting>
  <conditionalFormatting sqref="U9">
    <cfRule type="expression" dxfId="984" priority="30">
      <formula>AND(OR(U8="(C)",U8="(B)",U8="(CB)",U8="(T)",U8="(G)"),U9="")</formula>
    </cfRule>
  </conditionalFormatting>
  <conditionalFormatting sqref="V9">
    <cfRule type="expression" dxfId="983" priority="29">
      <formula>AND(OR(V8="(C)",V8="(B)",V8="(CB)",V8="(T)",V8="(G)"),V9="")</formula>
    </cfRule>
  </conditionalFormatting>
  <conditionalFormatting sqref="W9">
    <cfRule type="expression" dxfId="982" priority="27">
      <formula>AND(OR(W8="(C)",W8="(B)",W8="(CB)",W8="(T)",W8="(G)"),W9="")</formula>
    </cfRule>
    <cfRule type="expression" priority="28">
      <formula>AND(OR(W8="(C)",W8="(B)",W8="(CB)",W8="(T)",W8="(G)"),W9="")</formula>
    </cfRule>
  </conditionalFormatting>
  <conditionalFormatting sqref="X9">
    <cfRule type="expression" dxfId="981" priority="26">
      <formula>AND(OR(X8="(C)",X8="(B)",X8="(CB)",X8="(T)",X8="(G)"),X9="")</formula>
    </cfRule>
  </conditionalFormatting>
  <conditionalFormatting sqref="Y9">
    <cfRule type="expression" dxfId="980" priority="25">
      <formula>AND(OR(Y8="(C)",Y8="(B)",Y8="(CB)",Y8="(T)",Y8="(G)"),Y9="")</formula>
    </cfRule>
  </conditionalFormatting>
  <conditionalFormatting sqref="Q8:Y9">
    <cfRule type="expression" dxfId="979" priority="24">
      <formula>$AD$8="Quoted"</formula>
    </cfRule>
  </conditionalFormatting>
  <conditionalFormatting sqref="Q11:S11">
    <cfRule type="expression" dxfId="978" priority="23">
      <formula>$AD$11="Quoted"</formula>
    </cfRule>
  </conditionalFormatting>
  <conditionalFormatting sqref="Q15:Y15 Q14:R14">
    <cfRule type="expression" dxfId="977" priority="12">
      <formula>$AD$14="Quoted"</formula>
    </cfRule>
  </conditionalFormatting>
  <conditionalFormatting sqref="R15">
    <cfRule type="expression" dxfId="976" priority="22">
      <formula>AND(OR(R14="(C)",R14="(B)",R14="(CB)",R14="(T)",R14="(G)"),R15="")</formula>
    </cfRule>
  </conditionalFormatting>
  <conditionalFormatting sqref="Q15">
    <cfRule type="expression" dxfId="975" priority="21">
      <formula>AND(OR(Q14="(C)",Q14="(B)",Q14="(CB)",Q14="(T)",Q14="(G)"),Q15="")</formula>
    </cfRule>
  </conditionalFormatting>
  <conditionalFormatting sqref="S15">
    <cfRule type="expression" dxfId="974" priority="20">
      <formula>AND(OR(S14="(C)",S14="(B)",S14="(CB)",S14="(T)",S14="(G)"),S15="")</formula>
    </cfRule>
  </conditionalFormatting>
  <conditionalFormatting sqref="T15">
    <cfRule type="expression" dxfId="973" priority="19">
      <formula>AND(OR(T14="(C)",T14="(B)",T14="(CB)",T14="(T)",T14="(G)"),T15="")</formula>
    </cfRule>
  </conditionalFormatting>
  <conditionalFormatting sqref="U15">
    <cfRule type="expression" dxfId="972" priority="18">
      <formula>AND(OR(U14="(C)",U14="(B)",U14="(CB)",U14="(T)",U14="(G)"),U15="")</formula>
    </cfRule>
  </conditionalFormatting>
  <conditionalFormatting sqref="V15">
    <cfRule type="expression" dxfId="971" priority="17">
      <formula>AND(OR(V14="(C)",V14="(B)",V14="(CB)",V14="(T)",V14="(G)"),V15="")</formula>
    </cfRule>
  </conditionalFormatting>
  <conditionalFormatting sqref="W15">
    <cfRule type="expression" dxfId="970" priority="15">
      <formula>AND(OR(W14="(C)",W14="(B)",W14="(CB)",W14="(T)",W14="(G)"),W15="")</formula>
    </cfRule>
    <cfRule type="expression" dxfId="969" priority="16">
      <formula>AND(OR(W14="(C)",W14="(B)",W14="(CB)",W14="(T)",W14="(G)"),W15="")</formula>
    </cfRule>
  </conditionalFormatting>
  <conditionalFormatting sqref="X15">
    <cfRule type="expression" dxfId="968" priority="14">
      <formula>AND(OR(X14="(C)",X14="(B)",X14="(CB)",X14="(T)",X14="(G)"),X15="")</formula>
    </cfRule>
  </conditionalFormatting>
  <conditionalFormatting sqref="Y15">
    <cfRule type="expression" dxfId="967" priority="13">
      <formula>AND(OR(Y14="(C)",Y14="(B)",Y14="(CB)",Y14="(T)",Y14="(G)"),Y15="")</formula>
    </cfRule>
  </conditionalFormatting>
  <conditionalFormatting sqref="R18">
    <cfRule type="expression" dxfId="966" priority="10">
      <formula>AND(OR(R17="(C)",R17="(B)",R17="(CB)",R17="(T)",R17="(G)"),R18="")</formula>
    </cfRule>
  </conditionalFormatting>
  <conditionalFormatting sqref="Q18">
    <cfRule type="expression" dxfId="965" priority="9">
      <formula>AND(OR(Q17="(C)",Q17="(B)",Q17="(CB)",Q17="(T)",Q17="(G)"),Q18="")</formula>
    </cfRule>
  </conditionalFormatting>
  <conditionalFormatting sqref="S18">
    <cfRule type="expression" dxfId="964" priority="8">
      <formula>AND(OR(S17="(C)",S17="(B)",S17="(CB)",S17="(T)",S17="(G)"),S18="")</formula>
    </cfRule>
  </conditionalFormatting>
  <conditionalFormatting sqref="T18">
    <cfRule type="expression" dxfId="963" priority="7">
      <formula>AND(OR(T17="(C)",T17="(B)",T17="(CB)",T17="(T)",T17="(G)"),T18="")</formula>
    </cfRule>
  </conditionalFormatting>
  <conditionalFormatting sqref="U18">
    <cfRule type="expression" dxfId="962" priority="6">
      <formula>AND(OR(U17="(C)",U17="(B)",U17="(CB)",U17="(T)",U17="(G)"),U18="")</formula>
    </cfRule>
  </conditionalFormatting>
  <conditionalFormatting sqref="V18">
    <cfRule type="expression" dxfId="961" priority="5">
      <formula>AND(OR(V17="(C)",V17="(B)",V17="(CB)",V17="(T)",V17="(G)"),V18="")</formula>
    </cfRule>
  </conditionalFormatting>
  <conditionalFormatting sqref="Q17:V18">
    <cfRule type="expression" dxfId="960" priority="4">
      <formula>$AD$17="Quoted"</formula>
    </cfRule>
  </conditionalFormatting>
  <conditionalFormatting sqref="L8:L52">
    <cfRule type="expression" dxfId="959" priority="3">
      <formula>AND($E8="",$L8&lt;&gt;"")</formula>
    </cfRule>
  </conditionalFormatting>
  <conditionalFormatting sqref="M8:M52">
    <cfRule type="expression" dxfId="958" priority="2">
      <formula>AND($E8="",$M8&lt;&gt;"")</formula>
    </cfRule>
  </conditionalFormatting>
  <conditionalFormatting sqref="G10 G13 G16 G19 G22 G25 G28 G31 G34 G37 G40 G43 G46 G49 G52">
    <cfRule type="expression" dxfId="957" priority="1">
      <formula>AND($F8&lt;&gt;"",$G10="")</formula>
    </cfRule>
  </conditionalFormatting>
  <dataValidations count="57">
    <dataValidation type="list" allowBlank="1" showInputMessage="1" showErrorMessage="1" sqref="G61:J61" xr:uid="{7CCFE90C-4A58-460C-898E-9AC520F85C5A}">
      <formula1>"Please select,Yes,No"</formula1>
    </dataValidation>
    <dataValidation type="list" allowBlank="1" showInputMessage="1" sqref="R61:V61" xr:uid="{B70E28DA-D176-4077-8700-2838B382F98C}">
      <formula1>"Finance Please Select,Finance Yes (12 months @ 0%),Finance Yes (24 months @ 19.9%),Finance Yes (36 months @ 19.9%"</formula1>
    </dataValidation>
    <dataValidation type="list" allowBlank="1" showInputMessage="1" showErrorMessage="1" sqref="N20:N23 N26:N52 N8:N11 N14:N17" xr:uid="{F5696151-2C04-41C4-B6ED-3E4146E0B454}">
      <formula1>"Please Select,Yes,Partial,Split,No"</formula1>
    </dataValidation>
    <dataValidation type="list" allowBlank="1" showInputMessage="1" showErrorMessage="1" sqref="AB10 AB13 AB16 AB19 AB22 AB25 AB28 AB31 AB34 AB37 AB40 AB43 AB46 AB49 AB52" xr:uid="{26D3DB43-1BEF-4C05-8812-7A861691D826}">
      <formula1>"NO,YES"</formula1>
    </dataValidation>
    <dataValidation type="list" allowBlank="1" showInputMessage="1" showErrorMessage="1" sqref="H8:H52" xr:uid="{2DDE10B3-82AD-45A0-86FA-B4F9C9FB4E49}">
      <formula1>INDIRECT(E8 &amp; "L")</formula1>
    </dataValidation>
    <dataValidation type="list" allowBlank="1" showInputMessage="1" showErrorMessage="1" sqref="G63" xr:uid="{C019D1D0-490C-4ED7-ACB6-022193062E29}">
      <formula1>"Please Select,Yes,No,N/A"</formula1>
    </dataValidation>
    <dataValidation type="list" allowBlank="1" sqref="C52 C49 C40 C43 C46 C28 C22 C25 C31 C34 C37 C10 C13 C16 C19" xr:uid="{C0B4EB5C-ADEF-4513-B4AB-8E8E53E355A0}">
      <formula1>"Left,Centre,Right"</formula1>
    </dataValidation>
    <dataValidation type="list" allowBlank="1" showInputMessage="1" showErrorMessage="1" sqref="AD29 AD11 AD26 AD14 AD17 AD20 AD23 AD8 AD32 AD35 AD38 AD41 AD44 AD47 AD50" xr:uid="{73C05CE2-BEE6-4A03-A07C-8C003DE3B630}">
      <formula1>"Price, Quoted"</formula1>
    </dataValidation>
    <dataValidation type="list" allowBlank="1" showInputMessage="1" sqref="C50 C47 C32 C44 C41 C38 C35 C29 C26 C20 C23 C8 C11 C14 C17" xr:uid="{657B9B7E-8914-4006-A2A1-40DBDF2A313D}">
      <formula1>rooms</formula1>
    </dataValidation>
    <dataValidation type="list" allowBlank="1" showInputMessage="1" sqref="C51 C48 C33 C45 C42 C39 C36 C30 C27 C21 C24 C9 C12 C15 C18" xr:uid="{389A0DCA-D60A-4087-8B3A-84BE24269838}">
      <formula1>RoomLoc</formula1>
    </dataValidation>
    <dataValidation type="list" allowBlank="1" showInputMessage="1" showErrorMessage="1" sqref="D8:D52" xr:uid="{5B943941-0F96-4673-98B0-011C8598CA26}">
      <formula1>Shuttype</formula1>
    </dataValidation>
    <dataValidation type="list" allowBlank="1" showInputMessage="1" showErrorMessage="1" sqref="F38:G38 F47:G47 F41:G41 F44:G44 F50:G50 F20:G20 F23:G23 F26:G26 F29:G29 F32:G32 F35:G35 F8:G8 F11:G11 F17:G17 F14:G14" xr:uid="{1531FB94-9A0E-4F22-A062-FF754E6A4ECC}">
      <formula1>INDIRECT(E8)</formula1>
    </dataValidation>
    <dataValidation type="list" allowBlank="1" showInputMessage="1" showErrorMessage="1" sqref="J17:J52" xr:uid="{5498ACB2-5FDB-43E0-9B71-FDDC25D325C7}">
      <formula1>IF($E17="Hampton",HamptonT,IF($E17="Aruba",ArubaTilt,TiltRod))</formula1>
    </dataValidation>
    <dataValidation type="list" allowBlank="1" showInputMessage="1" showErrorMessage="1" sqref="G40 G49 G25 G43 G46 G52 G22 G28 G31 G34 G37 G10 G13 G19 G16" xr:uid="{726E64BC-7F71-4D89-B025-C15FE310415D}">
      <formula1>INDIRECT(E8 &amp; "H")</formula1>
    </dataValidation>
    <dataValidation type="list" allowBlank="1" showInputMessage="1" showErrorMessage="1" sqref="Q14:AA14 Q41:AA41 Q8:AA8 Q44:AA44 Q47:AA47 Q50:AA50 Q11:AA11 Q20:AA20 Q26:AA26 Q23:AA23 Q29:AA29 Q32:AA32 Q35:AA35 Q38:AA38 Q17:AA17" xr:uid="{8E62922A-1694-4D48-B895-732AB2597240}">
      <formula1>Config1</formula1>
    </dataValidation>
    <dataValidation type="list" allowBlank="1" showInputMessage="1" showErrorMessage="1" sqref="AA9 AA21 AA18 AA45 AA48 AA12 AA15 AA24 AA27 AA30 AA33 AA36 AA39 AA42 AA51" xr:uid="{DA00039F-4C2D-4FDD-BE93-83642387C46A}">
      <formula1>"LOR, ROL"</formula1>
    </dataValidation>
    <dataValidation type="list" allowBlank="1" showInputMessage="1" showErrorMessage="1" sqref="I50:I52" xr:uid="{CC8A433F-A593-4117-ABE1-F76CF141B288}">
      <formula1>IF($D$50="Tracked",TFrame,IF($D$50="S/Shade",SSFrame,IF($E50="Hampton",Hamptonf,Frame)))</formula1>
    </dataValidation>
    <dataValidation type="list" allowBlank="1" showInputMessage="1" showErrorMessage="1" sqref="E8 E11 E14" xr:uid="{571BE5A0-E22D-43CE-9582-D1777986F2DB}">
      <formula1>IF(OR($D$8="Shape",$D$8="French Door Cutout"),Shapes,MMaterial)</formula1>
    </dataValidation>
    <dataValidation type="list" allowBlank="1" showInputMessage="1" showErrorMessage="1" sqref="I8:I10" xr:uid="{9D7FF765-F5B8-4428-A976-003698E4C709}">
      <formula1>IF($D$8="Tracked",TFrame,IF($D$8="S/Shade",SSFrame,IF($E8="Hampton",Hamptonf,Frame)))</formula1>
    </dataValidation>
    <dataValidation type="list" allowBlank="1" showInputMessage="1" showErrorMessage="1" sqref="I35:I37" xr:uid="{98062B70-DDCD-45D6-981A-CE55A73FFA0B}">
      <formula1>IF($D$35="Tracked",TFrame,IF($D$35="S/Shade",SSFrame,IF($E35="Hampton",Hamptonf,Frame)))</formula1>
    </dataValidation>
    <dataValidation type="list" allowBlank="1" showInputMessage="1" showErrorMessage="1" sqref="I38:I40" xr:uid="{629847EF-21B2-415A-82AB-B0E75787D145}">
      <formula1>IF($D$38="Tracked",TFrame,IF($D$38="S/Shade",SSFrame,IF($E38="Hampton",Hamptonf,Frame)))</formula1>
    </dataValidation>
    <dataValidation type="list" allowBlank="1" showInputMessage="1" showErrorMessage="1" sqref="I41:I43" xr:uid="{C6B02707-6558-49FA-AD13-A8BE563DA043}">
      <formula1>IF($D$41="Tracked",TFrame,IF($D$41="S/Shade",SSFrame,IF($E41="Hampton",Hamptonf,Frame)))</formula1>
    </dataValidation>
    <dataValidation type="list" allowBlank="1" showInputMessage="1" showErrorMessage="1" sqref="I44:I46" xr:uid="{3B951A23-7CB8-4564-844E-57FDF3EAACC0}">
      <formula1>IF($D$44="Tracked",TFrame,IF($D$44="S/Shade",SSFrame,IF($E44="Hampton",Hamptonf,Frame)))</formula1>
    </dataValidation>
    <dataValidation type="list" allowBlank="1" showInputMessage="1" showErrorMessage="1" sqref="I47:I49" xr:uid="{107B4D85-6614-431C-B264-09CB67B3A8F3}">
      <formula1>IF($D$47="Tracked",TFrame,IF($D$47="S/Shade",SSFrame,IF($E47="Hampton",Hamptonf,Frame)))</formula1>
    </dataValidation>
    <dataValidation type="list" allowBlank="1" showInputMessage="1" showErrorMessage="1" sqref="E35:E37" xr:uid="{56964DCC-EC55-4BDC-B148-C2EBA06426CE}">
      <formula1>IF(OR($D$35="Shape",$D$35="French Door Cutout"),Shapes,MMaterial)</formula1>
    </dataValidation>
    <dataValidation type="list" allowBlank="1" showInputMessage="1" showErrorMessage="1" sqref="E38:E40" xr:uid="{61EFAFD8-8927-4C12-BD14-D689930DFA28}">
      <formula1>IF(OR($D$38="Shape",$D$38="French Door Cutout"),Shapes,MMaterial)</formula1>
    </dataValidation>
    <dataValidation type="list" allowBlank="1" showInputMessage="1" showErrorMessage="1" sqref="E41:E43" xr:uid="{CCE56C8D-23DA-40F2-A51C-4BF80510F20F}">
      <formula1>IF(OR($D$41="Shape",$D$41="French Door Cutout"),Shapes,MMaterial)</formula1>
    </dataValidation>
    <dataValidation type="list" allowBlank="1" showInputMessage="1" showErrorMessage="1" sqref="E44:E46" xr:uid="{2C528719-439C-4056-883E-822D443357DA}">
      <formula1>IF(OR($D$44="Shape",$D$44="French Door Cutout"),Shapes,MMaterial)</formula1>
    </dataValidation>
    <dataValidation type="list" allowBlank="1" showInputMessage="1" showErrorMessage="1" sqref="E47:E49" xr:uid="{5FB45665-9DC7-464D-B1E0-36406F379363}">
      <formula1>IF(OR($D$47="Shape",$D$47="French Door Cutout"),Shapes,MMaterial)</formula1>
    </dataValidation>
    <dataValidation type="list" allowBlank="1" showInputMessage="1" showErrorMessage="1" sqref="E50:E52" xr:uid="{648AFDE7-8379-4E52-A8A7-6753D4CFFD26}">
      <formula1>IF(OR($D$50="Shape",$D$50="French Door Cutout"),Shapes,MMaterial)</formula1>
    </dataValidation>
    <dataValidation type="list" allowBlank="1" showInputMessage="1" showErrorMessage="1" sqref="E62:F63" xr:uid="{EFCCBCB8-ADA8-44E7-ADD0-0D9D24089973}">
      <formula1>SalesTeam</formula1>
    </dataValidation>
    <dataValidation type="list" allowBlank="1" showInputMessage="1" showErrorMessage="1" sqref="W74" xr:uid="{8078021B-DA2A-41F8-A046-2FC154D52608}">
      <formula1>"Please Select:,Yes, No"</formula1>
    </dataValidation>
    <dataValidation type="list" allowBlank="1" showInputMessage="1" showErrorMessage="1" sqref="AC12 AC15 AC18 AC21 AC24 AC27 AC30 AC33 AC36 AC39 AC42 AC45 AC48 AC51 AC9" xr:uid="{AFA4B386-1FD6-4DAE-9803-C520F43BFE07}">
      <formula1>"SQM, 3 for 2"</formula1>
    </dataValidation>
    <dataValidation type="list" allowBlank="1" showInputMessage="1" showErrorMessage="1" sqref="AD71:AD72" xr:uid="{BC1B2F22-904A-4889-ADA6-D7FE2F89B42D}">
      <formula1>"Select Method,Card,BACS,Cash"</formula1>
    </dataValidation>
    <dataValidation type="list" allowBlank="1" showInputMessage="1" sqref="AD74" xr:uid="{00692895-6384-480C-83C4-31D16D30FE38}">
      <formula1>"Survey Date:,TBC,ASAP,Building Works"</formula1>
    </dataValidation>
    <dataValidation type="list" showInputMessage="1" showErrorMessage="1" sqref="AC53" xr:uid="{E66F450C-B2E4-4D5F-9343-87E6BAB465F9}">
      <formula1>"3-4-2 SQM, ="""""</formula1>
    </dataValidation>
    <dataValidation type="list" allowBlank="1" showInputMessage="1" showErrorMessage="1" sqref="W63:AC63" xr:uid="{D9710C16-1C22-4222-8D3A-010398101636}">
      <formula1>"Survey &amp; Installation, Survey &amp; Installation 25%"</formula1>
    </dataValidation>
    <dataValidation type="list" allowBlank="1" showInputMessage="1" sqref="M75:N75" xr:uid="{5F0BD275-1019-44A4-AD84-B4ECDE99FC46}">
      <formula1>"Other:,Price Match,Friends &amp; Family,Managers Discretion"</formula1>
    </dataValidation>
    <dataValidation type="list" allowBlank="1" showInputMessage="1" showErrorMessage="1" sqref="E17" xr:uid="{786C2260-1C60-48D3-84AB-ABAEDB74CA53}">
      <formula1>IF(OR($D$17="Shape",$D$17="French Door Cutout"),Shapes,MMaterial)</formula1>
    </dataValidation>
    <dataValidation type="list" allowBlank="1" showInputMessage="1" showErrorMessage="1" sqref="E20" xr:uid="{ABD57F79-DA37-4B08-AA0F-49FF70788CEF}">
      <formula1>IF(OR($D$20="Shape",$D$20="French Door Cutout"),Shapes,MMaterial)</formula1>
    </dataValidation>
    <dataValidation type="list" allowBlank="1" showInputMessage="1" showErrorMessage="1" sqref="E23" xr:uid="{9204EBD9-02BC-4504-A77F-6AD165F9D3D4}">
      <formula1>IF(OR($D$23="Shape",$D$23="French Door Cutout"),Shapes,MMaterial)</formula1>
    </dataValidation>
    <dataValidation type="list" allowBlank="1" showInputMessage="1" showErrorMessage="1" sqref="E26:E28" xr:uid="{7405AA05-184D-4BFA-B143-7AF066018A0D}">
      <formula1>IF(OR($D$26="Shape",$D$26="French Door Cutout"),Shapes,MMaterial)</formula1>
    </dataValidation>
    <dataValidation type="list" allowBlank="1" showInputMessage="1" showErrorMessage="1" sqref="E29:E31" xr:uid="{2F3D0B25-4778-4383-93F8-FD761525F459}">
      <formula1>IF(OR($D$29="Shape",$D$29="French Door Cutout"),Shapes,MMaterial)</formula1>
    </dataValidation>
    <dataValidation type="list" allowBlank="1" showInputMessage="1" showErrorMessage="1" sqref="E32:E34" xr:uid="{D636BF57-A979-47AB-8017-1F09DA7D3261}">
      <formula1>IF(OR($D$32="Shape",$D$32="French Door Cutout"),Shapes,MMaterial)</formula1>
    </dataValidation>
    <dataValidation type="list" allowBlank="1" showInputMessage="1" showErrorMessage="1" sqref="I17:I19" xr:uid="{80FDC276-2AF3-41D1-B74E-83334148BA29}">
      <formula1>IF($D$17="Tracked",TFrame,IF($D$17="S/Shade",SSFrame,IF($E17="Hampton",Hamptonf,Frame)))</formula1>
    </dataValidation>
    <dataValidation type="list" allowBlank="1" showInputMessage="1" showErrorMessage="1" sqref="I20:I22" xr:uid="{FB235F7E-AABE-41BC-9131-54E92E48B6C3}">
      <formula1>IF($D$20="Tracked",TFrame,IF($D$20="S/Shade",SSFrame,IF($E20="Hampton",Hamptonf,Frame)))</formula1>
    </dataValidation>
    <dataValidation type="list" allowBlank="1" showInputMessage="1" showErrorMessage="1" sqref="I23:I25" xr:uid="{D48D362B-5E1B-4F10-A52F-334B4A3F767A}">
      <formula1>IF($D$23="Tracked",TFrame,IF($D$23="S/Shade",SSFrame,IF($E23="Hampton",Hamptonf,Frame)))</formula1>
    </dataValidation>
    <dataValidation type="list" allowBlank="1" showInputMessage="1" showErrorMessage="1" sqref="I26:I28" xr:uid="{DD200680-407D-4DD9-B7B4-021EE0B3B238}">
      <formula1>IF($D$26="Tracked",TFrame,IF($D$26="S/Shade",SSFrame,IF($E26="Hampton",Hamptonf,Frame)))</formula1>
    </dataValidation>
    <dataValidation type="list" allowBlank="1" showInputMessage="1" showErrorMessage="1" sqref="I29:I31" xr:uid="{7A306391-9172-44A5-9DF3-8878D41E2796}">
      <formula1>IF($D$29="Tracked",TFrame,IF($D$29="S/Shade",SSFrame,IF($E29="Hampton",Hamptonf,Frame)))</formula1>
    </dataValidation>
    <dataValidation type="list" allowBlank="1" showInputMessage="1" showErrorMessage="1" sqref="I32:I34" xr:uid="{4707067B-6696-463C-8061-3633540BD972}">
      <formula1>IF($D$32="Tracked",TFrame,IF($D$32="S/Shade",SSFrame,IF($E32="Hampton",Hamptonf,Frame)))</formula1>
    </dataValidation>
    <dataValidation type="list" allowBlank="1" showInputMessage="1" showErrorMessage="1" sqref="W61:AC61" xr:uid="{35C99E70-2226-4D5F-A8B1-76E42EF0AE06}">
      <formula1>"Upgrade &amp; Extras, Upgrade &amp; Extras (10%)"</formula1>
    </dataValidation>
    <dataValidation type="list" allowBlank="1" showInputMessage="1" showErrorMessage="1" sqref="M74:N74" xr:uid="{755EBE4E-49E2-4FD9-9848-5BEF96CCCFA1}">
      <formula1>IF(++$R$61="Finance Please Select",Discounts,DiscountsFin)</formula1>
    </dataValidation>
    <dataValidation allowBlank="1" showInputMessage="1" showErrorMessage="1" prompt="Maximum height without a mid rail is 1879mm_x000a__x000a_Maximum height for Silent Tilt is 1372" sqref="M17:M52" xr:uid="{350AB78D-6630-45F1-9207-5B33F8F71E3E}"/>
    <dataValidation allowBlank="1" showInputMessage="1" showErrorMessage="1" prompt="Maximum height without a mid rail is 1879mm_x000a__x000a_Maximum height for Silent Tilt is 1372mm" sqref="M8:M16" xr:uid="{BF8B0D8E-02BC-4610-81C5-0AF63B55144F}"/>
    <dataValidation type="list" allowBlank="1" showInputMessage="1" showErrorMessage="1" sqref="W68:AE68" xr:uid="{B8285A44-9961-45C5-AE55-2708B7943E32}">
      <formula1>MMaterial</formula1>
    </dataValidation>
    <dataValidation type="list" allowBlank="1" showInputMessage="1" showErrorMessage="1" sqref="I11:I13" xr:uid="{E730209A-06C1-4E18-B237-11528632832F}">
      <formula1>IF($D$11="Tracked",TFrame,IF($D$11="S/Shade",SSFrame,IF($E11="Hampton",Hamptonf,Frame)))</formula1>
    </dataValidation>
    <dataValidation type="list" allowBlank="1" showInputMessage="1" showErrorMessage="1" sqref="I14:I16" xr:uid="{0A62F282-BF36-4D0F-BE9B-B9EF42F3E517}">
      <formula1>IF($D$14="Tracked",TFrame,IF($D$14="S/Shade",SSFrame,IF($E14="Hampton",Hamptonf,Frame)))</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160" id="{79B68619-63E8-4D5E-9D38-CEA5228A16AD}">
            <xm:f>AND(FIND("LRR",Matrix2!AD22),AA9="ROL")</xm:f>
            <x14:dxf>
              <fill>
                <patternFill>
                  <bgColor rgb="FFFF0000"/>
                </patternFill>
              </fill>
            </x14:dxf>
          </x14:cfRule>
          <xm:sqref>AA9</xm:sqref>
        </x14:conditionalFormatting>
        <x14:conditionalFormatting xmlns:xm="http://schemas.microsoft.com/office/excel/2006/main">
          <x14:cfRule type="expression" priority="174" id="{775B6DE3-10C0-4B80-BD03-58A868C4EECB}">
            <xm:f>AND(E20="Antigua",LEFT(H20,2)&gt;=76,L20/Matrix2!AH61&gt;750)</xm:f>
            <x14:dxf>
              <fill>
                <patternFill>
                  <bgColor rgb="FFFF0000"/>
                </patternFill>
              </fill>
            </x14:dxf>
          </x14:cfRule>
          <xm:sqref>L20:L22</xm:sqref>
        </x14:conditionalFormatting>
        <x14:conditionalFormatting xmlns:xm="http://schemas.microsoft.com/office/excel/2006/main">
          <x14:cfRule type="expression" priority="168" id="{016D735A-E7AF-4975-A83A-FFECEA727401}">
            <xm:f>AND(E38="Antigua",LEFT(H38,2)&gt;=76,L38/Matrix2!AN61&gt;750)</xm:f>
            <x14:dxf>
              <fill>
                <patternFill>
                  <bgColor rgb="FFFF0000"/>
                </patternFill>
              </fill>
            </x14:dxf>
          </x14:cfRule>
          <xm:sqref>L38:L40</xm:sqref>
        </x14:conditionalFormatting>
        <x14:conditionalFormatting xmlns:xm="http://schemas.microsoft.com/office/excel/2006/main">
          <x14:cfRule type="expression" priority="795" id="{52634E5F-D356-4F41-843B-8D0D154EF8C1}">
            <xm:f>OR(AND(H11="Antigua",ISNUMBER(SEARCH("LLL",Matrix2!AG23))),AND(H11="Antigua",ISNUMBER(SEARCH("RRR",Matrix2!AG23))),AND(H11="Bermuda",ISNUMBER(SEARCH("LLL",Matrix2!AG23))),AND(H11="Bermuda",ISNUMBER(SEARCH("RRR",Matrix2!AG23))),AND(H11="Cuba",ISNUMBER(SEARCH("LLL",Matrix2!AG23)),G8&lt;&gt;"Tracked"),AND(H11="Cuba",ISNUMBER(SEARCH("RRR",Matrix2!AG23)),G8&lt;&gt;"Tracked"),AND(H11="Java",ISNUMBER(SEARCH("LLL",Matrix2!AG23))),AND(H11="Java",ISNUMBER(SEARCH("RRR",Matrix2!AG23))),AND(H11="Fiji",ISNUMBER(SEARCH("LLL",Matrix2!AG23)),G8&lt;&gt;"Tracked"),AND(H11="Fiji",ISNUMBER(SEARCH("RRR",Matrix2!AG23)),G8&lt;&gt;"Tracked"),AND(H11="Fiji",ISNUMBER(SEARCH("LLLL",Matrix2!AG23)),G8="Tracked",L8&lt;&gt;"Top Track Only"),AND(H11="Fiji",ISNUMBER(SEARCH("RRRR",Matrix2!AG23)),G8="Tracked",L8&lt;&gt;"Top Track Only"),AND(H11="Samoa",ISNUMBER(SEARCH("LLL",Matrix2!AG23)),G8&lt;&gt;"Tracked"),AND(H11="Samoa",ISNUMBER(SEARCH("RRR",Matrix2!AG23)),G8&lt;&gt;"Tracked"),AND(H11="Samoa",ISNUMBER(SEARCH("LLLL",Matrix2!AG23)),G8="Tracked",L8&lt;&gt;"Top Track Only"),AND(H11="Samoa",ISNUMBER(SEARCH("RRRR",Matrix2!AG23)),G8="Tracked",L8&lt;&gt;"Top Track Only"))</xm:f>
            <x14:dxf>
              <fill>
                <patternFill>
                  <bgColor rgb="FFFF0000"/>
                </patternFill>
              </fill>
            </x14:dxf>
          </x14:cfRule>
          <xm:sqref>T11:AA11</xm:sqref>
        </x14:conditionalFormatting>
        <x14:conditionalFormatting xmlns:xm="http://schemas.microsoft.com/office/excel/2006/main">
          <x14:cfRule type="expression" priority="804" id="{FC81298E-92EE-4C75-B213-AD59DD8672AF}">
            <xm:f>OR(AND(L8="Antigua",ISNUMBER(SEARCH("LLL",Matrix2!AK22))),AND(L8="Antigua",ISNUMBER(SEARCH("RRR",Matrix2!AK22))),AND(L8="Bermuda",ISNUMBER(SEARCH("LLL",Matrix2!AK22))),AND(L8="Bermuda",ISNUMBER(SEARCH("RRR",Matrix2!AK22))),AND(L8="Cuba",ISNUMBER(SEARCH("LLL",Matrix2!AK22)),K8&lt;&gt;"Tracked"),AND(L8="Cuba",ISNUMBER(SEARCH("RRR",Matrix2!AK22)),K8&lt;&gt;"Tracked"),AND(L8="Java",ISNUMBER(SEARCH("LLL",Matrix2!AK22))),AND(L8="Java",ISNUMBER(SEARCH("RRR",Matrix2!AK22))),AND(L8="Fiji",ISNUMBER(SEARCH("LLL",Matrix2!AK22)),K8&lt;&gt;"Tracked"),AND(L8="Fiji",ISNUMBER(SEARCH("RRR",Matrix2!AK22)),K8&lt;&gt;"Tracked"),AND(L8="Fiji",ISNUMBER(SEARCH("LLLL",Matrix2!AK22)),K8="Tracked",P8&lt;&gt;"Top Track Only"),AND(L8="Fiji",ISNUMBER(SEARCH("RRRR",Matrix2!AK22)),K8="Tracked",P8&lt;&gt;"Top Track Only"),AND(L8="Samoa",ISNUMBER(SEARCH("LLL",Matrix2!AK22)),K8&lt;&gt;"Tracked"),AND(L8="Samoa",ISNUMBER(SEARCH("RRR",Matrix2!AK22)),K8&lt;&gt;"Tracked"),AND(L8="Samoa",ISNUMBER(SEARCH("LLLL",Matrix2!AK22)),K8="Tracked",P8&lt;&gt;"Top Track Only"),AND(L8="Samoa",ISNUMBER(SEARCH("RRRR",Matrix2!AK22)),K8="Tracked",P8&lt;&gt;"Top Track Only"))</xm:f>
            <x14:dxf>
              <fill>
                <patternFill>
                  <bgColor rgb="FFFF0000"/>
                </patternFill>
              </fill>
            </x14:dxf>
          </x14:cfRule>
          <xm:sqref>Z8:AA8</xm:sqref>
        </x14:conditionalFormatting>
        <x14:conditionalFormatting xmlns:xm="http://schemas.microsoft.com/office/excel/2006/main">
          <x14:cfRule type="expression" priority="802" id="{7E865B6E-7BB0-4365-A28A-D422D37B7AEE}">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Z8</xm:sqref>
        </x14:conditionalFormatting>
        <x14:conditionalFormatting xmlns:xm="http://schemas.microsoft.com/office/excel/2006/main">
          <x14:cfRule type="expression" priority="796" id="{341EF8FB-0D2E-4C18-9F64-CA8F3C666AA3}">
            <xm:f>OR(AND(E8="Antigua",ISNUMBER(SEARCH("LLL",Matrix2!AD22))),AND(E8="Antigua",ISNUMBER(SEARCH("RRR",Matrix2!AD22))),AND(E8="Bermuda",ISNUMBER(SEARCH("LLL",Matrix2!AD22))),AND(E8="Bermuda",ISNUMBER(SEARCH("RRR",Matrix2!AD22))),AND(E8="Cuba",ISNUMBER(SEARCH("LLL",Matrix2!AD22)),D8&lt;&gt;"Tracked"),AND(E8="Cuba",ISNUMBER(SEARCH("RRR",Matrix2!AD22)),D8&lt;&gt;"Tracked"),AND(E8="Java",ISNUMBER(SEARCH("LLL",Matrix2!AD22))),AND(E8="Java",ISNUMBER(SEARCH("RRR",Matrix2!AD22))),AND(E8="Fiji",ISNUMBER(SEARCH("LLL",Matrix2!AD22)),D8&lt;&gt;"Tracked"),AND(E8="Fiji",ISNUMBER(SEARCH("RRR",Matrix2!AD22)),D8&lt;&gt;"Tracked"),AND(E8="Fiji",ISNUMBER(SEARCH("LLLL",Matrix2!AD22)),D8="Tracked",I8&lt;&gt;"Top Track Only"),AND(E8="Fiji",ISNUMBER(SEARCH("RRRR",Matrix2!AD22)),D8="Tracked",I8&lt;&gt;"Top Track Only"),AND(E8="Samoa",ISNUMBER(SEARCH("LLL",Matrix2!AD22)),D8&lt;&gt;"Tracked"),AND(E8="Samoa",ISNUMBER(SEARCH("RRR",Matrix2!AD22)),D8&lt;&gt;"Tracked"),AND(E8="Samoa",ISNUMBER(SEARCH("LLLL",Matrix2!AD22)),D8="Tracked",I8&lt;&gt;"Top Track Only"),AND(E8="Samoa",ISNUMBER(SEARCH("RRRR",Matrix2!AD22)),D8="Tracked",I8&lt;&gt;"Top Track Only"))</xm:f>
            <x14:dxf>
              <fill>
                <patternFill>
                  <bgColor rgb="FFFF0000"/>
                </patternFill>
              </fill>
            </x14:dxf>
          </x14:cfRule>
          <xm:sqref>AA8</xm:sqref>
        </x14:conditionalFormatting>
        <x14:conditionalFormatting xmlns:xm="http://schemas.microsoft.com/office/excel/2006/main">
          <x14:cfRule type="expression" priority="791" id="{7B5FCA93-6B33-49D8-ADA4-050FEAC0E6F9}">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T11</xm:sqref>
        </x14:conditionalFormatting>
        <x14:conditionalFormatting xmlns:xm="http://schemas.microsoft.com/office/excel/2006/main">
          <x14:cfRule type="expression" priority="789" id="{209DF384-20BF-4DF5-BE97-DE974AE36863}">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V11</xm:sqref>
        </x14:conditionalFormatting>
        <x14:conditionalFormatting xmlns:xm="http://schemas.microsoft.com/office/excel/2006/main">
          <x14:cfRule type="expression" priority="788" id="{01BCCBD2-B16C-42E2-9581-A98C68D4454F}">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W11</xm:sqref>
        </x14:conditionalFormatting>
        <x14:conditionalFormatting xmlns:xm="http://schemas.microsoft.com/office/excel/2006/main">
          <x14:cfRule type="expression" priority="787" id="{935C0877-0DF9-4CBB-AA5D-840C7ADD39D5}">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X11</xm:sqref>
        </x14:conditionalFormatting>
        <x14:conditionalFormatting xmlns:xm="http://schemas.microsoft.com/office/excel/2006/main">
          <x14:cfRule type="expression" priority="949" id="{55E206D3-3A7C-4F6A-891D-A81A78FEF4CA}">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Y11</xm:sqref>
        </x14:conditionalFormatting>
        <x14:conditionalFormatting xmlns:xm="http://schemas.microsoft.com/office/excel/2006/main">
          <x14:cfRule type="expression" priority="785" id="{3385914A-45E5-415A-A97C-DE46FED845A2}">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Z11</xm:sqref>
        </x14:conditionalFormatting>
        <x14:conditionalFormatting xmlns:xm="http://schemas.microsoft.com/office/excel/2006/main">
          <x14:cfRule type="expression" priority="780" id="{BECB0FCA-0B64-47F3-AC1B-88358E585DBA}">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U11</xm:sqref>
        </x14:conditionalFormatting>
        <x14:conditionalFormatting xmlns:xm="http://schemas.microsoft.com/office/excel/2006/main">
          <x14:cfRule type="expression" priority="779" id="{6EB1955F-73C4-4E05-A10B-3B798342EFCC}">
            <xm:f>OR(AND(E11="Antigua",ISNUMBER(SEARCH("LLL",Matrix2!AD23))),AND(E11="Antigua",ISNUMBER(SEARCH("RRR",Matrix2!AD23))),AND(E11="Bermuda",ISNUMBER(SEARCH("LLL",Matrix2!AD23))),AND(E11="Bermuda",ISNUMBER(SEARCH("RRR",Matrix2!AD23))),AND(E11="Cuba",ISNUMBER(SEARCH("LLL",Matrix2!AD23)),D8&lt;&gt;"Tracked"),AND(E11="Cuba",ISNUMBER(SEARCH("RRR",Matrix2!AD23)),D8&lt;&gt;"Tracked"),AND(E11="Java",ISNUMBER(SEARCH("LLL",Matrix2!AD23))),AND(E11="Java",ISNUMBER(SEARCH("RRR",Matrix2!AD23))),AND(E11="Fiji",ISNUMBER(SEARCH("LLL",Matrix2!AD23)),D8&lt;&gt;"Tracked"),AND(E11="Fiji",ISNUMBER(SEARCH("RRR",Matrix2!AD23)),D8&lt;&gt;"Tracked"),AND(E11="Fiji",ISNUMBER(SEARCH("LLLL",Matrix2!AD23)),D8="Tracked",I8&lt;&gt;"Top Track Only"),AND(E11="Fiji",ISNUMBER(SEARCH("RRRR",Matrix2!AD23)),D8="Tracked",I8&lt;&gt;"Top Track Only"),AND(E11="Samoa",ISNUMBER(SEARCH("LLL",Matrix2!AD23)),D8&lt;&gt;"Tracked"),AND(E11="Samoa",ISNUMBER(SEARCH("RRR",Matrix2!AD23)),D8&lt;&gt;"Tracked"),AND(E11="Samoa",ISNUMBER(SEARCH("LLLL",Matrix2!AD23)),D8="Tracked",I8&lt;&gt;"Top Track Only"),AND(E11="Samoa",ISNUMBER(SEARCH("RRRR",Matrix2!AD23)),D8="Tracked",I8&lt;&gt;"Top Track Only"))</xm:f>
            <x14:dxf>
              <fill>
                <patternFill>
                  <bgColor rgb="FFFF0000"/>
                </patternFill>
              </fill>
            </x14:dxf>
          </x14:cfRule>
          <xm:sqref>AA11</xm:sqref>
        </x14:conditionalFormatting>
        <x14:conditionalFormatting xmlns:xm="http://schemas.microsoft.com/office/excel/2006/main">
          <x14:cfRule type="expression" priority="778" id="{E8332A99-9E7D-4725-9928-D86CB2087A99}">
            <xm:f>OR(AND(N14="Antigua",ISNUMBER(SEARCH("LLL",Matrix2!AM24))),AND(N14="Antigua",ISNUMBER(SEARCH("RRR",Matrix2!AM24))),AND(N14="Bermuda",ISNUMBER(SEARCH("LLL",Matrix2!AM24))),AND(N14="Bermuda",ISNUMBER(SEARCH("RRR",Matrix2!AM24))),AND(N14="Cuba",ISNUMBER(SEARCH("LLL",Matrix2!AM24)),M14&lt;&gt;"Tracked"),AND(N14="Cuba",ISNUMBER(SEARCH("RRR",Matrix2!AM24)),M14&lt;&gt;"Tracked"),AND(N14="Java",ISNUMBER(SEARCH("LLL",Matrix2!AM24))),AND(N14="Java",ISNUMBER(SEARCH("RRR",Matrix2!AM24))),AND(N14="Fiji",ISNUMBER(SEARCH("LLL",Matrix2!AM24)),M14&lt;&gt;"Tracked"),AND(N14="Fiji",ISNUMBER(SEARCH("RRR",Matrix2!AM24)),M14&lt;&gt;"Tracked"),AND(N14="Fiji",ISNUMBER(SEARCH("LLLL",Matrix2!AM24)),M14="Tracked",R14&lt;&gt;"Top Track Only"),AND(N14="Fiji",ISNUMBER(SEARCH("RRRR",Matrix2!AM24)),M14="Tracked",R14&lt;&gt;"Top Track Only"),AND(N14="Samoa",ISNUMBER(SEARCH("LLL",Matrix2!AM24)),M14&lt;&gt;"Tracked"),AND(N14="Samoa",ISNUMBER(SEARCH("RRR",Matrix2!AM24)),M14&lt;&gt;"Tracked"),AND(N14="Samoa",ISNUMBER(SEARCH("LLLL",Matrix2!AM24)),M14="Tracked",R14&lt;&gt;"Top Track Only"),AND(N14="Samoa",ISNUMBER(SEARCH("RRRR",Matrix2!AM24)),M14="Tracked",R14&lt;&gt;"Top Track Only"))</xm:f>
            <x14:dxf>
              <fill>
                <patternFill>
                  <bgColor rgb="FFFF0000"/>
                </patternFill>
              </fill>
            </x14:dxf>
          </x14:cfRule>
          <xm:sqref>Z14:AA14</xm:sqref>
        </x14:conditionalFormatting>
        <x14:conditionalFormatting xmlns:xm="http://schemas.microsoft.com/office/excel/2006/main">
          <x14:cfRule type="expression" priority="769" id="{2B12EB8C-EBD8-42D3-B398-52598AEB7B90}">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Z14</xm:sqref>
        </x14:conditionalFormatting>
        <x14:conditionalFormatting xmlns:xm="http://schemas.microsoft.com/office/excel/2006/main">
          <x14:cfRule type="expression" priority="768" id="{75D02030-B41D-4FBC-9219-6C194406375D}">
            <xm:f>OR(AND(E14="Antigua",ISNUMBER(SEARCH("LLL",Matrix2!AD24))),AND(E14="Antigua",ISNUMBER(SEARCH("RRR",Matrix2!AD24))),AND(E14="Bermuda",ISNUMBER(SEARCH("LLL",Matrix2!AD24))),AND(E14="Bermuda",ISNUMBER(SEARCH("RRR",Matrix2!AD24))),AND(E14="Cuba",ISNUMBER(SEARCH("LLL",Matrix2!AD24)),D8&lt;&gt;"Tracked"),AND(E14="Cuba",ISNUMBER(SEARCH("RRR",Matrix2!AD24)),D8&lt;&gt;"Tracked"),AND(E14="Java",ISNUMBER(SEARCH("LLL",Matrix2!AD24))),AND(E14="Java",ISNUMBER(SEARCH("RRR",Matrix2!AD24))),AND(E14="Fiji",ISNUMBER(SEARCH("LLL",Matrix2!AD24)),D8&lt;&gt;"Tracked"),AND(E14="Fiji",ISNUMBER(SEARCH("RRR",Matrix2!AD24)),D8&lt;&gt;"Tracked"),AND(E14="Fiji",ISNUMBER(SEARCH("LLLL",Matrix2!AD24)),D8="Tracked",I8&lt;&gt;"Top Track Only"),AND(E14="Fiji",ISNUMBER(SEARCH("RRRR",Matrix2!AD24)),D8="Tracked",I8&lt;&gt;"Top Track Only"),AND(E14="Samoa",ISNUMBER(SEARCH("LLL",Matrix2!AD24)),D8&lt;&gt;"Tracked"),AND(E14="Samoa",ISNUMBER(SEARCH("RRR",Matrix2!AD24)),D8&lt;&gt;"Tracked"),AND(E14="Samoa",ISNUMBER(SEARCH("LLLL",Matrix2!AD24)),D8="Tracked",I8&lt;&gt;"Top Track Only"),AND(E14="Samoa",ISNUMBER(SEARCH("RRRR",Matrix2!AD24)),D8="Tracked",I8&lt;&gt;"Top Track Only"))</xm:f>
            <x14:dxf>
              <fill>
                <patternFill>
                  <bgColor rgb="FFFF0000"/>
                </patternFill>
              </fill>
            </x14:dxf>
          </x14:cfRule>
          <xm:sqref>AA14</xm:sqref>
        </x14:conditionalFormatting>
        <x14:conditionalFormatting xmlns:xm="http://schemas.microsoft.com/office/excel/2006/main">
          <x14:cfRule type="expression" priority="767" id="{8BAFEC6D-ADCA-4833-AD1A-08CA582ED968}">
            <xm:f>OR(AND(K17="Antigua",ISNUMBER(SEARCH("LLL",Matrix2!AJ25))),AND(K17="Antigua",ISNUMBER(SEARCH("RRR",Matrix2!AJ25))),AND(K17="Bermuda",ISNUMBER(SEARCH("LLL",Matrix2!AJ25))),AND(K17="Bermuda",ISNUMBER(SEARCH("RRR",Matrix2!AJ25))),AND(K17="Cuba",ISNUMBER(SEARCH("LLL",Matrix2!AJ25)),J8&lt;&gt;"Tracked"),AND(K17="Cuba",ISNUMBER(SEARCH("RRR",Matrix2!AJ25)),J8&lt;&gt;"Tracked"),AND(K17="Java",ISNUMBER(SEARCH("LLL",Matrix2!AJ25))),AND(K17="Java",ISNUMBER(SEARCH("RRR",Matrix2!AJ25))),AND(K17="Fiji",ISNUMBER(SEARCH("LLL",Matrix2!AJ25)),J8&lt;&gt;"Tracked"),AND(K17="Fiji",ISNUMBER(SEARCH("RRR",Matrix2!AJ25)),J8&lt;&gt;"Tracked"),AND(K17="Fiji",ISNUMBER(SEARCH("LLLL",Matrix2!AJ25)),J8="Tracked",O8&lt;&gt;"Top Track Only"),AND(K17="Fiji",ISNUMBER(SEARCH("RRRR",Matrix2!AJ25)),J8="Tracked",O8&lt;&gt;"Top Track Only"),AND(K17="Samoa",ISNUMBER(SEARCH("LLL",Matrix2!AJ25)),J8&lt;&gt;"Tracked"),AND(K17="Samoa",ISNUMBER(SEARCH("RRR",Matrix2!AJ25)),J8&lt;&gt;"Tracked"),AND(K17="Samoa",ISNUMBER(SEARCH("LLLL",Matrix2!AJ25)),J8="Tracked",O8&lt;&gt;"Top Track Only"),AND(K17="Samoa",ISNUMBER(SEARCH("RRRR",Matrix2!AJ25)),J8="Tracked",O8&lt;&gt;"Top Track Only"))</xm:f>
            <x14:dxf>
              <fill>
                <patternFill>
                  <bgColor rgb="FFFF0000"/>
                </patternFill>
              </fill>
            </x14:dxf>
          </x14:cfRule>
          <xm:sqref>W17:AA17</xm:sqref>
        </x14:conditionalFormatting>
        <x14:conditionalFormatting xmlns:xm="http://schemas.microsoft.com/office/excel/2006/main">
          <x14:cfRule type="expression" priority="761" id="{2C1C0F9F-D44D-4C63-B1F2-4F794FDED647}">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W17</xm:sqref>
        </x14:conditionalFormatting>
        <x14:conditionalFormatting xmlns:xm="http://schemas.microsoft.com/office/excel/2006/main">
          <x14:cfRule type="expression" priority="760" id="{DBF5B2A0-1462-4206-A08D-CCA470DF5D06}">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X17</xm:sqref>
        </x14:conditionalFormatting>
        <x14:conditionalFormatting xmlns:xm="http://schemas.microsoft.com/office/excel/2006/main">
          <x14:cfRule type="expression" priority="759" id="{E82511AD-C4D6-45FF-9312-ACE06B4DDA4C}">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Y17</xm:sqref>
        </x14:conditionalFormatting>
        <x14:conditionalFormatting xmlns:xm="http://schemas.microsoft.com/office/excel/2006/main">
          <x14:cfRule type="expression" priority="758" id="{3DC83603-A2FB-49FD-935B-FBF4CF08276E}">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Z17</xm:sqref>
        </x14:conditionalFormatting>
        <x14:conditionalFormatting xmlns:xm="http://schemas.microsoft.com/office/excel/2006/main">
          <x14:cfRule type="expression" priority="757" id="{33D910E6-CAF2-4CAB-8285-AC646E169E3B}">
            <xm:f>OR(AND(E17="Antigua",ISNUMBER(SEARCH("LLL",Matrix2!AD25))),AND(E17="Antigua",ISNUMBER(SEARCH("RRR",Matrix2!AD25))),AND(E17="Bermuda",ISNUMBER(SEARCH("LLL",Matrix2!AD25))),AND(E17="Bermuda",ISNUMBER(SEARCH("RRR",Matrix2!AD25))),AND(E17="Cuba",ISNUMBER(SEARCH("LLL",Matrix2!AD25)),D8&lt;&gt;"Tracked"),AND(E17="Cuba",ISNUMBER(SEARCH("RRR",Matrix2!AD25)),D8&lt;&gt;"Tracked"),AND(E17="Java",ISNUMBER(SEARCH("LLL",Matrix2!AD25))),AND(E17="Java",ISNUMBER(SEARCH("RRR",Matrix2!AD25))),AND(E17="Fiji",ISNUMBER(SEARCH("LLL",Matrix2!AD25)),D8&lt;&gt;"Tracked"),AND(E17="Fiji",ISNUMBER(SEARCH("RRR",Matrix2!AD25)),D8&lt;&gt;"Tracked"),AND(E17="Fiji",ISNUMBER(SEARCH("LLLL",Matrix2!AD25)),D8="Tracked",I8&lt;&gt;"Top Track Only"),AND(E17="Fiji",ISNUMBER(SEARCH("RRRR",Matrix2!AD25)),D8="Tracked",I8&lt;&gt;"Top Track Only"),AND(E17="Samoa",ISNUMBER(SEARCH("LLL",Matrix2!AD25)),D8&lt;&gt;"Tracked"),AND(E17="Samoa",ISNUMBER(SEARCH("RRR",Matrix2!AD25)),D8&lt;&gt;"Tracked"),AND(E17="Samoa",ISNUMBER(SEARCH("LLLL",Matrix2!AD25)),D8="Tracked",I8&lt;&gt;"Top Track Only"),AND(E17="Samoa",ISNUMBER(SEARCH("RRRR",Matrix2!AD25)),D8="Tracked",I8&lt;&gt;"Top Track Only"))</xm:f>
            <x14:dxf>
              <fill>
                <patternFill>
                  <bgColor rgb="FFFF0000"/>
                </patternFill>
              </fill>
            </x14:dxf>
          </x14:cfRule>
          <xm:sqref>AA17</xm:sqref>
        </x14:conditionalFormatting>
        <x14:conditionalFormatting xmlns:xm="http://schemas.microsoft.com/office/excel/2006/main">
          <x14:cfRule type="expression" priority="756" id="{5ADD70D2-253E-4B1E-8406-6ADE0682BA82}">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Q20:AA20</xm:sqref>
        </x14:conditionalFormatting>
        <x14:conditionalFormatting xmlns:xm="http://schemas.microsoft.com/office/excel/2006/main">
          <x14:cfRule type="expression" priority="755" id="{99F93728-6620-4548-9D59-7156BB4EFBDB}">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R20</xm:sqref>
        </x14:conditionalFormatting>
        <x14:conditionalFormatting xmlns:xm="http://schemas.microsoft.com/office/excel/2006/main">
          <x14:cfRule type="expression" priority="754" id="{1CDA1583-70FE-4AC5-A2A9-F5248D39CA79}">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S20</xm:sqref>
        </x14:conditionalFormatting>
        <x14:conditionalFormatting xmlns:xm="http://schemas.microsoft.com/office/excel/2006/main">
          <x14:cfRule type="expression" priority="753" id="{B62A763E-CC8F-44D1-9B6C-E2B125C27D06}">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T20</xm:sqref>
        </x14:conditionalFormatting>
        <x14:conditionalFormatting xmlns:xm="http://schemas.microsoft.com/office/excel/2006/main">
          <x14:cfRule type="expression" priority="752" id="{381846A0-89C1-4A96-BCE4-8B48DB0DC799}">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U20</xm:sqref>
        </x14:conditionalFormatting>
        <x14:conditionalFormatting xmlns:xm="http://schemas.microsoft.com/office/excel/2006/main">
          <x14:cfRule type="expression" priority="751" id="{5B1958FE-5050-4EA1-8BC5-8F29991C77E4}">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V20</xm:sqref>
        </x14:conditionalFormatting>
        <x14:conditionalFormatting xmlns:xm="http://schemas.microsoft.com/office/excel/2006/main">
          <x14:cfRule type="expression" priority="750" id="{6518B25F-DD09-4280-9F42-8AA8E054E037}">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W20</xm:sqref>
        </x14:conditionalFormatting>
        <x14:conditionalFormatting xmlns:xm="http://schemas.microsoft.com/office/excel/2006/main">
          <x14:cfRule type="expression" priority="749" id="{5217AAC0-96CD-4325-822F-FC9D50C00273}">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X20</xm:sqref>
        </x14:conditionalFormatting>
        <x14:conditionalFormatting xmlns:xm="http://schemas.microsoft.com/office/excel/2006/main">
          <x14:cfRule type="expression" priority="748" id="{EB040094-B41E-4F5C-866B-438C0EBE29F8}">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Y20</xm:sqref>
        </x14:conditionalFormatting>
        <x14:conditionalFormatting xmlns:xm="http://schemas.microsoft.com/office/excel/2006/main">
          <x14:cfRule type="expression" priority="747" id="{FBAD67A4-5644-40AB-ADFF-EE2C0F9572B0}">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Z20</xm:sqref>
        </x14:conditionalFormatting>
        <x14:conditionalFormatting xmlns:xm="http://schemas.microsoft.com/office/excel/2006/main">
          <x14:cfRule type="expression" priority="746" id="{2A80F8D3-B282-4F72-B55A-9B2FF959B1B7}">
            <xm:f>OR(AND(E20="Antigua",ISNUMBER(SEARCH("LLL",Matrix2!AD26))),AND(E20="Antigua",ISNUMBER(SEARCH("RRR",Matrix2!AD26))),AND(E20="Bermuda",ISNUMBER(SEARCH("LLL",Matrix2!AD26))),AND(E20="Bermuda",ISNUMBER(SEARCH("RRR",Matrix2!AD26))),AND(E20="Cuba",ISNUMBER(SEARCH("LLL",Matrix2!AD26)),D8&lt;&gt;"Tracked"),AND(E20="Cuba",ISNUMBER(SEARCH("RRR",Matrix2!AD26)),D8&lt;&gt;"Tracked"),AND(E20="Java",ISNUMBER(SEARCH("LLL",Matrix2!AD26))),AND(E20="Java",ISNUMBER(SEARCH("RRR",Matrix2!AD26))),AND(E20="Fiji",ISNUMBER(SEARCH("LLL",Matrix2!AD26)),D8&lt;&gt;"Tracked"),AND(E20="Fiji",ISNUMBER(SEARCH("RRR",Matrix2!AD26)),D8&lt;&gt;"Tracked"),AND(E20="Fiji",ISNUMBER(SEARCH("LLLL",Matrix2!AD26)),D8="Tracked",I8&lt;&gt;"Top Track Only"),AND(E20="Fiji",ISNUMBER(SEARCH("RRRR",Matrix2!AD26)),D8="Tracked",I8&lt;&gt;"Top Track Only"),AND(E20="Samoa",ISNUMBER(SEARCH("LLL",Matrix2!AD26)),D8&lt;&gt;"Tracked"),AND(E20="Samoa",ISNUMBER(SEARCH("RRR",Matrix2!AD26)),D8&lt;&gt;"Tracked"),AND(E20="Samoa",ISNUMBER(SEARCH("LLLL",Matrix2!AD26)),D8="Tracked",I8&lt;&gt;"Top Track Only"),AND(E20="Samoa",ISNUMBER(SEARCH("RRRR",Matrix2!AD26)),D8="Tracked",I8&lt;&gt;"Top Track Only"))</xm:f>
            <x14:dxf>
              <fill>
                <patternFill>
                  <bgColor rgb="FFFF0000"/>
                </patternFill>
              </fill>
            </x14:dxf>
          </x14:cfRule>
          <xm:sqref>AA20</xm:sqref>
        </x14:conditionalFormatting>
        <x14:conditionalFormatting xmlns:xm="http://schemas.microsoft.com/office/excel/2006/main">
          <x14:cfRule type="expression" priority="745" id="{F1AAD5A9-0AF8-4D49-A799-D77678A77DAC}">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Q23:AA23</xm:sqref>
        </x14:conditionalFormatting>
        <x14:conditionalFormatting xmlns:xm="http://schemas.microsoft.com/office/excel/2006/main">
          <x14:cfRule type="expression" priority="744" id="{C59DB6EF-6D12-422F-B91C-06ECA8B5D613}">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R23</xm:sqref>
        </x14:conditionalFormatting>
        <x14:conditionalFormatting xmlns:xm="http://schemas.microsoft.com/office/excel/2006/main">
          <x14:cfRule type="expression" priority="743" id="{357603BB-8DE5-41BE-9788-FD403946A0D0}">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S23</xm:sqref>
        </x14:conditionalFormatting>
        <x14:conditionalFormatting xmlns:xm="http://schemas.microsoft.com/office/excel/2006/main">
          <x14:cfRule type="expression" priority="742" id="{81D7050C-7817-4B4F-8963-AE4E4FDBAF5D}">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T23</xm:sqref>
        </x14:conditionalFormatting>
        <x14:conditionalFormatting xmlns:xm="http://schemas.microsoft.com/office/excel/2006/main">
          <x14:cfRule type="expression" priority="741" id="{CD7591FB-49CE-4E69-B3EC-D792150FF34D}">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U23</xm:sqref>
        </x14:conditionalFormatting>
        <x14:conditionalFormatting xmlns:xm="http://schemas.microsoft.com/office/excel/2006/main">
          <x14:cfRule type="expression" priority="740" id="{7FC2B7AE-1B06-4119-B310-D78534DD4F75}">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V23</xm:sqref>
        </x14:conditionalFormatting>
        <x14:conditionalFormatting xmlns:xm="http://schemas.microsoft.com/office/excel/2006/main">
          <x14:cfRule type="expression" priority="739" id="{DC225069-73C1-425B-B23A-37CDF2A768E9}">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W23</xm:sqref>
        </x14:conditionalFormatting>
        <x14:conditionalFormatting xmlns:xm="http://schemas.microsoft.com/office/excel/2006/main">
          <x14:cfRule type="expression" priority="738" id="{B0DA3466-36E5-49FB-8D5B-434D21745CE7}">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X23</xm:sqref>
        </x14:conditionalFormatting>
        <x14:conditionalFormatting xmlns:xm="http://schemas.microsoft.com/office/excel/2006/main">
          <x14:cfRule type="expression" priority="737" id="{7595524A-BA28-4769-AA8C-B0974BF05F50}">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Y23</xm:sqref>
        </x14:conditionalFormatting>
        <x14:conditionalFormatting xmlns:xm="http://schemas.microsoft.com/office/excel/2006/main">
          <x14:cfRule type="expression" priority="736" id="{89C81747-8145-4534-A911-1A50C6006A61}">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Z23</xm:sqref>
        </x14:conditionalFormatting>
        <x14:conditionalFormatting xmlns:xm="http://schemas.microsoft.com/office/excel/2006/main">
          <x14:cfRule type="expression" priority="735" id="{23B3C229-BEDB-4875-B4F0-FB20C13AFC23}">
            <xm:f>OR(AND(E23="Antigua",ISNUMBER(SEARCH("LLL",Matrix2!AD27))),AND(E23="Antigua",ISNUMBER(SEARCH("RRR",Matrix2!AD27))),AND(E23="Bermuda",ISNUMBER(SEARCH("LLL",Matrix2!AD27))),AND(E23="Bermuda",ISNUMBER(SEARCH("RRR",Matrix2!AD27))),AND(E23="Cuba",ISNUMBER(SEARCH("LLL",Matrix2!AD27)),D8&lt;&gt;"Tracked"),AND(E23="Cuba",ISNUMBER(SEARCH("RRR",Matrix2!AD27)),D8&lt;&gt;"Tracked"),AND(E23="Java",ISNUMBER(SEARCH("LLL",Matrix2!AD27))),AND(E23="Java",ISNUMBER(SEARCH("RRR",Matrix2!AD27))),AND(E23="Fiji",ISNUMBER(SEARCH("LLL",Matrix2!AD27)),D8&lt;&gt;"Tracked"),AND(E23="Fiji",ISNUMBER(SEARCH("RRR",Matrix2!AD27)),D8&lt;&gt;"Tracked"),AND(E23="Fiji",ISNUMBER(SEARCH("LLLL",Matrix2!AD27)),D8="Tracked",I8&lt;&gt;"Top Track Only"),AND(E23="Fiji",ISNUMBER(SEARCH("RRRR",Matrix2!AD27)),D8="Tracked",I8&lt;&gt;"Top Track Only"),AND(E23="Samoa",ISNUMBER(SEARCH("LLL",Matrix2!AD27)),D8&lt;&gt;"Tracked"),AND(E23="Samoa",ISNUMBER(SEARCH("RRR",Matrix2!AD27)),D8&lt;&gt;"Tracked"),AND(E23="Samoa",ISNUMBER(SEARCH("LLLL",Matrix2!AD27)),D8="Tracked",I8&lt;&gt;"Top Track Only"),AND(E23="Samoa",ISNUMBER(SEARCH("RRRR",Matrix2!AD27)),D8="Tracked",I8&lt;&gt;"Top Track Only"))</xm:f>
            <x14:dxf>
              <fill>
                <patternFill>
                  <bgColor rgb="FFFF0000"/>
                </patternFill>
              </fill>
            </x14:dxf>
          </x14:cfRule>
          <xm:sqref>AA23</xm:sqref>
        </x14:conditionalFormatting>
        <x14:conditionalFormatting xmlns:xm="http://schemas.microsoft.com/office/excel/2006/main">
          <x14:cfRule type="expression" priority="734" id="{41E99D1B-F1EB-4796-A7EE-52136435D147}">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Q26</xm:sqref>
        </x14:conditionalFormatting>
        <x14:conditionalFormatting xmlns:xm="http://schemas.microsoft.com/office/excel/2006/main">
          <x14:cfRule type="expression" priority="733" id="{DE935C45-DE30-4CA3-9A87-024276B7E15C}">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R26</xm:sqref>
        </x14:conditionalFormatting>
        <x14:conditionalFormatting xmlns:xm="http://schemas.microsoft.com/office/excel/2006/main">
          <x14:cfRule type="expression" priority="732" id="{7153C7A6-B805-4AA4-9113-D0395A2E2EAF}">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S26</xm:sqref>
        </x14:conditionalFormatting>
        <x14:conditionalFormatting xmlns:xm="http://schemas.microsoft.com/office/excel/2006/main">
          <x14:cfRule type="expression" priority="731" id="{534373AA-C424-49A0-8565-14CB4625B6F9}">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T26</xm:sqref>
        </x14:conditionalFormatting>
        <x14:conditionalFormatting xmlns:xm="http://schemas.microsoft.com/office/excel/2006/main">
          <x14:cfRule type="expression" priority="730" id="{BF65B685-78EC-4C7E-BC38-EEF3D991F1D7}">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U26</xm:sqref>
        </x14:conditionalFormatting>
        <x14:conditionalFormatting xmlns:xm="http://schemas.microsoft.com/office/excel/2006/main">
          <x14:cfRule type="expression" priority="729" id="{112DE2C4-E459-4D71-ACDD-8C4753B4CB92}">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V26</xm:sqref>
        </x14:conditionalFormatting>
        <x14:conditionalFormatting xmlns:xm="http://schemas.microsoft.com/office/excel/2006/main">
          <x14:cfRule type="expression" priority="728" id="{9DB992E8-F81C-4E7B-8545-D3827468DA83}">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W26</xm:sqref>
        </x14:conditionalFormatting>
        <x14:conditionalFormatting xmlns:xm="http://schemas.microsoft.com/office/excel/2006/main">
          <x14:cfRule type="expression" priority="727" id="{76922B63-A143-470C-989F-1CD71E25B460}">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X26</xm:sqref>
        </x14:conditionalFormatting>
        <x14:conditionalFormatting xmlns:xm="http://schemas.microsoft.com/office/excel/2006/main">
          <x14:cfRule type="expression" priority="726" id="{963365BD-3BE3-4EE0-A912-E8E755AE26FA}">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Y26</xm:sqref>
        </x14:conditionalFormatting>
        <x14:conditionalFormatting xmlns:xm="http://schemas.microsoft.com/office/excel/2006/main">
          <x14:cfRule type="expression" priority="725" id="{D9AF4DF9-5FE4-457D-AA6C-E4E34280CE87}">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Z26</xm:sqref>
        </x14:conditionalFormatting>
        <x14:conditionalFormatting xmlns:xm="http://schemas.microsoft.com/office/excel/2006/main">
          <x14:cfRule type="expression" priority="724" id="{257A8007-075B-4EFB-821B-37DC07B3D5B9}">
            <xm:f>OR(AND(E26="Antigua",ISNUMBER(SEARCH("LLL",Matrix2!AD28))),AND(E26="Antigua",ISNUMBER(SEARCH("RRR",Matrix2!AD28))),AND(E26="Bermuda",ISNUMBER(SEARCH("LLL",Matrix2!AD28))),AND(E26="Bermuda",ISNUMBER(SEARCH("RRR",Matrix2!AD28))),AND(E26="Cuba",ISNUMBER(SEARCH("LLL",Matrix2!AD28)),D8&lt;&gt;"Tracked"),AND(E26="Cuba",ISNUMBER(SEARCH("RRR",Matrix2!AD28)),D8&lt;&gt;"Tracked"),AND(E26="Java",ISNUMBER(SEARCH("LLL",Matrix2!AD28))),AND(E26="Java",ISNUMBER(SEARCH("RRR",Matrix2!AD28))),AND(E26="Fiji",ISNUMBER(SEARCH("LLL",Matrix2!AD28)),D8&lt;&gt;"Tracked"),AND(E26="Fiji",ISNUMBER(SEARCH("RRR",Matrix2!AD28)),D8&lt;&gt;"Tracked"),AND(E26="Fiji",ISNUMBER(SEARCH("LLLL",Matrix2!AD28)),D8="Tracked",I8&lt;&gt;"Top Track Only"),AND(E26="Fiji",ISNUMBER(SEARCH("RRRR",Matrix2!AD28)),D8="Tracked",I8&lt;&gt;"Top Track Only"),AND(E26="Samoa",ISNUMBER(SEARCH("LLL",Matrix2!AD28)),D8&lt;&gt;"Tracked"),AND(E26="Samoa",ISNUMBER(SEARCH("RRR",Matrix2!AD28)),D8&lt;&gt;"Tracked"),AND(E26="Samoa",ISNUMBER(SEARCH("LLLL",Matrix2!AD28)),D8="Tracked",I8&lt;&gt;"Top Track Only"),AND(E26="Samoa",ISNUMBER(SEARCH("RRRR",Matrix2!AD28)),D8="Tracked",I8&lt;&gt;"Top Track Only"))</xm:f>
            <x14:dxf>
              <fill>
                <patternFill>
                  <bgColor rgb="FFFF0000"/>
                </patternFill>
              </fill>
            </x14:dxf>
          </x14:cfRule>
          <xm:sqref>AA26</xm:sqref>
        </x14:conditionalFormatting>
        <x14:conditionalFormatting xmlns:xm="http://schemas.microsoft.com/office/excel/2006/main">
          <x14:cfRule type="expression" priority="723" id="{AC0C3276-7AC2-42A8-AF5C-08A4F8F9AB6A}">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Q29:AA29</xm:sqref>
        </x14:conditionalFormatting>
        <x14:conditionalFormatting xmlns:xm="http://schemas.microsoft.com/office/excel/2006/main">
          <x14:cfRule type="expression" priority="722" id="{CF724A67-BD76-4319-9F9F-0E2838ACB1E0}">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R29</xm:sqref>
        </x14:conditionalFormatting>
        <x14:conditionalFormatting xmlns:xm="http://schemas.microsoft.com/office/excel/2006/main">
          <x14:cfRule type="expression" priority="721" id="{588F79D6-F109-442D-9786-66817B9E6105}">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S29</xm:sqref>
        </x14:conditionalFormatting>
        <x14:conditionalFormatting xmlns:xm="http://schemas.microsoft.com/office/excel/2006/main">
          <x14:cfRule type="expression" priority="720" id="{7504FDA8-EE85-4F7E-B631-CC5C7A39475F}">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T29</xm:sqref>
        </x14:conditionalFormatting>
        <x14:conditionalFormatting xmlns:xm="http://schemas.microsoft.com/office/excel/2006/main">
          <x14:cfRule type="expression" priority="719" id="{D20D0101-FD48-47B8-95C5-604E5CD3F8C2}">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U29</xm:sqref>
        </x14:conditionalFormatting>
        <x14:conditionalFormatting xmlns:xm="http://schemas.microsoft.com/office/excel/2006/main">
          <x14:cfRule type="expression" priority="718" id="{0C4E70F7-C737-436B-A7E3-70D0F4B6B3CD}">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V29</xm:sqref>
        </x14:conditionalFormatting>
        <x14:conditionalFormatting xmlns:xm="http://schemas.microsoft.com/office/excel/2006/main">
          <x14:cfRule type="expression" priority="717" id="{72F8B9D5-6259-42BB-BBD2-D07D4941D987}">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W29</xm:sqref>
        </x14:conditionalFormatting>
        <x14:conditionalFormatting xmlns:xm="http://schemas.microsoft.com/office/excel/2006/main">
          <x14:cfRule type="expression" priority="716" id="{96F98ABA-9CB5-4BA0-982C-18AE95B5D2C0}">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X29</xm:sqref>
        </x14:conditionalFormatting>
        <x14:conditionalFormatting xmlns:xm="http://schemas.microsoft.com/office/excel/2006/main">
          <x14:cfRule type="expression" priority="715" id="{D9932ABD-3B48-4B5D-A33E-BE0B4A724BCD}">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Y29</xm:sqref>
        </x14:conditionalFormatting>
        <x14:conditionalFormatting xmlns:xm="http://schemas.microsoft.com/office/excel/2006/main">
          <x14:cfRule type="expression" priority="714" id="{EB035E2E-5F8D-485A-9CC0-D8C2AF8AF8BD}">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Z29</xm:sqref>
        </x14:conditionalFormatting>
        <x14:conditionalFormatting xmlns:xm="http://schemas.microsoft.com/office/excel/2006/main">
          <x14:cfRule type="expression" priority="713" id="{FDF41600-1769-49D7-8F99-F0B992B1E55C}">
            <xm:f>OR(AND(E29="Antigua",ISNUMBER(SEARCH("LLL",Matrix2!AD29))),AND(E29="Antigua",ISNUMBER(SEARCH("RRR",Matrix2!AD29))),AND(E29="Bermuda",ISNUMBER(SEARCH("LLL",Matrix2!AD29))),AND(E29="Bermuda",ISNUMBER(SEARCH("RRR",Matrix2!AD29))),AND(E29="Cuba",ISNUMBER(SEARCH("LLL",Matrix2!AD29)),D8&lt;&gt;"Tracked"),AND(E29="Cuba",ISNUMBER(SEARCH("RRR",Matrix2!AD29)),D8&lt;&gt;"Tracked"),AND(E29="Java",ISNUMBER(SEARCH("LLL",Matrix2!AD29))),AND(E29="Java",ISNUMBER(SEARCH("RRR",Matrix2!AD29))),AND(E29="Fiji",ISNUMBER(SEARCH("LLL",Matrix2!AD29)),D8&lt;&gt;"Tracked"),AND(E29="Fiji",ISNUMBER(SEARCH("RRR",Matrix2!AD29)),D8&lt;&gt;"Tracked"),AND(E29="Fiji",ISNUMBER(SEARCH("LLLL",Matrix2!AD29)),D8="Tracked",I8&lt;&gt;"Top Track Only"),AND(E29="Fiji",ISNUMBER(SEARCH("RRRR",Matrix2!AD29)),D8="Tracked",I8&lt;&gt;"Top Track Only"),AND(E29="Samoa",ISNUMBER(SEARCH("LLL",Matrix2!AD29)),D8&lt;&gt;"Tracked"),AND(E29="Samoa",ISNUMBER(SEARCH("RRR",Matrix2!AD29)),D8&lt;&gt;"Tracked"),AND(E29="Samoa",ISNUMBER(SEARCH("LLLL",Matrix2!AD29)),D8="Tracked",I8&lt;&gt;"Top Track Only"),AND(E29="Samoa",ISNUMBER(SEARCH("RRRR",Matrix2!AD29)),D8="Tracked",I8&lt;&gt;"Top Track Only"))</xm:f>
            <x14:dxf>
              <fill>
                <patternFill>
                  <bgColor rgb="FFFF0000"/>
                </patternFill>
              </fill>
            </x14:dxf>
          </x14:cfRule>
          <xm:sqref>AA29</xm:sqref>
        </x14:conditionalFormatting>
        <x14:conditionalFormatting xmlns:xm="http://schemas.microsoft.com/office/excel/2006/main">
          <x14:cfRule type="expression" priority="712" id="{195068C2-C823-4A2A-A75E-54C9C3DF9F95}">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Q32:AA32</xm:sqref>
        </x14:conditionalFormatting>
        <x14:conditionalFormatting xmlns:xm="http://schemas.microsoft.com/office/excel/2006/main">
          <x14:cfRule type="expression" priority="711" id="{AF78C327-C0CA-4DE4-BE51-048F140EBEE7}">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R32</xm:sqref>
        </x14:conditionalFormatting>
        <x14:conditionalFormatting xmlns:xm="http://schemas.microsoft.com/office/excel/2006/main">
          <x14:cfRule type="expression" priority="710" id="{9A606C4E-A09C-4789-9111-32E09F816651}">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S32</xm:sqref>
        </x14:conditionalFormatting>
        <x14:conditionalFormatting xmlns:xm="http://schemas.microsoft.com/office/excel/2006/main">
          <x14:cfRule type="expression" priority="709" id="{30428958-37BF-49F6-8C76-8CBFE8E0CF5D}">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T32</xm:sqref>
        </x14:conditionalFormatting>
        <x14:conditionalFormatting xmlns:xm="http://schemas.microsoft.com/office/excel/2006/main">
          <x14:cfRule type="expression" priority="708" id="{6C83176B-708C-42EE-A1DF-2FF6D2956591}">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U32</xm:sqref>
        </x14:conditionalFormatting>
        <x14:conditionalFormatting xmlns:xm="http://schemas.microsoft.com/office/excel/2006/main">
          <x14:cfRule type="expression" priority="707" id="{C91E80C2-B310-4A6E-9D40-148DB493C11C}">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V32</xm:sqref>
        </x14:conditionalFormatting>
        <x14:conditionalFormatting xmlns:xm="http://schemas.microsoft.com/office/excel/2006/main">
          <x14:cfRule type="expression" priority="706" id="{63BACDCB-2356-4356-B10A-F99F32332C34}">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W32</xm:sqref>
        </x14:conditionalFormatting>
        <x14:conditionalFormatting xmlns:xm="http://schemas.microsoft.com/office/excel/2006/main">
          <x14:cfRule type="expression" priority="705" id="{9A634AFB-1ED5-45E1-B18D-E6D86E5495C2}">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X32</xm:sqref>
        </x14:conditionalFormatting>
        <x14:conditionalFormatting xmlns:xm="http://schemas.microsoft.com/office/excel/2006/main">
          <x14:cfRule type="expression" priority="704" id="{2C6F9F03-C1C5-4F04-91A7-BFE065B5DA8D}">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Y32</xm:sqref>
        </x14:conditionalFormatting>
        <x14:conditionalFormatting xmlns:xm="http://schemas.microsoft.com/office/excel/2006/main">
          <x14:cfRule type="expression" priority="703" id="{4EFF1413-2CB9-4201-AC23-110A294987FE}">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Z32</xm:sqref>
        </x14:conditionalFormatting>
        <x14:conditionalFormatting xmlns:xm="http://schemas.microsoft.com/office/excel/2006/main">
          <x14:cfRule type="expression" priority="702" id="{D211ECCF-0016-4FF5-9519-F37BF51BEC04}">
            <xm:f>OR(AND(E32="Antigua",ISNUMBER(SEARCH("LLL",Matrix2!AD30))),AND(E32="Antigua",ISNUMBER(SEARCH("RRR",Matrix2!AD30))),AND(E32="Bermuda",ISNUMBER(SEARCH("LLL",Matrix2!AD30))),AND(E32="Bermuda",ISNUMBER(SEARCH("RRR",Matrix2!AD30))),AND(E32="Cuba",ISNUMBER(SEARCH("LLL",Matrix2!AD30)),D8&lt;&gt;"Tracked"),AND(E32="Cuba",ISNUMBER(SEARCH("RRR",Matrix2!AD30)),D8&lt;&gt;"Tracked"),AND(E32="Java",ISNUMBER(SEARCH("LLL",Matrix2!AD30))),AND(E32="Java",ISNUMBER(SEARCH("RRR",Matrix2!AD30))),AND(E32="Fiji",ISNUMBER(SEARCH("LLL",Matrix2!AD30)),D8&lt;&gt;"Tracked"),AND(E32="Fiji",ISNUMBER(SEARCH("RRR",Matrix2!AD30)),D8&lt;&gt;"Tracked"),AND(E32="Fiji",ISNUMBER(SEARCH("LLLL",Matrix2!AD30)),D8="Tracked",I8&lt;&gt;"Top Track Only"),AND(E32="Fiji",ISNUMBER(SEARCH("RRRR",Matrix2!AD30)),D8="Tracked",I8&lt;&gt;"Top Track Only"),AND(E32="Samoa",ISNUMBER(SEARCH("LLL",Matrix2!AD30)),D8&lt;&gt;"Tracked"),AND(E32="Samoa",ISNUMBER(SEARCH("RRR",Matrix2!AD30)),D8&lt;&gt;"Tracked"),AND(E32="Samoa",ISNUMBER(SEARCH("LLLL",Matrix2!AD30)),D8="Tracked",I8&lt;&gt;"Top Track Only"),AND(E32="Samoa",ISNUMBER(SEARCH("RRRR",Matrix2!AD30)),D8="Tracked",I8&lt;&gt;"Top Track Only"))</xm:f>
            <x14:dxf>
              <fill>
                <patternFill>
                  <bgColor rgb="FFFF0000"/>
                </patternFill>
              </fill>
            </x14:dxf>
          </x14:cfRule>
          <xm:sqref>AA32</xm:sqref>
        </x14:conditionalFormatting>
        <x14:conditionalFormatting xmlns:xm="http://schemas.microsoft.com/office/excel/2006/main">
          <x14:cfRule type="expression" priority="701" id="{01A1ADF0-284A-4E24-8454-661A891CDF19}">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Q35:AA35</xm:sqref>
        </x14:conditionalFormatting>
        <x14:conditionalFormatting xmlns:xm="http://schemas.microsoft.com/office/excel/2006/main">
          <x14:cfRule type="expression" priority="700" id="{6C25472D-A0B2-4A6B-8844-63F5A9EDF25B}">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R35</xm:sqref>
        </x14:conditionalFormatting>
        <x14:conditionalFormatting xmlns:xm="http://schemas.microsoft.com/office/excel/2006/main">
          <x14:cfRule type="expression" priority="699" id="{6BE15B72-E47A-43FF-A913-1D8782E80D85}">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S35</xm:sqref>
        </x14:conditionalFormatting>
        <x14:conditionalFormatting xmlns:xm="http://schemas.microsoft.com/office/excel/2006/main">
          <x14:cfRule type="expression" priority="698" id="{F339BEA5-0475-4FC0-8DA9-535B77FB75C3}">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T35</xm:sqref>
        </x14:conditionalFormatting>
        <x14:conditionalFormatting xmlns:xm="http://schemas.microsoft.com/office/excel/2006/main">
          <x14:cfRule type="expression" priority="697" id="{1C6AC1B7-2E35-4E43-9241-1706DF79AE5E}">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U35</xm:sqref>
        </x14:conditionalFormatting>
        <x14:conditionalFormatting xmlns:xm="http://schemas.microsoft.com/office/excel/2006/main">
          <x14:cfRule type="expression" priority="696" id="{620FF90B-3575-4D82-BE91-D76FD1032C3F}">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V35</xm:sqref>
        </x14:conditionalFormatting>
        <x14:conditionalFormatting xmlns:xm="http://schemas.microsoft.com/office/excel/2006/main">
          <x14:cfRule type="expression" priority="695" id="{B820895B-CDA6-4CD2-9347-443BFC0B29B3}">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W35</xm:sqref>
        </x14:conditionalFormatting>
        <x14:conditionalFormatting xmlns:xm="http://schemas.microsoft.com/office/excel/2006/main">
          <x14:cfRule type="expression" priority="694" id="{A7D64A06-8939-40C0-9899-9651409772B8}">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X35</xm:sqref>
        </x14:conditionalFormatting>
        <x14:conditionalFormatting xmlns:xm="http://schemas.microsoft.com/office/excel/2006/main">
          <x14:cfRule type="expression" priority="693" id="{83869E92-A36D-4F11-8D2F-F7F56378BB9F}">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Y35</xm:sqref>
        </x14:conditionalFormatting>
        <x14:conditionalFormatting xmlns:xm="http://schemas.microsoft.com/office/excel/2006/main">
          <x14:cfRule type="expression" priority="692" id="{6B748819-0436-48C0-989C-926D722A9444}">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Z35</xm:sqref>
        </x14:conditionalFormatting>
        <x14:conditionalFormatting xmlns:xm="http://schemas.microsoft.com/office/excel/2006/main">
          <x14:cfRule type="expression" priority="691" id="{23619727-A0FB-4A00-9808-926175877C04}">
            <xm:f>OR(AND(E35="Antigua",ISNUMBER(SEARCH("LLL",Matrix2!AD31))),AND(E35="Antigua",ISNUMBER(SEARCH("RRR",Matrix2!AD31))),AND(E35="Bermuda",ISNUMBER(SEARCH("LLL",Matrix2!AD31))),AND(E35="Bermuda",ISNUMBER(SEARCH("RRR",Matrix2!AD31))),AND(E35="Cuba",ISNUMBER(SEARCH("LLL",Matrix2!AD31)),D8&lt;&gt;"Tracked"),AND(E35="Cuba",ISNUMBER(SEARCH("RRR",Matrix2!AD31)),D8&lt;&gt;"Tracked"),AND(E35="Java",ISNUMBER(SEARCH("LLL",Matrix2!AD31))),AND(E35="Java",ISNUMBER(SEARCH("RRR",Matrix2!AD31))),AND(E35="Fiji",ISNUMBER(SEARCH("LLL",Matrix2!AD31)),D8&lt;&gt;"Tracked"),AND(E35="Fiji",ISNUMBER(SEARCH("RRR",Matrix2!AD31)),D8&lt;&gt;"Tracked"),AND(E35="Fiji",ISNUMBER(SEARCH("LLLL",Matrix2!AD31)),D8="Tracked",I8&lt;&gt;"Top Track Only"),AND(E35="Fiji",ISNUMBER(SEARCH("RRRR",Matrix2!AD31)),D8="Tracked",I8&lt;&gt;"Top Track Only"),AND(E35="Samoa",ISNUMBER(SEARCH("LLL",Matrix2!AD31)),D8&lt;&gt;"Tracked"),AND(E35="Samoa",ISNUMBER(SEARCH("RRR",Matrix2!AD31)),D8&lt;&gt;"Tracked"),AND(E35="Samoa",ISNUMBER(SEARCH("LLLL",Matrix2!AD31)),D8="Tracked",I8&lt;&gt;"Top Track Only"),AND(E35="Samoa",ISNUMBER(SEARCH("RRRR",Matrix2!AD31)),D8="Tracked",I8&lt;&gt;"Top Track Only"))</xm:f>
            <x14:dxf>
              <fill>
                <patternFill>
                  <bgColor rgb="FFFF0000"/>
                </patternFill>
              </fill>
            </x14:dxf>
          </x14:cfRule>
          <xm:sqref>AA35</xm:sqref>
        </x14:conditionalFormatting>
        <x14:conditionalFormatting xmlns:xm="http://schemas.microsoft.com/office/excel/2006/main">
          <x14:cfRule type="expression" priority="690" id="{B259CF95-BE19-430E-BB45-D88B0F5B1EE1}">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Q38:AA38</xm:sqref>
        </x14:conditionalFormatting>
        <x14:conditionalFormatting xmlns:xm="http://schemas.microsoft.com/office/excel/2006/main">
          <x14:cfRule type="expression" priority="689" id="{BFEDA031-CBB1-46AC-A102-3F4E84423D52}">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R38</xm:sqref>
        </x14:conditionalFormatting>
        <x14:conditionalFormatting xmlns:xm="http://schemas.microsoft.com/office/excel/2006/main">
          <x14:cfRule type="expression" priority="688" id="{2F37FC38-EDCD-4D0C-93D0-3F990B8B8C0F}">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S38</xm:sqref>
        </x14:conditionalFormatting>
        <x14:conditionalFormatting xmlns:xm="http://schemas.microsoft.com/office/excel/2006/main">
          <x14:cfRule type="expression" priority="687" id="{C27EF72C-19C8-4243-AF9F-10A8202F181D}">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T38</xm:sqref>
        </x14:conditionalFormatting>
        <x14:conditionalFormatting xmlns:xm="http://schemas.microsoft.com/office/excel/2006/main">
          <x14:cfRule type="expression" priority="686" id="{5F6C6CF5-14FA-45DD-A75B-F9FB6926706C}">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U38</xm:sqref>
        </x14:conditionalFormatting>
        <x14:conditionalFormatting xmlns:xm="http://schemas.microsoft.com/office/excel/2006/main">
          <x14:cfRule type="expression" priority="685" id="{BC8AE110-1F82-4FF8-8989-BD443C9B6222}">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V38</xm:sqref>
        </x14:conditionalFormatting>
        <x14:conditionalFormatting xmlns:xm="http://schemas.microsoft.com/office/excel/2006/main">
          <x14:cfRule type="expression" priority="684" id="{B5B0596C-34A8-4F8E-994F-16E53717D17F}">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W38</xm:sqref>
        </x14:conditionalFormatting>
        <x14:conditionalFormatting xmlns:xm="http://schemas.microsoft.com/office/excel/2006/main">
          <x14:cfRule type="expression" priority="683" id="{2F168033-65E7-4483-AB5E-3BAFD366D7FE}">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X38</xm:sqref>
        </x14:conditionalFormatting>
        <x14:conditionalFormatting xmlns:xm="http://schemas.microsoft.com/office/excel/2006/main">
          <x14:cfRule type="expression" priority="682" id="{62C2CE59-0E96-4C3A-9C47-AADBA2DE9942}">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Y38</xm:sqref>
        </x14:conditionalFormatting>
        <x14:conditionalFormatting xmlns:xm="http://schemas.microsoft.com/office/excel/2006/main">
          <x14:cfRule type="expression" priority="681" id="{25CAF8FB-D4FA-4640-BF5A-76EDCC58D0E3}">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Z38</xm:sqref>
        </x14:conditionalFormatting>
        <x14:conditionalFormatting xmlns:xm="http://schemas.microsoft.com/office/excel/2006/main">
          <x14:cfRule type="expression" priority="680" id="{77E1FF81-07B0-4CBC-84AC-782BAAB6909F}">
            <xm:f>OR(AND(E38="Antigua",ISNUMBER(SEARCH("LLL",Matrix2!AD32))),AND(E38="Antigua",ISNUMBER(SEARCH("RRR",Matrix2!AD32))),AND(E38="Bermuda",ISNUMBER(SEARCH("LLL",Matrix2!AD32))),AND(E38="Bermuda",ISNUMBER(SEARCH("RRR",Matrix2!AD32))),AND(E38="Cuba",ISNUMBER(SEARCH("LLL",Matrix2!AD32)),D8&lt;&gt;"Tracked"),AND(E38="Cuba",ISNUMBER(SEARCH("RRR",Matrix2!AD32)),D8&lt;&gt;"Tracked"),AND(E38="Java",ISNUMBER(SEARCH("LLL",Matrix2!AD32))),AND(E38="Java",ISNUMBER(SEARCH("RRR",Matrix2!AD32))),AND(E38="Fiji",ISNUMBER(SEARCH("LLL",Matrix2!AD32)),D8&lt;&gt;"Tracked"),AND(E38="Fiji",ISNUMBER(SEARCH("RRR",Matrix2!AD32)),D8&lt;&gt;"Tracked"),AND(E38="Fiji",ISNUMBER(SEARCH("LLLL",Matrix2!AD32)),D8="Tracked",I8&lt;&gt;"Top Track Only"),AND(E38="Fiji",ISNUMBER(SEARCH("RRRR",Matrix2!AD32)),D8="Tracked",I8&lt;&gt;"Top Track Only"),AND(E38="Samoa",ISNUMBER(SEARCH("LLL",Matrix2!AD32)),D8&lt;&gt;"Tracked"),AND(E38="Samoa",ISNUMBER(SEARCH("RRR",Matrix2!AD32)),D8&lt;&gt;"Tracked"),AND(E38="Samoa",ISNUMBER(SEARCH("LLLL",Matrix2!AD32)),D8="Tracked",I8&lt;&gt;"Top Track Only"),AND(E38="Samoa",ISNUMBER(SEARCH("RRRR",Matrix2!AD32)),D8="Tracked",I8&lt;&gt;"Top Track Only"))</xm:f>
            <x14:dxf>
              <fill>
                <patternFill>
                  <bgColor rgb="FFFF0000"/>
                </patternFill>
              </fill>
            </x14:dxf>
          </x14:cfRule>
          <xm:sqref>AA38</xm:sqref>
        </x14:conditionalFormatting>
        <x14:conditionalFormatting xmlns:xm="http://schemas.microsoft.com/office/excel/2006/main">
          <x14:cfRule type="expression" priority="679" id="{A8FCE09A-1489-4FB5-A775-6A138E457175}">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Q41:AA41</xm:sqref>
        </x14:conditionalFormatting>
        <x14:conditionalFormatting xmlns:xm="http://schemas.microsoft.com/office/excel/2006/main">
          <x14:cfRule type="expression" priority="678" id="{DEF96822-B45E-4D4B-A85C-3AB5C72A03E5}">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R41</xm:sqref>
        </x14:conditionalFormatting>
        <x14:conditionalFormatting xmlns:xm="http://schemas.microsoft.com/office/excel/2006/main">
          <x14:cfRule type="expression" priority="677" id="{1AE6E0BB-B9ED-4CA6-8D68-5EE2E91D10FA}">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S41</xm:sqref>
        </x14:conditionalFormatting>
        <x14:conditionalFormatting xmlns:xm="http://schemas.microsoft.com/office/excel/2006/main">
          <x14:cfRule type="expression" priority="676" id="{63CB0FDE-E2E6-4881-84A9-DCB520B0F624}">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T41</xm:sqref>
        </x14:conditionalFormatting>
        <x14:conditionalFormatting xmlns:xm="http://schemas.microsoft.com/office/excel/2006/main">
          <x14:cfRule type="expression" priority="675" id="{D2CF90C7-81E9-42BC-8516-DEF9DD399409}">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U41</xm:sqref>
        </x14:conditionalFormatting>
        <x14:conditionalFormatting xmlns:xm="http://schemas.microsoft.com/office/excel/2006/main">
          <x14:cfRule type="expression" priority="674" id="{D7B56F08-B371-4C9E-917D-7D68C07E1429}">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V41</xm:sqref>
        </x14:conditionalFormatting>
        <x14:conditionalFormatting xmlns:xm="http://schemas.microsoft.com/office/excel/2006/main">
          <x14:cfRule type="expression" priority="673" id="{E646A45D-5203-4E25-A1D1-CA46717E6AEA}">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W41</xm:sqref>
        </x14:conditionalFormatting>
        <x14:conditionalFormatting xmlns:xm="http://schemas.microsoft.com/office/excel/2006/main">
          <x14:cfRule type="expression" priority="672" id="{4DA95435-5CE9-47EF-8AA6-6D1BF9A31EE2}">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X41</xm:sqref>
        </x14:conditionalFormatting>
        <x14:conditionalFormatting xmlns:xm="http://schemas.microsoft.com/office/excel/2006/main">
          <x14:cfRule type="expression" priority="671" id="{345C6244-CC2B-45D2-835F-D98949379C9D}">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Y41</xm:sqref>
        </x14:conditionalFormatting>
        <x14:conditionalFormatting xmlns:xm="http://schemas.microsoft.com/office/excel/2006/main">
          <x14:cfRule type="expression" priority="670" id="{38F41F8A-522C-4897-9ECC-F4FBD985B3E1}">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Z41</xm:sqref>
        </x14:conditionalFormatting>
        <x14:conditionalFormatting xmlns:xm="http://schemas.microsoft.com/office/excel/2006/main">
          <x14:cfRule type="expression" priority="669" id="{2E0C6624-5303-4730-A09A-5C2FCEBC64F5}">
            <xm:f>OR(AND(E41="Antigua",ISNUMBER(SEARCH("LLL",Matrix2!AD33))),AND(E41="Antigua",ISNUMBER(SEARCH("RRR",Matrix2!AD33))),AND(E41="Bermuda",ISNUMBER(SEARCH("LLL",Matrix2!AD33))),AND(E41="Bermuda",ISNUMBER(SEARCH("RRR",Matrix2!AD33))),AND(E41="Cuba",ISNUMBER(SEARCH("LLL",Matrix2!AD33)),D8&lt;&gt;"Tracked"),AND(E41="Cuba",ISNUMBER(SEARCH("RRR",Matrix2!AD33)),D8&lt;&gt;"Tracked"),AND(E41="Java",ISNUMBER(SEARCH("LLL",Matrix2!AD33))),AND(E41="Java",ISNUMBER(SEARCH("RRR",Matrix2!AD33))),AND(E41="Fiji",ISNUMBER(SEARCH("LLL",Matrix2!AD33)),D8&lt;&gt;"Tracked"),AND(E41="Fiji",ISNUMBER(SEARCH("RRR",Matrix2!AD33)),D8&lt;&gt;"Tracked"),AND(E41="Fiji",ISNUMBER(SEARCH("LLLL",Matrix2!AD33)),D8="Tracked",I8&lt;&gt;"Top Track Only"),AND(E41="Fiji",ISNUMBER(SEARCH("RRRR",Matrix2!AD33)),D8="Tracked",I8&lt;&gt;"Top Track Only"),AND(E41="Samoa",ISNUMBER(SEARCH("LLL",Matrix2!AD33)),D8&lt;&gt;"Tracked"),AND(E41="Samoa",ISNUMBER(SEARCH("RRR",Matrix2!AD33)),D8&lt;&gt;"Tracked"),AND(E41="Samoa",ISNUMBER(SEARCH("LLLL",Matrix2!AD33)),D8="Tracked",I8&lt;&gt;"Top Track Only"),AND(E41="Samoa",ISNUMBER(SEARCH("RRRR",Matrix2!AD33)),D8="Tracked",I8&lt;&gt;"Top Track Only"))</xm:f>
            <x14:dxf>
              <fill>
                <patternFill>
                  <bgColor rgb="FFFF0000"/>
                </patternFill>
              </fill>
            </x14:dxf>
          </x14:cfRule>
          <xm:sqref>AA41</xm:sqref>
        </x14:conditionalFormatting>
        <x14:conditionalFormatting xmlns:xm="http://schemas.microsoft.com/office/excel/2006/main">
          <x14:cfRule type="expression" priority="668" id="{9FA3DAEA-738D-4389-B3F6-8128D820972B}">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Q44:AA44</xm:sqref>
        </x14:conditionalFormatting>
        <x14:conditionalFormatting xmlns:xm="http://schemas.microsoft.com/office/excel/2006/main">
          <x14:cfRule type="expression" priority="667" id="{0DB56D43-54BE-4ECB-9D92-1E0646815C4C}">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R44</xm:sqref>
        </x14:conditionalFormatting>
        <x14:conditionalFormatting xmlns:xm="http://schemas.microsoft.com/office/excel/2006/main">
          <x14:cfRule type="expression" priority="666" id="{83D85008-FA7A-447C-A16C-F180612E112C}">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S44</xm:sqref>
        </x14:conditionalFormatting>
        <x14:conditionalFormatting xmlns:xm="http://schemas.microsoft.com/office/excel/2006/main">
          <x14:cfRule type="expression" priority="665" id="{F543706D-4E86-4E96-B46C-D92CB3589726}">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T44</xm:sqref>
        </x14:conditionalFormatting>
        <x14:conditionalFormatting xmlns:xm="http://schemas.microsoft.com/office/excel/2006/main">
          <x14:cfRule type="expression" priority="664" id="{C5BDC2D3-4C19-4DED-8F44-E14CD554285F}">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U44</xm:sqref>
        </x14:conditionalFormatting>
        <x14:conditionalFormatting xmlns:xm="http://schemas.microsoft.com/office/excel/2006/main">
          <x14:cfRule type="expression" priority="663" id="{8D14D3F6-D73C-4774-8AAE-708FF2710F82}">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V44</xm:sqref>
        </x14:conditionalFormatting>
        <x14:conditionalFormatting xmlns:xm="http://schemas.microsoft.com/office/excel/2006/main">
          <x14:cfRule type="expression" priority="662" id="{676FA150-2D5F-447B-A855-E0B3860E07B3}">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W44</xm:sqref>
        </x14:conditionalFormatting>
        <x14:conditionalFormatting xmlns:xm="http://schemas.microsoft.com/office/excel/2006/main">
          <x14:cfRule type="expression" priority="661" id="{F736CB21-275B-4A2B-A133-469B2ED14410}">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X44</xm:sqref>
        </x14:conditionalFormatting>
        <x14:conditionalFormatting xmlns:xm="http://schemas.microsoft.com/office/excel/2006/main">
          <x14:cfRule type="expression" priority="660" id="{02D94AC6-B376-4669-8B36-C416268437F2}">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Y44</xm:sqref>
        </x14:conditionalFormatting>
        <x14:conditionalFormatting xmlns:xm="http://schemas.microsoft.com/office/excel/2006/main">
          <x14:cfRule type="expression" priority="659" id="{E0287128-91CC-4B75-BB68-5458BD0459D4}">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Z44</xm:sqref>
        </x14:conditionalFormatting>
        <x14:conditionalFormatting xmlns:xm="http://schemas.microsoft.com/office/excel/2006/main">
          <x14:cfRule type="expression" priority="658" id="{EA889066-4E4E-4B29-AB8E-A8F224FEEC97}">
            <xm:f>OR(AND(E44="Antigua",ISNUMBER(SEARCH("LLL",Matrix2!AD34))),AND(E44="Antigua",ISNUMBER(SEARCH("RRR",Matrix2!AD34))),AND(E44="Bermuda",ISNUMBER(SEARCH("LLL",Matrix2!AD34))),AND(E44="Bermuda",ISNUMBER(SEARCH("RRR",Matrix2!AD34))),AND(E44="Cuba",ISNUMBER(SEARCH("LLL",Matrix2!AD34)),D8&lt;&gt;"Tracked"),AND(E44="Cuba",ISNUMBER(SEARCH("RRR",Matrix2!AD34)),D8&lt;&gt;"Tracked"),AND(E44="Java",ISNUMBER(SEARCH("LLL",Matrix2!AD34))),AND(E44="Java",ISNUMBER(SEARCH("RRR",Matrix2!AD34))),AND(E44="Fiji",ISNUMBER(SEARCH("LLL",Matrix2!AD34)),D8&lt;&gt;"Tracked"),AND(E44="Fiji",ISNUMBER(SEARCH("RRR",Matrix2!AD34)),D8&lt;&gt;"Tracked"),AND(E44="Fiji",ISNUMBER(SEARCH("LLLL",Matrix2!AD34)),D8="Tracked",I8&lt;&gt;"Top Track Only"),AND(E44="Fiji",ISNUMBER(SEARCH("RRRR",Matrix2!AD34)),D8="Tracked",I8&lt;&gt;"Top Track Only"),AND(E44="Samoa",ISNUMBER(SEARCH("LLL",Matrix2!AD34)),D8&lt;&gt;"Tracked"),AND(E44="Samoa",ISNUMBER(SEARCH("RRR",Matrix2!AD34)),D8&lt;&gt;"Tracked"),AND(E44="Samoa",ISNUMBER(SEARCH("LLLL",Matrix2!AD34)),D8="Tracked",I8&lt;&gt;"Top Track Only"),AND(E44="Samoa",ISNUMBER(SEARCH("RRRR",Matrix2!AD34)),D8="Tracked",I8&lt;&gt;"Top Track Only"))</xm:f>
            <x14:dxf>
              <fill>
                <patternFill>
                  <bgColor rgb="FFFF0000"/>
                </patternFill>
              </fill>
            </x14:dxf>
          </x14:cfRule>
          <xm:sqref>AA44</xm:sqref>
        </x14:conditionalFormatting>
        <x14:conditionalFormatting xmlns:xm="http://schemas.microsoft.com/office/excel/2006/main">
          <x14:cfRule type="expression" priority="657" id="{3868D5F5-CF25-4355-AB63-472ECE235A6B}">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Q47:AA47</xm:sqref>
        </x14:conditionalFormatting>
        <x14:conditionalFormatting xmlns:xm="http://schemas.microsoft.com/office/excel/2006/main">
          <x14:cfRule type="expression" priority="656" id="{3F606B56-0829-4442-9949-5809053ED56A}">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R47</xm:sqref>
        </x14:conditionalFormatting>
        <x14:conditionalFormatting xmlns:xm="http://schemas.microsoft.com/office/excel/2006/main">
          <x14:cfRule type="expression" priority="655" id="{C643A933-53C4-4A95-ABBA-FDD4FA28AA35}">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S47</xm:sqref>
        </x14:conditionalFormatting>
        <x14:conditionalFormatting xmlns:xm="http://schemas.microsoft.com/office/excel/2006/main">
          <x14:cfRule type="expression" priority="654" id="{24F0CFA7-96B5-4DE1-9A75-77EBE14FF12D}">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T47</xm:sqref>
        </x14:conditionalFormatting>
        <x14:conditionalFormatting xmlns:xm="http://schemas.microsoft.com/office/excel/2006/main">
          <x14:cfRule type="expression" priority="653" id="{B9099462-E6AB-4E70-8747-899661A5EAC3}">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U47</xm:sqref>
        </x14:conditionalFormatting>
        <x14:conditionalFormatting xmlns:xm="http://schemas.microsoft.com/office/excel/2006/main">
          <x14:cfRule type="expression" priority="652" id="{38849CE0-BEB9-489A-8C9E-D21A85EBBA9D}">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V47</xm:sqref>
        </x14:conditionalFormatting>
        <x14:conditionalFormatting xmlns:xm="http://schemas.microsoft.com/office/excel/2006/main">
          <x14:cfRule type="expression" priority="651" id="{37549575-EB06-4B6F-92D5-971F1D543FE1}">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W47</xm:sqref>
        </x14:conditionalFormatting>
        <x14:conditionalFormatting xmlns:xm="http://schemas.microsoft.com/office/excel/2006/main">
          <x14:cfRule type="expression" priority="650" id="{D0337FA4-E216-40AA-8BAB-EE9733F53682}">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X47</xm:sqref>
        </x14:conditionalFormatting>
        <x14:conditionalFormatting xmlns:xm="http://schemas.microsoft.com/office/excel/2006/main">
          <x14:cfRule type="expression" priority="649" id="{9688D68A-3000-4420-8855-54F9582204A4}">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Y47</xm:sqref>
        </x14:conditionalFormatting>
        <x14:conditionalFormatting xmlns:xm="http://schemas.microsoft.com/office/excel/2006/main">
          <x14:cfRule type="expression" priority="648" id="{32356D47-70EA-435F-A732-FCB755A4D40A}">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Z47</xm:sqref>
        </x14:conditionalFormatting>
        <x14:conditionalFormatting xmlns:xm="http://schemas.microsoft.com/office/excel/2006/main">
          <x14:cfRule type="expression" priority="647" id="{47B12EBC-A19F-4332-8540-9872876BCF29}">
            <xm:f>OR(AND(E47="Antigua",ISNUMBER(SEARCH("LLL",Matrix2!AD35))),AND(E47="Antigua",ISNUMBER(SEARCH("RRR",Matrix2!AD35))),AND(E47="Bermuda",ISNUMBER(SEARCH("LLL",Matrix2!AD35))),AND(E47="Bermuda",ISNUMBER(SEARCH("RRR",Matrix2!AD35))),AND(E47="Cuba",ISNUMBER(SEARCH("LLL",Matrix2!AD35)),D8&lt;&gt;"Tracked"),AND(E47="Cuba",ISNUMBER(SEARCH("RRR",Matrix2!AD35)),D8&lt;&gt;"Tracked"),AND(E47="Java",ISNUMBER(SEARCH("LLL",Matrix2!AD35))),AND(E47="Java",ISNUMBER(SEARCH("RRR",Matrix2!AD35))),AND(E47="Fiji",ISNUMBER(SEARCH("LLL",Matrix2!AD35)),D8&lt;&gt;"Tracked"),AND(E47="Fiji",ISNUMBER(SEARCH("RRR",Matrix2!AD35)),D8&lt;&gt;"Tracked"),AND(E47="Fiji",ISNUMBER(SEARCH("LLLL",Matrix2!AD35)),D8="Tracked",I8&lt;&gt;"Top Track Only"),AND(E47="Fiji",ISNUMBER(SEARCH("RRRR",Matrix2!AD35)),D8="Tracked",I8&lt;&gt;"Top Track Only"),AND(E47="Samoa",ISNUMBER(SEARCH("LLL",Matrix2!AD35)),D8&lt;&gt;"Tracked"),AND(E47="Samoa",ISNUMBER(SEARCH("RRR",Matrix2!AD35)),D8&lt;&gt;"Tracked"),AND(E47="Samoa",ISNUMBER(SEARCH("LLLL",Matrix2!AD35)),D8="Tracked",I8&lt;&gt;"Top Track Only"),AND(E47="Samoa",ISNUMBER(SEARCH("RRRR",Matrix2!AD35)),D8="Tracked",I8&lt;&gt;"Top Track Only"))</xm:f>
            <x14:dxf>
              <fill>
                <patternFill>
                  <bgColor rgb="FFFF0000"/>
                </patternFill>
              </fill>
            </x14:dxf>
          </x14:cfRule>
          <xm:sqref>AA47</xm:sqref>
        </x14:conditionalFormatting>
        <x14:conditionalFormatting xmlns:xm="http://schemas.microsoft.com/office/excel/2006/main">
          <x14:cfRule type="expression" priority="646" id="{061AC11D-AAC4-4116-B835-FC22B1FEC3D5}">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Q50:AA50</xm:sqref>
        </x14:conditionalFormatting>
        <x14:conditionalFormatting xmlns:xm="http://schemas.microsoft.com/office/excel/2006/main">
          <x14:cfRule type="expression" priority="645" id="{A40D8CC1-3E1B-4D9A-A124-1430E38B0F4A}">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R50</xm:sqref>
        </x14:conditionalFormatting>
        <x14:conditionalFormatting xmlns:xm="http://schemas.microsoft.com/office/excel/2006/main">
          <x14:cfRule type="expression" priority="644" id="{011C25F5-C4D0-4FC7-A56D-94B9D071FE32}">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S50</xm:sqref>
        </x14:conditionalFormatting>
        <x14:conditionalFormatting xmlns:xm="http://schemas.microsoft.com/office/excel/2006/main">
          <x14:cfRule type="expression" priority="643" id="{051232D6-3C56-442D-B4A3-48D3B40F6E80}">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T50</xm:sqref>
        </x14:conditionalFormatting>
        <x14:conditionalFormatting xmlns:xm="http://schemas.microsoft.com/office/excel/2006/main">
          <x14:cfRule type="expression" priority="642" id="{C899D7BF-3D38-40B3-A7ED-C0B6097F3697}">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U50</xm:sqref>
        </x14:conditionalFormatting>
        <x14:conditionalFormatting xmlns:xm="http://schemas.microsoft.com/office/excel/2006/main">
          <x14:cfRule type="expression" priority="641" id="{FF1872B1-7A9A-4F2B-B0AC-4E36302031E3}">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V50</xm:sqref>
        </x14:conditionalFormatting>
        <x14:conditionalFormatting xmlns:xm="http://schemas.microsoft.com/office/excel/2006/main">
          <x14:cfRule type="expression" priority="640" id="{8A68324A-C47C-4869-A822-E166EDECC5C3}">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W50</xm:sqref>
        </x14:conditionalFormatting>
        <x14:conditionalFormatting xmlns:xm="http://schemas.microsoft.com/office/excel/2006/main">
          <x14:cfRule type="expression" priority="639" id="{2371AD05-840F-4C6E-90DC-77DBF46CB6D2}">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X50</xm:sqref>
        </x14:conditionalFormatting>
        <x14:conditionalFormatting xmlns:xm="http://schemas.microsoft.com/office/excel/2006/main">
          <x14:cfRule type="expression" priority="638" id="{244C3EAB-0B74-44AD-A6BF-229D59484A50}">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Y50</xm:sqref>
        </x14:conditionalFormatting>
        <x14:conditionalFormatting xmlns:xm="http://schemas.microsoft.com/office/excel/2006/main">
          <x14:cfRule type="expression" priority="637" id="{D3E7C001-E01B-4A13-ACDB-3E2DC14622FD}">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Z50</xm:sqref>
        </x14:conditionalFormatting>
        <x14:conditionalFormatting xmlns:xm="http://schemas.microsoft.com/office/excel/2006/main">
          <x14:cfRule type="expression" priority="636" id="{BB9E31AA-B857-4FD5-BA06-A722F006672E}">
            <xm:f>OR(AND(E50="Antigua",ISNUMBER(SEARCH("LLL",Matrix2!AD36))),AND(E50="Antigua",ISNUMBER(SEARCH("RRR",Matrix2!AD36))),AND(E50="Bermuda",ISNUMBER(SEARCH("LLL",Matrix2!AD36))),AND(E50="Bermuda",ISNUMBER(SEARCH("RRR",Matrix2!AD36))),AND(E50="Cuba",ISNUMBER(SEARCH("LLL",Matrix2!AD36)),D8&lt;&gt;"Tracked"),AND(E50="Cuba",ISNUMBER(SEARCH("RRR",Matrix2!AD36)),D8&lt;&gt;"Tracked"),AND(E50="Java",ISNUMBER(SEARCH("LLL",Matrix2!AD36))),AND(E50="Java",ISNUMBER(SEARCH("RRR",Matrix2!AD36))),AND(E50="Fiji",ISNUMBER(SEARCH("LLL",Matrix2!AD36)),D8&lt;&gt;"Tracked"),AND(E50="Fiji",ISNUMBER(SEARCH("RRR",Matrix2!AD36)),D8&lt;&gt;"Tracked"),AND(E50="Fiji",ISNUMBER(SEARCH("LLLL",Matrix2!AD36)),D8="Tracked",I8&lt;&gt;"Top Track Only"),AND(E50="Fiji",ISNUMBER(SEARCH("RRRR",Matrix2!AD36)),D8="Tracked",I8&lt;&gt;"Top Track Only"),AND(E50="Samoa",ISNUMBER(SEARCH("LLL",Matrix2!AD36)),D8&lt;&gt;"Tracked"),AND(E50="Samoa",ISNUMBER(SEARCH("RRR",Matrix2!AD36)),D8&lt;&gt;"Tracked"),AND(E50="Samoa",ISNUMBER(SEARCH("LLLL",Matrix2!AD36)),D8="Tracked",I8&lt;&gt;"Top Track Only"),AND(E50="Samoa",ISNUMBER(SEARCH("RRRR",Matrix2!AD36)),D8="Tracked",I8&lt;&gt;"Top Track Only"))</xm:f>
            <x14:dxf>
              <fill>
                <patternFill>
                  <bgColor rgb="FFFF0000"/>
                </patternFill>
              </fill>
            </x14:dxf>
          </x14:cfRule>
          <xm:sqref>AA50</xm:sqref>
        </x14:conditionalFormatting>
        <x14:conditionalFormatting xmlns:xm="http://schemas.microsoft.com/office/excel/2006/main">
          <x14:cfRule type="expression" priority="610" id="{F70F30D0-6737-4154-AAA6-73DA1E91541A}">
            <xm:f>OR(AND(E20="Samoa",H20="47mm",LEN(Matrix2!AD26)=1,(L20-44)&gt;762),AND(E20="Samoa",H20="47mm",LEN(Matrix2!AD26)=2,ISNUMBER(SEARCH("LL",Matrix2!AD26)),(L20-44)&gt;1320.8),AND(E20="Samoa",H20="47mm",LEN(Matrix2!AD26)=2,ISNUMBER(SEARCH("RR",Matrix2!AD26)),(L20-44)&gt;1320.8),AND(E20="Samoa",H20&lt;&gt;"47mm",H20&lt;&gt;"89mm",H20&lt;&gt;"114mm",LEN(Matrix2!AD26)=1,(L20-44)&gt;914.4),AND(E20="Samoa",H20&lt;&gt;"47mm",H20&lt;&gt;"89mm",H20&lt;&gt;"114mm",LEN(Matrix2!AD26)=2,ISNUMBER(SEARCH("LL",Matrix2!AD26)),(L20-44)&gt;1320.8),AND(E20="Samoa",H20&lt;&gt;"47mm",H20&lt;&gt;"89mm",H20&lt;&gt;"114mm",LEN(Matrix2!AD26)=2,ISNUMBER(SEARCH("RR",Matrix2!AD26)),(L20-44)&gt;1320.8),AND(E20="Samoa",H20&lt;&gt;"47mm",H20&lt;&gt;"63mm",H20&lt;&gt;"76mm",LEN(Matrix2!AD26)=1,(L20-44)&gt;1219.2),AND(E20="Samoa",H20&lt;&gt;"47mm",H20&lt;&gt;"63mm",H20&lt;&gt;"76mm",LEN(Matrix2!AD26)=2,ISNUMBER(SEARCH("LL",Matrix2!AD26)),(L20-44)&gt;1320.8), AND(E20="Samoa",H20&lt;&gt;"47mm",H20&lt;&gt;"63mm",H20&lt;&gt;"76mm",LEN(Matrix2!AD26)=2,ISNUMBER(SEARCH("RR",Matrix2!AD26)),(L20-44)&gt;1320.8),AND(LEN(Matrix2!AD26)&gt;=3,D20&lt;&gt;"Tracked",ISERROR(FIND("LLRR",Matrix2!AD26))=FALSE,((L20-44)/LEN(Matrix2!AD26)&gt;660.4)),AND(E20="Samoa",LEN(Matrix2!AD26)=3,ISNUMBER(SEARCH("LLR",Matrix2!AD26)),(L20-44)/LEN(Matrix2!AD26)&gt;508),AND(E20="Samoa",LEN(Matrix2!AD26)=3,ISNUMBER(SEARCH("LRR",Matrix2!AD26)),(L20-44)/LEN(Matrix2!AD26)&gt;508),AND(LEN(Matrix2!AD26)&gt;=3,D20="Tracked",I20="Top Track Only",((L20-44)/LEN(Matrix2!AD26)&gt;550)),AND(LEN(Matrix2!AD26)&gt;=3,D20="Tracked",I20&lt;&gt;"Top Track Only",((L20-44)/LEN(Matrix2!AD26)&gt;660)))</xm:f>
            <x14:dxf>
              <fill>
                <patternFill>
                  <bgColor rgb="FFFF0000"/>
                </patternFill>
              </fill>
            </x14:dxf>
          </x14:cfRule>
          <x14:cfRule type="expression" priority="611" id="{A3353058-0EFF-48BD-BB67-D15DA53D6B37}">
            <xm:f>OR(AND(E20="Fiji",H20="47mm",LEN(Matrix2!AD26)=1,(L20-44)&gt;750),AND(E20="Fiji",H20="47mm",LEN(Matrix2!AD26)=2,ISNUMBER(SEARCH("LL",Matrix2!AD26)),(L20-44)&gt;1320),AND(E20="Fiji",H20="47mm",LEN(Matrix2!AD26)=2,ISNUMBER(SEARCH("RR",Matrix2!AD26)),(L20-44)&gt;1320),AND(E20="Fiji",H20&lt;&gt;"47mm",H20&lt;&gt;"89mm",H20&lt;&gt;"114mm",LEN(Matrix2!AD26)=1,(L20-44)&gt;890),AND(E20="Fiji",H20&lt;&gt;"47mm",H20&lt;&gt;"89mm",H20&lt;&gt;"114mm",LEN(Matrix2!AD26)=2,ISNUMBER(SEARCH("LL",Matrix2!AD26)),(L20-44)&gt;1320),AND(E20="Fiji",H20&lt;&gt;"47mm",H20&lt;&gt;"89mm",H20&lt;&gt;"114mm",LEN(Matrix2!AD26)=2,ISNUMBER(SEARCH("RR",Matrix2!AD26)),(L20-44)&gt;1320),AND(E20="Fiji",H20&lt;&gt;"47mm",H20&lt;&gt;"63mm",H20&lt;&gt;"76mm",LEN(Matrix2!AD26)=1,(L20-44)&gt;1047),AND(E20="Fiji",H20&lt;&gt;"47mm",H20&lt;&gt;"63mm",H20&lt;&gt;"76mm",LEN(Matrix2!AD26)=2,ISNUMBER(SEARCH("LL",Matrix2!AD26)),(L20-44)&gt;1320),AND(E20="Fiji",H20&lt;&gt;"47mm",H20&lt;&gt;"63mm",H20&lt;&gt;"76mm",LEN(Matrix2!AD26)=2,ISNUMBER(SEARCH("RR",Matrix2!AD26)),(L20-44)&gt;1320),AND(LEN(Matrix2!AD26)&gt;=3,D20&lt;&gt;"Tracked",ISERROR(FIND("LLRR",Matrix2!AD26))=FALSE,((L20-44)/LEN(Matrix2!AD26)&gt;660)),AND(E20="Fiji",LEN(Matrix2!AD26)=3,ISNUMBER(SEARCH("LLR",Matrix2!AD26)),(L20-44)/LEN(Matrix2!AD26)&gt;660),AND(E20="Fiji",LEN(Matrix2!AD26)=3,ISNUMBER(SEARCH("LRR",Matrix2!AD26)),(L20-44)/LEN(Matrix2!AD26)&gt;660),AND(LEN(Matrix2!AD26)&gt;=3,D20="Tracked",I20="Top Track Only",((L20-44)/LEN(Matrix2!AD26)&gt;550)),AND(LEN(Matrix2!AD26)&gt;=3,D20="Tracked",I20&lt;&gt;"Top Track Only",((L20-44)/LEN(Matrix2!AD26)&gt;660)))</xm:f>
            <x14:dxf>
              <fill>
                <patternFill>
                  <bgColor rgb="FFFF0000"/>
                </patternFill>
              </fill>
            </x14:dxf>
          </x14:cfRule>
          <x14:cfRule type="expression" priority="612" id="{6C465440-76E8-42AB-B6AC-244C37066236}">
            <xm:f>OR(AND(E20="Cuba",H20="47mm",LEN(Matrix2!AD26)=1,(L20-44)&gt;750),AND(E20="Cuba",H20="47mm",LEN(Matrix2!AD26)=2,ISNUMBER(SEARCH("LL",Matrix2!AD26)),(L20-44)&gt;1320),AND(E20="Cuba",H20="47mm",LEN(Matrix2!AD26)=2,ISNUMBER(SEARCH("RR",Matrix2!AD26)),(L20-44)&gt;1320),AND(E20="Cuba",H20&lt;&gt;"47mm",LEN(Matrix2!AD26)=1,(L20-44)&gt;890),AND(E20="Cuba",H20&lt;&gt;"47mm",LEN(Matrix2!AD26)=2,ISNUMBER(SEARCH("LL",Matrix2!AD26)),(L20-44)&gt;1320),AND(E20="Cuba",H20&lt;&gt;"47mm",LEN(Matrix2!AD26)=2,ISNUMBER(SEARCH("RR",Matrix2!AD26)),(L20-44)&gt;1320),AND(LEN(Matrix2!AD26)&gt;=3,D20&lt;&gt;"Tracked",ISERROR(FIND("LLRR",Matrix2!AD26))=FALSE,((L20-44)/LEN(Matrix2!AD26)&gt;660)),AND(E20="Cuba",LEN(Matrix2!AD26)=3,ISNUMBER(SEARCH("LLR",Matrix2!AD26)),(L20-44)/LEN(Matrix2!AD26)&gt;660),AND(E20="Cuba",LEN(Matrix2!AD26)=3,ISNUMBER(SEARCH("LRR",Matrix2!AD26)),(L20-44)/LEN(Matrix2!AD26)&gt;660))</xm:f>
            <x14:dxf>
              <fill>
                <patternFill>
                  <bgColor rgb="FFFF0000"/>
                </patternFill>
              </fill>
            </x14:dxf>
          </x14:cfRule>
          <x14:cfRule type="expression" priority="613" id="{A57BB1E8-4933-4317-97AD-C1B93275F93A}">
            <xm:f>OR(AND(E20="Antigua",H20="47mm",(L20-Data!Y2)/LEN(Matrix2!AD26)&gt;600),AND(E20="Antigua",H20&lt;&gt;"47mm",(L20-Data!Y2)/LEN(Matrix2!AD26)&gt;750))</xm:f>
            <x14:dxf>
              <fill>
                <patternFill>
                  <bgColor rgb="FFFF0000"/>
                </patternFill>
              </fill>
            </x14:dxf>
          </x14:cfRule>
          <x14:cfRule type="expression" priority="614" id="{99D6CCFA-01C4-47E5-9BE0-81B4BB8A9A44}">
            <xm:f>OR(AND(E20="Bermuda",H20="47mm",(L20-Data!Y2)/LEN(Matrix2!AD26)&gt;610),AND(E20="Bermuda",H20&lt;&gt;"47mm",LEN(Matrix2!AD26)=1,L20&gt;915),AND(E20="Bermuda",H20&lt;&gt;"47mm",LEN(Matrix2!AD26)=2,L20&gt;1830),AND(E20="Bermuda",H20&lt;&gt;"47mm",LEN(Matrix2!AD26)&gt;=3,L20/LEN(Matrix2!AD26)&gt;915))</xm:f>
            <x14:dxf>
              <fill>
                <patternFill>
                  <bgColor rgb="FFFF0000"/>
                </patternFill>
              </fill>
            </x14:dxf>
          </x14:cfRule>
          <x14:cfRule type="expression" priority="911" id="{E69BCBEC-1026-4929-A7DD-6593AA3FD39C}">
            <xm:f>AND(L20/LEN(Matrix2!AD26)&gt;600,E20="Antigua",$H20="47mm")</xm:f>
            <x14:dxf>
              <fill>
                <patternFill>
                  <bgColor rgb="FFFF0000"/>
                </patternFill>
              </fill>
            </x14:dxf>
          </x14:cfRule>
          <xm:sqref>L20:L22</xm:sqref>
        </x14:conditionalFormatting>
        <x14:conditionalFormatting xmlns:xm="http://schemas.microsoft.com/office/excel/2006/main">
          <x14:cfRule type="expression" priority="173" id="{C49BFF36-47F0-4A05-95E6-0EE8A4610945}">
            <xm:f>AND(E23="Antigua",LEFT(H23,2)&gt;=76,L23/Matrix2!AI61&gt;750)</xm:f>
            <x14:dxf>
              <fill>
                <patternFill>
                  <bgColor rgb="FFFF0000"/>
                </patternFill>
              </fill>
            </x14:dxf>
          </x14:cfRule>
          <x14:cfRule type="expression" priority="603" id="{99BE39CC-AE43-487F-932B-F02C5F98AC93}">
            <xm:f>OR(AND(E23="Samoa",H23="47mm",LEN(Matrix2!AD27)=1,(L23-44)&gt;762),AND(E23="Samoa",H23="47mm",LEN(Matrix2!AD27)=2,ISNUMBER(SEARCH("LL",Matrix2!AD27)),(L23-44)&gt;1320.8),AND(E23="Samoa",H23="47mm",LEN(Matrix2!AD27)=2,ISNUMBER(SEARCH("RR",Matrix2!AD27)),(L23-44)&gt;1320.8),AND(E23="Samoa",H23&lt;&gt;"47mm",H23&lt;&gt;"89mm",H23&lt;&gt;"114mm",LEN(Matrix2!AD27)=1,(L23-44)&gt;914.4),AND(E23="Samoa",H23&lt;&gt;"47mm",H23&lt;&gt;"89mm",H23&lt;&gt;"114mm",LEN(Matrix2!AD27)=2,ISNUMBER(SEARCH("LL",Matrix2!AD27)),(L23-44)&gt;1320.8),AND(E23="Samoa",H23&lt;&gt;"47mm",H23&lt;&gt;"89mm",H23&lt;&gt;"114mm",LEN(Matrix2!AD27)=2,ISNUMBER(SEARCH("RR",Matrix2!AD27)),(L23-44)&gt;1320.8),AND(E23="Samoa",H23&lt;&gt;"47mm",H23&lt;&gt;"63mm",H23&lt;&gt;"76mm",LEN(Matrix2!AD27)=1,(L23-44)&gt;1219.2),AND(E23="Samoa",H23&lt;&gt;"47mm",H23&lt;&gt;"63mm",H23&lt;&gt;"76mm",LEN(Matrix2!AD27)=2,ISNUMBER(SEARCH("LL",Matrix2!AD27)),(L23-44)&gt;1320.8), AND(E23="Samoa",H23&lt;&gt;"47mm",H23&lt;&gt;"63mm",H23&lt;&gt;"76mm",LEN(Matrix2!AD27)=2,ISNUMBER(SEARCH("RR",Matrix2!AD27)),(L23-44)&gt;1320.8),AND(LEN(Matrix2!AD27)&gt;=3,D23&lt;&gt;"Tracked",ISERROR(FIND("LLRR",Matrix2!AD27))=FALSE,((L23-44)/LEN(Matrix2!AD27)&gt;660.4)),AND(E23="Samoa",LEN(Matrix2!AD27)=3,ISNUMBER(SEARCH("LLR",Matrix2!AD27)),(L23-44)/LEN(Matrix2!AD27)&gt;508),AND(E23="Samoa",LEN(Matrix2!AD27)=3,ISNUMBER(SEARCH("LRR",Matrix2!AD27)),(L23-44)/LEN(Matrix2!AD27)&gt;508),AND(LEN(Matrix2!AD27)&gt;=3,D23="Tracked",I23="Top Track Only",((L23-44)/LEN(Matrix2!AD27)&gt;550)),AND(LEN(Matrix2!AD27)&gt;=3,D23="Tracked",I23&lt;&gt;"Top Track Only",((L23-44)/LEN(Matrix2!AD27)&gt;660)))</xm:f>
            <x14:dxf>
              <fill>
                <patternFill>
                  <bgColor rgb="FFFF0000"/>
                </patternFill>
              </fill>
            </x14:dxf>
          </x14:cfRule>
          <x14:cfRule type="expression" priority="604" id="{FB96B29F-4250-4B05-AE06-CA274F16803E}">
            <xm:f>OR(AND(E23="Fiji",H23="47mm",LEN(Matrix2!AD27)=1,(L23-44)&gt;750),AND(E23="Fiji",H23="47mm",LEN(Matrix2!AD27)=2,ISNUMBER(SEARCH("LL",Matrix2!AD27)),(L23-44)&gt;1320),AND(E23="Fiji",H23="47mm",LEN(Matrix2!AD27)=2,ISNUMBER(SEARCH("RR",Matrix2!AD27)),(L23-44)&gt;1320),AND(E23="Fiji",H23&lt;&gt;"47mm",H23&lt;&gt;"89mm",H23&lt;&gt;"114mm",LEN(Matrix2!AD27)=1,(L23-44)&gt;890),AND(E23="Fiji",H23&lt;&gt;"47mm",H23&lt;&gt;"89mm",H23&lt;&gt;"114mm",LEN(Matrix2!AD27)=2,ISNUMBER(SEARCH("LL",Matrix2!AD27)),(L23-44)&gt;1320),AND(E23="Fiji",H23&lt;&gt;"47mm",H23&lt;&gt;"89mm",H23&lt;&gt;"114mm",LEN(Matrix2!AD27)=2,ISNUMBER(SEARCH("RR",Matrix2!AD27)),(L23-44)&gt;1320),AND(E23="Fiji",H23&lt;&gt;"47mm",H23&lt;&gt;"63mm",H23&lt;&gt;"76mm",LEN(Matrix2!AD27)=1,(L23-44)&gt;1047),AND(E23="Fiji",H23&lt;&gt;"47mm",H23&lt;&gt;"63mm",H23&lt;&gt;"76mm",LEN(Matrix2!AD27)=2,ISNUMBER(SEARCH("LL",Matrix2!AD27)),(L23-44)&gt;1320),AND(E23="Fiji",H23&lt;&gt;"47mm",H23&lt;&gt;"63mm",H23&lt;&gt;"76mm",LEN(Matrix2!AD27)=2,ISNUMBER(SEARCH("RR",Matrix2!AD27)),(L23-44)&gt;1320),AND(LEN(Matrix2!AD27)&gt;=3,D23&lt;&gt;"Tracked",ISERROR(FIND("LLRR",Matrix2!AD27))=FALSE,((L23-44)/LEN(Matrix2!AD27)&gt;660)),AND(E23="Fiji",LEN(Matrix2!AD27)=3,ISNUMBER(SEARCH("LLR",Matrix2!AD27)),(L23-44)/LEN(Matrix2!AD27)&gt;660),AND(E23="Fiji",LEN(Matrix2!AD27)=3,ISNUMBER(SEARCH("LRR",Matrix2!AD27)),(L23-44)/LEN(Matrix2!AD27)&gt;660),AND(LEN(Matrix2!AD27)&gt;=3,D23="Tracked",I23="Top Track Only",((L23-44)/LEN(Matrix2!AD27)&gt;550)),AND(LEN(Matrix2!AD27)&gt;=3,D23="Tracked",I23&lt;&gt;"Top Track Only",((L23-44)/LEN(Matrix2!AD27)&gt;660)))</xm:f>
            <x14:dxf>
              <fill>
                <patternFill>
                  <bgColor rgb="FFFF0000"/>
                </patternFill>
              </fill>
            </x14:dxf>
          </x14:cfRule>
          <x14:cfRule type="expression" priority="605" id="{BEDE1601-FF08-4CB6-BFD5-15CB2985FAE2}">
            <xm:f>OR(AND(E23="Cuba",H23="47mm",LEN(Matrix2!AD27)=1,(L23-44)&gt;750),AND(E23="Cuba",H23="47mm",LEN(Matrix2!AD27)=2,ISNUMBER(SEARCH("LL",Matrix2!AD27)),(L23-44)&gt;1320),AND(E23="Cuba",H23="47mm",LEN(Matrix2!AD27)=2,ISNUMBER(SEARCH("RR",Matrix2!AD27)),(L23-44)&gt;1320),AND(E23="Cuba",H23&lt;&gt;"47mm",LEN(Matrix2!AD27)=1,(L23-44)&gt;890),AND(E23="Cuba",H23&lt;&gt;"47mm",LEN(Matrix2!AD27)=2,ISNUMBER(SEARCH("LL",Matrix2!AD27)),(L23-44)&gt;1320),AND(E23="Cuba",H23&lt;&gt;"47mm",LEN(Matrix2!AD27)=2,ISNUMBER(SEARCH("RR",Matrix2!AD27)),(L23-44)&gt;1320),AND(LEN(Matrix2!AD27)&gt;=3,D23&lt;&gt;"Tracked",ISERROR(FIND("LLRR",Matrix2!AD27))=FALSE,((L23-44)/LEN(Matrix2!AD27)&gt;660)),AND(E23="Cuba",LEN(Matrix2!AD27)=3,ISNUMBER(SEARCH("LLR",Matrix2!AD27)),(L23-44)/LEN(Matrix2!AD27)&gt;660),AND(E23="Cuba",LEN(Matrix2!AD27)=3,ISNUMBER(SEARCH("LRR",Matrix2!AD27)),(L23-44)/LEN(Matrix2!AD27)&gt;660))</xm:f>
            <x14:dxf>
              <fill>
                <patternFill>
                  <bgColor rgb="FFFF0000"/>
                </patternFill>
              </fill>
            </x14:dxf>
          </x14:cfRule>
          <x14:cfRule type="expression" priority="606" id="{1299C99E-77C9-4CF9-A817-246AAF65BAB6}">
            <xm:f>OR(AND(E23="Antigua",H23="47mm",(L23-Data!Y2)/LEN(Matrix2!AD27)&gt;600),AND(E23="Antigua",H23&lt;&gt;"47mm",(L23-Data!Y2)/LEN(Matrix2!AD27)&gt;750))</xm:f>
            <x14:dxf>
              <fill>
                <patternFill>
                  <bgColor rgb="FFFF0000"/>
                </patternFill>
              </fill>
            </x14:dxf>
          </x14:cfRule>
          <x14:cfRule type="expression" priority="607" id="{7DC6464D-18C0-4858-864D-394DB57CA589}">
            <xm:f>OR(AND(E23="Bermuda",H23="47mm",(L23-Data!Y2)/LEN(Matrix2!AD27)&gt;610),AND(E23="Bermuda",H23&lt;&gt;"47mm",LEN(Matrix2!AD27)=1,L23&gt;915),AND(E23="Bermuda",H23&lt;&gt;"47mm",LEN(Matrix2!AD27)=2,L23&gt;1830),AND(E23="Bermuda",H23&lt;&gt;"47mm",LEN(Matrix2!AD27)&gt;=3,L23/LEN(Matrix2!AD27)&gt;915))</xm:f>
            <x14:dxf>
              <fill>
                <patternFill>
                  <bgColor rgb="FFFF0000"/>
                </patternFill>
              </fill>
            </x14:dxf>
          </x14:cfRule>
          <x14:cfRule type="expression" priority="903" id="{1922EDE5-CA4E-4CC2-9568-36673B61F7D5}">
            <xm:f>AND(L23/LEN(Matrix2!AD27)&gt;600,E23="Antigua",$H23="47mm")</xm:f>
            <x14:dxf>
              <fill>
                <patternFill>
                  <bgColor rgb="FFFF0000"/>
                </patternFill>
              </fill>
            </x14:dxf>
          </x14:cfRule>
          <xm:sqref>L23</xm:sqref>
        </x14:conditionalFormatting>
        <x14:conditionalFormatting xmlns:xm="http://schemas.microsoft.com/office/excel/2006/main">
          <x14:cfRule type="expression" priority="172" id="{31E64079-DC38-40C4-A922-A82A64600C49}">
            <xm:f>AND(E26="Antigua",LEFT(H26,2)&gt;=76,L26/Matrix2!AJ61&gt;750)</xm:f>
            <x14:dxf>
              <fill>
                <patternFill>
                  <bgColor rgb="FFFF0000"/>
                </patternFill>
              </fill>
            </x14:dxf>
          </x14:cfRule>
          <x14:cfRule type="expression" priority="581" id="{E2F409BE-B42B-4211-951F-11781E561F2F}">
            <xm:f>OR(AND(E26="Samoa",H26="47mm",LEN(Matrix2!AD28)=1,(L26-44)&gt;762),AND(E26="Samoa",H26="47mm",LEN(Matrix2!AD28)=2,ISNUMBER(SEARCH("LL",Matrix2!AD28)),(L26-44)&gt;1320.8),AND(E26="Samoa",H26="47mm",LEN(Matrix2!AD28)=2,ISNUMBER(SEARCH("RR",Matrix2!AD28)),(L26-44)&gt;1320.8),AND(E26="Samoa",H26&lt;&gt;"47mm",H26&lt;&gt;"89mm",H26&lt;&gt;"114mm",LEN(Matrix2!AD28)=1,(L26-44)&gt;914.4),AND(E26="Samoa",H26&lt;&gt;"47mm",H26&lt;&gt;"89mm",H26&lt;&gt;"114mm",LEN(Matrix2!AD28)=2,ISNUMBER(SEARCH("LL",Matrix2!AD28)),(L26-44)&gt;1320.8),AND(E26="Samoa",H26&lt;&gt;"47mm",H26&lt;&gt;"89mm",H26&lt;&gt;"114mm",LEN(Matrix2!AD28)=2,ISNUMBER(SEARCH("RR",Matrix2!AD28)),(L26-44)&gt;1320.8),AND(E26="Samoa",H26&lt;&gt;"47mm",H26&lt;&gt;"63mm",H26&lt;&gt;"76mm",LEN(Matrix2!AD28)=1,(L26-44)&gt;1219.2),AND(E26="Samoa",H26&lt;&gt;"47mm",H26&lt;&gt;"63mm",H26&lt;&gt;"76mm",LEN(Matrix2!AD28)=2,ISNUMBER(SEARCH("LL",Matrix2!AD28)),(L26-44)&gt;1320.8), AND(E26="Samoa",H26&lt;&gt;"47mm",H26&lt;&gt;"63mm",H26&lt;&gt;"76mm",LEN(Matrix2!AD28)=2,ISNUMBER(SEARCH("RR",Matrix2!AD28)),(L26-44)&gt;1320.8),AND(LEN(Matrix2!AD28)&gt;=3,D26&lt;&gt;"Tracked",ISERROR(FIND("LLRR",Matrix2!AD28))=FALSE,((L26-44)/LEN(Matrix2!AD28)&gt;660.4)),AND(E26="Samoa",LEN(Matrix2!AD28)=3,ISNUMBER(SEARCH("LLR",Matrix2!AD28)),(L26-44)/LEN(Matrix2!AD28)&gt;508),AND(E26="Samoa",LEN(Matrix2!AD28)=3,ISNUMBER(SEARCH("LRR",Matrix2!AD28)),(L26-44)/LEN(Matrix2!AD28)&gt;508),AND(LEN(Matrix2!AD28)&gt;=3,D26="Tracked",I26="Top Track Only",((L26-44)/LEN(Matrix2!AD28)&gt;550)),AND(LEN(Matrix2!AD28)&gt;=3,D26="Tracked",I26&lt;&gt;"Top Track Only",((L26-44)/LEN(Matrix2!AD28)&gt;660)))</xm:f>
            <x14:dxf>
              <fill>
                <patternFill>
                  <bgColor rgb="FFFF0000"/>
                </patternFill>
              </fill>
            </x14:dxf>
          </x14:cfRule>
          <x14:cfRule type="expression" priority="582" id="{75BD5474-1373-4EFF-91FA-FC0244B392A7}">
            <xm:f>OR(AND(E26="Fiji",H26="47mm",LEN(Matrix2!AD28)=1,(L26-44)&gt;750),AND(E26="Fiji",H26="47mm",LEN(Matrix2!AD28)=2,ISNUMBER(SEARCH("LL",Matrix2!AD28)),(L26-44)&gt;1320),AND(E26="Fiji",H26="47mm",LEN(Matrix2!AD28)=2,ISNUMBER(SEARCH("RR",Matrix2!AD28)),(L26-44)&gt;1320),AND(E26="Fiji",H26&lt;&gt;"47mm",H26&lt;&gt;"89mm",H26&lt;&gt;"114mm",LEN(Matrix2!AD28)=1,(L26-44)&gt;890),AND(E26="Fiji",H26&lt;&gt;"47mm",H26&lt;&gt;"89mm",H26&lt;&gt;"114mm",LEN(Matrix2!AD28)=2,ISNUMBER(SEARCH("LL",Matrix2!AD28)),(L26-44)&gt;1320),AND(E26="Fiji",H26&lt;&gt;"47mm",H26&lt;&gt;"89mm",H26&lt;&gt;"114mm",LEN(Matrix2!AD28)=2,ISNUMBER(SEARCH("RR",Matrix2!AD28)),(L26-44)&gt;1320),AND(E26="Fiji",H26&lt;&gt;"47mm",H26&lt;&gt;"63mm",H26&lt;&gt;"76mm",LEN(Matrix2!AD28)=1,(L26-44)&gt;1047),AND(E26="Fiji",H26&lt;&gt;"47mm",H26&lt;&gt;"63mm",H26&lt;&gt;"76mm",LEN(Matrix2!AD28)=2,ISNUMBER(SEARCH("LL",Matrix2!AD28)),(L26-44)&gt;1320),AND(E26="Fiji",H26&lt;&gt;"47mm",H26&lt;&gt;"63mm",H26&lt;&gt;"76mm",LEN(Matrix2!AD28)=2,ISNUMBER(SEARCH("RR",Matrix2!AD28)),(L26-44)&gt;1320),AND(LEN(Matrix2!AD28)&gt;=3,D26&lt;&gt;"Tracked",ISERROR(FIND("LLRR",Matrix2!AD28))=FALSE,((L26-44)/LEN(Matrix2!AD28)&gt;660)),AND(E26="Fiji",LEN(Matrix2!AD28)=3,ISNUMBER(SEARCH("LLR",Matrix2!AD28)),(L26-44)/LEN(Matrix2!AD28)&gt;660),AND(E26="Fiji",LEN(Matrix2!AD28)=3,ISNUMBER(SEARCH("LRR",Matrix2!AD28)),(L26-44)/LEN(Matrix2!AD28)&gt;660),AND(LEN(Matrix2!AD28)&gt;=3,D26="Tracked",I26="Top Track Only",((L26-44)/LEN(Matrix2!AD28)&gt;550)),AND(LEN(Matrix2!AD28)&gt;=3,D26="Tracked",I26&lt;&gt;"Top Track Only",((L26-44)/LEN(Matrix2!AD28)&gt;660)))</xm:f>
            <x14:dxf>
              <fill>
                <patternFill>
                  <bgColor rgb="FFFF0000"/>
                </patternFill>
              </fill>
            </x14:dxf>
          </x14:cfRule>
          <x14:cfRule type="expression" priority="583" id="{BC44C330-4842-4F73-9627-5C90ED399CA3}">
            <xm:f>OR(AND(E26="Cuba",H26="47mm",LEN(Matrix2!AD28)=1,(L26-44)&gt;750),AND(E26="Cuba",H26="47mm",LEN(Matrix2!AD28)=2,ISNUMBER(SEARCH("LL",Matrix2!AD28)),(L26-44)&gt;1320),AND(E26="Cuba",H26="47mm",LEN(Matrix2!AD28)=2,ISNUMBER(SEARCH("RR",Matrix2!AD28)),(L26-44)&gt;1320),AND(E26="Cuba",H26&lt;&gt;"47mm",LEN(Matrix2!AD28)=1,(L26-44)&gt;890),AND(E26="Cuba",H26&lt;&gt;"47mm",LEN(Matrix2!AD28)=2,ISNUMBER(SEARCH("LL",Matrix2!AD28)),(L26-44)&gt;1320),AND(E26="Cuba",H26&lt;&gt;"47mm",LEN(Matrix2!AD28)=2,ISNUMBER(SEARCH("RR",Matrix2!AD28)),(L26-44)&gt;1320),AND(LEN(Matrix2!AD28)&gt;=3,D26&lt;&gt;"Tracked",ISERROR(FIND("LLRR",Matrix2!AD28))=FALSE,((L26-44)/LEN(Matrix2!AD28)&gt;660)),AND(E26="Cuba",LEN(Matrix2!AD28)=3,ISNUMBER(SEARCH("LLR",Matrix2!AD28)),(L26-44)/LEN(Matrix2!AD28)&gt;660),AND(E26="Cuba",LEN(Matrix2!AD28)=3,ISNUMBER(SEARCH("LRR",Matrix2!AD28)),(L26-44)/LEN(Matrix2!AD28)&gt;660))</xm:f>
            <x14:dxf>
              <fill>
                <patternFill>
                  <bgColor rgb="FFFF0000"/>
                </patternFill>
              </fill>
            </x14:dxf>
          </x14:cfRule>
          <x14:cfRule type="expression" priority="584" id="{530B2008-06FC-4372-BCF8-F2EB467C7382}">
            <xm:f>OR(AND(E26="Antigua",H26="47mm",(L26-Data!Y2)/LEN(Matrix2!AD28)&gt;600),AND(E26="Antigua",H26&lt;&gt;"47mm",(L26-Data!Y2)/LEN(Matrix2!AD28)&gt;750))</xm:f>
            <x14:dxf>
              <fill>
                <patternFill>
                  <bgColor rgb="FFFF0000"/>
                </patternFill>
              </fill>
            </x14:dxf>
          </x14:cfRule>
          <x14:cfRule type="expression" priority="585" id="{D00D3D44-D937-4F9E-BF08-A119824E0F82}">
            <xm:f>OR(AND(E26="Bermuda",H26="47mm",(L26-Data!Y2)/LEN(Matrix2!AD28)&gt;610),AND(E26="Bermuda",H26&lt;&gt;"47mm",LEN(Matrix2!AD28)=1,L26&gt;915),AND(E26="Bermuda",H26&lt;&gt;"47mm",LEN(Matrix2!AD28)=2,L26&gt;1830),AND(E26="Bermuda",H26&lt;&gt;"47mm",LEN(Matrix2!AD28)&gt;=3,L26/LEN(Matrix2!AD28)&gt;915))</xm:f>
            <x14:dxf>
              <fill>
                <patternFill>
                  <bgColor rgb="FFFF0000"/>
                </patternFill>
              </fill>
            </x14:dxf>
          </x14:cfRule>
          <x14:cfRule type="expression" priority="593" id="{0383FAB9-56D9-45F0-9FEA-3FEC1FC03C29}">
            <xm:f>AND(L26/LEN(Matrix2!AD28)&gt;600,E26="Antigua",$H26="47mm")</xm:f>
            <x14:dxf>
              <fill>
                <patternFill>
                  <bgColor rgb="FFFF0000"/>
                </patternFill>
              </fill>
            </x14:dxf>
          </x14:cfRule>
          <xm:sqref>L26</xm:sqref>
        </x14:conditionalFormatting>
        <x14:conditionalFormatting xmlns:xm="http://schemas.microsoft.com/office/excel/2006/main">
          <x14:cfRule type="expression" priority="171" id="{7ECA48C9-40E7-4EB7-9304-220F97F1A385}">
            <xm:f>AND(E29="Antigua",LEFT(H29,2)&gt;=76,L29/Matrix2!AK61&gt;750)</xm:f>
            <x14:dxf>
              <fill>
                <patternFill>
                  <bgColor rgb="FFFF0000"/>
                </patternFill>
              </fill>
            </x14:dxf>
          </x14:cfRule>
          <x14:cfRule type="expression" priority="574" id="{FAD934FE-BFA3-48AD-94A5-8999A06C20CF}">
            <xm:f>OR(AND(E29="Samoa",H29="47mm",LEN(Matrix2!AD29)=1,(L29-44)&gt;762),AND(E29="Samoa",H29="47mm",LEN(Matrix2!AD29)=2,ISNUMBER(SEARCH("LL",Matrix2!AD29)),(L29-44)&gt;1320.8),AND(E29="Samoa",H29="47mm",LEN(Matrix2!AD29)=2,ISNUMBER(SEARCH("RR",Matrix2!AD29)),(L29-44)&gt;1320.8),AND(E29="Samoa",H29&lt;&gt;"47mm",H29&lt;&gt;"89mm",H29&lt;&gt;"114mm",LEN(Matrix2!AD29)=1,(L29-44)&gt;914.4),AND(E29="Samoa",H29&lt;&gt;"47mm",H29&lt;&gt;"89mm",H29&lt;&gt;"114mm",LEN(Matrix2!AD29)=2,ISNUMBER(SEARCH("LL",Matrix2!AD29)),(L29-44)&gt;1320.8),AND(E29="Samoa",H29&lt;&gt;"47mm",H29&lt;&gt;"89mm",H29&lt;&gt;"114mm",LEN(Matrix2!AD29)=2,ISNUMBER(SEARCH("RR",Matrix2!AD29)),(L29-44)&gt;1320.8),AND(E29="Samoa",H29&lt;&gt;"47mm",H29&lt;&gt;"63mm",H29&lt;&gt;"76mm",LEN(Matrix2!AD29)=1,(L29-44)&gt;1219.2),AND(E29="Samoa",H29&lt;&gt;"47mm",H29&lt;&gt;"63mm",H29&lt;&gt;"76mm",LEN(Matrix2!AD29)=2,ISNUMBER(SEARCH("LL",Matrix2!AD29)),(L29-44)&gt;1320.8), AND(E29="Samoa",H29&lt;&gt;"47mm",H29&lt;&gt;"63mm",H29&lt;&gt;"76mm",LEN(Matrix2!AD29)=2,ISNUMBER(SEARCH("RR",Matrix2!AD29)),(L29-44)&gt;1320.8),AND(LEN(Matrix2!AD29)&gt;=3,D29&lt;&gt;"Tracked",ISERROR(FIND("LLRR",Matrix2!AD29))=FALSE,((L29-44)/LEN(Matrix2!AD29)&gt;660.4)),AND(E29="Samoa",LEN(Matrix2!AD29)=3,ISNUMBER(SEARCH("LLR",Matrix2!AD29)),(L29-44)/LEN(Matrix2!AD29)&gt;508),AND(E29="Samoa",LEN(Matrix2!AD29)=3,ISNUMBER(SEARCH("LRR",Matrix2!AD29)),(L29-44)/LEN(Matrix2!AD29)&gt;508),AND(LEN(Matrix2!AD29)&gt;=3,D29="Tracked",I29="Top Track Only",((L29-44)/LEN(Matrix2!AD29)&gt;550)),AND(LEN(Matrix2!AD29)&gt;=3,D29="Tracked",I29&lt;&gt;"Top Track Only",((L29-44)/LEN(Matrix2!AD29)&gt;660)))</xm:f>
            <x14:dxf>
              <fill>
                <patternFill>
                  <bgColor rgb="FFFF0000"/>
                </patternFill>
              </fill>
            </x14:dxf>
          </x14:cfRule>
          <x14:cfRule type="expression" priority="575" id="{3376F62A-5AC8-4563-AD03-D3A67DBBEE51}">
            <xm:f>OR(AND(E29="Fiji",H29="47mm",LEN(Matrix2!AD29)=1,(L29-44)&gt;750),AND(E29="Fiji",H29="47mm",LEN(Matrix2!AD29)=2,ISNUMBER(SEARCH("LL",Matrix2!AD29)),(L29-44)&gt;1320),AND(E29="Fiji",H29="47mm",LEN(Matrix2!AD29)=2,ISNUMBER(SEARCH("RR",Matrix2!AD29)),(L29-44)&gt;1320),AND(E29="Fiji",H29&lt;&gt;"47mm",H29&lt;&gt;"89mm",H29&lt;&gt;"114mm",LEN(Matrix2!AD29)=1,(L29-44)&gt;890),AND(E29="Fiji",H29&lt;&gt;"47mm",H29&lt;&gt;"89mm",H29&lt;&gt;"114mm",LEN(Matrix2!AD29)=2,ISNUMBER(SEARCH("LL",Matrix2!AD29)),(L29-44)&gt;1320),AND(E29="Fiji",H29&lt;&gt;"47mm",H29&lt;&gt;"89mm",H29&lt;&gt;"114mm",LEN(Matrix2!AD29)=2,ISNUMBER(SEARCH("RR",Matrix2!AD29)),(L29-44)&gt;1320),AND(E29="Fiji",H29&lt;&gt;"47mm",H29&lt;&gt;"63mm",H29&lt;&gt;"76mm",LEN(Matrix2!AD29)=1,(L29-44)&gt;1047),AND(E29="Fiji",H29&lt;&gt;"47mm",H29&lt;&gt;"63mm",H29&lt;&gt;"76mm",LEN(Matrix2!AD29)=2,ISNUMBER(SEARCH("LL",Matrix2!AD29)),(L29-44)&gt;1320),AND(E29="Fiji",H29&lt;&gt;"47mm",H29&lt;&gt;"63mm",H29&lt;&gt;"76mm",LEN(Matrix2!AD29)=2,ISNUMBER(SEARCH("RR",Matrix2!AD29)),(L29-44)&gt;1320),AND(LEN(Matrix2!AD29)&gt;=3,D29&lt;&gt;"Tracked",ISERROR(FIND("LLRR",Matrix2!AD29))=FALSE,((L29-44)/LEN(Matrix2!AD29)&gt;660)),AND(E29="Fiji",LEN(Matrix2!AD29)=3,ISNUMBER(SEARCH("LLR",Matrix2!AD29)),(L29-44)/LEN(Matrix2!AD29)&gt;660),AND(E29="Fiji",LEN(Matrix2!AD29)=3,ISNUMBER(SEARCH("LRR",Matrix2!AD29)),(L29-44)/LEN(Matrix2!AD29)&gt;660),AND(LEN(Matrix2!AD29)&gt;=3,D29="Tracked",I29="Top Track Only",((L29-44)/LEN(Matrix2!AD29)&gt;550)),AND(LEN(Matrix2!AD29)&gt;=3,D29="Tracked",I29&lt;&gt;"Top Track Only",((L29-44)/LEN(Matrix2!AD29)&gt;660)))</xm:f>
            <x14:dxf>
              <fill>
                <patternFill>
                  <bgColor rgb="FFFF0000"/>
                </patternFill>
              </fill>
            </x14:dxf>
          </x14:cfRule>
          <x14:cfRule type="expression" priority="576" id="{4E017A2F-D9E5-45DC-8530-E06E2B71E2D1}">
            <xm:f>OR(AND(E29="Cuba",H29="47mm",LEN(Matrix2!AD29)=1,(L29-44)&gt;750),AND(E29="Cuba",H29="47mm",LEN(Matrix2!AD29)=2,ISNUMBER(SEARCH("LL",Matrix2!AD29)),(L29-44)&gt;1320),AND(E29="Cuba",H29="47mm",LEN(Matrix2!AD29)=2,ISNUMBER(SEARCH("RR",Matrix2!AD29)),(L29-44)&gt;1320),AND(E29="Cuba",H29&lt;&gt;"47mm",LEN(Matrix2!AD29)=1,(L29-44)&gt;890),AND(E29="Cuba",H29&lt;&gt;"47mm",LEN(Matrix2!AD29)=2,ISNUMBER(SEARCH("LL",Matrix2!AD29)),(L29-44)&gt;1320),AND(E29="Cuba",H29&lt;&gt;"47mm",LEN(Matrix2!AD29)=2,ISNUMBER(SEARCH("RR",Matrix2!AD29)),(L29-44)&gt;1320),AND(LEN(Matrix2!AD29)&gt;=3,D29&lt;&gt;"Tracked",ISERROR(FIND("LLRR",Matrix2!AD29))=FALSE,((L29-44)/LEN(Matrix2!AD29)&gt;660)),AND(E29="Cuba",LEN(Matrix2!AD29)=3,ISNUMBER(SEARCH("LLR",Matrix2!AD29)),(L29-44)/LEN(Matrix2!AD29)&gt;660),AND(E29="Cuba",LEN(Matrix2!AD29)=3,ISNUMBER(SEARCH("LRR",Matrix2!AD29)),(L29-44)/LEN(Matrix2!AD29)&gt;660))</xm:f>
            <x14:dxf>
              <fill>
                <patternFill>
                  <bgColor rgb="FFFF0000"/>
                </patternFill>
              </fill>
            </x14:dxf>
          </x14:cfRule>
          <x14:cfRule type="expression" priority="577" id="{2B7A0EDD-B272-4A09-B5F2-26E371312CB6}">
            <xm:f>OR(AND(E29="Antigua",H29="47mm",(L29-Data!Y2)/LEN(Matrix2!AD29)&gt;600),AND(E29="Antigua",H29&lt;&gt;"47mm",(L29-Data!Y2)/LEN(Matrix2!AD29)&gt;750))</xm:f>
            <x14:dxf>
              <fill>
                <patternFill>
                  <bgColor rgb="FFFF0000"/>
                </patternFill>
              </fill>
            </x14:dxf>
          </x14:cfRule>
          <x14:cfRule type="expression" priority="578" id="{6B316164-C098-447A-BCEF-3C8997A1E7A2}">
            <xm:f>OR(AND(E29="Bermuda",H29="47mm",(L29-Data!Y2)/LEN(Matrix2!AD29)&gt;610),AND(E29="Bermuda",H29&lt;&gt;"47mm",LEN(Matrix2!AD29)=1,L29&gt;915),AND(E29="Bermuda",H29&lt;&gt;"47mm",LEN(Matrix2!AD29)=2,L29&gt;1830),AND(E29="Bermuda",H29&lt;&gt;"47mm",LEN(Matrix2!AD29)&gt;=3,L29/LEN(Matrix2!AD29)&gt;915))</xm:f>
            <x14:dxf>
              <fill>
                <patternFill>
                  <bgColor rgb="FFFF0000"/>
                </patternFill>
              </fill>
            </x14:dxf>
          </x14:cfRule>
          <x14:cfRule type="expression" priority="586" id="{41762E60-0078-4C0A-8929-27DCF74C17AC}">
            <xm:f>AND(L29/LEN(Matrix2!AD29)&gt;600,E29="Antigua",$H29="47mm")</xm:f>
            <x14:dxf>
              <fill>
                <patternFill>
                  <bgColor rgb="FFFF0000"/>
                </patternFill>
              </fill>
            </x14:dxf>
          </x14:cfRule>
          <xm:sqref>L29</xm:sqref>
        </x14:conditionalFormatting>
        <x14:conditionalFormatting xmlns:xm="http://schemas.microsoft.com/office/excel/2006/main">
          <x14:cfRule type="expression" priority="170" id="{5875A961-5CDB-4BCC-9127-1294E890D078}">
            <xm:f>AND(E32="Antigua",LEFT(H32,2)&gt;=76,L32/Matrix2!AL61&gt;750)</xm:f>
            <x14:dxf>
              <fill>
                <patternFill>
                  <bgColor rgb="FFFF0000"/>
                </patternFill>
              </fill>
            </x14:dxf>
          </x14:cfRule>
          <x14:cfRule type="expression" priority="562" id="{46FF77C8-0C94-48DE-AB76-4D4BD7A1C197}">
            <xm:f>OR(AND(E32="Samoa",H32="47mm",LEN(Matrix2!AD30)=1,(L32-44)&gt;762),AND(E32="Samoa",H32="47mm",LEN(Matrix2!AD30)=2,ISNUMBER(SEARCH("LL",Matrix2!AD30)),(L32-44)&gt;1320.8),AND(E32="Samoa",H32="47mm",LEN(Matrix2!AD30)=2,ISNUMBER(SEARCH("RR",Matrix2!AD30)),(L32-44)&gt;1320.8),AND(E32="Samoa",H32&lt;&gt;"47mm",H32&lt;&gt;"89mm",H32&lt;&gt;"114mm",LEN(Matrix2!AD30)=1,(L32-44)&gt;914.4),AND(E32="Samoa",H32&lt;&gt;"47mm",H32&lt;&gt;"89mm",H32&lt;&gt;"114mm",LEN(Matrix2!AD30)=2,ISNUMBER(SEARCH("LL",Matrix2!AD30)),(L32-44)&gt;1320.8),AND(E32="Samoa",H32&lt;&gt;"47mm",H32&lt;&gt;"89mm",H32&lt;&gt;"114mm",LEN(Matrix2!AD30)=2,ISNUMBER(SEARCH("RR",Matrix2!AD30)),(L32-44)&gt;1320.8),AND(E32="Samoa",H32&lt;&gt;"47mm",H32&lt;&gt;"63mm",H32&lt;&gt;"76mm",LEN(Matrix2!AD30)=1,(L32-44)&gt;1219.2),AND(E32="Samoa",H32&lt;&gt;"47mm",H32&lt;&gt;"63mm",H32&lt;&gt;"76mm",LEN(Matrix2!AD30)=2,ISNUMBER(SEARCH("LL",Matrix2!AD30)),(L32-44)&gt;1320.8), AND(E32="Samoa",H32&lt;&gt;"47mm",H32&lt;&gt;"63mm",H32&lt;&gt;"76mm",LEN(Matrix2!AD30)=2,ISNUMBER(SEARCH("RR",Matrix2!AD30)),(L32-44)&gt;1320.8),AND(LEN(Matrix2!AD30)&gt;=3,D32&lt;&gt;"Tracked",ISERROR(FIND("LLRR",Matrix2!AD30))=FALSE,((L32-44)/LEN(Matrix2!AD30)&gt;660.4)),AND(E32="Samoa",LEN(Matrix2!AD30)=3,ISNUMBER(SEARCH("LLR",Matrix2!AD30)),(L32-44)/LEN(Matrix2!AD30)&gt;508),AND(E32="Samoa",LEN(Matrix2!AD30)=3,ISNUMBER(SEARCH("LRR",Matrix2!AD30)),(L32-44)/LEN(Matrix2!AD30)&gt;508),AND(LEN(Matrix2!AD30)&gt;=3,D32="Tracked",I32="Top Track Only",((L32-44)/LEN(Matrix2!AD30)&gt;550)),AND(LEN(Matrix2!AD30)&gt;=3,D32="Tracked",I32&lt;&gt;"Top Track Only",((L32-44)/LEN(Matrix2!AD30)&gt;660)))</xm:f>
            <x14:dxf>
              <fill>
                <patternFill>
                  <bgColor rgb="FFFF0000"/>
                </patternFill>
              </fill>
            </x14:dxf>
          </x14:cfRule>
          <x14:cfRule type="expression" priority="563" id="{D893DE70-826F-48DE-951B-5B38FF7FDB28}">
            <xm:f>OR(AND(E32="Fiji",H32="47mm",LEN(Matrix2!AD30)=1,(L32-44)&gt;750),AND(E32="Fiji",H32="47mm",LEN(Matrix2!AD30)=2,ISNUMBER(SEARCH("LL",Matrix2!AD30)),(L32-44)&gt;1320),AND(E32="Fiji",H32="47mm",LEN(Matrix2!AD30)=2,ISNUMBER(SEARCH("RR",Matrix2!AD30)),(L32-44)&gt;1320),AND(E32="Fiji",H32&lt;&gt;"47mm",H32&lt;&gt;"89mm",H32&lt;&gt;"114mm",LEN(Matrix2!AD30)=1,(L32-44)&gt;890),AND(E32="Fiji",H32&lt;&gt;"47mm",H32&lt;&gt;"89mm",H32&lt;&gt;"114mm",LEN(Matrix2!AD30)=2,ISNUMBER(SEARCH("LL",Matrix2!AD30)),(L32-44)&gt;1320),AND(E32="Fiji",H32&lt;&gt;"47mm",H32&lt;&gt;"89mm",H32&lt;&gt;"114mm",LEN(Matrix2!AD30)=2,ISNUMBER(SEARCH("RR",Matrix2!AD30)),(L32-44)&gt;1320),AND(E32="Fiji",H32&lt;&gt;"47mm",H32&lt;&gt;"63mm",H32&lt;&gt;"76mm",LEN(Matrix2!AD30)=1,(L32-44)&gt;1047),AND(E32="Fiji",H32&lt;&gt;"47mm",H32&lt;&gt;"63mm",H32&lt;&gt;"76mm",LEN(Matrix2!AD30)=2,ISNUMBER(SEARCH("LL",Matrix2!AD30)),(L32-44)&gt;1320),AND(E32="Fiji",H32&lt;&gt;"47mm",H32&lt;&gt;"63mm",H32&lt;&gt;"76mm",LEN(Matrix2!AD30)=2,ISNUMBER(SEARCH("RR",Matrix2!AD30)),(L32-44)&gt;1320),AND(LEN(Matrix2!AD30)&gt;=3,D32&lt;&gt;"Tracked",ISERROR(FIND("LLRR",Matrix2!AD30))=FALSE,((L32-44)/LEN(Matrix2!AD30)&gt;660)),AND(E32="Fiji",LEN(Matrix2!AD30)=3,ISNUMBER(SEARCH("LLR",Matrix2!AD30)),(L32-44)/LEN(Matrix2!AD30)&gt;660),AND(E32="Fiji",LEN(Matrix2!AD30)=3,ISNUMBER(SEARCH("LRR",Matrix2!AD30)),(L32-44)/LEN(Matrix2!AD30)&gt;660),AND(LEN(Matrix2!AD30)&gt;=3,D32="Tracked",I32="Top Track Only",((L32-44)/LEN(Matrix2!AD30)&gt;550)),AND(LEN(Matrix2!AD30)&gt;=3,D32="Tracked",I32&lt;&gt;"Top Track Only",((L32-44)/LEN(Matrix2!AD30)&gt;660)))</xm:f>
            <x14:dxf>
              <fill>
                <patternFill>
                  <bgColor rgb="FFFF0000"/>
                </patternFill>
              </fill>
            </x14:dxf>
          </x14:cfRule>
          <x14:cfRule type="expression" priority="564" id="{35726770-5E43-4BD4-9887-91564FDA8ADF}">
            <xm:f>OR(AND(E32="Cuba",H32="47mm",LEN(Matrix2!AD30)=1,(L32-44)&gt;750),AND(E32="Cuba",H32="47mm",LEN(Matrix2!AD30)=2,ISNUMBER(SEARCH("LL",Matrix2!AD30)),(L32-44)&gt;1320),AND(E32="Cuba",H32="47mm",LEN(Matrix2!AD30)=2,ISNUMBER(SEARCH("RR",Matrix2!AD30)),(L32-44)&gt;1320),AND(E32="Cuba",H32&lt;&gt;"47mm",LEN(Matrix2!AD30)=1,(L32-44)&gt;890),AND(E32="Cuba",H32&lt;&gt;"47mm",LEN(Matrix2!AD30)=2,ISNUMBER(SEARCH("LL",Matrix2!AD30)),(L32-44)&gt;1320),AND(E32="Cuba",H32&lt;&gt;"47mm",LEN(Matrix2!AD30)=2,ISNUMBER(SEARCH("RR",Matrix2!AD30)),(L32-44)&gt;1320),AND(LEN(Matrix2!AD30)&gt;=3,D32&lt;&gt;"Tracked",ISERROR(FIND("LLRR",Matrix2!AD30))=FALSE,((L32-44)/LEN(Matrix2!AD30)&gt;660)),AND(E32="Cuba",LEN(Matrix2!AD30)=3,ISNUMBER(SEARCH("LLR",Matrix2!AD30)),(L32-44)/LEN(Matrix2!AD30)&gt;660),AND(E32="Cuba",LEN(Matrix2!AD30)=3,ISNUMBER(SEARCH("LRR",Matrix2!AD30)),(L32-44)/LEN(Matrix2!AD30)&gt;660))</xm:f>
            <x14:dxf>
              <fill>
                <patternFill>
                  <bgColor rgb="FFFF0000"/>
                </patternFill>
              </fill>
            </x14:dxf>
          </x14:cfRule>
          <x14:cfRule type="expression" priority="565" id="{6564DDDB-551D-484E-9FBF-140959C53440}">
            <xm:f>OR(AND(E32="Antigua",H32="47mm",(L32-Data!Y2)/LEN(Matrix2!AD30)&gt;600),AND(E32="Antigua",H32&lt;&gt;"47mm",(L32-Data!Y2)/LEN(Matrix2!AD30)&gt;750))</xm:f>
            <x14:dxf>
              <fill>
                <patternFill>
                  <bgColor rgb="FFFF0000"/>
                </patternFill>
              </fill>
            </x14:dxf>
          </x14:cfRule>
          <x14:cfRule type="expression" priority="566" id="{6D6AB742-8A1D-4315-A7F1-6032B4A17E80}">
            <xm:f>OR(AND(E32="Bermuda",H32="47mm",(L32-Data!Y2)/LEN(Matrix2!AD30)&gt;610),AND(E32="Bermuda",H32&lt;&gt;"47mm",LEN(Matrix2!AD30)=1,L32&gt;915),AND(E32="Bermuda",H32&lt;&gt;"47mm",LEN(Matrix2!AD30)=2,L32&gt;1830),AND(E32="Bermuda",H32&lt;&gt;"47mm",LEN(Matrix2!AD30)&gt;=3,L32/LEN(Matrix2!AD30)&gt;915))</xm:f>
            <x14:dxf>
              <fill>
                <patternFill>
                  <bgColor rgb="FFFF0000"/>
                </patternFill>
              </fill>
            </x14:dxf>
          </x14:cfRule>
          <x14:cfRule type="expression" priority="567" id="{AAD70538-926F-4AF6-9612-AA737CB5335D}">
            <xm:f>AND(L32/LEN(Matrix2!AD30)&gt;600,E32="Antigua",$H32="47mm")</xm:f>
            <x14:dxf>
              <fill>
                <patternFill>
                  <bgColor rgb="FFFF0000"/>
                </patternFill>
              </fill>
            </x14:dxf>
          </x14:cfRule>
          <xm:sqref>L32</xm:sqref>
        </x14:conditionalFormatting>
        <x14:conditionalFormatting xmlns:xm="http://schemas.microsoft.com/office/excel/2006/main">
          <x14:cfRule type="expression" priority="169" id="{9A6E0444-9BCB-47B4-B4D3-F017C5C97E24}">
            <xm:f>AND(E35="Antigua",LEFT(H35,2)&gt;=76,L35/Matrix2!AM61&gt;750)</xm:f>
            <x14:dxf>
              <fill>
                <patternFill>
                  <bgColor rgb="FFFF0000"/>
                </patternFill>
              </fill>
            </x14:dxf>
          </x14:cfRule>
          <x14:cfRule type="expression" priority="541" id="{4D79D8C9-D18C-48E7-A7D1-4DC1028ED287}">
            <xm:f>OR(AND(E35="Samoa",H35="47mm",LEN(Matrix2!AD31)=1,(L35-44)&gt;762),AND(E35="Samoa",H35="47mm",LEN(Matrix2!AD31)=2,ISNUMBER(SEARCH("LL",Matrix2!AD31)),(L35-44)&gt;1320.8),AND(E35="Samoa",H35="47mm",LEN(Matrix2!AD31)=2,ISNUMBER(SEARCH("RR",Matrix2!AD31)),(L35-44)&gt;1320.8),AND(E35="Samoa",H35&lt;&gt;"47mm",H35&lt;&gt;"89mm",H35&lt;&gt;"114mm",LEN(Matrix2!AD32)=1,(L35-44)&gt;914.4),AND(E35="Samoa",H35&lt;&gt;"47mm",H35&lt;&gt;"89mm",H35&lt;&gt;"114mm",LEN(Matrix2!AD32)=2,ISNUMBER(SEARCH("LL",Matrix2!AD31)),(L35-44)&gt;1320.8),AND(E35="Samoa",H35&lt;&gt;"47mm",H35&lt;&gt;"89mm",H35&lt;&gt;"114mm",LEN(Matrix2!AD31)=2,ISNUMBER(SEARCH("RR",Matrix2!AD31)),(L35-44)&gt;1320.8),AND(E35="Samoa",H35&lt;&gt;"47mm",H35&lt;&gt;"63mm",H35&lt;&gt;"76mm",LEN(Matrix2!AD31)=1,(L35-44)&gt;1219.2),AND(E35="Samoa",H35&lt;&gt;"47mm",H35&lt;&gt;"63mm",H35&lt;&gt;"76mm",LEN(Matrix2!AD31)=2,ISNUMBER(SEARCH("LL",Matrix2!AD31)),(L35-44)&gt;1320.8), AND(E35="Samoa",H35&lt;&gt;"47mm",H35&lt;&gt;"63mm",H35&lt;&gt;"76mm",LEN(Matrix2!AD31)=2,ISNUMBER(SEARCH("RR",Matrix2!AD31)),(L35-44)&gt;1320.8),AND(LEN(Matrix2!AD31)&gt;=3,D35&lt;&gt;"Tracked",ISERROR(FIND("LLRR",Matrix2!AD31))=FALSE,((L35-44)/LEN(Matrix2!AD32)&gt;660.4)),AND(E35="Samoa",LEN(Matrix2!AD31)=3,ISNUMBER(SEARCH("LLR",Matrix2!AD31)),(L35-44)/LEN(Matrix2!AD31)&gt;508),AND(E35="Samoa",LEN(Matrix2!AD31)=3,ISNUMBER(SEARCH("LRR",Matrix2!AD31)),(L35-44)/LEN(Matrix2!AD31)&gt;508),AND(LEN(Matrix2!AD31)&gt;=3,D35="Tracked",I35="Top Track Only",((L35-44)/LEN(Matrix2!AD31)&gt;550)),AND(LEN(Matrix2!AD31)&gt;=3,D35="Tracked",I35&lt;&gt;"Top Track Only",((L35-44)/LEN(Matrix2!AD31)&gt;660)))</xm:f>
            <x14:dxf>
              <fill>
                <patternFill>
                  <bgColor rgb="FFFF0000"/>
                </patternFill>
              </fill>
            </x14:dxf>
          </x14:cfRule>
          <x14:cfRule type="expression" priority="542" id="{B3BB00DD-6D57-4E64-8BBE-925A2B8150E1}">
            <xm:f>OR(AND(E35="Fiji",H35="47mm",LEN(Matrix2!AD31)=1,(L35-44)&gt;750),AND(E35="Fiji",H35="47mm",LEN(Matrix2!AD31)=2,ISNUMBER(SEARCH("LL",Matrix2!AD31)),(L35-44)&gt;1320),AND(E35="Fiji",H35="47mm",LEN(Matrix2!AD31)=2,ISNUMBER(SEARCH("RR",Matrix2!AD31)),(L35-44)&gt;1320),AND(E35="Fiji",H35&lt;&gt;"47mm",H35&lt;&gt;"89mm",H35&lt;&gt;"114mm",LEN(Matrix2!AD31)=1,(L35-44)&gt;890),AND(E35="Fiji",H35&lt;&gt;"47mm",H35&lt;&gt;"89mm",H35&lt;&gt;"114mm",LEN(Matrix2!AD31)=2,ISNUMBER(SEARCH("LL",Matrix2!AD31)),(L35-44)&gt;1320),AND(E35="Fiji",H35&lt;&gt;"47mm",H35&lt;&gt;"89mm",H35&lt;&gt;"114mm",LEN(Matrix2!AD31)=2,ISNUMBER(SEARCH("RR",Matrix2!AD31)),(L35-44)&gt;1320),AND(E35="Fiji",H35&lt;&gt;"47mm",H35&lt;&gt;"63mm",H35&lt;&gt;"76mm",LEN(Matrix2!AD31)=1,(L35-44)&gt;1047),AND(E35="Fiji",H35&lt;&gt;"47mm",H35&lt;&gt;"63mm",H35&lt;&gt;"76mm",LEN(Matrix2!AD31)=2,ISNUMBER(SEARCH("LL",Matrix2!AD31)),(L35-44)&gt;1320),AND(E35="Fiji",H35&lt;&gt;"47mm",H35&lt;&gt;"63mm",H35&lt;&gt;"76mm",LEN(Matrix2!AD31)=2,ISNUMBER(SEARCH("RR",Matrix2!AD31)),(L35-44)&gt;1320),AND(LEN(Matrix2!AD31)&gt;=3,D35&lt;&gt;"Tracked",ISERROR(FIND("LLRR",Matrix2!AD31))=FALSE,((L35-44)/LEN(Matrix2!AD31)&gt;660)),AND(E35="Fiji",LEN(Matrix2!AD31)=3,ISNUMBER(SEARCH("LLR",Matrix2!AD31)),(L35-44)/LEN(Matrix2!AD31)&gt;660),AND(E35="Fiji",LEN(Matrix2!AD31)=3,ISNUMBER(SEARCH("LRR",Matrix2!AD31)),(L35-44)/LEN(Matrix2!AD31)&gt;660),AND(LEN(Matrix2!AD31)&gt;=3,D35="Tracked",I35="Top Track Only",((L35-44)/LEN(Matrix2!AD31)&gt;550)),AND(LEN(Matrix2!AD31)&gt;=3,D35="Tracked",I35&lt;&gt;"Top Track Only",((L35-44)/LEN(Matrix2!AD31)&gt;660)))</xm:f>
            <x14:dxf>
              <fill>
                <patternFill>
                  <bgColor rgb="FFFF0000"/>
                </patternFill>
              </fill>
            </x14:dxf>
          </x14:cfRule>
          <x14:cfRule type="expression" priority="543" id="{A88DC6D1-764E-4770-9DDA-2D2EED05C796}">
            <xm:f>OR(AND(E35="Cuba",H35="47mm",LEN(Matrix2!AD31)=1,(L35-44)&gt;750),AND(E35="Cuba",H35="47mm",LEN(Matrix2!AD31)=2,ISNUMBER(SEARCH("LL",Matrix2!AD31)),(L35-44)&gt;1320),AND(E35="Cuba",H35="47mm",LEN(Matrix2!AD31)=2,ISNUMBER(SEARCH("RR",Matrix2!AD31)),(L35-44)&gt;1320),AND(E35="Cuba",H35&lt;&gt;"47mm",LEN(Matrix2!AD31)=1,(L35-44)&gt;890),AND(E35="Cuba",H35&lt;&gt;"47mm",LEN(Matrix2!AD31)=2,ISNUMBER(SEARCH("LL",Matrix2!AD31)),(L35-44)&gt;1320),AND(E35="Cuba",H35&lt;&gt;"47mm",LEN(Matrix2!AD31)=2,ISNUMBER(SEARCH("RR",Matrix2!AD31)),(L35-44)&gt;1320),AND(LEN(Matrix2!AD31)&gt;=3,D35&lt;&gt;"Tracked",ISERROR(FIND("LLRR",Matrix2!AD31))=FALSE,((L35-44)/LEN(Matrix2!AD31)&gt;660)),AND(E35="Cuba",LEN(Matrix2!AD31)=3,ISNUMBER(SEARCH("LLR",Matrix2!AD31)),(L35-44)/LEN(Matrix2!AD31)&gt;660),AND(E35="Cuba",LEN(Matrix2!AD31)=3,ISNUMBER(SEARCH("LRR",Matrix2!AD31)),(L35-44)/LEN(Matrix2!AD31)&gt;660))</xm:f>
            <x14:dxf>
              <fill>
                <patternFill>
                  <bgColor rgb="FFFF0000"/>
                </patternFill>
              </fill>
            </x14:dxf>
          </x14:cfRule>
          <x14:cfRule type="expression" priority="544" id="{1832E9EB-CDD2-45B7-ACAC-E433BFD8EBBA}">
            <xm:f>OR(AND(E35="Antigua",H35="47mm",(L35-Data!Y2)/LEN(Matrix2!AD31)&gt;600),AND(E35="Antigua",H35&lt;&gt;"47mm",(L35-Data!Y2)/LEN(Matrix2!AD31)&gt;750))</xm:f>
            <x14:dxf>
              <fill>
                <patternFill>
                  <bgColor rgb="FFFF0000"/>
                </patternFill>
              </fill>
            </x14:dxf>
          </x14:cfRule>
          <x14:cfRule type="expression" priority="545" id="{144CB769-BA1D-4FE4-B41D-4FFD119ABB9E}">
            <xm:f>OR(AND(E35="Bermuda",H35="47mm",(L35-Data!Y2)/LEN(Matrix2!AD31)&gt;610),AND(E35="Bermuda",H35&lt;&gt;"47mm",LEN(Matrix2!AD35)=1,L35&gt;915),AND(E35="Bermuda",H35&lt;&gt;"47mm",LEN(Matrix2!AD31)=2,L35&gt;1830),AND(E35="Bermuda",H35&lt;&gt;"47mm",LEN(Matrix2!AD31)&gt;=3,L35/LEN(Matrix2!AD31)&gt;915))</xm:f>
            <x14:dxf>
              <fill>
                <patternFill>
                  <bgColor rgb="FFFF0000"/>
                </patternFill>
              </fill>
            </x14:dxf>
          </x14:cfRule>
          <x14:cfRule type="expression" priority="546" id="{C2AAD43B-2174-43B1-99ED-ABED80EC3AE2}">
            <xm:f>AND(L35/LEN(Matrix2!AD35)&gt;600,E35="Antigua",$H35="47mm")</xm:f>
            <x14:dxf>
              <fill>
                <patternFill>
                  <bgColor rgb="FFFF0000"/>
                </patternFill>
              </fill>
            </x14:dxf>
          </x14:cfRule>
          <xm:sqref>L35</xm:sqref>
        </x14:conditionalFormatting>
        <x14:conditionalFormatting xmlns:xm="http://schemas.microsoft.com/office/excel/2006/main">
          <x14:cfRule type="expression" priority="444" id="{F70F74DA-4485-4971-9554-DCA750213D47}">
            <xm:f>OR(AND(E38="Bermuda",H38="47mm",(L38-Data!Y2)/LEN(Matrix2!AD32)&gt;610),AND(E38="Bermuda",H38&lt;&gt;"47mm",LEN(Matrix2!AD32)=1,L38&gt;915),AND(E38="Bermuda",H38&lt;&gt;"47mm",LEN(Matrix2!AD32)=2,L38&gt;1830),AND(E38="Bermuda",H38&lt;&gt;"47mm",LEN(Matrix2!AD32)&gt;=3,L38/LEN(Matrix2!AD32)&gt;915))</xm:f>
            <x14:dxf>
              <fill>
                <patternFill>
                  <bgColor rgb="FFFF0000"/>
                </patternFill>
              </fill>
            </x14:dxf>
          </x14:cfRule>
          <x14:cfRule type="expression" priority="445" id="{2CE42B1D-4998-47E8-A1DF-E872C9D36DC7}">
            <xm:f>OR(AND(E38="Antigua",H38="47mm",(L38-Data!Y2)/LEN(Matrix2!AD32)&gt;600),AND(E38="Antigua",H38&lt;&gt;"47mm",(L38-Data!Y2)/LEN(Matrix2!AD32)&gt;750))</xm:f>
            <x14:dxf>
              <fill>
                <patternFill>
                  <bgColor rgb="FFFF0000"/>
                </patternFill>
              </fill>
            </x14:dxf>
          </x14:cfRule>
          <x14:cfRule type="expression" priority="446" id="{25C8747D-3D75-4CA5-BF4F-36BD1446C410}">
            <xm:f>OR(AND(E38="Cuba",H38="47mm",LEN(Matrix2!AD32)=1,(L38-44)&gt;750),AND(E38="Cuba",H38="47mm",LEN(Matrix2!AD32)=2,ISNUMBER(SEARCH("LL",Matrix2!AD32)),(L38-44)&gt;1320),AND(E38="Cuba",H38="47mm",LEN(Matrix2!AD32)=2,ISNUMBER(SEARCH("RR",Matrix2!AD32)),(L38-44)&gt;1320),AND(E38="Cuba",H38&lt;&gt;"47mm",LEN(Matrix2!AD32)=1,(L38-44)&gt;890),AND(E38="Cuba",H38&lt;&gt;"47mm",LEN(Matrix2!AD32)=2,ISNUMBER(SEARCH("LL",Matrix2!AD32)),(L38-44)&gt;1320),AND(E38="Cuba",H38&lt;&gt;"47mm",LEN(Matrix2!AD32)=2,ISNUMBER(SEARCH("RR",Matrix2!AD32)),(L38-44)&gt;1320),AND(LEN(Matrix2!AD32)&gt;=3,D38&lt;&gt;"Tracked",ISERROR(FIND("LLRR",Matrix2!AD32))=FALSE,((L38-44)/LEN(Matrix2!AD32)&gt;660)),AND(E38="Cuba",LEN(Matrix2!AD32)=3,ISNUMBER(SEARCH("LLR",Matrix2!AD32)),(L38-44)/LEN(Matrix2!AD32)&gt;660),AND(E38="Cuba",LEN(Matrix2!AD32)=3,ISNUMBER(SEARCH("LRR",Matrix2!AD32)),(L38-44)/LEN(Matrix2!AD32)&gt;660))</xm:f>
            <x14:dxf>
              <fill>
                <patternFill>
                  <bgColor rgb="FFFF0000"/>
                </patternFill>
              </fill>
            </x14:dxf>
          </x14:cfRule>
          <x14:cfRule type="expression" priority="447" id="{046A47AA-3FD6-4FC4-ACE2-402FA8B9ADE4}">
            <xm:f>OR(AND(E38="Fiji",H38="47mm",LEN(Matrix2!AD32)=1,(L38-44)&gt;750),AND(E38="Fiji",H38="47mm",LEN(Matrix2!AD32)=2,ISNUMBER(SEARCH("LL",Matrix2!AD32)),(L38-44)&gt;1320),AND(E38="Fiji",H38="47mm",LEN(Matrix2!AD32)=2,ISNUMBER(SEARCH("RR",Matrix2!AD32)),(L38-44)&gt;1320),AND(E38="Fiji",H38&lt;&gt;"47mm",H38&lt;&gt;"89mm",H38&lt;&gt;"114mm",LEN(Matrix2!AD32)=1,(L38-44)&gt;890),AND(E38="Fiji",H38&lt;&gt;"47mm",H38&lt;&gt;"89mm",H38&lt;&gt;"114mm",LEN(Matrix2!AD32)=2,ISNUMBER(SEARCH("LL",Matrix2!AD32)),(L38-44)&gt;1320),AND(E38="Fiji",H38&lt;&gt;"47mm",H38&lt;&gt;"89mm",H38&lt;&gt;"114mm",LEN(Matrix2!AD32)=2,ISNUMBER(SEARCH("RR",Matrix2!AD32)),(L38-44)&gt;1320),AND(E38="Fiji",H38&lt;&gt;"47mm",H38&lt;&gt;"63mm",H38&lt;&gt;"76mm",LEN(Matrix2!AD32)=1,(L38-44)&gt;1047),AND(E38="Fiji",H38&lt;&gt;"47mm",H38&lt;&gt;"63mm",H38&lt;&gt;"76mm",LEN(Matrix2!AD32)=2,ISNUMBER(SEARCH("LL",Matrix2!AD32)),(L38-44)&gt;1320),AND(E38="Fiji",H38&lt;&gt;"47mm",H38&lt;&gt;"63mm",H38&lt;&gt;"76mm",LEN(Matrix2!AD32)=2,ISNUMBER(SEARCH("RR",Matrix2!AD32)),(L38-44)&gt;1320),AND(LEN(Matrix2!AD32)&gt;=3,D38&lt;&gt;"Tracked",ISERROR(FIND("LLRR",Matrix2!AD32))=FALSE,((L38-44)/LEN(Matrix2!AD32)&gt;660)),AND(E38="Fiji",LEN(Matrix2!AD32)=3,ISNUMBER(SEARCH("LLR",Matrix2!AD32)),(L38-44)/LEN(Matrix2!AD32)&gt;660),AND(E38="Fiji",LEN(Matrix2!AD32)=3,ISNUMBER(SEARCH("LRR",Matrix2!AD32)),(L38-44)/LEN(Matrix2!AD32)&gt;660),AND(LEN(Matrix2!AD32)&gt;=3,D38="Tracked",I38="Top Track Only",((L38-44)/LEN(Matrix2!AD32)&gt;550)),AND(LEN(Matrix2!AD32)&gt;=3,D38="Tracked",I38&lt;&gt;"Top Track Only",((L38-44)/LEN(Matrix2!AD32)&gt;660)))</xm:f>
            <x14:dxf>
              <fill>
                <patternFill>
                  <bgColor rgb="FFFF0000"/>
                </patternFill>
              </fill>
            </x14:dxf>
          </x14:cfRule>
          <x14:cfRule type="expression" priority="448" id="{FDA2CEEB-BA64-4A03-A1CA-C6F16F0039E2}">
            <xm:f>OR(AND(E38="Samoa",H38="47mm",LEN(Matrix2!AD32)=1,(L38-44)&gt;762),AND(E38="Samoa",H38="47mm",LEN(Matrix2!AD32)=2,ISNUMBER(SEARCH("LL",Matrix2!AD32)),(L38-44)&gt;1320.8),AND(E38="Samoa",H38="47mm",LEN(Matrix2!AD32)=2,ISNUMBER(SEARCH("RR",Matrix2!AD32)),(L38-44)&gt;1320.8),AND(E38="Samoa",H38&lt;&gt;"47mm",H38&lt;&gt;"89mm",H38&lt;&gt;"114mm",LEN(Matrix2!AD32)=1,(L38-44)&gt;914.4),AND(E38="Samoa",H38&lt;&gt;"47mm",H38&lt;&gt;"89mm",H38&lt;&gt;"114mm",LEN(Matrix2!AD32)=2,ISNUMBER(SEARCH("LL",Matrix2!AD32)),(L38-44)&gt;1320.8),AND(E38="Samoa",H38&lt;&gt;"47mm",H38&lt;&gt;"89mm",H38&lt;&gt;"114mm",LEN(Matrix2!AD32)=2,ISNUMBER(SEARCH("RR",Matrix2!AD32)),(L38-44)&gt;1320.8),AND(E38="Samoa",H38&lt;&gt;"47mm",H38&lt;&gt;"63mm",H38&lt;&gt;"76mm",LEN(Matrix2!AD32)=1,(L38-44)&gt;1219.2),AND(E38="Samoa",H38&lt;&gt;"47mm",H38&lt;&gt;"63mm",H38&lt;&gt;"76mm",LEN(Matrix2!AD32)=2,ISNUMBER(SEARCH("LL",Matrix2!AD32)),(L38-44)&gt;1320.8), AND(E38="Samoa",H38&lt;&gt;"47mm",H38&lt;&gt;"63mm",H38&lt;&gt;"76mm",LEN(Matrix2!AD32)=2,ISNUMBER(SEARCH("RR",Matrix2!AD32)),(L38-44)&gt;1320.8),AND(LEN(Matrix2!AD32)&gt;=3,D38&lt;&gt;"Tracked",ISERROR(FIND("LLRR",Matrix2!AD32))=FALSE,((L38-44)/LEN(Matrix2!AD32)&gt;660.4)),AND(E38="Samoa",LEN(Matrix2!AD32)=3,ISNUMBER(SEARCH("LLR",Matrix2!AD32)),(L38-44)/LEN(Matrix2!AD32)&gt;508),AND(E38="Samoa",LEN(Matrix2!AD32)=3,ISNUMBER(SEARCH("LRR",Matrix2!AD32)),(L38-44)/LEN(Matrix2!AD32)&gt;508),AND(LEN(Matrix2!AD32)&gt;=3,D38="Tracked",I38="Top Track Only",((L38-44)/LEN(Matrix2!AD32)&gt;550)),AND(LEN(Matrix2!AD32)&gt;=3,D38="Tracked",I38&lt;&gt;"Top Track Only",((L38-44)/LEN(Matrix2!AD32)&gt;660)))</xm:f>
            <x14:dxf>
              <fill>
                <patternFill>
                  <bgColor rgb="FFFF0000"/>
                </patternFill>
              </fill>
            </x14:dxf>
          </x14:cfRule>
          <xm:sqref>L38</xm:sqref>
        </x14:conditionalFormatting>
        <x14:conditionalFormatting xmlns:xm="http://schemas.microsoft.com/office/excel/2006/main">
          <x14:cfRule type="expression" priority="167" id="{C4E5B682-E35D-4C0C-BB48-5226B7ABDCBF}">
            <xm:f>AND(E41="Antigua",LEFT(H41,2)&gt;=76,L41/Matrix2!AO61&gt;750)</xm:f>
            <x14:dxf>
              <fill>
                <patternFill>
                  <bgColor rgb="FFFF0000"/>
                </patternFill>
              </fill>
            </x14:dxf>
          </x14:cfRule>
          <x14:cfRule type="expression" priority="534" id="{A01EBED2-05E8-4793-A05C-248289D29CAB}">
            <xm:f>OR(AND(E41="Samoa",H41="47mm",LEN(Matrix2!AD33)=1,(L41-44)&gt;762),AND(E41="Samoa",H41="47mm",LEN(Matrix2!AD33)=2,ISNUMBER(SEARCH("LL",Matrix2!AD33)),(L41-44)&gt;1320.8),AND(E41="Samoa",H41="47mm",LEN(Matrix2!AD33)=2,ISNUMBER(SEARCH("RR",Matrix2!AD33)),(L41-44)&gt;1320.8),AND(E41="Samoa",H41&lt;&gt;"47mm",H41&lt;&gt;"89mm",H41&lt;&gt;"114mm",LEN(Matrix2!AD33)=1,(L41-44)&gt;914.4),AND(E41="Samoa",H41&lt;&gt;"47mm",H41&lt;&gt;"89mm",H41&lt;&gt;"114mm",LEN(Matrix2!AD33)=2,ISNUMBER(SEARCH("LL",Matrix2!AD33)),(L41-44)&gt;1320.8),AND(E41="Samoa",H41&lt;&gt;"47mm",H41&lt;&gt;"89mm",H41&lt;&gt;"114mm",LEN(Matrix2!AD33)=2,ISNUMBER(SEARCH("RR",Matrix2!AD33)),(L41-44)&gt;1320.8),AND(E41="Samoa",H41&lt;&gt;"47mm",H41&lt;&gt;"63mm",H41&lt;&gt;"76mm",LEN(Matrix2!AD33)=1,(L41-44)&gt;1219.2),AND(E41="Samoa",H41&lt;&gt;"47mm",H41&lt;&gt;"63mm",H41&lt;&gt;"76mm",LEN(Matrix2!AD33)=2,ISNUMBER(SEARCH("LL",Matrix2!AD33)),(L41-44)&gt;1320.8), AND(E41="Samoa",H41&lt;&gt;"47mm",H41&lt;&gt;"63mm",H41&lt;&gt;"76mm",LEN(Matrix2!AD33)=2,ISNUMBER(SEARCH("RR",Matrix2!AD33)),(L41-44)&gt;1320.8),AND(LEN(Matrix2!AD33)&gt;=3,D41&lt;&gt;"Tracked",ISERROR(FIND("LLRR",Matrix2!AD33))=FALSE,((L41-44)/LEN(Matrix2!AD33)&gt;660.4)),AND(E41="Samoa",LEN(Matrix2!AD33)=3,ISNUMBER(SEARCH("LLR",Matrix2!AD33)),(L41-44)/LEN(Matrix2!AD33)&gt;508),AND(E41="Samoa",LEN(Matrix2!AD33)=3,ISNUMBER(SEARCH("LRR",Matrix2!AD33)),(L41-44)/LEN(Matrix2!AD33)&gt;508),AND(LEN(Matrix2!AD33)&gt;=3,D41="Tracked",I41="Top Track Only",((L41-44)/LEN(Matrix2!AD33)&gt;550)),AND(LEN(Matrix2!AD33)&gt;=3,D41="Tracked",I41&lt;&gt;"Top Track Only",((L41-44)/LEN(Matrix2!AD33)&gt;660)))</xm:f>
            <x14:dxf>
              <fill>
                <patternFill>
                  <bgColor rgb="FFFF0000"/>
                </patternFill>
              </fill>
            </x14:dxf>
          </x14:cfRule>
          <x14:cfRule type="expression" priority="535" id="{40ADC22A-FF1A-4249-9BE3-6C1533A0B1A7}">
            <xm:f>OR(AND(E41="Fiji",H41="47mm",LEN(Matrix2!AD33)=1,(L41-44)&gt;750),AND(E41="Fiji",H41="47mm",LEN(Matrix2!AD33)=2,ISNUMBER(SEARCH("LL",Matrix2!AD33)),(L41-44)&gt;1320),AND(E41="Fiji",H41="47mm",LEN(Matrix2!AD33)=2,ISNUMBER(SEARCH("RR",Matrix2!AD33)),(L41-44)&gt;1320),AND(E41="Fiji",H41&lt;&gt;"47mm",H41&lt;&gt;"89mm",H41&lt;&gt;"114mm",LEN(Matrix2!AD33)=1,(L41-44)&gt;890),AND(E41="Fiji",H41&lt;&gt;"47mm",H41&lt;&gt;"89mm",H41&lt;&gt;"114mm",LEN(Matrix2!AD33)=2,ISNUMBER(SEARCH("LL",Matrix2!AD33)),(L41-44)&gt;1320),AND(E41="Fiji",H41&lt;&gt;"47mm",H41&lt;&gt;"89mm",H41&lt;&gt;"114mm",LEN(Matrix2!AD33)=2,ISNUMBER(SEARCH("RR",Matrix2!AD33)),(L41-44)&gt;1320),AND(E41="Fiji",H41&lt;&gt;"47mm",H41&lt;&gt;"63mm",H41&lt;&gt;"76mm",LEN(Matrix2!AD33)=1,(L41-44)&gt;1047),AND(E41="Fiji",H41&lt;&gt;"47mm",H41&lt;&gt;"63mm",H41&lt;&gt;"76mm",LEN(Matrix2!AD33)=2,ISNUMBER(SEARCH("LL",Matrix2!AD33)),(L41-44)&gt;1320),AND(E41="Fiji",H41&lt;&gt;"47mm",H41&lt;&gt;"63mm",H41&lt;&gt;"76mm",LEN(Matrix2!AD33)=2,ISNUMBER(SEARCH("RR",Matrix2!AD33)),(L41-44)&gt;1320),AND(LEN(Matrix2!AD33)&gt;=3,D41&lt;&gt;"Tracked",ISERROR(FIND("LLRR",Matrix2!AD33))=FALSE,((L41-44)/LEN(Matrix2!AD33)&gt;660)),AND(E41="Fiji",LEN(Matrix2!AD33)=3,ISNUMBER(SEARCH("LLR",Matrix2!AD33)),(L41-44)/LEN(Matrix2!AD33)&gt;660),AND(E41="Fiji",LEN(Matrix2!AD33)=3,ISNUMBER(SEARCH("LRR",Matrix2!AD33)),(L41-44)/LEN(Matrix2!AD33)&gt;660),AND(LEN(Matrix2!AD33)&gt;=3,D41="Tracked",I41="Top Track Only",((L41-44)/LEN(Matrix2!AD33)&gt;550)),AND(LEN(Matrix2!AD33)&gt;=3,D41="Tracked",I41&lt;&gt;"Top Track Only",((L41-44)/LEN(Matrix2!AD33)&gt;660)))</xm:f>
            <x14:dxf>
              <fill>
                <patternFill>
                  <bgColor rgb="FFFF0000"/>
                </patternFill>
              </fill>
            </x14:dxf>
          </x14:cfRule>
          <x14:cfRule type="expression" priority="536" id="{9070B460-5FB0-4BE8-A71E-89BBBD48C80E}">
            <xm:f>OR(AND(E41="Cuba",H41="47mm",LEN(Matrix2!AD33)=1,(L41-44)&gt;750),AND(E41="Cuba",H41="47mm",LEN(Matrix2!AD33)=2,ISNUMBER(SEARCH("LL",Matrix2!AD33)),(L41-44)&gt;1320),AND(E41="Cuba",H41="47mm",LEN(Matrix2!AD33)=2,ISNUMBER(SEARCH("RR",Matrix2!AD33)),(L41-44)&gt;1320),AND(E41="Cuba",H41&lt;&gt;"47mm",LEN(Matrix2!AD33)=1,(L41-44)&gt;890),AND(E41="Cuba",H41&lt;&gt;"47mm",LEN(Matrix2!AD33)=2,ISNUMBER(SEARCH("LL",Matrix2!AD33)),(L41-44)&gt;1320),AND(E41="Cuba",H41&lt;&gt;"47mm",LEN(Matrix2!AD33)=2,ISNUMBER(SEARCH("RR",Matrix2!AD33)),(L41-44)&gt;1320),AND(LEN(Matrix2!AD33)&gt;=3,D41&lt;&gt;"Tracked",ISERROR(FIND("LLRR",Matrix2!AD33))=FALSE,((L41-44)/LEN(Matrix2!AD33)&gt;660)),AND(E41="Cuba",LEN(Matrix2!AD33)=3,ISNUMBER(SEARCH("LLR",Matrix2!AD33)),(L41-44)/LEN(Matrix2!AD33)&gt;660),AND(E41="Cuba",LEN(Matrix2!AD33)=3,ISNUMBER(SEARCH("LRR",Matrix2!AD33)),(L41-44)/LEN(Matrix2!AD33)&gt;660))</xm:f>
            <x14:dxf>
              <fill>
                <patternFill>
                  <bgColor rgb="FFFF0000"/>
                </patternFill>
              </fill>
            </x14:dxf>
          </x14:cfRule>
          <x14:cfRule type="expression" priority="537" id="{D734FBF2-E5A5-4575-BE4E-8942C88B277D}">
            <xm:f>OR(AND(E41="Antigua",H41="47mm",(L41-Data!Y2)/LEN(Matrix2!AD33)&gt;600),AND(E41="Antigua",H41&lt;&gt;"47mm",(L41-Data!Y2)/LEN(Matrix2!AD33)&gt;750))</xm:f>
            <x14:dxf>
              <fill>
                <patternFill>
                  <bgColor rgb="FFFF0000"/>
                </patternFill>
              </fill>
            </x14:dxf>
          </x14:cfRule>
          <x14:cfRule type="expression" priority="538" id="{5CA22447-E508-4C54-B6A7-61A752DC0F37}">
            <xm:f>OR(AND(E41="Bermuda",H41="47mm",(L41-Data!Y2)/LEN(Matrix2!AD33)&gt;610),AND(E41="Bermuda",H41&lt;&gt;"47mm",LEN(Matrix2!AD33)=1,L41&gt;915),AND(E41="Bermuda",H41&lt;&gt;"47mm",LEN(Matrix2!AD33)=2,L41&gt;1830),AND(E41="Bermuda",H41&lt;&gt;"47mm",LEN(Matrix2!AD33)&gt;=3,L41/LEN(Matrix2!AD33)&gt;915))</xm:f>
            <x14:dxf>
              <fill>
                <patternFill>
                  <bgColor rgb="FFFF0000"/>
                </patternFill>
              </fill>
            </x14:dxf>
          </x14:cfRule>
          <x14:cfRule type="expression" priority="831" id="{AE86DB55-1752-4002-ABEF-0F7866D1DEF7}">
            <xm:f>AND(L41/LEN(Matrix2!AD33)&gt;600,E41="Antigua",$H41="47mm")</xm:f>
            <x14:dxf>
              <fill>
                <patternFill>
                  <bgColor rgb="FFFF0000"/>
                </patternFill>
              </fill>
            </x14:dxf>
          </x14:cfRule>
          <xm:sqref>L41</xm:sqref>
        </x14:conditionalFormatting>
        <x14:conditionalFormatting xmlns:xm="http://schemas.microsoft.com/office/excel/2006/main">
          <x14:cfRule type="expression" priority="166" id="{802D27DD-F515-48E9-8933-6615DAEEA433}">
            <xm:f>AND(E44="Antigua",LEFT(H44,2)&gt;=76,L44/Matrix2!AP61&gt;750)</xm:f>
            <x14:dxf>
              <fill>
                <patternFill>
                  <bgColor rgb="FFFF0000"/>
                </patternFill>
              </fill>
            </x14:dxf>
          </x14:cfRule>
          <x14:cfRule type="expression" priority="527" id="{7496CD67-D3C2-4CDE-9A58-797582375766}">
            <xm:f>OR(AND(E44="Samoa",H44="47mm",LEN(Matrix2!AD34)=1,(L44-44)&gt;762),AND(E44="Samoa",H44="47mm",LEN(Matrix2!AD34)=2,ISNUMBER(SEARCH("LL",Matrix2!AD34)),(L44-44)&gt;1320.8),AND(E44="Samoa",H44="47mm",LEN(Matrix2!AD34)=2,ISNUMBER(SEARCH("RR",Matrix2!AD34)),(L44-44)&gt;1320.8),AND(E44="Samoa",H44&lt;&gt;"47mm",H44&lt;&gt;"89mm",H44&lt;&gt;"114mm",LEN(Matrix2!AD34)=1,(L44-44)&gt;914.4),AND(E44="Samoa",H44&lt;&gt;"47mm",H44&lt;&gt;"89mm",H44&lt;&gt;"114mm",LEN(Matrix2!AD34)=2,ISNUMBER(SEARCH("LL",Matrix2!AD34)),(L44-44)&gt;1320.8),AND(E44="Samoa",H44&lt;&gt;"47mm",H44&lt;&gt;"89mm",H44&lt;&gt;"114mm",LEN(Matrix2!AD34)=2,ISNUMBER(SEARCH("RR",Matrix2!AD34)),(L44-44)&gt;1320.8),AND(E44="Samoa",H44&lt;&gt;"47mm",H44&lt;&gt;"63mm",H44&lt;&gt;"76mm",LEN(Matrix2!AD34)=1,(L44-44)&gt;1219.2),AND(E44="Samoa",H44&lt;&gt;"47mm",H44&lt;&gt;"63mm",H44&lt;&gt;"76mm",LEN(Matrix2!AD34)=2,ISNUMBER(SEARCH("LL",Matrix2!AD34)),(L44-44)&gt;1320.8), AND(E44="Samoa",H44&lt;&gt;"47mm",H44&lt;&gt;"63mm",H44&lt;&gt;"76mm",LEN(Matrix2!AD34)=2,ISNUMBER(SEARCH("RR",Matrix2!AD34)),(L44-44)&gt;1320.8),AND(LEN(Matrix2!AD34)&gt;=3,D44&lt;&gt;"Tracked",ISERROR(FIND("LLRR",Matrix2!AD34))=FALSE,((L44-44)/LEN(Matrix2!AD34)&gt;660.4)),AND(E44="Samoa",LEN(Matrix2!AD34)=3,ISNUMBER(SEARCH("LLR",Matrix2!AD34)),(L44-44)/LEN(Matrix2!AD34)&gt;508),AND(E44="Samoa",LEN(Matrix2!AD34)=3,ISNUMBER(SEARCH("LRR",Matrix2!AD34)),(L44-44)/LEN(Matrix2!AD34)&gt;508),AND(LEN(Matrix2!AD34)&gt;=3,D44="Tracked",I44="Top Track Only",((L44-44)/LEN(Matrix2!AD34)&gt;550)),AND(LEN(Matrix2!AD34)&gt;=3,D44="Tracked",I44&lt;&gt;"Top Track Only",((L44-44)/LEN(Matrix2!AD34)&gt;660)))</xm:f>
            <x14:dxf>
              <fill>
                <patternFill>
                  <bgColor rgb="FFFF0000"/>
                </patternFill>
              </fill>
            </x14:dxf>
          </x14:cfRule>
          <x14:cfRule type="expression" priority="528" id="{73A6967B-BAF3-4D2C-93CA-598963B2B6E4}">
            <xm:f>OR(AND(E44="Fiji",H44="47mm",LEN(Matrix2!AD34)=1,(L44-44)&gt;750),AND(E44="Fiji",H44="47mm",LEN(Matrix2!AD34)=2,ISNUMBER(SEARCH("LL",Matrix2!AD34)),(L44-44)&gt;1320),AND(E44="Fiji",H44="47mm",LEN(Matrix2!AD34)=2,ISNUMBER(SEARCH("RR",Matrix2!AD34)),(L44-44)&gt;1320),AND(E44="Fiji",H44&lt;&gt;"47mm",H44&lt;&gt;"89mm",H44&lt;&gt;"114mm",LEN(Matrix2!AD34)=1,(L44-44)&gt;890),AND(E44="Fiji",H44&lt;&gt;"47mm",H44&lt;&gt;"89mm",H44&lt;&gt;"114mm",LEN(Matrix2!AD34)=2,ISNUMBER(SEARCH("LL",Matrix2!AD34)),(L44-44)&gt;1320),AND(E44="Fiji",H44&lt;&gt;"47mm",H44&lt;&gt;"89mm",H44&lt;&gt;"114mm",LEN(Matrix2!AD34)=2,ISNUMBER(SEARCH("RR",Matrix2!AD34)),(L44-44)&gt;1320),AND(E44="Fiji",H44&lt;&gt;"47mm",H44&lt;&gt;"63mm",H44&lt;&gt;"76mm",LEN(Matrix2!AD34)=1,(L44-44)&gt;1047),AND(E44="Fiji",H44&lt;&gt;"47mm",H44&lt;&gt;"63mm",H44&lt;&gt;"76mm",LEN(Matrix2!AD34)=2,ISNUMBER(SEARCH("LL",Matrix2!AD34)),(L44-44)&gt;1320),AND(E44="Fiji",H44&lt;&gt;"47mm",H44&lt;&gt;"63mm",H44&lt;&gt;"76mm",LEN(Matrix2!AD34)=2,ISNUMBER(SEARCH("RR",Matrix2!AD34)),(L44-44)&gt;1320),AND(LEN(Matrix2!AD34)&gt;=3,D44&lt;&gt;"Tracked",ISERROR(FIND("LLRR",Matrix2!AD34))=FALSE,((L44-44)/LEN(Matrix2!AD34)&gt;660)),AND(E44="Fiji",LEN(Matrix2!AD34)=3,ISNUMBER(SEARCH("LLR",Matrix2!AD34)),(L44-44)/LEN(Matrix2!AD34)&gt;660),AND(E44="Fiji",LEN(Matrix2!AD34)=3,ISNUMBER(SEARCH("LRR",Matrix2!AD34)),(L44-44)/LEN(Matrix2!AD34)&gt;660),AND(LEN(Matrix2!AD34)&gt;=3,D44="Tracked",I44="Top Track Only",((L44-44)/LEN(Matrix2!AD34)&gt;550)),AND(LEN(Matrix2!AD34)&gt;=3,D44="Tracked",I44&lt;&gt;"Top Track Only",((L44-44)/LEN(Matrix2!AD34)&gt;660)))</xm:f>
            <x14:dxf>
              <fill>
                <patternFill>
                  <bgColor rgb="FFFF0000"/>
                </patternFill>
              </fill>
            </x14:dxf>
          </x14:cfRule>
          <x14:cfRule type="expression" priority="529" id="{DDEE9CDD-B4DD-4234-8E59-BE0AC1C9EE55}">
            <xm:f>OR(AND(E44="Cuba",H44="47mm",LEN(Matrix2!AD34)=1,(L44-44)&gt;750),AND(E44="Cuba",H44="47mm",LEN(Matrix2!AD34)=2,ISNUMBER(SEARCH("LL",Matrix2!AD34)),(L44-44)&gt;1320),AND(E44="Cuba",H44="47mm",LEN(Matrix2!AD34)=2,ISNUMBER(SEARCH("RR",Matrix2!AD34)),(L44-44)&gt;1320),AND(E44="Cuba",H44&lt;&gt;"47mm",LEN(Matrix2!AD34)=1,(L44-44)&gt;890),AND(E44="Cuba",H44&lt;&gt;"47mm",LEN(Matrix2!AD34)=2,ISNUMBER(SEARCH("LL",Matrix2!AD34)),(L44-44)&gt;1320),AND(E44="Cuba",H44&lt;&gt;"47mm",LEN(Matrix2!AD34)=2,ISNUMBER(SEARCH("RR",Matrix2!AD34)),(L44-44)&gt;1320),AND(LEN(Matrix2!AD34)&gt;=3,D44&lt;&gt;"Tracked",ISERROR(FIND("LLRR",Matrix2!AD34))=FALSE,((L44-44)/LEN(Matrix2!AD34)&gt;660)),AND(E44="Cuba",LEN(Matrix2!AD34)=3,ISNUMBER(SEARCH("LLR",Matrix2!AD34)),(L44-44)/LEN(Matrix2!AD34)&gt;660),AND(E44="Cuba",LEN(Matrix2!AD34)=3,ISNUMBER(SEARCH("LRR",Matrix2!AD34)),(L44-44)/LEN(Matrix2!AD34)&gt;660))</xm:f>
            <x14:dxf>
              <fill>
                <patternFill>
                  <bgColor rgb="FFFF0000"/>
                </patternFill>
              </fill>
            </x14:dxf>
          </x14:cfRule>
          <x14:cfRule type="expression" priority="530" id="{F7ABBA84-5780-4DD1-97AC-9EDA269589A4}">
            <xm:f>OR(AND(E44="Antigua",H44="47mm",(L44-Data!Y2)/LEN(Matrix2!AD34)&gt;600),AND(E44="Antigua",H44&lt;&gt;"47mm",(L44-Data!Y2)/LEN(Matrix2!AD34)&gt;750))</xm:f>
            <x14:dxf>
              <fill>
                <patternFill>
                  <bgColor rgb="FFFF0000"/>
                </patternFill>
              </fill>
            </x14:dxf>
          </x14:cfRule>
          <x14:cfRule type="expression" priority="531" id="{FC658F9F-D5E3-4A2F-8391-6D42F72D7DFE}">
            <xm:f>OR(AND(E44="Bermuda",H44="47mm",(L44-Data!Y2)/LEN(Matrix2!AD34)&gt;610),AND(E44="Bermuda",H44&lt;&gt;"47mm",LEN(Matrix2!AD34)=1,L44&gt;915),AND(E44="Bermuda",H44&lt;&gt;"47mm",LEN(Matrix2!AD34)=2,L44&gt;1830),AND(E44="Bermuda",H44&lt;&gt;"47mm",LEN(Matrix2!AD34)&gt;=3,L44/LEN(Matrix2!AD34)&gt;915))</xm:f>
            <x14:dxf>
              <fill>
                <patternFill>
                  <bgColor rgb="FFFF0000"/>
                </patternFill>
              </fill>
            </x14:dxf>
          </x14:cfRule>
          <x14:cfRule type="expression" priority="823" id="{16F001C4-3B88-40D4-8937-8622861590DC}">
            <xm:f>AND(L44/LEN(Matrix2!AD34)&gt;600,E44="Antigua",$H44="47mm")</xm:f>
            <x14:dxf>
              <fill>
                <patternFill>
                  <bgColor rgb="FFFF0000"/>
                </patternFill>
              </fill>
            </x14:dxf>
          </x14:cfRule>
          <xm:sqref>L44</xm:sqref>
        </x14:conditionalFormatting>
        <x14:conditionalFormatting xmlns:xm="http://schemas.microsoft.com/office/excel/2006/main">
          <x14:cfRule type="expression" priority="165" id="{784C43E2-2C2D-4C57-80A2-7876864F9DCB}">
            <xm:f>AND(E47="Antigua",LEFT(H47,2)&gt;=76,L47/Matrix2!AQ61&gt;750)</xm:f>
            <x14:dxf>
              <fill>
                <patternFill>
                  <bgColor rgb="FFFF0000"/>
                </patternFill>
              </fill>
            </x14:dxf>
          </x14:cfRule>
          <x14:cfRule type="expression" priority="513" id="{61880D9A-BA82-4C74-B7CF-5EFEFABDDBC1}">
            <xm:f>OR(AND(E47="Samoa",H47="47mm",LEN(Matrix2!AD35)=1,(L47-44)&gt;762),AND(E47="Samoa",H47="47mm",LEN(Matrix2!AD35)=2,ISNUMBER(SEARCH("LL",Matrix2!AD35)),(L47-44)&gt;1320.8),AND(E47="Samoa",H47="47mm",LEN(Matrix2!AD35)=2,ISNUMBER(SEARCH("RR",Matrix2!AD35)),(L47-44)&gt;1320.8),AND(E47="Samoa",H47&lt;&gt;"47mm",H47&lt;&gt;"89mm",H47&lt;&gt;"114mm",LEN(Matrix2!AD35)=1,(L47-44)&gt;914.4),AND(E47="Samoa",H47&lt;&gt;"47mm",H47&lt;&gt;"89mm",H47&lt;&gt;"114mm",LEN(Matrix2!AD35)=2,ISNUMBER(SEARCH("LL",Matrix2!AD35)),(L47-44)&gt;1320.8),AND(E47="Samoa",H47&lt;&gt;"47mm",H47&lt;&gt;"89mm",H47&lt;&gt;"114mm",LEN(Matrix2!AD35)=2,ISNUMBER(SEARCH("RR",Matrix2!AD35)),(L47-44)&gt;1320.8),AND(E47="Samoa",H47&lt;&gt;"47mm",H47&lt;&gt;"63mm",H47&lt;&gt;"76mm",LEN(Matrix2!AD35)=1,(L47-44)&gt;1219.2),AND(E47="Samoa",H47&lt;&gt;"47mm",H47&lt;&gt;"63mm",H47&lt;&gt;"76mm",LEN(Matrix2!AD35)=2,ISNUMBER(SEARCH("LL",Matrix2!AD35)),(L47-44)&gt;1320.8), AND(E47="Samoa",H47&lt;&gt;"47mm",H47&lt;&gt;"63mm",H47&lt;&gt;"76mm",LEN(Matrix2!AD35)=2,ISNUMBER(SEARCH("RR",Matrix2!AD35)),(L47-44)&gt;1320.8),AND(LEN(Matrix2!AD35)&gt;=3,D47&lt;&gt;"Tracked",ISERROR(FIND("LLRR",Matrix2!AD35))=FALSE,((L47-44)/LEN(Matrix2!AD35)&gt;660.4)),AND(E47="Samoa",LEN(Matrix2!AD35)=3,ISNUMBER(SEARCH("LLR",Matrix2!AD35)),(L47-44)/LEN(Matrix2!AD35)&gt;508),AND(E47="Samoa",LEN(Matrix2!AD35)=3,ISNUMBER(SEARCH("LRR",Matrix2!AD35)),(L47-44)/LEN(Matrix2!AD35)&gt;508),AND(LEN(Matrix2!AD35)&gt;=3,D47="Tracked",I47="Top Track Only",((L47-44)/LEN(Matrix2!AD35)&gt;550)),AND(LEN(Matrix2!AD35)&gt;=3,D47="Tracked",I47&lt;&gt;"Top Track Only",((L47-44)/LEN(Matrix2!AD35)&gt;660)))</xm:f>
            <x14:dxf>
              <fill>
                <patternFill>
                  <bgColor rgb="FFFF0000"/>
                </patternFill>
              </fill>
            </x14:dxf>
          </x14:cfRule>
          <x14:cfRule type="expression" priority="514" id="{B7F54FE1-1E86-4B57-9658-67406AF7E4B5}">
            <xm:f>OR(AND(E47="Fiji",H47="47mm",LEN(Matrix2!AD35)=1,(L47-44)&gt;750),AND(E47="Fiji",H47="47mm",LEN(Matrix2!AD35)=2,ISNUMBER(SEARCH("LL",Matrix2!AD35)),(L47-44)&gt;1320),AND(E47="Fiji",H47="47mm",LEN(Matrix2!AD35)=2,ISNUMBER(SEARCH("RR",Matrix2!AD35)),(L47-44)&gt;1320),AND(E47="Fiji",H47&lt;&gt;"47mm",H47&lt;&gt;"89mm",H47&lt;&gt;"114mm",LEN(Matrix2!AD35)=1,(L47-44)&gt;890),AND(E47="Fiji",H47&lt;&gt;"47mm",H47&lt;&gt;"89mm",H47&lt;&gt;"114mm",LEN(Matrix2!AD35)=2,ISNUMBER(SEARCH("LL",Matrix2!AD35)),(L47-44)&gt;1320),AND(E47="Fiji",H47&lt;&gt;"47mm",H47&lt;&gt;"89mm",H47&lt;&gt;"114mm",LEN(Matrix2!AD35)=2,ISNUMBER(SEARCH("RR",Matrix2!AD35)),(L47-44)&gt;1320),AND(E47="Fiji",H47&lt;&gt;"47mm",H47&lt;&gt;"63mm",H47&lt;&gt;"76mm",LEN(Matrix2!AD35)=1,(L47-44)&gt;1047),AND(E47="Fiji",H47&lt;&gt;"47mm",H47&lt;&gt;"63mm",H47&lt;&gt;"76mm",LEN(Matrix2!AD35)=2,ISNUMBER(SEARCH("LL",Matrix2!AD35)),(L47-44)&gt;1320),AND(E47="Fiji",H47&lt;&gt;"47mm",H47&lt;&gt;"63mm",H47&lt;&gt;"76mm",LEN(Matrix2!AD35)=2,ISNUMBER(SEARCH("RR",Matrix2!AD35)),(L47-44)&gt;1320),AND(LEN(Matrix2!AD35)&gt;=3,D47&lt;&gt;"Tracked",ISERROR(FIND("LLRR",Matrix2!AD35))=FALSE,((L47-44)/LEN(Matrix2!AD35)&gt;660)),AND(E47="Fiji",LEN(Matrix2!AD35)=3,ISNUMBER(SEARCH("LLR",Matrix2!AD35)),(L47-44)/LEN(Matrix2!AD35)&gt;660),AND(E47="Fiji",LEN(Matrix2!AD35)=3,ISNUMBER(SEARCH("LRR",Matrix2!AD35)),(L47-44)/LEN(Matrix2!AD35)&gt;660),AND(LEN(Matrix2!AD35)&gt;=3,D47="Tracked",I47="Top Track Only",((L47-44)/LEN(Matrix2!AD35)&gt;550)),AND(LEN(Matrix2!AD35)&gt;=3,D47="Tracked",I47&lt;&gt;"Top Track Only",((L47-44)/LEN(Matrix2!AD35)&gt;660)))</xm:f>
            <x14:dxf>
              <fill>
                <patternFill>
                  <bgColor rgb="FFFF0000"/>
                </patternFill>
              </fill>
            </x14:dxf>
          </x14:cfRule>
          <x14:cfRule type="expression" priority="515" id="{3CDEA32C-8744-45BF-B8FF-850F8E8BAA8E}">
            <xm:f>OR(AND(E47="Cuba",H47="47mm",LEN(Matrix2!AD35)=1,(L47-44)&gt;750),AND(E47="Cuba",H47="47mm",LEN(Matrix2!AD35)=2,ISNUMBER(SEARCH("LL",Matrix2!AD35)),(L47-44)&gt;1320),AND(E47="Cuba",H47="47mm",LEN(Matrix2!AD35)=2,ISNUMBER(SEARCH("RR",Matrix2!AD35)),(L47-44)&gt;1320),AND(E47="Cuba",H47&lt;&gt;"47mm",LEN(Matrix2!AD35)=1,(L47-44)&gt;890),AND(E47="Cuba",H47&lt;&gt;"47mm",LEN(Matrix2!AD35)=2,ISNUMBER(SEARCH("LL",Matrix2!AD35)),(L47-44)&gt;1320),AND(E47="Cuba",H47&lt;&gt;"47mm",LEN(Matrix2!AD35)=2,ISNUMBER(SEARCH("RR",Matrix2!AD35)),(L47-44)&gt;1320),AND(LEN(Matrix2!AD35)&gt;=3,D47&lt;&gt;"Tracked",ISERROR(FIND("LLRR",Matrix2!AD35))=FALSE,((L47-44)/LEN(Matrix2!AD35)&gt;660)),AND(E47="Cuba",LEN(Matrix2!AD35)=3,ISNUMBER(SEARCH("LLR",Matrix2!AD35)),(L47-44)/LEN(Matrix2!AD35)&gt;660),AND(E47="Cuba",LEN(Matrix2!AD35)=3,ISNUMBER(SEARCH("LRR",Matrix2!AD35)),(L47-44)/LEN(Matrix2!AD35)&gt;660))</xm:f>
            <x14:dxf>
              <fill>
                <patternFill>
                  <bgColor rgb="FFFF0000"/>
                </patternFill>
              </fill>
            </x14:dxf>
          </x14:cfRule>
          <x14:cfRule type="expression" priority="516" id="{B6F55197-5C04-4029-B267-B4FC6B29F5FE}">
            <xm:f>OR(AND(E47="Antigua",H47="47mm",(L47-Data!Y2)/LEN(Matrix2!AD35)&gt;600),AND(E47="Antigua",H47&lt;&gt;"47mm",(L47-Data!Y2)/LEN(Matrix2!AD35)&gt;750))</xm:f>
            <x14:dxf>
              <fill>
                <patternFill>
                  <bgColor rgb="FFFF0000"/>
                </patternFill>
              </fill>
            </x14:dxf>
          </x14:cfRule>
          <x14:cfRule type="expression" priority="517" id="{693E9333-30DE-4119-AC17-40D4DA15E04C}">
            <xm:f>OR(AND(E47="Bermuda",H47="47mm",(L47-Data!Y2)/LEN(Matrix2!AD35)&gt;610),AND(E47="Bermuda",H47&lt;&gt;"47mm",LEN(Matrix2!AD35)=1,L47&gt;915),AND(E47="Bermuda",H47&lt;&gt;"47mm",LEN(Matrix2!AD35)=2,L47&gt;1830),AND(E47="Bermuda",H47&lt;&gt;"47mm",LEN(Matrix2!AD35)&gt;=3,L47/LEN(Matrix2!AD35)&gt;915))</xm:f>
            <x14:dxf>
              <fill>
                <patternFill>
                  <bgColor rgb="FFFF0000"/>
                </patternFill>
              </fill>
            </x14:dxf>
          </x14:cfRule>
          <x14:cfRule type="expression" priority="518" id="{08AF4D35-0E6F-427C-96EC-3EBFC48E3B89}">
            <xm:f>AND(L47/LEN(Matrix2!AD35)&gt;600,E47="Antigua",$H47="47mm")</xm:f>
            <x14:dxf>
              <fill>
                <patternFill>
                  <bgColor rgb="FFFF0000"/>
                </patternFill>
              </fill>
            </x14:dxf>
          </x14:cfRule>
          <xm:sqref>L47</xm:sqref>
        </x14:conditionalFormatting>
        <x14:conditionalFormatting xmlns:xm="http://schemas.microsoft.com/office/excel/2006/main">
          <x14:cfRule type="expression" priority="164" id="{B090C9A6-5B7D-4D62-AE7F-5ECB5D2C568F}">
            <xm:f>AND(E50="Antigua",LEFT(H50,2)&gt;=76,L50/Matrix2!AR61&gt;750)</xm:f>
            <x14:dxf>
              <fill>
                <patternFill>
                  <bgColor rgb="FFFF0000"/>
                </patternFill>
              </fill>
            </x14:dxf>
          </x14:cfRule>
          <x14:cfRule type="expression" priority="499" id="{D4D35D47-48E0-4F6C-9F5E-F01F07399AEC}">
            <xm:f>OR(AND(E50="Samoa",H50="47mm",LEN(Matrix2!AD36)=1,(L50-44)&gt;762),AND(E50="Samoa",H50="47mm",LEN(Matrix2!AD36)=2,ISNUMBER(SEARCH("LL",Matrix2!AD36)),(L50-44)&gt;1320.8),AND(E50="Samoa",H50="47mm",LEN(Matrix2!AD36)=2,ISNUMBER(SEARCH("RR",Matrix2!AD36)),(L50-44)&gt;1320.8),AND(E50="Samoa",H50&lt;&gt;"47mm",H50&lt;&gt;"89mm",H50&lt;&gt;"114mm",LEN(Matrix2!AD36)=1,(L50-44)&gt;914.4),AND(E50="Samoa",H50&lt;&gt;"47mm",H50&lt;&gt;"89mm",H50&lt;&gt;"114mm",LEN(Matrix2!AD36)=2,ISNUMBER(SEARCH("LL",Matrix2!AD36)),(L50-44)&gt;1320.8),AND(E50="Samoa",H50&lt;&gt;"47mm",H50&lt;&gt;"89mm",H50&lt;&gt;"114mm",LEN(Matrix2!AD36)=2,ISNUMBER(SEARCH("RR",Matrix2!AD36)),(L50-44)&gt;1320.8),AND(E50="Samoa",H50&lt;&gt;"47mm",H50&lt;&gt;"63mm",H50&lt;&gt;"76mm",LEN(Matrix2!AD36)=1,(L50-44)&gt;1219.2),AND(E50="Samoa",H50&lt;&gt;"47mm",H50&lt;&gt;"63mm",H50&lt;&gt;"76mm",LEN(Matrix2!AD36)=2,ISNUMBER(SEARCH("LL",Matrix2!AD36)),(L50-44)&gt;1320.8), AND(E50="Samoa",H50&lt;&gt;"47mm",H50&lt;&gt;"63mm",H50&lt;&gt;"76mm",LEN(Matrix2!AD36)=2,ISNUMBER(SEARCH("RR",Matrix2!AD36)),(L50-44)&gt;1320.8),AND(LEN(Matrix2!AD36)&gt;=3,D50&lt;&gt;"Tracked",ISERROR(FIND("LLRR",Matrix2!AD36))=FALSE,((L50-44)/LEN(Matrix2!AD36)&gt;660.4)),AND(E50="Samoa",LEN(Matrix2!AD36)=3,ISNUMBER(SEARCH("LLR",Matrix2!AD36)),(L50-44)/LEN(Matrix2!AD36)&gt;508),AND(E50="Samoa",LEN(Matrix2!AD36)=3,ISNUMBER(SEARCH("LRR",Matrix2!AD36)),(L50-44)/LEN(Matrix2!AD36)&gt;508),AND(LEN(Matrix2!AD36)&gt;=3,D50="Tracked",I50="Top Track Only",((L50-44)/LEN(Matrix2!AD36)&gt;550)),AND(LEN(Matrix2!AD36)&gt;=3,D50="Tracked",I50&lt;&gt;"Top Track Only",((L50-44)/LEN(Matrix2!AD36)&gt;660)))</xm:f>
            <x14:dxf>
              <fill>
                <patternFill>
                  <bgColor rgb="FFFF0000"/>
                </patternFill>
              </fill>
            </x14:dxf>
          </x14:cfRule>
          <x14:cfRule type="expression" priority="500" id="{B15E5911-C7D3-44EF-ADEC-EF1929764DE4}">
            <xm:f>OR(AND(E50="Fiji",H50="47mm",LEN(Matrix2!AD36)=1,(L50-44)&gt;750),AND(E50="Fiji",H50="47mm",LEN(Matrix2!AD36)=2,ISNUMBER(SEARCH("LL",Matrix2!AD36)),(L50-44)&gt;1320),AND(E50="Fiji",H50="47mm",LEN(Matrix2!AD36)=2,ISNUMBER(SEARCH("RR",Matrix2!AD36)),(L50-44)&gt;1320),AND(E50="Fiji",H50&lt;&gt;"47mm",H50&lt;&gt;"89mm",H50&lt;&gt;"114mm",LEN(Matrix2!AD36)=1,(L50-44)&gt;890),AND(E50="Fiji",H50&lt;&gt;"47mm",H50&lt;&gt;"89mm",H50&lt;&gt;"114mm",LEN(Matrix2!AD36)=2,ISNUMBER(SEARCH("LL",Matrix2!AD36)),(L50-44)&gt;1320),AND(E50="Fiji",H50&lt;&gt;"47mm",H50&lt;&gt;"89mm",H50&lt;&gt;"114mm",LEN(Matrix2!AD36)=2,ISNUMBER(SEARCH("RR",Matrix2!AD36)),(L50-44)&gt;1320),AND(E50="Fiji",H50&lt;&gt;"47mm",H50&lt;&gt;"63mm",H50&lt;&gt;"76mm",LEN(Matrix2!AD36)=1,(L50-44)&gt;1047),AND(E50="Fiji",H50&lt;&gt;"47mm",H50&lt;&gt;"63mm",H50&lt;&gt;"76mm",LEN(Matrix2!AD36)=2,ISNUMBER(SEARCH("LL",Matrix2!AD36)),(L50-44)&gt;1320),AND(E50="Fiji",H50&lt;&gt;"47mm",H50&lt;&gt;"63mm",H50&lt;&gt;"76mm",LEN(Matrix2!AD36)=2,ISNUMBER(SEARCH("RR",Matrix2!AD36)),(L50-44)&gt;1320),AND(LEN(Matrix2!AD36)&gt;=3,D50&lt;&gt;"Tracked",ISERROR(FIND("LLRR",Matrix2!AD36))=FALSE,((L50-44)/LEN(Matrix2!AD36)&gt;660)),AND(E50="Fiji",LEN(Matrix2!AD36)=3,ISNUMBER(SEARCH("LLR",Matrix2!AD36)),(L50-44)/LEN(Matrix2!AD36)&gt;660),AND(E50="Fiji",LEN(Matrix2!AD36)=3,ISNUMBER(SEARCH("LRR",Matrix2!AD36)),(L50-44)/LEN(Matrix2!AD36)&gt;660),AND(LEN(Matrix2!AD36)&gt;=3,D50="Tracked",I50="Top Track Only",((L50-44)/LEN(Matrix2!AD36)&gt;550)),AND(LEN(Matrix2!AD36)&gt;=3,D50="Tracked",I50&lt;&gt;"Top Track Only",((L50-44)/LEN(Matrix2!AD36)&gt;660)))</xm:f>
            <x14:dxf>
              <fill>
                <patternFill>
                  <bgColor rgb="FFFF0000"/>
                </patternFill>
              </fill>
            </x14:dxf>
          </x14:cfRule>
          <x14:cfRule type="expression" priority="501" id="{0F639DFA-F980-48FB-AE08-FFE298DB58A6}">
            <xm:f>OR(AND(E50="Cuba",H50="47mm",LEN(Matrix2!AD36)=1,(L50-44)&gt;750),AND(E50="Cuba",H50="47mm",LEN(Matrix2!AD36)=2,ISNUMBER(SEARCH("LL",Matrix2!AD36)),(L50-44)&gt;1320),AND(E50="Cuba",H50="47mm",LEN(Matrix2!AD36)=2,ISNUMBER(SEARCH("RR",Matrix2!AD36)),(L50-44)&gt;1320),AND(E50="Cuba",H50&lt;&gt;"47mm",LEN(Matrix2!AD36)=1,(L50-44)&gt;890),AND(E50="Cuba",H50&lt;&gt;"47mm",LEN(Matrix2!AD36)=2,ISNUMBER(SEARCH("LL",Matrix2!AD36)),(L50-44)&gt;1320),AND(E50="Cuba",H50&lt;&gt;"47mm",LEN(Matrix2!AD36)=2,ISNUMBER(SEARCH("RR",Matrix2!AD36)),(L50-44)&gt;1320),AND(LEN(Matrix2!AD36)&gt;=3,D50&lt;&gt;"Tracked",ISERROR(FIND("LLRR",Matrix2!AD36))=FALSE,((L50-44)/LEN(Matrix2!AD36)&gt;660)),AND(E50="Cuba",LEN(Matrix2!AD36)=3,ISNUMBER(SEARCH("LLR",Matrix2!AD36)),(L50-44)/LEN(Matrix2!AD36)&gt;660),AND(E50="Cuba",LEN(Matrix2!AD36)=3,ISNUMBER(SEARCH("LRR",Matrix2!AD36)),(L50-44)/LEN(Matrix2!AD36)&gt;660))</xm:f>
            <x14:dxf>
              <fill>
                <patternFill>
                  <bgColor rgb="FFFF0000"/>
                </patternFill>
              </fill>
            </x14:dxf>
          </x14:cfRule>
          <x14:cfRule type="expression" priority="502" id="{3E224052-B679-4194-8E26-2948D16C5812}">
            <xm:f>OR(AND(E50="Antigua",H50="47mm",(L50-Data!Y2)/LEN(Matrix2!AD36)&gt;600),AND(E50="Antigua",H50&lt;&gt;"47mm",(L50-Data!Y2)/LEN(Matrix2!AD36)&gt;750))</xm:f>
            <x14:dxf>
              <fill>
                <patternFill>
                  <bgColor rgb="FFFF0000"/>
                </patternFill>
              </fill>
            </x14:dxf>
          </x14:cfRule>
          <x14:cfRule type="expression" priority="503" id="{CAB57AFF-6E56-4BA7-ACE6-E33CB1D6BAD0}">
            <xm:f>OR(AND(E50="Bermuda",H50="47mm",(L50-Data!Y2)/LEN(Matrix2!AD36)&gt;610),AND(E50="Bermuda",H47&lt;&gt;"47mm",LEN(Matrix2!AD36)=1,L50&gt;915),AND(E50="Bermuda",H50&lt;&gt;"47mm",LEN(Matrix2!AD36)=2,L50&gt;1830),AND(E50="Bermuda",H50&lt;&gt;"47mm",LEN(Matrix2!AD36)&gt;=3,L50/LEN(Matrix2!AD36)&gt;915))</xm:f>
            <x14:dxf>
              <fill>
                <patternFill>
                  <bgColor rgb="FFFF0000"/>
                </patternFill>
              </fill>
            </x14:dxf>
          </x14:cfRule>
          <x14:cfRule type="expression" priority="504" id="{32BF17CB-7F8A-4FEB-B3FF-45FC6D2A1BF2}">
            <xm:f>AND(L50/LEN(Matrix2!AD36)&gt;600,E50="Antigua",$H50="47mm")</xm:f>
            <x14:dxf>
              <fill>
                <patternFill>
                  <bgColor rgb="FFFF0000"/>
                </patternFill>
              </fill>
            </x14:dxf>
          </x14:cfRule>
          <xm:sqref>L50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70E85A1-37CF-439C-B581-62C1C4AD0D74}">
          <x14:formula1>
            <xm:f>IF(AND(Helper!B3=TRUE,Helper!C3=TRUE,Helper!D3=FALSE),HamptonT,IF(AND(Helper!B3=TRUE, Helper!C3=FALSE),HamptonTilt,IF(E8="Aruba",ArubaTilt,TiltRod)))</xm:f>
          </x14:formula1>
          <xm:sqref>J8:J10</xm:sqref>
        </x14:dataValidation>
        <x14:dataValidation type="list" allowBlank="1" showInputMessage="1" showErrorMessage="1" xr:uid="{4028692C-3443-4F33-B2DD-6B37D4E28BE4}">
          <x14:formula1>
            <xm:f>IF(AND(Helper!B4=TRUE,Helper!C4=TRUE,Helper!D4=FALSE),HamptonT,IF(AND(Helper!B3=TRUE, Helper!C4=FALSE),HamptonTilt,IF(E11="Aruba",ArubaTilt,TiltRod)))</xm:f>
          </x14:formula1>
          <xm:sqref>J11:J13</xm:sqref>
        </x14:dataValidation>
        <x14:dataValidation type="list" allowBlank="1" showInputMessage="1" showErrorMessage="1" xr:uid="{7B18E62F-4075-46DD-A869-E62C91F4751F}">
          <x14:formula1>
            <xm:f>IF(AND(Helper!B5=TRUE,Helper!C5=TRUE,Helper!D5=FALSE),HamptonT,IF(AND(Helper!B3=TRUE, Helper!C5=FALSE),HamptonTilt,IF(E14="Aruba",ArubaTilt,TiltRod)))</xm:f>
          </x14:formula1>
          <xm:sqref>J14:J16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624EE-7BE4-4A31-BDA8-4FAEA7C71C5A}">
  <sheetPr codeName="Sheet11"/>
  <dimension ref="E4:W38"/>
  <sheetViews>
    <sheetView workbookViewId="0">
      <selection activeCell="M9" sqref="M9"/>
    </sheetView>
  </sheetViews>
  <sheetFormatPr defaultRowHeight="15" x14ac:dyDescent="0.2"/>
  <cols>
    <col min="4" max="4" width="3.359375" customWidth="1"/>
    <col min="5" max="5" width="11.43359375" customWidth="1"/>
    <col min="8" max="8" width="9.68359375" bestFit="1" customWidth="1"/>
    <col min="9" max="9" width="9.4140625" bestFit="1" customWidth="1"/>
    <col min="10" max="10" width="9.4140625" hidden="1" customWidth="1"/>
    <col min="11" max="11" width="9.953125" bestFit="1" customWidth="1"/>
  </cols>
  <sheetData>
    <row r="4" spans="5:16" x14ac:dyDescent="0.2">
      <c r="E4" s="1179" t="s">
        <v>173</v>
      </c>
      <c r="F4" s="1179" t="s">
        <v>196</v>
      </c>
      <c r="G4" s="1179"/>
      <c r="H4" s="1179"/>
      <c r="I4" s="763" t="s">
        <v>197</v>
      </c>
      <c r="J4" s="763"/>
      <c r="K4" s="763"/>
      <c r="M4" t="s">
        <v>965</v>
      </c>
    </row>
    <row r="5" spans="5:16" x14ac:dyDescent="0.2">
      <c r="E5" s="1179"/>
      <c r="F5" s="1179"/>
      <c r="G5" s="1179"/>
      <c r="H5" s="1179"/>
      <c r="I5" s="333" t="s">
        <v>198</v>
      </c>
      <c r="J5" s="333" t="s">
        <v>198</v>
      </c>
      <c r="K5" s="333" t="s">
        <v>199</v>
      </c>
      <c r="M5" s="1178" t="str">
        <f>IF('Signoff Sheet'!R19 = "Yes","Ladders Required!","")</f>
        <v/>
      </c>
      <c r="N5" s="1178"/>
      <c r="O5" s="1178"/>
      <c r="P5" s="1178"/>
    </row>
    <row r="6" spans="5:16" x14ac:dyDescent="0.2">
      <c r="E6" s="48">
        <f>COUNTIFS('Survey Front'!M12:M56,"&lt;=1999",'Survey Front'!N12:N56,"&lt;=1800",'Survey Front'!AG12:AG56,"=FALSE")</f>
        <v>0</v>
      </c>
      <c r="F6" s="1110" t="s">
        <v>200</v>
      </c>
      <c r="G6" s="1110"/>
      <c r="H6" s="29" t="s">
        <v>201</v>
      </c>
      <c r="I6" s="330">
        <f>(30*E6)/1440</f>
        <v>0</v>
      </c>
      <c r="J6" s="330">
        <f>(30*E6)/1440</f>
        <v>0</v>
      </c>
      <c r="K6" s="330">
        <f>(45*E6)/1440</f>
        <v>0</v>
      </c>
    </row>
    <row r="7" spans="5:16" x14ac:dyDescent="0.2">
      <c r="E7" s="48">
        <f>COUNTIFS('Survey Front'!M12:M56,"&gt;=2000",'Survey Front'!M12:M56,"&lt;=2499",'Survey Front'!N12:N56,"&lt;=1800",'Survey Front'!AG12:AG56,"=FALSE")</f>
        <v>0</v>
      </c>
      <c r="F7" s="1110"/>
      <c r="G7" s="1110"/>
      <c r="H7" s="29" t="s">
        <v>202</v>
      </c>
      <c r="I7" s="330">
        <f>(40*E7)/1440</f>
        <v>0</v>
      </c>
      <c r="J7" s="330">
        <f>(30*E7)/1440</f>
        <v>0</v>
      </c>
      <c r="K7" s="330">
        <f>(45*E7)/1440</f>
        <v>0</v>
      </c>
    </row>
    <row r="8" spans="5:16" x14ac:dyDescent="0.2">
      <c r="E8" s="48">
        <f>COUNTIFS('Survey Front'!M12:M56,"&gt;=2500",'Survey Front'!M12:M56,"&lt;=3500",'Survey Front'!N12:N56,"&lt;=1800",'Survey Front'!AG12:AG56,"=FALSE")</f>
        <v>0</v>
      </c>
      <c r="F8" s="1110"/>
      <c r="G8" s="1110"/>
      <c r="H8" s="29" t="s">
        <v>203</v>
      </c>
      <c r="I8" s="330">
        <f>(60*E8)/1440</f>
        <v>0</v>
      </c>
      <c r="J8" s="330"/>
      <c r="K8" s="330"/>
    </row>
    <row r="9" spans="5:16" x14ac:dyDescent="0.2">
      <c r="E9" s="4"/>
      <c r="F9" s="7"/>
      <c r="G9" s="7"/>
      <c r="I9" s="7"/>
      <c r="J9" s="7"/>
      <c r="K9" s="7"/>
      <c r="M9" s="459">
        <v>0.51388888888888895</v>
      </c>
    </row>
    <row r="10" spans="5:16" ht="14.45" customHeight="1" x14ac:dyDescent="0.2">
      <c r="E10" s="48">
        <f>COUNTIFS('Survey Front'!AF12:AF56,"&gt;0",'Survey Front'!M12:M56,"&lt;=1800")</f>
        <v>0</v>
      </c>
      <c r="F10" s="1182" t="s">
        <v>204</v>
      </c>
      <c r="G10" s="1182"/>
      <c r="H10" s="52" t="s">
        <v>201</v>
      </c>
      <c r="I10" s="330">
        <f>(30*E10)/1440</f>
        <v>0</v>
      </c>
      <c r="J10" s="1180">
        <f>(50*E10)/1440</f>
        <v>0</v>
      </c>
      <c r="K10" s="330">
        <f>(45*E10)/1440</f>
        <v>0</v>
      </c>
    </row>
    <row r="11" spans="5:16" x14ac:dyDescent="0.2">
      <c r="E11" s="48">
        <f>COUNTIFS('Survey Front'!M12:M56,"&gt;=2000",'Survey Front'!M12:M56,"&lt;=2499",'Survey Front'!N12:N56,"&lt;=1800",'Survey Front'!AF12:AF56,"&gt;0")</f>
        <v>0</v>
      </c>
      <c r="F11" s="1182"/>
      <c r="G11" s="1182"/>
      <c r="H11" s="52" t="s">
        <v>202</v>
      </c>
      <c r="I11" s="330">
        <f>(40*E11)/1440</f>
        <v>0</v>
      </c>
      <c r="J11" s="1181"/>
      <c r="K11" s="330"/>
    </row>
    <row r="12" spans="5:16" x14ac:dyDescent="0.2">
      <c r="E12" s="48">
        <f>COUNTIFS('Survey Front'!M12:M56,"&gt;=2500",'Survey Front'!M12:M56,"&lt;=3500",'Survey Front'!N12:N56,"&lt;=1800",'Survey Front'!AF12:AF56,"&gt;0")</f>
        <v>0</v>
      </c>
      <c r="F12" s="1182"/>
      <c r="G12" s="1182"/>
      <c r="H12" s="48" t="s">
        <v>203</v>
      </c>
      <c r="I12" s="330">
        <f>(60*E12)/1440</f>
        <v>0</v>
      </c>
      <c r="J12" s="338"/>
      <c r="K12" s="330"/>
    </row>
    <row r="13" spans="5:16" x14ac:dyDescent="0.2">
      <c r="E13" s="4"/>
      <c r="F13" s="30"/>
      <c r="G13" s="30"/>
      <c r="I13" s="7"/>
      <c r="J13" s="7"/>
      <c r="K13" s="7"/>
    </row>
    <row r="14" spans="5:16" x14ac:dyDescent="0.2">
      <c r="E14" s="48">
        <f>COUNTIFS('Survey Front'!AG12:AG56,TRUE,'Survey Front'!M12:M56,"&lt;=1999",'Survey Front'!N12:N56,"&lt;1800")</f>
        <v>0</v>
      </c>
      <c r="F14" s="1110" t="s">
        <v>205</v>
      </c>
      <c r="G14" s="1110"/>
      <c r="H14" s="52" t="s">
        <v>201</v>
      </c>
      <c r="I14" s="330">
        <f>(60*E14)/1440</f>
        <v>0</v>
      </c>
      <c r="J14" s="331">
        <f>(100*E14)/1440</f>
        <v>0</v>
      </c>
      <c r="K14" s="330"/>
    </row>
    <row r="15" spans="5:16" x14ac:dyDescent="0.2">
      <c r="E15" s="48">
        <f>COUNTIFS('Survey Front'!AG12:AG56,TRUE,'Survey Front'!M12:M56,"&gt;=2000",'Survey Front'!M12:M56,"&lt;=2500",'Survey Front'!N12:N56,"&lt;1800")</f>
        <v>0</v>
      </c>
      <c r="F15" s="1110"/>
      <c r="G15" s="1110"/>
      <c r="H15" s="52" t="s">
        <v>206</v>
      </c>
      <c r="I15" s="330">
        <f>(100*E15)/1440</f>
        <v>0</v>
      </c>
      <c r="J15" s="332">
        <f>(120*E15)/1440</f>
        <v>0</v>
      </c>
      <c r="K15" s="330"/>
    </row>
    <row r="16" spans="5:16" x14ac:dyDescent="0.2">
      <c r="E16" s="48">
        <f>COUNTIFS('Survey Front'!AG13:AG57,TRUE,'Survey Front'!M13:M57,"&gt;=3000",'Survey Front'!M13:M57,"&lt;=4500",'Survey Front'!N13:N57,"&lt;1800")</f>
        <v>0</v>
      </c>
      <c r="F16" s="1110"/>
      <c r="G16" s="1110"/>
      <c r="H16" s="52" t="s">
        <v>207</v>
      </c>
      <c r="I16" s="330">
        <f>(120*E16)/1440</f>
        <v>0</v>
      </c>
      <c r="J16" s="338"/>
      <c r="K16" s="332"/>
    </row>
    <row r="17" spans="5:11" x14ac:dyDescent="0.2">
      <c r="E17" s="4"/>
      <c r="F17" s="329"/>
      <c r="G17" s="329"/>
      <c r="I17" s="7"/>
      <c r="J17" s="7"/>
      <c r="K17" s="7"/>
    </row>
    <row r="18" spans="5:11" x14ac:dyDescent="0.2">
      <c r="E18" s="52"/>
      <c r="F18" s="1110"/>
      <c r="G18" s="1110"/>
      <c r="H18" s="29" t="s">
        <v>208</v>
      </c>
      <c r="I18" s="48"/>
      <c r="J18" s="48"/>
      <c r="K18" s="48"/>
    </row>
    <row r="19" spans="5:11" x14ac:dyDescent="0.2">
      <c r="E19" s="52"/>
      <c r="F19" s="1110"/>
      <c r="G19" s="1110"/>
      <c r="H19" s="29" t="s">
        <v>207</v>
      </c>
      <c r="I19" s="48"/>
      <c r="J19" s="48"/>
      <c r="K19" s="48"/>
    </row>
    <row r="20" spans="5:11" x14ac:dyDescent="0.2">
      <c r="E20" s="4"/>
      <c r="F20" s="7"/>
      <c r="G20" s="7"/>
      <c r="I20" s="7"/>
      <c r="J20" s="7"/>
      <c r="K20" s="7"/>
    </row>
    <row r="21" spans="5:11" x14ac:dyDescent="0.2">
      <c r="E21" s="48">
        <f>COUNTIFS('Survey Front'!N12:N56,"&gt;1800",'Survey Front'!M12:M56,"&lt;=1599")</f>
        <v>0</v>
      </c>
      <c r="F21" s="1110" t="s">
        <v>209</v>
      </c>
      <c r="G21" s="1110"/>
      <c r="H21" s="29" t="s">
        <v>210</v>
      </c>
      <c r="I21" s="330">
        <f>(50*E21)/1440</f>
        <v>0</v>
      </c>
      <c r="J21" s="330">
        <f>(50*E21)/1440</f>
        <v>0</v>
      </c>
      <c r="K21" s="330"/>
    </row>
    <row r="22" spans="5:11" x14ac:dyDescent="0.2">
      <c r="E22" s="48">
        <f>COUNTIFS('Survey Front'!N12:N56,"&gt;1800",'Survey Front'!M12:M56,"&gt;=1600",'Survey Front'!M12:M56,"&lt;=2400")</f>
        <v>0</v>
      </c>
      <c r="F22" s="1110"/>
      <c r="G22" s="1110"/>
      <c r="H22" s="29" t="s">
        <v>211</v>
      </c>
      <c r="I22" s="330">
        <f>(70*E22)/1440</f>
        <v>0</v>
      </c>
      <c r="J22" s="330">
        <f>(75*E22)/1440</f>
        <v>0</v>
      </c>
      <c r="K22" s="330"/>
    </row>
    <row r="23" spans="5:11" x14ac:dyDescent="0.2">
      <c r="E23" s="4"/>
      <c r="F23" s="7"/>
      <c r="G23" s="7"/>
      <c r="I23" s="7"/>
      <c r="J23" s="7"/>
      <c r="K23" s="7"/>
    </row>
    <row r="24" spans="5:11" x14ac:dyDescent="0.2">
      <c r="E24" s="48">
        <f>COUNTIFS('Survey Front'!D12:D56,"Tracked",'Survey Front'!M12:M56,"&lt;=1499",'Survey Front'!N12:N56,"&lt;=1999")</f>
        <v>0</v>
      </c>
      <c r="F24" s="1110" t="s">
        <v>212</v>
      </c>
      <c r="G24" s="1110"/>
      <c r="H24" s="29" t="s">
        <v>213</v>
      </c>
      <c r="I24" s="330">
        <f>(120*E24)/1440</f>
        <v>0</v>
      </c>
      <c r="J24" s="330">
        <f>(120*E24)/1440</f>
        <v>0</v>
      </c>
      <c r="K24" s="330">
        <f>(150*E24)/1440</f>
        <v>0</v>
      </c>
    </row>
    <row r="25" spans="5:11" ht="15.75" thickBot="1" x14ac:dyDescent="0.25">
      <c r="E25" s="48">
        <f>COUNTIFS('Survey Front'!D12:D56,"Tracked",'Survey Front'!M12:M56,"&gt;=1500",'Survey Front'!N12:N56,"&lt;=1999")</f>
        <v>0</v>
      </c>
      <c r="F25" s="1110"/>
      <c r="G25" s="1110"/>
      <c r="H25" s="31" t="s">
        <v>214</v>
      </c>
      <c r="I25" s="334">
        <f>(180*E25)/1440</f>
        <v>0</v>
      </c>
      <c r="J25" s="334">
        <f>(180*E25)/1440</f>
        <v>0</v>
      </c>
      <c r="K25" s="334"/>
    </row>
    <row r="26" spans="5:11" ht="15.75" thickBot="1" x14ac:dyDescent="0.25">
      <c r="H26" s="335" t="s">
        <v>59</v>
      </c>
      <c r="I26" s="336">
        <f>SUM(I6:I25)</f>
        <v>0</v>
      </c>
      <c r="J26" s="336">
        <f>SUM(J6:J25)</f>
        <v>0</v>
      </c>
      <c r="K26" s="337">
        <f>SUM(K6:K24)</f>
        <v>0</v>
      </c>
    </row>
    <row r="29" spans="5:11" x14ac:dyDescent="0.2">
      <c r="F29" t="s">
        <v>215</v>
      </c>
    </row>
    <row r="30" spans="5:11" x14ac:dyDescent="0.2">
      <c r="F30" t="s">
        <v>216</v>
      </c>
    </row>
    <row r="32" spans="5:11" x14ac:dyDescent="0.2">
      <c r="E32" t="s">
        <v>961</v>
      </c>
    </row>
    <row r="33" spans="5:23" x14ac:dyDescent="0.2">
      <c r="E33" s="1177" t="str">
        <f>IF('Survey Front'!E57="","",'Survey Front'!E57)</f>
        <v/>
      </c>
      <c r="F33" s="1177"/>
      <c r="G33" s="1177"/>
      <c r="H33" s="1177"/>
      <c r="I33" s="1177"/>
      <c r="J33" s="1177"/>
      <c r="K33" s="1177"/>
      <c r="L33" s="1177"/>
      <c r="M33" s="1177"/>
      <c r="N33" s="1177"/>
      <c r="O33" s="1177"/>
      <c r="P33" s="1177"/>
      <c r="Q33" s="1177"/>
      <c r="R33" s="1177"/>
      <c r="S33" s="1177"/>
      <c r="T33" s="1177"/>
      <c r="U33" s="1177"/>
      <c r="V33" s="1177"/>
      <c r="W33" s="1177"/>
    </row>
    <row r="34" spans="5:23" x14ac:dyDescent="0.2">
      <c r="E34" s="1177"/>
      <c r="F34" s="1177"/>
      <c r="G34" s="1177"/>
      <c r="H34" s="1177"/>
      <c r="I34" s="1177"/>
      <c r="J34" s="1177"/>
      <c r="K34" s="1177"/>
      <c r="L34" s="1177"/>
      <c r="M34" s="1177"/>
      <c r="N34" s="1177"/>
      <c r="O34" s="1177"/>
      <c r="P34" s="1177"/>
      <c r="Q34" s="1177"/>
      <c r="R34" s="1177"/>
      <c r="S34" s="1177"/>
      <c r="T34" s="1177"/>
      <c r="U34" s="1177"/>
      <c r="V34" s="1177"/>
      <c r="W34" s="1177"/>
    </row>
    <row r="35" spans="5:23" x14ac:dyDescent="0.2">
      <c r="E35" s="1177"/>
      <c r="F35" s="1177"/>
      <c r="G35" s="1177"/>
      <c r="H35" s="1177"/>
      <c r="I35" s="1177"/>
      <c r="J35" s="1177"/>
      <c r="K35" s="1177"/>
      <c r="L35" s="1177"/>
      <c r="M35" s="1177"/>
      <c r="N35" s="1177"/>
      <c r="O35" s="1177"/>
      <c r="P35" s="1177"/>
      <c r="Q35" s="1177"/>
      <c r="R35" s="1177"/>
      <c r="S35" s="1177"/>
      <c r="T35" s="1177"/>
      <c r="U35" s="1177"/>
      <c r="V35" s="1177"/>
      <c r="W35" s="1177"/>
    </row>
    <row r="36" spans="5:23" x14ac:dyDescent="0.2">
      <c r="E36" s="1177"/>
      <c r="F36" s="1177"/>
      <c r="G36" s="1177"/>
      <c r="H36" s="1177"/>
      <c r="I36" s="1177"/>
      <c r="J36" s="1177"/>
      <c r="K36" s="1177"/>
      <c r="L36" s="1177"/>
      <c r="M36" s="1177"/>
      <c r="N36" s="1177"/>
      <c r="O36" s="1177"/>
      <c r="P36" s="1177"/>
      <c r="Q36" s="1177"/>
      <c r="R36" s="1177"/>
      <c r="S36" s="1177"/>
      <c r="T36" s="1177"/>
      <c r="U36" s="1177"/>
      <c r="V36" s="1177"/>
      <c r="W36" s="1177"/>
    </row>
    <row r="37" spans="5:23" x14ac:dyDescent="0.2">
      <c r="E37" s="1177"/>
      <c r="F37" s="1177"/>
      <c r="G37" s="1177"/>
      <c r="H37" s="1177"/>
      <c r="I37" s="1177"/>
      <c r="J37" s="1177"/>
      <c r="K37" s="1177"/>
      <c r="L37" s="1177"/>
      <c r="M37" s="1177"/>
      <c r="N37" s="1177"/>
      <c r="O37" s="1177"/>
      <c r="P37" s="1177"/>
      <c r="Q37" s="1177"/>
      <c r="R37" s="1177"/>
      <c r="S37" s="1177"/>
      <c r="T37" s="1177"/>
      <c r="U37" s="1177"/>
      <c r="V37" s="1177"/>
      <c r="W37" s="1177"/>
    </row>
    <row r="38" spans="5:23" x14ac:dyDescent="0.2">
      <c r="E38" s="1177"/>
      <c r="F38" s="1177"/>
      <c r="G38" s="1177"/>
      <c r="H38" s="1177"/>
      <c r="I38" s="1177"/>
      <c r="J38" s="1177"/>
      <c r="K38" s="1177"/>
      <c r="L38" s="1177"/>
      <c r="M38" s="1177"/>
      <c r="N38" s="1177"/>
      <c r="O38" s="1177"/>
      <c r="P38" s="1177"/>
      <c r="Q38" s="1177"/>
      <c r="R38" s="1177"/>
      <c r="S38" s="1177"/>
      <c r="T38" s="1177"/>
      <c r="U38" s="1177"/>
      <c r="V38" s="1177"/>
      <c r="W38" s="1177"/>
    </row>
  </sheetData>
  <mergeCells count="12">
    <mergeCell ref="E33:W38"/>
    <mergeCell ref="M5:P5"/>
    <mergeCell ref="E4:E5"/>
    <mergeCell ref="F4:H5"/>
    <mergeCell ref="I4:K4"/>
    <mergeCell ref="F6:G8"/>
    <mergeCell ref="F24:G25"/>
    <mergeCell ref="J10:J11"/>
    <mergeCell ref="F18:G19"/>
    <mergeCell ref="F21:G22"/>
    <mergeCell ref="F10:G12"/>
    <mergeCell ref="F14:G16"/>
  </mergeCells>
  <phoneticPr fontId="17" type="noConversion"/>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B345A-F1A3-4777-8F3C-7AFFF51EE3DC}">
  <sheetPr codeName="Sheet6">
    <tabColor rgb="FFFF0000"/>
  </sheetPr>
  <dimension ref="A1:BF194"/>
  <sheetViews>
    <sheetView workbookViewId="0">
      <selection activeCell="C11" sqref="C11"/>
    </sheetView>
  </sheetViews>
  <sheetFormatPr defaultRowHeight="15" x14ac:dyDescent="0.2"/>
  <cols>
    <col min="1" max="1" width="6.05078125" bestFit="1" customWidth="1"/>
    <col min="2" max="2" width="25.15234375" bestFit="1" customWidth="1"/>
    <col min="3" max="3" width="7.53125" bestFit="1" customWidth="1"/>
    <col min="4" max="4" width="4.5703125" bestFit="1" customWidth="1"/>
    <col min="5" max="5" width="30.66796875" bestFit="1" customWidth="1"/>
    <col min="6" max="6" width="7.53125" bestFit="1" customWidth="1"/>
    <col min="7" max="7" width="7.6640625" bestFit="1" customWidth="1"/>
    <col min="11" max="11" width="9.01171875" bestFit="1" customWidth="1"/>
    <col min="12" max="13" width="9.14453125" bestFit="1" customWidth="1"/>
    <col min="14" max="14" width="12.64453125" bestFit="1" customWidth="1"/>
    <col min="15" max="15" width="9.4140625" bestFit="1" customWidth="1"/>
    <col min="16" max="16" width="13.5859375" bestFit="1" customWidth="1"/>
    <col min="17" max="17" width="14.390625" bestFit="1" customWidth="1"/>
    <col min="18" max="18" width="9.14453125" bestFit="1" customWidth="1"/>
    <col min="19" max="19" width="9.68359375" bestFit="1" customWidth="1"/>
    <col min="20" max="20" width="11.56640625" bestFit="1" customWidth="1"/>
    <col min="23" max="23" width="10.625" bestFit="1" customWidth="1"/>
    <col min="25" max="25" width="11.02734375" bestFit="1" customWidth="1"/>
    <col min="27" max="27" width="11.02734375" bestFit="1" customWidth="1"/>
    <col min="28" max="28" width="9.953125" bestFit="1" customWidth="1"/>
    <col min="29" max="29" width="10.625" bestFit="1" customWidth="1"/>
    <col min="46" max="46" width="10.89453125" bestFit="1" customWidth="1"/>
  </cols>
  <sheetData>
    <row r="1" spans="1:58" x14ac:dyDescent="0.2">
      <c r="A1" t="s">
        <v>959</v>
      </c>
      <c r="K1" s="1184" t="s">
        <v>217</v>
      </c>
      <c r="L1" s="1185"/>
      <c r="M1" s="1185"/>
      <c r="N1" s="1185"/>
      <c r="O1" s="1185"/>
      <c r="P1" s="1185"/>
      <c r="Q1" s="1185"/>
      <c r="R1" s="1185"/>
      <c r="S1" s="1185"/>
      <c r="T1" s="1185"/>
      <c r="U1" s="1185"/>
      <c r="V1" s="1185"/>
      <c r="W1" s="1185"/>
      <c r="X1" s="1185"/>
      <c r="Y1" s="1185"/>
      <c r="Z1" s="1185"/>
      <c r="AC1" s="56" t="s">
        <v>218</v>
      </c>
      <c r="AD1" s="56" t="s">
        <v>219</v>
      </c>
      <c r="AE1" s="56" t="s">
        <v>220</v>
      </c>
      <c r="AF1" s="56" t="s">
        <v>221</v>
      </c>
      <c r="AG1" s="56" t="s">
        <v>222</v>
      </c>
      <c r="AH1" s="56" t="s">
        <v>223</v>
      </c>
      <c r="AI1" s="56" t="s">
        <v>224</v>
      </c>
      <c r="AJ1" s="56" t="s">
        <v>225</v>
      </c>
      <c r="AK1" s="56" t="s">
        <v>226</v>
      </c>
      <c r="AL1" s="56" t="s">
        <v>227</v>
      </c>
      <c r="AM1" s="56" t="s">
        <v>228</v>
      </c>
      <c r="AN1" s="56" t="s">
        <v>229</v>
      </c>
      <c r="AO1" s="56" t="s">
        <v>230</v>
      </c>
      <c r="AP1" s="56" t="s">
        <v>231</v>
      </c>
      <c r="AQ1" s="56" t="s">
        <v>232</v>
      </c>
      <c r="AR1" s="56" t="s">
        <v>233</v>
      </c>
      <c r="AT1" s="758" t="s">
        <v>234</v>
      </c>
      <c r="AU1" s="758"/>
      <c r="AV1" s="758"/>
      <c r="AW1" s="758"/>
      <c r="AX1" s="758"/>
      <c r="AY1" s="758"/>
      <c r="AZ1" s="758"/>
      <c r="BA1" s="758"/>
      <c r="BB1" s="758"/>
      <c r="BC1" s="758"/>
      <c r="BD1" s="758"/>
      <c r="BE1" s="758"/>
      <c r="BF1" s="758"/>
    </row>
    <row r="2" spans="1:58" x14ac:dyDescent="0.2">
      <c r="B2" s="373" t="s">
        <v>41</v>
      </c>
      <c r="C2" s="374">
        <v>368</v>
      </c>
      <c r="E2" t="s">
        <v>212</v>
      </c>
      <c r="F2" s="57">
        <v>130</v>
      </c>
      <c r="G2" t="s">
        <v>235</v>
      </c>
      <c r="K2" s="29"/>
      <c r="L2" s="58" t="s">
        <v>219</v>
      </c>
      <c r="M2" s="58" t="s">
        <v>220</v>
      </c>
      <c r="N2" s="58" t="s">
        <v>221</v>
      </c>
      <c r="O2" s="58" t="s">
        <v>222</v>
      </c>
      <c r="P2" s="58" t="s">
        <v>223</v>
      </c>
      <c r="Q2" s="58" t="s">
        <v>224</v>
      </c>
      <c r="R2" s="58" t="s">
        <v>225</v>
      </c>
      <c r="S2" s="58" t="s">
        <v>226</v>
      </c>
      <c r="T2" s="58" t="s">
        <v>227</v>
      </c>
      <c r="U2" s="58" t="s">
        <v>228</v>
      </c>
      <c r="V2" s="58" t="s">
        <v>229</v>
      </c>
      <c r="W2" s="58" t="s">
        <v>230</v>
      </c>
      <c r="X2" s="58" t="s">
        <v>231</v>
      </c>
      <c r="Y2" s="58" t="s">
        <v>232</v>
      </c>
      <c r="Z2" s="58" t="s">
        <v>233</v>
      </c>
      <c r="AA2" s="58" t="s">
        <v>59</v>
      </c>
      <c r="AC2" s="59" t="s">
        <v>236</v>
      </c>
      <c r="AD2" s="4">
        <f>COUNTIFS(Pricing!$Q$8:$AA$8,AC2)</f>
        <v>0</v>
      </c>
      <c r="AE2" s="4">
        <f>COUNTIFS(Pricing!$Q$11:$AA$11,AC2)</f>
        <v>0</v>
      </c>
      <c r="AF2" s="4">
        <f>COUNTIFS(Pricing!$Q$14:$AA$14,AC2)</f>
        <v>0</v>
      </c>
      <c r="AG2" s="4">
        <f>COUNTIFS(Pricing!$Q$17:$AA$17,AC2)</f>
        <v>0</v>
      </c>
      <c r="AH2" s="4">
        <f>COUNTIFS(Pricing!$Q$20:$AA$20,AC2)</f>
        <v>0</v>
      </c>
      <c r="AI2" s="4">
        <f>COUNTIFS(Pricing!$Q$23:$AA$23,AC2)</f>
        <v>0</v>
      </c>
      <c r="AJ2" s="4">
        <f>COUNTIFS(Pricing!$Q$26:$AA$26,AC2)</f>
        <v>0</v>
      </c>
      <c r="AK2" s="4">
        <f>COUNTIFS(Pricing!$Q$29:$AA$29,AC2)</f>
        <v>0</v>
      </c>
      <c r="AL2" s="4">
        <f>COUNTIFS(Pricing!$Q$32:$AA$32,AC2)</f>
        <v>0</v>
      </c>
      <c r="AM2" s="4">
        <f>COUNTIFS(Pricing!$Q$35:$AA$35,AC2)</f>
        <v>0</v>
      </c>
      <c r="AN2" s="4">
        <f>COUNTIFS(Pricing!$Q$38:$AA$38,AC2)</f>
        <v>0</v>
      </c>
      <c r="AO2" s="4">
        <f>COUNTIFS(Pricing!$Q$41:$AA$41,AC2)</f>
        <v>0</v>
      </c>
      <c r="AP2" s="4">
        <f>COUNTIFS(Pricing!$Q$44:$AA$44,AC2)</f>
        <v>0</v>
      </c>
      <c r="AQ2" s="4">
        <f>COUNTIFS(Pricing!$Q$47:$AA$47,AI2)</f>
        <v>0</v>
      </c>
      <c r="AR2" s="4">
        <f>COUNTIFS(Pricing!$Q$50:$AA$50,AJ2)</f>
        <v>0</v>
      </c>
      <c r="AU2" t="s">
        <v>237</v>
      </c>
      <c r="AV2" t="s">
        <v>238</v>
      </c>
      <c r="AW2" t="s">
        <v>239</v>
      </c>
      <c r="AX2" t="s">
        <v>240</v>
      </c>
      <c r="AY2" t="s">
        <v>241</v>
      </c>
      <c r="AZ2" t="s">
        <v>242</v>
      </c>
      <c r="BA2" t="s">
        <v>243</v>
      </c>
      <c r="BB2" t="s">
        <v>244</v>
      </c>
      <c r="BC2" t="s">
        <v>245</v>
      </c>
      <c r="BD2" t="s">
        <v>246</v>
      </c>
      <c r="BE2" t="s">
        <v>247</v>
      </c>
    </row>
    <row r="3" spans="1:58" x14ac:dyDescent="0.2">
      <c r="B3" s="373" t="s">
        <v>43</v>
      </c>
      <c r="C3" s="374">
        <v>40</v>
      </c>
      <c r="E3" t="s">
        <v>248</v>
      </c>
      <c r="F3" s="57">
        <v>205</v>
      </c>
      <c r="G3" t="s">
        <v>249</v>
      </c>
      <c r="K3" s="60" t="s">
        <v>41</v>
      </c>
      <c r="L3" s="61">
        <f>(($C2*$N$26))+AA26+W26</f>
        <v>0</v>
      </c>
      <c r="M3" s="61">
        <f>(($C2*$N$27))+AA27+W27</f>
        <v>0</v>
      </c>
      <c r="N3" s="61">
        <f>(($C2*$N$28))+AA28+W28</f>
        <v>0</v>
      </c>
      <c r="O3" s="61">
        <f>(($C2*$N$29))+AA29+W29</f>
        <v>0</v>
      </c>
      <c r="P3" s="61">
        <f>(($C2*$N$30))+AA30+W30</f>
        <v>0</v>
      </c>
      <c r="Q3" s="61">
        <f>(($C2*$N$31))+AA31+W31</f>
        <v>0</v>
      </c>
      <c r="R3" s="61">
        <f>(($C2*$N$32))+AA32+W32</f>
        <v>0</v>
      </c>
      <c r="S3" s="61">
        <f>(($C2*$N$33))+AA33+W33</f>
        <v>0</v>
      </c>
      <c r="T3" s="61">
        <f>(($C2*$N$34))+AA34+W34</f>
        <v>0</v>
      </c>
      <c r="U3" s="61">
        <f>(($C2*$N$35))+AA35+W35</f>
        <v>0</v>
      </c>
      <c r="V3" s="61">
        <f>($C2*$N$36)+AA36+W36</f>
        <v>0</v>
      </c>
      <c r="W3" s="61">
        <f>($C2*$N$37)+AA37+W37</f>
        <v>0</v>
      </c>
      <c r="X3" s="61">
        <f>($C2*$N$38)+AA38+W38</f>
        <v>0</v>
      </c>
      <c r="Y3" s="61">
        <f>($C2*$N$39)+AA39+X39</f>
        <v>0</v>
      </c>
      <c r="Z3" s="61">
        <f>($C2*$N$40) +AA40+W40</f>
        <v>0</v>
      </c>
      <c r="AA3" s="57">
        <f t="shared" ref="AA3:AA10" si="0">SUM(L3:Z3)</f>
        <v>0</v>
      </c>
      <c r="AC3" s="4" t="s">
        <v>250</v>
      </c>
      <c r="AD3" s="4">
        <f>COUNTIFS(Pricing!$Q$8:$AA$8,AC3)</f>
        <v>0</v>
      </c>
      <c r="AE3" s="4">
        <f>COUNTIFS(Pricing!$Q$11:$AA$11,AC3)</f>
        <v>0</v>
      </c>
      <c r="AF3" s="4">
        <f>COUNTIFS(Pricing!$Q$14:$AA$14,AC3)</f>
        <v>0</v>
      </c>
      <c r="AG3" s="4">
        <f>COUNTIFS(Pricing!$Q$17:$AA$17,AC3)</f>
        <v>0</v>
      </c>
      <c r="AH3" s="4">
        <f>COUNTIFS(Pricing!$Q$20:$AA$20,AC3)</f>
        <v>0</v>
      </c>
      <c r="AI3" s="4">
        <f>COUNTIFS(Pricing!$Q$23:$AA$23,AC3)</f>
        <v>0</v>
      </c>
      <c r="AJ3" s="4">
        <f>COUNTIFS(Pricing!$Q$26:$AA$26,AC3)</f>
        <v>0</v>
      </c>
      <c r="AK3" s="4">
        <f>COUNTIFS(Pricing!$Q$29:$AA$29,AC3)</f>
        <v>0</v>
      </c>
      <c r="AL3" s="4">
        <f>COUNTIFS(Pricing!$Q$32:$AA$32,AC3)</f>
        <v>0</v>
      </c>
      <c r="AM3" s="4">
        <f>COUNTIFS(Pricing!$Q$35:$AA$35,AC3)</f>
        <v>0</v>
      </c>
      <c r="AN3" s="4">
        <f>COUNTIFS(Pricing!$Q$38:$AA$38,AC3)</f>
        <v>0</v>
      </c>
      <c r="AO3" s="4">
        <f>COUNTIFS(Pricing!$Q$41:$AA$41,AC3)</f>
        <v>0</v>
      </c>
      <c r="AP3" s="4">
        <f>COUNTIFS(Pricing!$Q$44:$AA$44,AC3)</f>
        <v>0</v>
      </c>
      <c r="AQ3" s="4">
        <f>COUNTIFS(Pricing!$Q$47:$AA$47,AI3)</f>
        <v>0</v>
      </c>
      <c r="AR3" s="4">
        <f>COUNTIFS(Pricing!$Q$50:$AA$50,AJ3)</f>
        <v>0</v>
      </c>
      <c r="AT3" t="s">
        <v>219</v>
      </c>
      <c r="AU3">
        <f>LEN(Pricing!Q8)</f>
        <v>0</v>
      </c>
      <c r="AV3">
        <f>LEN(Pricing!R8)</f>
        <v>0</v>
      </c>
      <c r="AW3">
        <f>LEN(Pricing!S8)</f>
        <v>0</v>
      </c>
      <c r="AX3">
        <f>LEN(Pricing!T8)</f>
        <v>0</v>
      </c>
      <c r="AY3">
        <f>LEN(Pricing!U8)</f>
        <v>0</v>
      </c>
      <c r="AZ3">
        <f>LEN(Pricing!V8)</f>
        <v>0</v>
      </c>
      <c r="BA3">
        <f>LEN(Pricing!W8)</f>
        <v>0</v>
      </c>
      <c r="BB3">
        <f>LEN(Pricing!X8)</f>
        <v>0</v>
      </c>
      <c r="BC3">
        <f>LEN(Pricing!Y8)</f>
        <v>0</v>
      </c>
      <c r="BD3">
        <f>LEN(Pricing!Z8)</f>
        <v>0</v>
      </c>
      <c r="BE3">
        <f>LEN(Pricing!AA8)</f>
        <v>0</v>
      </c>
    </row>
    <row r="4" spans="1:58" x14ac:dyDescent="0.2">
      <c r="B4" s="373" t="s">
        <v>47</v>
      </c>
      <c r="C4" s="374">
        <v>69</v>
      </c>
      <c r="E4" t="s">
        <v>251</v>
      </c>
      <c r="F4" s="57">
        <v>300</v>
      </c>
      <c r="G4" t="s">
        <v>252</v>
      </c>
      <c r="K4" s="60" t="s">
        <v>43</v>
      </c>
      <c r="L4" s="61">
        <f>IF(K4=Pricing!$E$8,($L$3+($C3*$N$26))+AA26+W26,)</f>
        <v>0</v>
      </c>
      <c r="M4" s="61">
        <f>IF(K4=Pricing!E11,$M$3+($C3*$N$27),)</f>
        <v>0</v>
      </c>
      <c r="N4" s="61">
        <f>IF(K4=Pricing!E14,$N$3+($C3*$N$28),)</f>
        <v>0</v>
      </c>
      <c r="O4" s="61">
        <f>IF(K4=Pricing!E17,$O$3+($C3*$N$29),)</f>
        <v>0</v>
      </c>
      <c r="P4" s="61">
        <f>IF(K4=Pricing!E20,$P$3+($C3*$N$30),)</f>
        <v>0</v>
      </c>
      <c r="Q4" s="61">
        <f>IF(K4=Pricing!E23,$Q$3+($C3*$N$31),)</f>
        <v>0</v>
      </c>
      <c r="R4" s="61">
        <f>IF(K4=Pricing!$E$26,$R$3+($C3*$N$32),)</f>
        <v>0</v>
      </c>
      <c r="S4" s="61">
        <f>IF(K4=Pricing!$E$29,$S$3+($C3*$N$33),)</f>
        <v>0</v>
      </c>
      <c r="T4" s="61">
        <f>IF(K4=Pricing!$E$32,$T$3+($C3*$N$34),)</f>
        <v>0</v>
      </c>
      <c r="U4" s="61">
        <f>IF(K4=Pricing!$E$35,$U$3+($C3*$N$35),)</f>
        <v>0</v>
      </c>
      <c r="V4" s="61">
        <f>IF(K4=Pricing!$E$38,$V$3+($C3*$N$36),)</f>
        <v>0</v>
      </c>
      <c r="W4" s="61">
        <f>IF(K4=Pricing!$E$41,$W$3+($C3*$N$37),)</f>
        <v>0</v>
      </c>
      <c r="X4" s="61">
        <f>IF(K4=Pricing!$E$44,$X$3+($C3*$N$38),)</f>
        <v>0</v>
      </c>
      <c r="Y4" s="61">
        <f>IF(K4=Pricing!$E$47,$Y$3+($C3*$N$39),)</f>
        <v>0</v>
      </c>
      <c r="Z4" s="61">
        <f>IF(K4=Pricing!$E$50,$Z$3+($C3*$N$40),)</f>
        <v>0</v>
      </c>
      <c r="AA4" s="57">
        <f t="shared" si="0"/>
        <v>0</v>
      </c>
      <c r="AC4" s="4" t="s">
        <v>253</v>
      </c>
      <c r="AD4" s="4">
        <f>COUNTIFS(Pricing!$Q$8:$AA$8,AC4)*2</f>
        <v>0</v>
      </c>
      <c r="AE4" s="4">
        <f>COUNTIFS(Pricing!$Q$11:$AA$11,AC4)*2</f>
        <v>0</v>
      </c>
      <c r="AF4" s="4">
        <f>COUNTIFS(Pricing!$Q$14:$AA$14,AC4)*2</f>
        <v>0</v>
      </c>
      <c r="AG4" s="4">
        <f>COUNTIFS(Pricing!$Q$17:$AA$17,AC4)*2</f>
        <v>0</v>
      </c>
      <c r="AH4" s="4">
        <f>COUNTIFS(Pricing!$Q$20:$AA$20,AC4)*2</f>
        <v>0</v>
      </c>
      <c r="AI4" s="4">
        <f>COUNTIFS(Pricing!$Q$23:$AA$23,AC4)*2</f>
        <v>0</v>
      </c>
      <c r="AJ4" s="4">
        <f>COUNTIFS(Pricing!$Q$26:$AA$26,AC4)*2</f>
        <v>0</v>
      </c>
      <c r="AK4" s="4">
        <f>COUNTIFS(Pricing!$Q$29:$AA$29,AC4)*2</f>
        <v>0</v>
      </c>
      <c r="AL4" s="4">
        <f>COUNTIFS(Pricing!$Q$32:$AA$32,AC4)*2</f>
        <v>0</v>
      </c>
      <c r="AM4" s="4">
        <f>COUNTIFS(Pricing!$Q$35:$AA$35,AC4)*2</f>
        <v>0</v>
      </c>
      <c r="AN4" s="4">
        <f>COUNTIFS(Pricing!$Q$38:$AA$38,AC4)*2</f>
        <v>0</v>
      </c>
      <c r="AO4" s="4">
        <f>COUNTIFS(Pricing!$Q$41:$AA$41,AC4)*2</f>
        <v>0</v>
      </c>
      <c r="AP4" s="4">
        <f>COUNTIFS(Pricing!$Q$44:$AA$44,AC4)*2</f>
        <v>0</v>
      </c>
      <c r="AQ4" s="4">
        <f>COUNTIFS(Pricing!$Q$47:$AA$47,AI4)*2</f>
        <v>0</v>
      </c>
      <c r="AR4" s="4">
        <f>COUNTIFS(Pricing!$Q$50:$AA$50,AJ4)*2</f>
        <v>0</v>
      </c>
      <c r="AT4" t="s">
        <v>254</v>
      </c>
      <c r="AU4">
        <f>Pricing!Q9</f>
        <v>0</v>
      </c>
      <c r="AV4">
        <f>Pricing!R9</f>
        <v>0</v>
      </c>
      <c r="AW4">
        <f>Pricing!S9</f>
        <v>0</v>
      </c>
      <c r="AX4">
        <f>Pricing!T9</f>
        <v>0</v>
      </c>
      <c r="AY4">
        <f>Pricing!U9</f>
        <v>0</v>
      </c>
      <c r="AZ4">
        <f>Pricing!V9</f>
        <v>0</v>
      </c>
      <c r="BA4">
        <f>Pricing!W9</f>
        <v>0</v>
      </c>
      <c r="BB4">
        <f>Pricing!X9</f>
        <v>0</v>
      </c>
      <c r="BC4">
        <f>Pricing!Y9</f>
        <v>0</v>
      </c>
      <c r="BD4">
        <f>Pricing!Z9</f>
        <v>0</v>
      </c>
    </row>
    <row r="5" spans="1:58" x14ac:dyDescent="0.2">
      <c r="B5" s="373" t="s">
        <v>49</v>
      </c>
      <c r="C5" s="374">
        <v>160</v>
      </c>
      <c r="E5" t="s">
        <v>255</v>
      </c>
      <c r="F5" s="57">
        <v>29</v>
      </c>
      <c r="G5" t="s">
        <v>252</v>
      </c>
      <c r="K5" s="60" t="s">
        <v>47</v>
      </c>
      <c r="L5" s="61">
        <f>IF(K5=Pricing!$E$8,($L$3+($C4*$N$26))+AA27+W27,)</f>
        <v>0</v>
      </c>
      <c r="M5" s="61">
        <f>IF(K5=Pricing!E11,$M$3+($C4*$N$27),)</f>
        <v>0</v>
      </c>
      <c r="N5" s="61">
        <f>IF(K5=Pricing!E14,$N$3+($C4*$N$28),)</f>
        <v>0</v>
      </c>
      <c r="O5" s="61">
        <f>IF(K5=Pricing!E17,$O$3+($C4*$N$29),)</f>
        <v>0</v>
      </c>
      <c r="P5" s="61">
        <f>IF(K5=Pricing!E20,$P$3+($C4*$N$30),)</f>
        <v>0</v>
      </c>
      <c r="Q5" s="61">
        <f>IF(K5=Pricing!E23,$Q$3+($C4*$N$31),)</f>
        <v>0</v>
      </c>
      <c r="R5" s="61">
        <f>IF(K5=Pricing!$E$26,$R$3+($C4*$N$32),)</f>
        <v>0</v>
      </c>
      <c r="S5" s="61">
        <f>IF(K5=Pricing!$E$29,$S$3+($C4*$N$33),)</f>
        <v>0</v>
      </c>
      <c r="T5" s="61">
        <f>IF(K5=Pricing!$E$32,$T$3+($C4*$N$34),)</f>
        <v>0</v>
      </c>
      <c r="U5" s="61">
        <f>IF(K5=Pricing!$E$35,$U$3+($C4*$N$35),)</f>
        <v>0</v>
      </c>
      <c r="V5" s="61">
        <f>IF(K5=Pricing!$E$38,$V$3+($C4*$N$36),)</f>
        <v>0</v>
      </c>
      <c r="W5" s="61">
        <f>IF(K5=Pricing!$E$41,$W$3+($C4*$N$37),)</f>
        <v>0</v>
      </c>
      <c r="X5" s="61">
        <f>IF(K5=Pricing!$E$44,$X$3+($C4*$N$38),)</f>
        <v>0</v>
      </c>
      <c r="Y5" s="61">
        <f>IF(K5=Pricing!$E$47,$Y$3+($C4*$N$39),)</f>
        <v>0</v>
      </c>
      <c r="Z5" s="61">
        <f>IF(K5=Pricing!$E$50,$Z$3+($C4*$N$40),)</f>
        <v>0</v>
      </c>
      <c r="AA5" s="57">
        <f t="shared" si="0"/>
        <v>0</v>
      </c>
      <c r="AC5" s="4" t="s">
        <v>256</v>
      </c>
      <c r="AD5" s="4">
        <f>COUNTIFS(Pricing!$Q$8:$AA$8,AC5)*2</f>
        <v>0</v>
      </c>
      <c r="AE5" s="4">
        <f>COUNTIFS(Pricing!$Q$11:$AA$11,AC5)*2</f>
        <v>0</v>
      </c>
      <c r="AF5" s="4">
        <f>COUNTIFS(Pricing!$Q$14:$AA$14,AC5)*2</f>
        <v>0</v>
      </c>
      <c r="AG5" s="4">
        <f>COUNTIFS(Pricing!$Q$17:$AA$17,AC5)*2</f>
        <v>0</v>
      </c>
      <c r="AH5" s="4">
        <f>COUNTIFS(Pricing!$Q$20:$AA$20,AC5)*2</f>
        <v>0</v>
      </c>
      <c r="AI5" s="4">
        <f>COUNTIFS(Pricing!$Q$23:$AA$23,AC5)*2</f>
        <v>0</v>
      </c>
      <c r="AJ5" s="4">
        <f>COUNTIFS(Pricing!$Q$26:$AA$26,AC5)*2</f>
        <v>0</v>
      </c>
      <c r="AK5" s="4">
        <f>COUNTIFS(Pricing!$Q$29:$AA$29,AC5)*2</f>
        <v>0</v>
      </c>
      <c r="AL5" s="4">
        <f>COUNTIFS(Pricing!$Q$32:$AA$32,AC5)*2</f>
        <v>0</v>
      </c>
      <c r="AM5" s="4">
        <f>COUNTIFS(Pricing!$Q$35:$AA$35,AC5)*2</f>
        <v>0</v>
      </c>
      <c r="AN5" s="4">
        <f>COUNTIFS(Pricing!$Q$38:$AA$38,AC5)*2</f>
        <v>0</v>
      </c>
      <c r="AO5" s="4">
        <f>COUNTIFS(Pricing!$Q$41:$AA$41,AC5)*2</f>
        <v>0</v>
      </c>
      <c r="AP5" s="4">
        <f>COUNTIFS(Pricing!$Q$44:$AA$44,AC5)*2</f>
        <v>0</v>
      </c>
      <c r="AQ5" s="4">
        <f>COUNTIFS(Pricing!$Q$47:$AA$47,AI5)*2</f>
        <v>0</v>
      </c>
      <c r="AR5" s="4">
        <f>COUNTIFS(Pricing!$Q$50:$AA$50,AJ5)*2</f>
        <v>0</v>
      </c>
      <c r="AT5" t="s">
        <v>257</v>
      </c>
    </row>
    <row r="6" spans="1:58" x14ac:dyDescent="0.2">
      <c r="B6" s="373" t="s">
        <v>51</v>
      </c>
      <c r="C6" s="374">
        <v>133</v>
      </c>
      <c r="E6" t="s">
        <v>258</v>
      </c>
      <c r="F6" s="57">
        <v>29</v>
      </c>
      <c r="G6" t="s">
        <v>252</v>
      </c>
      <c r="K6" s="60" t="s">
        <v>49</v>
      </c>
      <c r="L6" s="61">
        <f>IF(K6=Pricing!$E$8,($L$3+($C5*$N$26))+AA28+W28,)</f>
        <v>0</v>
      </c>
      <c r="M6" s="61">
        <f>IF(K6=Pricing!E11,$M$3+($C5*$N$27),)</f>
        <v>0</v>
      </c>
      <c r="N6" s="61">
        <f>IF(K6=Pricing!E14,$N$3+($C5*$N$28),)</f>
        <v>0</v>
      </c>
      <c r="O6" s="61">
        <f>IF(K6=Pricing!E17,$O$3+($C5*$N$29),)</f>
        <v>0</v>
      </c>
      <c r="P6" s="61">
        <f>IF(K6=Pricing!E20,$P$3+($C5*$N$30),)</f>
        <v>0</v>
      </c>
      <c r="Q6" s="61">
        <f>IF(K6=Pricing!E23,$Q$3+($C5*$N$31),)</f>
        <v>0</v>
      </c>
      <c r="R6" s="61">
        <f>IF(K6=Pricing!$E$26,$R$3+($C5*$N$32),)</f>
        <v>0</v>
      </c>
      <c r="S6" s="61">
        <f>IF(K6=Pricing!$E$29,$S$3+($C5*$N$33),)</f>
        <v>0</v>
      </c>
      <c r="T6" s="61">
        <f>IF(K6=Pricing!$E$32,$T$3+($C5*$N$34),)</f>
        <v>0</v>
      </c>
      <c r="U6" s="61">
        <f>IF(K6=Pricing!$E$35,$U$3+($C5*$N$35),)</f>
        <v>0</v>
      </c>
      <c r="V6" s="61">
        <f>IF(K6=Pricing!$E$38,$V$3+($C5*$N$36),)</f>
        <v>0</v>
      </c>
      <c r="W6" s="61">
        <f>IF(K6=Pricing!$E$41,$W$3+($C5*$N$37),)</f>
        <v>0</v>
      </c>
      <c r="X6" s="61">
        <f>IF(K6=Pricing!$E$44,$X$3+($C5*$N$38),)</f>
        <v>0</v>
      </c>
      <c r="Y6" s="61">
        <f>IF(K6=Pricing!$E$47,$Y$3+($C5*$N$39),)</f>
        <v>0</v>
      </c>
      <c r="Z6" s="61">
        <f>IF(K6=Pricing!$E$50,$Z$3+($C5*$N$40),)</f>
        <v>0</v>
      </c>
      <c r="AA6" s="57">
        <f t="shared" si="0"/>
        <v>0</v>
      </c>
      <c r="AC6" s="4" t="s">
        <v>259</v>
      </c>
      <c r="AD6" s="4">
        <f>COUNTIFS(Pricing!$Q$8:$AA$8,AC6)*2</f>
        <v>0</v>
      </c>
      <c r="AE6" s="4">
        <f>COUNTIFS(Pricing!$Q$11:$AA$11,AC6)*2</f>
        <v>0</v>
      </c>
      <c r="AF6" s="4">
        <f>COUNTIFS(Pricing!$Q$14:$AA$14,AC6)*2</f>
        <v>0</v>
      </c>
      <c r="AG6" s="4">
        <f>COUNTIFS(Pricing!$Q$17:$AA$17,AC6)*2</f>
        <v>0</v>
      </c>
      <c r="AH6" s="4">
        <f>COUNTIFS(Pricing!$Q$20:$AA$20,AC6)*2</f>
        <v>0</v>
      </c>
      <c r="AI6" s="4">
        <f>COUNTIFS(Pricing!$Q$23:$AA$23,AC6)*2</f>
        <v>0</v>
      </c>
      <c r="AJ6" s="4">
        <f>COUNTIFS(Pricing!$Q$26:$AA$26,AC6)*2</f>
        <v>0</v>
      </c>
      <c r="AK6" s="4">
        <f>COUNTIFS(Pricing!$Q$29:$AA$29,AC6)*2</f>
        <v>0</v>
      </c>
      <c r="AL6" s="4">
        <f>COUNTIFS(Pricing!$Q$32:$AA$32,AC6)*2</f>
        <v>0</v>
      </c>
      <c r="AM6" s="4">
        <f>COUNTIFS(Pricing!$Q$35:$AA$35,AC6)*2</f>
        <v>0</v>
      </c>
      <c r="AN6" s="4">
        <f>COUNTIFS(Pricing!$Q$38:$AA$38,AC6)*2</f>
        <v>0</v>
      </c>
      <c r="AO6" s="4">
        <f>COUNTIFS(Pricing!$Q$41:$AA$41,AC6)*2</f>
        <v>0</v>
      </c>
      <c r="AP6" s="4">
        <f>COUNTIFS(Pricing!$Q$44:$AA$44,AC6)*2</f>
        <v>0</v>
      </c>
      <c r="AQ6" s="4">
        <f>COUNTIFS(Pricing!$Q$47:$AA$47,AI6)*2</f>
        <v>0</v>
      </c>
      <c r="AR6" s="4">
        <f>COUNTIFS(Pricing!$Q$50:$AA$50,AJ6)*2</f>
        <v>0</v>
      </c>
    </row>
    <row r="7" spans="1:58" x14ac:dyDescent="0.2">
      <c r="B7" s="373" t="s">
        <v>55</v>
      </c>
      <c r="C7" s="374">
        <v>175</v>
      </c>
      <c r="E7" t="s">
        <v>260</v>
      </c>
      <c r="F7" s="57">
        <v>50</v>
      </c>
      <c r="G7" t="s">
        <v>252</v>
      </c>
      <c r="K7" s="60" t="s">
        <v>51</v>
      </c>
      <c r="L7" s="61">
        <f>IF(K7=Pricing!$E$8,($L$3+($C6*$N$26))+AA29+W29,)</f>
        <v>0</v>
      </c>
      <c r="M7" s="61">
        <f>IF(K7=Pricing!E11,$M$3+($C6*$N$27),)</f>
        <v>0</v>
      </c>
      <c r="N7" s="61">
        <f>IF(K7=Pricing!E14,$N$3+($C6*$N$28),)</f>
        <v>0</v>
      </c>
      <c r="O7" s="61">
        <f>IF(K7=Pricing!E17,$O$3+($C6*$N$29),)</f>
        <v>0</v>
      </c>
      <c r="P7" s="61">
        <f>IF(K7=Pricing!E20,$P$3+($C6*$N$30),)</f>
        <v>0</v>
      </c>
      <c r="Q7" s="61">
        <f>IF(K7=Pricing!E23,$Q$3+($C6*$N$31),)</f>
        <v>0</v>
      </c>
      <c r="R7" s="61">
        <f>IF(K7=Pricing!$E$26,$R$3+($C6*$N$32),)</f>
        <v>0</v>
      </c>
      <c r="S7" s="61">
        <f>IF(K7=Pricing!$E$29,$S$3+($C6*$N$33),)</f>
        <v>0</v>
      </c>
      <c r="T7" s="61">
        <f>IF(K7=Pricing!$E$32,$T$3+($C6*$N$34),)</f>
        <v>0</v>
      </c>
      <c r="U7" s="61">
        <f>IF(K7=Pricing!$E$35,$U$3+($C6*$N$35),)</f>
        <v>0</v>
      </c>
      <c r="V7" s="61">
        <f>IF(K7=Pricing!$E$38,$V$3+($C6*$N$36),)</f>
        <v>0</v>
      </c>
      <c r="W7" s="61">
        <f>IF(K7=Pricing!$E$41,$W$3+($C6*$N$37),)</f>
        <v>0</v>
      </c>
      <c r="X7" s="61">
        <f>IF(K7=Pricing!$E$44,$X$3+($C6*$N$38),)</f>
        <v>0</v>
      </c>
      <c r="Y7" s="61">
        <f>IF(K7=Pricing!$E$47,$Y$3+($C6*$N$39),)</f>
        <v>0</v>
      </c>
      <c r="Z7" s="61">
        <f>IF(K7=Pricing!$E$50,$Z$3+($C6*$N$40),)</f>
        <v>0</v>
      </c>
      <c r="AA7" s="57">
        <f t="shared" si="0"/>
        <v>0</v>
      </c>
      <c r="AC7" s="4" t="s">
        <v>261</v>
      </c>
      <c r="AD7" s="4">
        <f>COUNTIFS(Pricing!$Q$8:$AA$8,AC7)*2</f>
        <v>0</v>
      </c>
      <c r="AE7" s="4">
        <f>COUNTIFS(Pricing!$Q$11:$AA$11,AC7)*2</f>
        <v>0</v>
      </c>
      <c r="AF7" s="4">
        <f>COUNTIFS(Pricing!$Q$14:$AA$14,AC7)*2</f>
        <v>0</v>
      </c>
      <c r="AG7" s="4">
        <f>COUNTIFS(Pricing!$Q$17:$AA$17,AC7)*2</f>
        <v>0</v>
      </c>
      <c r="AH7" s="4">
        <f>COUNTIFS(Pricing!$Q$20:$AA$20,AC7)*2</f>
        <v>0</v>
      </c>
      <c r="AI7" s="4">
        <f>COUNTIFS(Pricing!$Q$23:$AA$23,AC7)*2</f>
        <v>0</v>
      </c>
      <c r="AJ7" s="4">
        <f>COUNTIFS(Pricing!$Q$26:$AA$26,AC7)*2</f>
        <v>0</v>
      </c>
      <c r="AK7" s="4">
        <f>COUNTIFS(Pricing!$Q$29:$AA$29,AC7)*2</f>
        <v>0</v>
      </c>
      <c r="AL7" s="4">
        <f>COUNTIFS(Pricing!$Q$32:$AA$32,AC7)*2</f>
        <v>0</v>
      </c>
      <c r="AM7" s="4">
        <f>COUNTIFS(Pricing!$Q$35:$AA$35,AC7)*2</f>
        <v>0</v>
      </c>
      <c r="AN7" s="4">
        <f>COUNTIFS(Pricing!$Q$38:$AA$38,AC7)*2</f>
        <v>0</v>
      </c>
      <c r="AO7" s="4">
        <f>COUNTIFS(Pricing!$Q$41:$AA$41,AC7)*2</f>
        <v>0</v>
      </c>
      <c r="AP7" s="4">
        <f>COUNTIFS(Pricing!$Q$44:$AA$44,AC7)*2</f>
        <v>0</v>
      </c>
      <c r="AQ7" s="4">
        <f>COUNTIFS(Pricing!$Q$47:$AA$47,AI7)*2</f>
        <v>0</v>
      </c>
      <c r="AR7" s="4">
        <f>COUNTIFS(Pricing!$Q$50:$AA$50,AJ7)*2</f>
        <v>0</v>
      </c>
    </row>
    <row r="8" spans="1:58" x14ac:dyDescent="0.2">
      <c r="B8" t="s">
        <v>262</v>
      </c>
      <c r="C8" s="57">
        <v>20</v>
      </c>
      <c r="E8" t="s">
        <v>263</v>
      </c>
      <c r="F8" s="57">
        <v>200</v>
      </c>
      <c r="G8" t="s">
        <v>264</v>
      </c>
      <c r="K8" s="60" t="s">
        <v>55</v>
      </c>
      <c r="L8" s="61">
        <f>IF(K8=Pricing!$E$8,($L$3+($C7*$N$26))+AA30+W30,)</f>
        <v>0</v>
      </c>
      <c r="M8" s="61">
        <f>IF(K8=Pricing!E11,$M$3+($C7*$N$27),)</f>
        <v>0</v>
      </c>
      <c r="N8" s="61">
        <f>IF(K8=Pricing!E14,$N$3+($C7*$N$28),)</f>
        <v>0</v>
      </c>
      <c r="O8" s="61">
        <f>IF(K8=Pricing!E17,$O$3+($C7*$N$29),)</f>
        <v>0</v>
      </c>
      <c r="P8" s="61">
        <f>IF(K8=Pricing!E20,$P$3+($C7*$N$30),)</f>
        <v>0</v>
      </c>
      <c r="Q8" s="61">
        <f>IF(K8=Pricing!E23,$Q$3+($C7*$N$31),)</f>
        <v>0</v>
      </c>
      <c r="R8" s="61">
        <f>IF(K8=Pricing!$E$26,$R$3+($C7*$N$32),)</f>
        <v>0</v>
      </c>
      <c r="S8" s="61">
        <f>IF(K8=Pricing!$E$29,$S$3+($C7*$N$33),)</f>
        <v>0</v>
      </c>
      <c r="T8" s="61">
        <f>IF(K8=Pricing!$E$32,$T$3+($C7*$N$34),)</f>
        <v>0</v>
      </c>
      <c r="U8" s="61">
        <f>IF(K8=Pricing!$E$35,$U$3+($C7*$N$35),)</f>
        <v>0</v>
      </c>
      <c r="V8" s="61">
        <f>IF(K8=Pricing!$E$38,$V$3+($C7*$N$36),)</f>
        <v>0</v>
      </c>
      <c r="W8" s="61">
        <f>IF(K8=Pricing!$E$41,$W$3+($C7*$N$37),)</f>
        <v>0</v>
      </c>
      <c r="X8" s="61">
        <f>IF(K8=Pricing!$E$44,$X$3+($C7*$N$38),)</f>
        <v>0</v>
      </c>
      <c r="Y8" s="61">
        <f>IF(K8=Pricing!$E$47,$Y$3+($C7*$N$39),)</f>
        <v>0</v>
      </c>
      <c r="Z8" s="61">
        <f>IF(K8=Pricing!$E$50,$Z$3+($C7*$N$40),)</f>
        <v>0</v>
      </c>
      <c r="AA8" s="57">
        <f t="shared" si="0"/>
        <v>0</v>
      </c>
      <c r="AC8" s="4" t="s">
        <v>265</v>
      </c>
      <c r="AD8" s="4">
        <f>COUNTIFS(Pricing!$Q$8:$AA$8,AC8)*2</f>
        <v>0</v>
      </c>
      <c r="AE8" s="4">
        <f>COUNTIFS(Pricing!$Q$11:$AA$11,AC8)*2</f>
        <v>0</v>
      </c>
      <c r="AF8" s="4">
        <f>COUNTIFS(Pricing!$Q$14:$AA$14,AC8)*2</f>
        <v>0</v>
      </c>
      <c r="AG8" s="4">
        <f>COUNTIFS(Pricing!$Q$17:$AA$17,AC8)*2</f>
        <v>0</v>
      </c>
      <c r="AH8" s="4">
        <f>COUNTIFS(Pricing!$Q$20:$AA$20,AC8)*2</f>
        <v>0</v>
      </c>
      <c r="AI8" s="4">
        <f>COUNTIFS(Pricing!$Q$23:$AA$23,AC8)*2</f>
        <v>0</v>
      </c>
      <c r="AJ8" s="4">
        <f>COUNTIFS(Pricing!$Q$26:$AA$26,AC8)*2</f>
        <v>0</v>
      </c>
      <c r="AK8" s="4">
        <f>COUNTIFS(Pricing!$Q$29:$AA$29,AC8)*2</f>
        <v>0</v>
      </c>
      <c r="AL8" s="4">
        <f>COUNTIFS(Pricing!$Q$32:$AA$32,AC8)*2</f>
        <v>0</v>
      </c>
      <c r="AM8" s="4">
        <f>COUNTIFS(Pricing!$Q$35:$AA$35,AC8)*2</f>
        <v>0</v>
      </c>
      <c r="AN8" s="4">
        <f>COUNTIFS(Pricing!$Q$38:$AA$38,AC8)*2</f>
        <v>0</v>
      </c>
      <c r="AO8" s="4">
        <f>COUNTIFS(Pricing!$Q$41:$AA$41,AC8)*2</f>
        <v>0</v>
      </c>
      <c r="AP8" s="4">
        <f>COUNTIFS(Pricing!$Q$44:$AA$44,AC8)*2</f>
        <v>0</v>
      </c>
      <c r="AQ8" s="4">
        <f>COUNTIFS(Pricing!$Q$47:$AA$47,AI8)*2</f>
        <v>0</v>
      </c>
      <c r="AR8" s="4">
        <f>COUNTIFS(Pricing!$Q$50:$AA$50,AJ8)*2</f>
        <v>0</v>
      </c>
    </row>
    <row r="9" spans="1:58" x14ac:dyDescent="0.2">
      <c r="B9" t="s">
        <v>266</v>
      </c>
      <c r="C9" s="57">
        <v>35</v>
      </c>
      <c r="E9" t="s">
        <v>267</v>
      </c>
      <c r="F9" s="57">
        <v>75</v>
      </c>
      <c r="K9" s="60" t="s">
        <v>791</v>
      </c>
      <c r="L9" s="61">
        <f>IF(K9=Pricing!$E$8,($L$3+($F18*$N$26)),)</f>
        <v>0</v>
      </c>
      <c r="M9" s="61">
        <f>IF(K9=Pricing!E11,$M$3+($F18*$N$27),)</f>
        <v>0</v>
      </c>
      <c r="N9" s="61">
        <f>IF(K9=Pricing!E14,$N$3+($F18*$N$28),)</f>
        <v>0</v>
      </c>
      <c r="O9" s="61">
        <f>IF(K9=Pricing!E17,$O$3+($F18*$N$29),)</f>
        <v>0</v>
      </c>
      <c r="P9" s="61">
        <f>IF(K9=Pricing!E20,$P$3+($F18*$N$30),)</f>
        <v>0</v>
      </c>
      <c r="Q9" s="61">
        <f>IF(K9=Pricing!E23,$Q$3+($F18*$N$31),)</f>
        <v>0</v>
      </c>
      <c r="R9" s="61">
        <f>IF(K9=Pricing!$E$26,$R$3+($F18*$N$32),)</f>
        <v>0</v>
      </c>
      <c r="S9" s="61">
        <f>IF(K9=Pricing!$E$29,$S$3+($F18*$N$33),)</f>
        <v>0</v>
      </c>
      <c r="T9" s="61">
        <f>IF(K9=Pricing!$E$32,$T$3+($F18*$N$34),)</f>
        <v>0</v>
      </c>
      <c r="U9" s="61">
        <f>IF(K9=Pricing!$E$35,$U$3+($F18*$N$35),)</f>
        <v>0</v>
      </c>
      <c r="V9" s="61">
        <f>IF(K9=Pricing!$E$38,$V$3+($F18*$N$36),)</f>
        <v>0</v>
      </c>
      <c r="W9" s="61">
        <f>IF(K9=Pricing!$E$41,$W$3+($F18*$N$37),)</f>
        <v>0</v>
      </c>
      <c r="X9" s="61">
        <f>IF(K9=Pricing!$E$44,$X$3+($F18*$N$38),)</f>
        <v>0</v>
      </c>
      <c r="Y9" s="61">
        <f>IF(K9=Pricing!$E$47,$Y$3+($F18*$N$39),)</f>
        <v>0</v>
      </c>
      <c r="Z9" s="61">
        <f>IF(K9=Pricing!$E$50,$Z$3+($F18*$N$40),)</f>
        <v>0</v>
      </c>
      <c r="AA9" s="57">
        <f t="shared" si="0"/>
        <v>0</v>
      </c>
      <c r="AC9" s="4" t="s">
        <v>268</v>
      </c>
      <c r="AD9" s="4">
        <f>COUNTIFS(Pricing!$Q$8:$AA$8,AC9)*2</f>
        <v>0</v>
      </c>
      <c r="AE9" s="4">
        <f>COUNTIFS(Pricing!$Q$11:$AA$11,AC9)*2</f>
        <v>0</v>
      </c>
      <c r="AF9" s="4">
        <f>COUNTIFS(Pricing!$Q$14:$AA$14,AC9)*2</f>
        <v>0</v>
      </c>
      <c r="AG9" s="4">
        <f>COUNTIFS(Pricing!$Q$17:$AA$17,AC9)*2</f>
        <v>0</v>
      </c>
      <c r="AH9" s="4">
        <f>COUNTIFS(Pricing!$Q$20:$AA$20,AC9)*2</f>
        <v>0</v>
      </c>
      <c r="AI9" s="4">
        <f>COUNTIFS(Pricing!$Q$23:$AA$23,AC9)*2</f>
        <v>0</v>
      </c>
      <c r="AJ9" s="4">
        <f>COUNTIFS(Pricing!$Q$26:$AA$26,AC9)*2</f>
        <v>0</v>
      </c>
      <c r="AK9" s="4">
        <f>COUNTIFS(Pricing!$Q$29:$AA$29,AC9)*2</f>
        <v>0</v>
      </c>
      <c r="AL9" s="4">
        <f>COUNTIFS(Pricing!$Q$32:$AA$32,AC9)*2</f>
        <v>0</v>
      </c>
      <c r="AM9" s="4">
        <f>COUNTIFS(Pricing!$Q$35:$AA$35,AC9)*2</f>
        <v>0</v>
      </c>
      <c r="AN9" s="4">
        <f>COUNTIFS(Pricing!$Q$38:$AA$38,AC9)*2</f>
        <v>0</v>
      </c>
      <c r="AO9" s="4">
        <f>COUNTIFS(Pricing!$Q$41:$AA$41,AC9)*2</f>
        <v>0</v>
      </c>
      <c r="AP9" s="4">
        <f>COUNTIFS(Pricing!$Q$44:$AA$44,AC9)*2</f>
        <v>0</v>
      </c>
      <c r="AQ9" s="4">
        <f>COUNTIFS(Pricing!$Q$47:$AA$47,AI9)*2</f>
        <v>0</v>
      </c>
      <c r="AR9" s="4">
        <f>COUNTIFS(Pricing!$Q$50:$AA$50,AJ9)*2</f>
        <v>0</v>
      </c>
    </row>
    <row r="10" spans="1:58" x14ac:dyDescent="0.2">
      <c r="B10" t="s">
        <v>39</v>
      </c>
      <c r="C10" s="158">
        <v>0.25</v>
      </c>
      <c r="E10" t="s">
        <v>269</v>
      </c>
      <c r="F10" s="57">
        <v>100</v>
      </c>
      <c r="G10" t="s">
        <v>264</v>
      </c>
      <c r="K10" s="60" t="s">
        <v>792</v>
      </c>
      <c r="L10" s="61">
        <f>IF(K10=Pricing!$E$8,($L$3+($F19*$N$26))+AA32+W32,)</f>
        <v>0</v>
      </c>
      <c r="M10" s="61">
        <f>IF(K10=Pricing!E11,$M$3+($F19*$N$27),)</f>
        <v>0</v>
      </c>
      <c r="N10" s="61">
        <f>IF(K10=Pricing!E14,$N$3+($F19*$N$28),)</f>
        <v>0</v>
      </c>
      <c r="O10" s="61">
        <f>IF(K10=Pricing!E17,$O$3+($F19*$N$29),)</f>
        <v>0</v>
      </c>
      <c r="P10" s="61">
        <f>IF(K10=Pricing!E20,$P$3+($F19*$N$30),)</f>
        <v>0</v>
      </c>
      <c r="Q10" s="61">
        <f>IF(K10=Pricing!E23,$Q$3+($F19*$N$31),)</f>
        <v>0</v>
      </c>
      <c r="R10" s="61">
        <f>IF(K10=Pricing!$E$26,$R$3+($F19*$N$32),)</f>
        <v>0</v>
      </c>
      <c r="S10" s="61">
        <f>IF(K10=Pricing!$E$29,$S$3+($F19*$N$33),)</f>
        <v>0</v>
      </c>
      <c r="T10" s="61">
        <f>IF(K10=Pricing!$E$32,$T$3+($F19*$N$34),)</f>
        <v>0</v>
      </c>
      <c r="U10" s="61">
        <f>IF(K10=Pricing!$E$35,$U$3+($F19*$N$35),)</f>
        <v>0</v>
      </c>
      <c r="V10" s="61">
        <f>IF(K10=Pricing!$E$38,$V$3+($F19*$N$36),)</f>
        <v>0</v>
      </c>
      <c r="W10" s="61">
        <f>IF(K10=Pricing!$E$41,$W$3+($F19*$N$37),)</f>
        <v>0</v>
      </c>
      <c r="X10" s="61">
        <f>IF(K10=Pricing!$E$44,$X$3+($F19*$N$38),)</f>
        <v>0</v>
      </c>
      <c r="Y10" s="61">
        <f>IF(K10=Pricing!$E$47,$Y$3+($F19*$N$39),)</f>
        <v>0</v>
      </c>
      <c r="Z10" s="61">
        <f>IF(K10=Pricing!$E$50,$Z$3+($F19*$N$40),)</f>
        <v>0</v>
      </c>
      <c r="AA10" s="57">
        <f t="shared" si="0"/>
        <v>0</v>
      </c>
      <c r="AC10" s="4" t="s">
        <v>270</v>
      </c>
      <c r="AD10" s="4">
        <f>COUNTIFS(Pricing!$Q$8:$AA$8,AC10)*2</f>
        <v>0</v>
      </c>
      <c r="AE10" s="4">
        <f>COUNTIFS(Pricing!$Q$11:$AA$11,AC10)*2</f>
        <v>0</v>
      </c>
      <c r="AF10" s="4">
        <f>COUNTIFS(Pricing!$Q$14:$AA$14,AC10)*2</f>
        <v>0</v>
      </c>
      <c r="AG10" s="4">
        <f>COUNTIFS(Pricing!$Q$17:$AA$17,AC10)*2</f>
        <v>0</v>
      </c>
      <c r="AH10" s="4">
        <f>COUNTIFS(Pricing!$Q$20:$AA$20,AC10)*2</f>
        <v>0</v>
      </c>
      <c r="AI10" s="4">
        <f>COUNTIFS(Pricing!$Q$23:$AA$23,AC10)*2</f>
        <v>0</v>
      </c>
      <c r="AJ10" s="4">
        <f>COUNTIFS(Pricing!$Q$26:$AA$26,AC10)*2</f>
        <v>0</v>
      </c>
      <c r="AK10" s="4">
        <f>COUNTIFS(Pricing!$Q$29:$AA$29,AC10)*2</f>
        <v>0</v>
      </c>
      <c r="AL10" s="4">
        <f>COUNTIFS(Pricing!$Q$32:$AA$32,AC10)*2</f>
        <v>0</v>
      </c>
      <c r="AM10" s="4">
        <f>COUNTIFS(Pricing!$Q$35:$AA$35,AC10)*2</f>
        <v>0</v>
      </c>
      <c r="AN10" s="4">
        <f>COUNTIFS(Pricing!$Q$38:$AA$38,AC10)*2</f>
        <v>0</v>
      </c>
      <c r="AO10" s="4">
        <f>COUNTIFS(Pricing!$Q$41:$AA$41,AC10)*2</f>
        <v>0</v>
      </c>
      <c r="AP10" s="4">
        <f>COUNTIFS(Pricing!$Q$44:$AA$44,AC10)*2</f>
        <v>0</v>
      </c>
      <c r="AQ10" s="4">
        <f>COUNTIFS(Pricing!$Q$47:$AA$47,AI10)*2</f>
        <v>0</v>
      </c>
      <c r="AR10" s="4">
        <f>COUNTIFS(Pricing!$Q$50:$AA$50,AJ10)*2</f>
        <v>0</v>
      </c>
    </row>
    <row r="11" spans="1:58" x14ac:dyDescent="0.2">
      <c r="B11" t="s">
        <v>271</v>
      </c>
      <c r="C11" s="57">
        <v>105</v>
      </c>
      <c r="E11" t="s">
        <v>272</v>
      </c>
      <c r="F11" s="57">
        <v>290</v>
      </c>
      <c r="G11" t="s">
        <v>273</v>
      </c>
      <c r="AC11" s="4" t="s">
        <v>274</v>
      </c>
      <c r="AD11" s="4">
        <f>COUNTIFS(Pricing!$Q$8:$AA$8,AC11)*2</f>
        <v>0</v>
      </c>
      <c r="AE11" s="4">
        <f>COUNTIFS(Pricing!$Q$11:$AA$11,AC11)*2</f>
        <v>0</v>
      </c>
      <c r="AF11" s="4">
        <f>COUNTIFS(Pricing!$Q$14:$AA$14,AC11)*2</f>
        <v>0</v>
      </c>
      <c r="AG11" s="4">
        <f>COUNTIFS(Pricing!$Q$17:$AA$17,AC11)*2</f>
        <v>0</v>
      </c>
      <c r="AH11" s="4">
        <f>COUNTIFS(Pricing!$Q$20:$AA$20,AC11)*2</f>
        <v>0</v>
      </c>
      <c r="AI11" s="4">
        <f>COUNTIFS(Pricing!$Q$23:$AA$23,AC11)*2</f>
        <v>0</v>
      </c>
      <c r="AJ11" s="4">
        <f>COUNTIFS(Pricing!$Q$26:$AA$26,AC11)*2</f>
        <v>0</v>
      </c>
      <c r="AK11" s="4">
        <f>COUNTIFS(Pricing!$Q$29:$AA$29,AC11)*2</f>
        <v>0</v>
      </c>
      <c r="AL11" s="4">
        <f>COUNTIFS(Pricing!$Q$32:$AA$32,AC11)*2</f>
        <v>0</v>
      </c>
      <c r="AM11" s="4">
        <f>COUNTIFS(Pricing!$Q$35:$AA$35,AC11)*2</f>
        <v>0</v>
      </c>
      <c r="AN11" s="4">
        <f>COUNTIFS(Pricing!$Q$38:$AA$38,AC11)*2</f>
        <v>0</v>
      </c>
      <c r="AO11" s="4">
        <f>COUNTIFS(Pricing!$Q$41:$AA$41,AC11)*2</f>
        <v>0</v>
      </c>
      <c r="AP11" s="4">
        <f>COUNTIFS(Pricing!$Q$44:$AA$44,AC11)*2</f>
        <v>0</v>
      </c>
      <c r="AQ11" s="4">
        <f>COUNTIFS(Pricing!$Q$47:$AA$47,AI11)*2</f>
        <v>0</v>
      </c>
      <c r="AR11" s="4">
        <f>COUNTIFS(Pricing!$Q$50:$AA$50,AJ11)*2</f>
        <v>0</v>
      </c>
    </row>
    <row r="12" spans="1:58" x14ac:dyDescent="0.2">
      <c r="B12" t="s">
        <v>275</v>
      </c>
      <c r="C12" s="158">
        <v>0.25</v>
      </c>
      <c r="D12" s="158">
        <v>0.2</v>
      </c>
      <c r="E12" t="s">
        <v>276</v>
      </c>
      <c r="F12" s="57">
        <v>20</v>
      </c>
      <c r="G12" t="s">
        <v>249</v>
      </c>
      <c r="AB12" s="121" t="s">
        <v>277</v>
      </c>
      <c r="AC12" s="4" t="s">
        <v>278</v>
      </c>
      <c r="AD12" s="4">
        <f>COUNTIFS(Pricing!$Q$8:$AA$8,AC12)*2</f>
        <v>0</v>
      </c>
      <c r="AE12" s="4">
        <f>COUNTIFS(Pricing!$Q$11:$AA$11,AC12)*2</f>
        <v>0</v>
      </c>
      <c r="AF12" s="4">
        <f>COUNTIFS(Pricing!$Q$14:$AA$14,AC12)*2</f>
        <v>0</v>
      </c>
      <c r="AG12" s="4">
        <f>COUNTIFS(Pricing!$Q$17:$AA$17,AC12)*2</f>
        <v>0</v>
      </c>
      <c r="AH12" s="4">
        <f>COUNTIFS(Pricing!$Q$20:$AA$20,AC12)*2</f>
        <v>0</v>
      </c>
      <c r="AI12" s="4">
        <f>COUNTIFS(Pricing!$Q$23:$AA$23,AC12)*2</f>
        <v>0</v>
      </c>
      <c r="AJ12" s="4">
        <f>COUNTIFS(Pricing!$Q$26:$AA$26,AC12)*2</f>
        <v>0</v>
      </c>
      <c r="AK12" s="4">
        <f>COUNTIFS(Pricing!$Q$29:$AA$29,AC12)*2</f>
        <v>0</v>
      </c>
      <c r="AL12" s="4">
        <f>COUNTIFS(Pricing!$Q$32:$AA$32,AC12)*2</f>
        <v>0</v>
      </c>
      <c r="AM12" s="4">
        <f>COUNTIFS(Pricing!$Q$35:$AA$35,AC12)*2</f>
        <v>0</v>
      </c>
      <c r="AN12" s="4">
        <f>COUNTIFS(Pricing!$Q$38:$AA$38,AC12)*2</f>
        <v>0</v>
      </c>
      <c r="AO12" s="4">
        <f>COUNTIFS(Pricing!$Q$41:$AA$41,AC12)*2</f>
        <v>0</v>
      </c>
      <c r="AP12" s="4">
        <f>COUNTIFS(Pricing!$Q$44:$AA$44,AC12)*2</f>
        <v>0</v>
      </c>
      <c r="AQ12" s="4">
        <f>COUNTIFS(Pricing!$Q$47:$AA$47,AI12)*2</f>
        <v>0</v>
      </c>
      <c r="AR12" s="4">
        <f>COUNTIFS(Pricing!$Q$50:$AA$50,AJ12)*2</f>
        <v>0</v>
      </c>
      <c r="AT12" t="s">
        <v>220</v>
      </c>
    </row>
    <row r="13" spans="1:58" x14ac:dyDescent="0.2">
      <c r="A13" t="s">
        <v>252</v>
      </c>
      <c r="B13" t="s">
        <v>279</v>
      </c>
      <c r="C13" s="57">
        <v>35</v>
      </c>
      <c r="E13" t="s">
        <v>280</v>
      </c>
      <c r="F13" s="57">
        <v>20</v>
      </c>
      <c r="G13" t="s">
        <v>249</v>
      </c>
      <c r="K13" s="1184" t="str">
        <f>" Base Price -" &amp; C10 &amp; "% Discount + Bay Posts + Std Shapes + Custom Colours + Installation + Buildout"</f>
        <v xml:space="preserve"> Base Price -0.25% Discount + Bay Posts + Std Shapes + Custom Colours + Installation + Buildout</v>
      </c>
      <c r="L13" s="1185"/>
      <c r="M13" s="1185"/>
      <c r="N13" s="1185"/>
      <c r="O13" s="1185"/>
      <c r="P13" s="1185"/>
      <c r="Q13" s="1185"/>
      <c r="R13" s="1185"/>
      <c r="S13" s="1185"/>
      <c r="T13" s="1185"/>
      <c r="U13" s="1185"/>
      <c r="V13" s="1185"/>
      <c r="W13" s="1185"/>
      <c r="X13" s="1185"/>
      <c r="Y13" s="1185"/>
      <c r="Z13" s="1185"/>
      <c r="AB13" s="57">
        <f>AA15*(1-5%)</f>
        <v>0</v>
      </c>
      <c r="AC13" s="4" t="s">
        <v>281</v>
      </c>
      <c r="AD13" s="4">
        <f>COUNTIFS(Pricing!$Q$8:$AA$8,AC13)*2</f>
        <v>0</v>
      </c>
      <c r="AE13" s="4">
        <f>COUNTIFS(Pricing!$Q$11:$AA$11,AC13)*2</f>
        <v>0</v>
      </c>
      <c r="AF13" s="4">
        <f>COUNTIFS(Pricing!$Q$14:$AA$14,AC13)*2</f>
        <v>0</v>
      </c>
      <c r="AG13" s="4">
        <f>COUNTIFS(Pricing!$Q$17:$AA$17,AC13)*2</f>
        <v>0</v>
      </c>
      <c r="AH13" s="4">
        <f>COUNTIFS(Pricing!$Q$20:$AA$20,AC13)*2</f>
        <v>0</v>
      </c>
      <c r="AI13" s="4">
        <f>COUNTIFS(Pricing!$Q$23:$AA$23,AC13)*2</f>
        <v>0</v>
      </c>
      <c r="AJ13" s="4">
        <f>COUNTIFS(Pricing!$Q$26:$AA$26,AC13)*2</f>
        <v>0</v>
      </c>
      <c r="AK13" s="4">
        <f>COUNTIFS(Pricing!$Q$29:$AA$29,AC13)*2</f>
        <v>0</v>
      </c>
      <c r="AL13" s="4">
        <f>COUNTIFS(Pricing!$Q$32:$AA$32,AC13)*2</f>
        <v>0</v>
      </c>
      <c r="AM13" s="4">
        <f>COUNTIFS(Pricing!$Q$35:$AA$35,AC13)*2</f>
        <v>0</v>
      </c>
      <c r="AN13" s="4">
        <f>COUNTIFS(Pricing!$Q$38:$AA$38,AC13)*2</f>
        <v>0</v>
      </c>
      <c r="AO13" s="4">
        <f>COUNTIFS(Pricing!$Q$41:$AA$41,AC13)*2</f>
        <v>0</v>
      </c>
      <c r="AP13" s="4">
        <f>COUNTIFS(Pricing!$Q$44:$AA$44,AC13)*2</f>
        <v>0</v>
      </c>
      <c r="AQ13" s="4">
        <f>COUNTIFS(Pricing!$Q$47:$AA$47,AI13)*2</f>
        <v>0</v>
      </c>
      <c r="AR13" s="4">
        <f>COUNTIFS(Pricing!$Q$50:$AA$50,AJ13)*2</f>
        <v>0</v>
      </c>
    </row>
    <row r="14" spans="1:58" x14ac:dyDescent="0.2">
      <c r="B14" t="s">
        <v>282</v>
      </c>
      <c r="C14" s="158">
        <v>0.1</v>
      </c>
      <c r="E14" t="s">
        <v>283</v>
      </c>
      <c r="F14" s="57">
        <v>12.5</v>
      </c>
      <c r="G14" t="s">
        <v>284</v>
      </c>
      <c r="K14" s="29"/>
      <c r="L14" s="58" t="s">
        <v>219</v>
      </c>
      <c r="M14" s="58" t="s">
        <v>220</v>
      </c>
      <c r="N14" s="58" t="s">
        <v>221</v>
      </c>
      <c r="O14" s="58" t="s">
        <v>222</v>
      </c>
      <c r="P14" s="58" t="s">
        <v>223</v>
      </c>
      <c r="Q14" s="58" t="s">
        <v>224</v>
      </c>
      <c r="R14" s="58" t="s">
        <v>225</v>
      </c>
      <c r="S14" s="58" t="s">
        <v>226</v>
      </c>
      <c r="T14" s="58" t="s">
        <v>227</v>
      </c>
      <c r="U14" s="58" t="s">
        <v>228</v>
      </c>
      <c r="V14" s="58" t="s">
        <v>229</v>
      </c>
      <c r="W14" s="58" t="s">
        <v>230</v>
      </c>
      <c r="X14" s="58" t="s">
        <v>231</v>
      </c>
      <c r="Y14" s="58" t="s">
        <v>232</v>
      </c>
      <c r="Z14" s="58" t="s">
        <v>233</v>
      </c>
      <c r="AA14" s="58" t="s">
        <v>59</v>
      </c>
      <c r="AC14" s="4" t="s">
        <v>285</v>
      </c>
      <c r="AD14" s="4">
        <f>COUNTIFS(Pricing!$Q$8:$AA$8,AC14)*2</f>
        <v>0</v>
      </c>
      <c r="AE14" s="4">
        <f>COUNTIFS(Pricing!$Q$11:$AA$11,AC14)*2</f>
        <v>0</v>
      </c>
      <c r="AF14" s="4">
        <f>COUNTIFS(Pricing!$Q$14:$AA$14,AC14)*2</f>
        <v>0</v>
      </c>
      <c r="AG14" s="4">
        <f>COUNTIFS(Pricing!$Q$17:$AA$17,AC14)*2</f>
        <v>0</v>
      </c>
      <c r="AH14" s="4">
        <f>COUNTIFS(Pricing!$Q$20:$AA$20,AC14)*2</f>
        <v>0</v>
      </c>
      <c r="AI14" s="4">
        <f>COUNTIFS(Pricing!$Q$23:$AA$23,AC14)*2</f>
        <v>0</v>
      </c>
      <c r="AJ14" s="4">
        <f>COUNTIFS(Pricing!$Q$26:$AA$26,AC14)*2</f>
        <v>0</v>
      </c>
      <c r="AK14" s="4">
        <f>COUNTIFS(Pricing!$Q$29:$AA$29,AC14)*2</f>
        <v>0</v>
      </c>
      <c r="AL14" s="4">
        <f>COUNTIFS(Pricing!$Q$32:$AA$32,AC14)*2</f>
        <v>0</v>
      </c>
      <c r="AM14" s="4">
        <f>COUNTIFS(Pricing!$Q$35:$AA$35,AC14)*2</f>
        <v>0</v>
      </c>
      <c r="AN14" s="4">
        <f>COUNTIFS(Pricing!$Q$38:$AA$38,AC14)*2</f>
        <v>0</v>
      </c>
      <c r="AO14" s="4">
        <f>COUNTIFS(Pricing!$Q$41:$AA$41,AC14)*2</f>
        <v>0</v>
      </c>
      <c r="AP14" s="4">
        <f>COUNTIFS(Pricing!$Q$44:$AA$44,AC14)*2</f>
        <v>0</v>
      </c>
      <c r="AQ14" s="4">
        <f>COUNTIFS(Pricing!$Q$47:$AA$47,AI14)*2</f>
        <v>0</v>
      </c>
      <c r="AR14" s="4">
        <f>COUNTIFS(Pricing!$Q$50:$AA$50,AJ14)*2</f>
        <v>0</v>
      </c>
      <c r="AT14" t="s">
        <v>221</v>
      </c>
    </row>
    <row r="15" spans="1:58" x14ac:dyDescent="0.2">
      <c r="B15" t="s">
        <v>286</v>
      </c>
      <c r="C15" s="57">
        <v>100</v>
      </c>
      <c r="E15" t="s">
        <v>287</v>
      </c>
      <c r="F15" s="57">
        <v>5</v>
      </c>
      <c r="K15" s="29" t="s">
        <v>41</v>
      </c>
      <c r="L15" s="61">
        <f>IF(ISNA(((C2*N26)-((C2*N26)*INDEX(C31:C38,MATCH(Pricing!E8,Matrix2!B31:B38,0))))+AA26+W26),,((C2*N26)-((C2*N26)*INDEX(C31:C38,MATCH(Pricing!E8,Matrix2!B31:B38,0))))+AA26+W26)</f>
        <v>0</v>
      </c>
      <c r="M15" s="61">
        <f>IF(ISNA(((C2*N27)-((C2*N27)*INDEX(C31:C38,MATCH(Pricing!E11,Matrix2!B31:B38,0))))+AA27+W27),,((C2*N27)-((C2*N27)*INDEX(C31:C38,MATCH(Pricing!E11,Matrix2!B31:B38,0))))+AA27+W27)</f>
        <v>0</v>
      </c>
      <c r="N15" s="61">
        <f>IF(ISNA(((C2*N28)-((C2*N28)*INDEX(C31:C38,MATCH(Pricing!E14,Matrix2!B31:B38,0))))+AA28+W28),,((C2*N28)-((C2*N28)*INDEX(C31:C38,MATCH(Pricing!E14,Matrix2!B31:B38,0))))+AA28+W28)</f>
        <v>0</v>
      </c>
      <c r="O15" s="61">
        <f>IF(ISNA(((C2*N29)-((C2*N29)*INDEX(C31:C38,MATCH(Pricing!E17,Matrix2!B31:B38,0))))+AA29+W29),,((C2*N29)-((C2*N29)*INDEX(C31:C38,MATCH(Pricing!E17,Matrix2!B31:B38,0))))+AA29+W29)</f>
        <v>0</v>
      </c>
      <c r="P15" s="61">
        <f>IF(ISNA(((C2*N30)-((C2*N30)*INDEX(C31:C38,MATCH(Pricing!E20,Matrix2!B31:B38,0))))+AA30+W30),,((C2*N30)-((C2*N30)*INDEX(C31:C38,MATCH(Pricing!E20,Matrix2!B31:B38,0))))+AA30+W30)</f>
        <v>0</v>
      </c>
      <c r="Q15" s="61">
        <f>IF(ISNA(((C2*N31)-((C2*N31)*INDEX(C31:C38,MATCH(Pricing!E23,Matrix2!B31:B38,0))))+AA31+W31),,((C2*N31)-((C2*N31)*INDEX(C31:C38,MATCH(Pricing!E23,Matrix2!B31:B38,0))))+AA31+W31)</f>
        <v>0</v>
      </c>
      <c r="R15" s="61">
        <f>IF(ISNA(((C2*N32)-((C2*N32)*INDEX(C31:C38,MATCH(Pricing!E26,Matrix2!B31:B38,0))))+AA32+W32),,((C2*N32)-((C2*N32)*INDEX(C31:C38,MATCH(Pricing!E26,Matrix2!B31:B38,0))))+AA32+W32)</f>
        <v>0</v>
      </c>
      <c r="S15" s="61">
        <f>IF(ISNA(((C2*N33)-((C2*N33)*INDEX(C31:C38,MATCH(Pricing!E29,Matrix2!B31:B38,0))))+AA33+W33),,((C2*N33)-((C2*N33)*INDEX(C31:C38,MATCH(Pricing!E29,Matrix2!B31:B38,0))))+AA33+W33)</f>
        <v>0</v>
      </c>
      <c r="T15" s="61">
        <f>IF(ISNA(((C2*N34)-((C2*N34)*INDEX(C31:C38,MATCH(Pricing!E32,Matrix2!B31:B38,0))))+AA34+W34),,((C2*N34)-((C2*N34)*INDEX(C31:C38,MATCH(Pricing!E32,Matrix2!B31:B38,0))))+AA34+W34)</f>
        <v>0</v>
      </c>
      <c r="U15" s="61">
        <f>IF(ISNA(((C2*N35)-((C2*N35)*INDEX(C31:C38,MATCH(Pricing!E35,Matrix2!B31:B38,0))))+AA35+W35),,((C2*N35)-((C2*N35)*INDEX(C31:C38,MATCH(Pricing!E35,Matrix2!B31:B38,0))))+AA35+W35)</f>
        <v>0</v>
      </c>
      <c r="V15" s="61">
        <f>IF(ISNA(((C2*N36)-((C2*N36)*INDEX(C31:C38,MATCH(Pricing!E38,Matrix2!B31:B38,0))))+AA36+W36),,((C2*N36)-((C2*N36)*INDEX(C31:C38,MATCH(Pricing!E38,Matrix2!B31:B38,0))))+AA36+W36)</f>
        <v>0</v>
      </c>
      <c r="W15" s="61">
        <f>IF(ISNA(((C2*N37)-((C2*N37)*INDEX(C31:C38,MATCH(Pricing!E41,Matrix2!B31:B38,0))))+AA37+W37),,((C2*N37)-((C2*N37)*INDEX(C31:C38,MATCH(Pricing!E41,Matrix2!B31:B38,0))))+AA37+W37)</f>
        <v>0</v>
      </c>
      <c r="X15" s="61">
        <f>IF(ISNA(((C2*N38)-((C2*N38)*INDEX(C31:C38,MATCH(Pricing!E44,Matrix2!B31:B38,0))))+AA38+W38),,((C2*N38)-((C2*N38)*INDEX(C31:C38,MATCH(Pricing!E44,Matrix2!B31:B38,0))))+AA38+W38)</f>
        <v>0</v>
      </c>
      <c r="Y15" s="61">
        <f>IF(ISNA(((C2*N39)-((C2*N39)*INDEX(C31:C38,MATCH(Pricing!E47,Matrix2!B31:B38,0))))+AA39+W39),,((C2*N39)-((C2*N39)*INDEX(C31:C38,MATCH(Pricing!E47,Matrix2!B31:B38,0))))+AA39+W39)</f>
        <v>0</v>
      </c>
      <c r="Z15" s="61">
        <f>IF(ISNA(((C2*N40)-((C2*N40)*INDEX(C31:C38,MATCH(Pricing!E50,Matrix2!B31:B38,0))))+AA40+W40),,((C2*N40)-((C2*N40)*INDEX(C31:C38,MATCH(Pricing!E50,Matrix2!B31:B38,0))))+AA40+W40)</f>
        <v>0</v>
      </c>
      <c r="AA15" s="57">
        <f>SUM(L15:Z15)</f>
        <v>0</v>
      </c>
      <c r="AC15" s="4" t="s">
        <v>288</v>
      </c>
      <c r="AD15" s="4">
        <f>COUNTIFS(Pricing!$Q$8:$AA$8,AC15)*2</f>
        <v>0</v>
      </c>
      <c r="AE15" s="4">
        <f>COUNTIFS(Pricing!$Q$11:$AA$11,AC15)*2</f>
        <v>0</v>
      </c>
      <c r="AF15" s="4">
        <f>COUNTIFS(Pricing!$Q$14:$AA$14,AC15)*2</f>
        <v>0</v>
      </c>
      <c r="AG15" s="4">
        <f>COUNTIFS(Pricing!$Q$17:$AA$17,AC15)*2</f>
        <v>0</v>
      </c>
      <c r="AH15" s="4">
        <f>COUNTIFS(Pricing!$Q$20:$AA$20,AC15)*2</f>
        <v>0</v>
      </c>
      <c r="AI15" s="4">
        <f>COUNTIFS(Pricing!$Q$23:$AA$23,AC15)*2</f>
        <v>0</v>
      </c>
      <c r="AJ15" s="4">
        <f>COUNTIFS(Pricing!$Q$26:$AA$26,AC15)*2</f>
        <v>0</v>
      </c>
      <c r="AK15" s="4">
        <f>COUNTIFS(Pricing!$Q$29:$AA$29,AC15)*2</f>
        <v>0</v>
      </c>
      <c r="AL15" s="4">
        <f>COUNTIFS(Pricing!$Q$32:$AA$32,AC15)*2</f>
        <v>0</v>
      </c>
      <c r="AM15" s="4">
        <f>COUNTIFS(Pricing!$Q$35:$AA$35,AC15)*2</f>
        <v>0</v>
      </c>
      <c r="AN15" s="4">
        <f>COUNTIFS(Pricing!$Q$38:$AA$38,AC15)*2</f>
        <v>0</v>
      </c>
      <c r="AO15" s="4">
        <f>COUNTIFS(Pricing!$Q$41:$AA$41,AC15)*2</f>
        <v>0</v>
      </c>
      <c r="AP15" s="4">
        <f>COUNTIFS(Pricing!$Q$44:$AA$44,AC15)*2</f>
        <v>0</v>
      </c>
      <c r="AQ15" s="4">
        <f>COUNTIFS(Pricing!$Q$47:$AA$47,AI15)*2</f>
        <v>0</v>
      </c>
      <c r="AR15" s="4">
        <f>COUNTIFS(Pricing!$Q$50:$AA$50,AJ15)*2</f>
        <v>0</v>
      </c>
    </row>
    <row r="16" spans="1:58" x14ac:dyDescent="0.2">
      <c r="A16" t="s">
        <v>289</v>
      </c>
      <c r="B16" t="s">
        <v>290</v>
      </c>
      <c r="C16" s="57">
        <v>350</v>
      </c>
      <c r="E16" t="s">
        <v>291</v>
      </c>
      <c r="F16" s="57">
        <v>5</v>
      </c>
      <c r="K16" s="29" t="s">
        <v>43</v>
      </c>
      <c r="L16" s="61">
        <f>IF(K16=Pricing!$E$8,($L$15+($C3*$N$26)),)</f>
        <v>0</v>
      </c>
      <c r="M16" s="61">
        <f>IF(K16=Pricing!E11,$M$15+($C3*$N$27),)</f>
        <v>0</v>
      </c>
      <c r="N16" s="61">
        <f>IF(K16=Pricing!E14,$N$15+($C3*$N$28),)</f>
        <v>0</v>
      </c>
      <c r="O16" s="61">
        <f>IF(K16=Pricing!E17,$O$15+($C3*$N$29),)</f>
        <v>0</v>
      </c>
      <c r="P16" s="61">
        <f>IF(K16=Pricing!$E$20,$P$15+($C3*$N$30),)</f>
        <v>0</v>
      </c>
      <c r="Q16" s="61">
        <f>IF(K16=Pricing!$E$23,$Q$15+($C3*$N$31),)</f>
        <v>0</v>
      </c>
      <c r="R16" s="61">
        <f>IF(K16=Pricing!$E$26,$R$15+($C3*$N$32),)</f>
        <v>0</v>
      </c>
      <c r="S16" s="61">
        <f>IF(K16=Pricing!$E$29,$S$15+($C3*$N$33),)</f>
        <v>0</v>
      </c>
      <c r="T16" s="61">
        <f>IF(K16=Pricing!$E$32,$T$15+($C3*$N$34),)</f>
        <v>0</v>
      </c>
      <c r="U16" s="61">
        <f>IF(K16=Pricing!$E$35,$U$15+($C3*$N$35),)</f>
        <v>0</v>
      </c>
      <c r="V16" s="61">
        <f>IF(K16=Pricing!$E$38,$V$15+($C3*$N$36),)</f>
        <v>0</v>
      </c>
      <c r="W16" s="61">
        <f>IF(K16=Pricing!$E$41,$W$15+($C3*$N$37),)</f>
        <v>0</v>
      </c>
      <c r="X16" s="61">
        <f>IF(K16=Pricing!$E$44,$X$15+($C3*$N$38),)</f>
        <v>0</v>
      </c>
      <c r="Y16" s="61">
        <f>IF(K16=Pricing!$E$47,$Y$15+($C3*$N$39),)</f>
        <v>0</v>
      </c>
      <c r="Z16" s="61">
        <f>IF(K16=Pricing!$E$50,$Z$15+($C3*$N$40),)</f>
        <v>0</v>
      </c>
      <c r="AA16" s="57">
        <f t="shared" ref="AA16:AA17" si="1">SUM(L16:Z16)</f>
        <v>0</v>
      </c>
      <c r="AC16" s="4" t="s">
        <v>292</v>
      </c>
      <c r="AD16" s="4">
        <f>COUNTIFS(Pricing!$Q$8:$AA$8,AC16)*2</f>
        <v>0</v>
      </c>
      <c r="AE16" s="4">
        <f>COUNTIFS(Pricing!$Q$11:$AA$11,AC16)*2</f>
        <v>0</v>
      </c>
      <c r="AF16" s="4">
        <f>COUNTIFS(Pricing!$Q$14:$AA$14,AC16)*2</f>
        <v>0</v>
      </c>
      <c r="AG16" s="4">
        <f>COUNTIFS(Pricing!$Q$17:$AA$17,AC16)*2</f>
        <v>0</v>
      </c>
      <c r="AH16" s="4">
        <f>COUNTIFS(Pricing!$Q$20:$AA$20,AC16)*2</f>
        <v>0</v>
      </c>
      <c r="AI16" s="4">
        <f>COUNTIFS(Pricing!$Q$23:$AA$23,AC16)*2</f>
        <v>0</v>
      </c>
      <c r="AJ16" s="4">
        <f>COUNTIFS(Pricing!$Q$26:$AA$26,AC16)*2</f>
        <v>0</v>
      </c>
      <c r="AK16" s="4">
        <f>COUNTIFS(Pricing!$Q$29:$AA$29,AC16)*2</f>
        <v>0</v>
      </c>
      <c r="AL16" s="4">
        <f>COUNTIFS(Pricing!$Q$32:$AA$32,AC16)*2</f>
        <v>0</v>
      </c>
      <c r="AM16" s="4">
        <f>COUNTIFS(Pricing!$Q$35:$AA$35,AC16)*2</f>
        <v>0</v>
      </c>
      <c r="AN16" s="4">
        <f>COUNTIFS(Pricing!$Q$38:$AA$38,AC16)*2</f>
        <v>0</v>
      </c>
      <c r="AO16" s="4">
        <f>COUNTIFS(Pricing!$Q$41:$AA$41,AC16)*2</f>
        <v>0</v>
      </c>
      <c r="AP16" s="4">
        <f>COUNTIFS(Pricing!$Q$44:$AA$44,AC16)*2</f>
        <v>0</v>
      </c>
      <c r="AQ16" s="4">
        <f>COUNTIFS(Pricing!$Q$47:$AA$47,AI16)*2</f>
        <v>0</v>
      </c>
      <c r="AR16" s="4">
        <f>COUNTIFS(Pricing!$Q$50:$AA$50,AJ16)*2</f>
        <v>0</v>
      </c>
      <c r="AT16" t="s">
        <v>222</v>
      </c>
    </row>
    <row r="17" spans="1:46" x14ac:dyDescent="0.2">
      <c r="A17" t="s">
        <v>252</v>
      </c>
      <c r="B17" t="s">
        <v>293</v>
      </c>
      <c r="C17" s="57">
        <v>115</v>
      </c>
      <c r="E17" t="s">
        <v>294</v>
      </c>
      <c r="F17" s="57">
        <v>20</v>
      </c>
      <c r="K17" s="29" t="s">
        <v>47</v>
      </c>
      <c r="L17" s="61">
        <f>IF(K17=Pricing!$E$8,($L$15+($C4*$N$26)),)</f>
        <v>0</v>
      </c>
      <c r="M17" s="61">
        <f>IF(K17=Pricing!E11,$M$15+($C4*$N$27),)</f>
        <v>0</v>
      </c>
      <c r="N17" s="61">
        <f>IF(K17=Pricing!E14,$N$15+($C4*$N$28),)</f>
        <v>0</v>
      </c>
      <c r="O17" s="61">
        <f>IF(K17=Pricing!E17,$O$15+($C4*$N$29),)</f>
        <v>0</v>
      </c>
      <c r="P17" s="61">
        <f>IF(K17=Pricing!$E$20,$P$15+($C4*$N$30),)</f>
        <v>0</v>
      </c>
      <c r="Q17" s="61">
        <f>IF(K17=Pricing!$E$23,$Q$15+($C4*$N$31),)</f>
        <v>0</v>
      </c>
      <c r="R17" s="61">
        <f>IF(K17=Pricing!$E$26,$R$15+($C4*$N$32),)</f>
        <v>0</v>
      </c>
      <c r="S17" s="61">
        <f>IF(K17=Pricing!$E$29,$S$15+($C4*$N$33),)</f>
        <v>0</v>
      </c>
      <c r="T17" s="61">
        <f>IF(K17=Pricing!$E$32,$T$15+($C4*$N$34),)</f>
        <v>0</v>
      </c>
      <c r="U17" s="61">
        <f>IF(K17=Pricing!$E$35,$U$15+($C4*$N$35),)</f>
        <v>0</v>
      </c>
      <c r="V17" s="61">
        <f>IF(K17=Pricing!$E$38,$V$15+($C4*$N$36),)</f>
        <v>0</v>
      </c>
      <c r="W17" s="61">
        <f>IF(K17=Pricing!$E$41,$W$15+($C4*$N$37),)</f>
        <v>0</v>
      </c>
      <c r="X17" s="61">
        <f>IF(K17=Pricing!$E$44,$X$15+($C4*$N$38),)</f>
        <v>0</v>
      </c>
      <c r="Y17" s="61">
        <f>IF(K17=Pricing!$E$47,$Y$15+($C4*$N$39),)</f>
        <v>0</v>
      </c>
      <c r="Z17" s="61">
        <f>IF(K17=Pricing!$E$50,$Z$15+($C4*$N$40),)</f>
        <v>0</v>
      </c>
      <c r="AA17" s="57">
        <f t="shared" si="1"/>
        <v>0</v>
      </c>
      <c r="AC17" s="4" t="s">
        <v>295</v>
      </c>
      <c r="AD17" s="4">
        <f>COUNTIFS(Pricing!$Q$8:$AA$8,AC17)*2</f>
        <v>0</v>
      </c>
      <c r="AE17" s="4">
        <f>COUNTIFS(Pricing!$Q$11:$AA$11,AC17)*2</f>
        <v>0</v>
      </c>
      <c r="AF17" s="4">
        <f>COUNTIFS(Pricing!$Q$14:$AA$14,AC17)*2</f>
        <v>0</v>
      </c>
      <c r="AG17" s="4">
        <f>COUNTIFS(Pricing!$Q$17:$AA$17,AC17)*2</f>
        <v>0</v>
      </c>
      <c r="AH17" s="4">
        <f>COUNTIFS(Pricing!$Q$20:$AA$20,AC17)*2</f>
        <v>0</v>
      </c>
      <c r="AI17" s="4">
        <f>COUNTIFS(Pricing!$Q$23:$AA$23,AC17)*2</f>
        <v>0</v>
      </c>
      <c r="AJ17" s="4">
        <f>COUNTIFS(Pricing!$Q$26:$AA$26,AC17)*2</f>
        <v>0</v>
      </c>
      <c r="AK17" s="4">
        <f>COUNTIFS(Pricing!$Q$29:$AA$29,AC17)*2</f>
        <v>0</v>
      </c>
      <c r="AL17" s="4">
        <f>COUNTIFS(Pricing!$Q$32:$AA$32,AC17)*2</f>
        <v>0</v>
      </c>
      <c r="AM17" s="4">
        <f>COUNTIFS(Pricing!$Q$35:$AA$35,AC17)*2</f>
        <v>0</v>
      </c>
      <c r="AN17" s="4">
        <f>COUNTIFS(Pricing!$Q$38:$AA$38,AC17)*2</f>
        <v>0</v>
      </c>
      <c r="AO17" s="4">
        <f>COUNTIFS(Pricing!$Q$41:$AA$41,AC17)*2</f>
        <v>0</v>
      </c>
      <c r="AP17" s="4">
        <f>COUNTIFS(Pricing!$Q$44:$AA$44,AC17)*2</f>
        <v>0</v>
      </c>
      <c r="AQ17" s="4">
        <f>COUNTIFS(Pricing!$Q$47:$AA$47,AI17)*2</f>
        <v>0</v>
      </c>
      <c r="AR17" s="4">
        <f>COUNTIFS(Pricing!$Q$50:$AA$50,AJ17)*2</f>
        <v>0</v>
      </c>
    </row>
    <row r="18" spans="1:46" x14ac:dyDescent="0.2">
      <c r="B18" t="s">
        <v>296</v>
      </c>
      <c r="C18" s="57">
        <v>400</v>
      </c>
      <c r="E18" s="373" t="s">
        <v>791</v>
      </c>
      <c r="F18" s="374">
        <v>75</v>
      </c>
      <c r="K18" s="29" t="s">
        <v>49</v>
      </c>
      <c r="L18" s="61">
        <f>IF(K18=Pricing!$E$8,($L$15+($C5*$N$26)),)</f>
        <v>0</v>
      </c>
      <c r="M18" s="61">
        <f>IF(K18=Pricing!E11,$M$15+($C5*$N$27),)</f>
        <v>0</v>
      </c>
      <c r="N18" s="61">
        <f>IF(K18=Pricing!E14,$N$15+($C5*$N$28),)</f>
        <v>0</v>
      </c>
      <c r="O18" s="61">
        <f>IF(K18=Pricing!E17,$O$15+($C5*$N$29),)</f>
        <v>0</v>
      </c>
      <c r="P18" s="61">
        <f>IF(K18=Pricing!$E$20,$P$15+($C5*$N$30),)</f>
        <v>0</v>
      </c>
      <c r="Q18" s="61">
        <f>IF(K18=Pricing!$E$23,$Q$15+($C5*$N$31),)</f>
        <v>0</v>
      </c>
      <c r="R18" s="61">
        <f>IF(K18=Pricing!$E$26,$R$15+($C5*$N$32),)</f>
        <v>0</v>
      </c>
      <c r="S18" s="61">
        <f>IF(K18=Pricing!$E$29,$S$15+($C5*$N$33),)</f>
        <v>0</v>
      </c>
      <c r="T18" s="61">
        <f>IF(K18=Pricing!$E$32,$T$15+($C5*$N$34),)</f>
        <v>0</v>
      </c>
      <c r="U18" s="61">
        <f>IF(K18=Pricing!$E$35,$U$15+($C5*$N$35),)</f>
        <v>0</v>
      </c>
      <c r="V18" s="61">
        <f>IF(K18=Pricing!$E$38,$V$15+($C5*$N$36),)</f>
        <v>0</v>
      </c>
      <c r="W18" s="61">
        <f>IF(K18=Pricing!$E$41,$W$15+($C5*$N$37),)</f>
        <v>0</v>
      </c>
      <c r="X18" s="61">
        <f>IF(K18=Pricing!$E$44,$X$15+($C5*$N$38),)</f>
        <v>0</v>
      </c>
      <c r="Y18" s="61">
        <f>IF(K18=Pricing!$E$47,$Y$15+($C5*$N$39),)</f>
        <v>0</v>
      </c>
      <c r="Z18" s="61">
        <f>IF(K18=Pricing!$E$50,$Z$15+($C5*$N$40),)</f>
        <v>0</v>
      </c>
      <c r="AA18" s="57">
        <f>SUM(L18:Z18)</f>
        <v>0</v>
      </c>
      <c r="AC18" s="4" t="s">
        <v>297</v>
      </c>
      <c r="AD18" s="4">
        <f>COUNTIFS(Pricing!$Q$8:$AA$8,AC18)*2</f>
        <v>0</v>
      </c>
      <c r="AE18" s="4">
        <f>COUNTIFS(Pricing!$Q$11:$AA$11,AC18)*2</f>
        <v>0</v>
      </c>
      <c r="AF18" s="4">
        <f>COUNTIFS(Pricing!$Q$14:$AA$14,AC18)*2</f>
        <v>0</v>
      </c>
      <c r="AG18" s="4">
        <f>COUNTIFS(Pricing!$Q$17:$AA$17,AC18)*2</f>
        <v>0</v>
      </c>
      <c r="AH18" s="4">
        <f>COUNTIFS(Pricing!$Q$20:$AA$20,AC18)*2</f>
        <v>0</v>
      </c>
      <c r="AI18" s="4">
        <f>COUNTIFS(Pricing!$Q$23:$AA$23,AC18)*2</f>
        <v>0</v>
      </c>
      <c r="AJ18" s="4">
        <f>COUNTIFS(Pricing!$Q$26:$AA$26,AC18)*2</f>
        <v>0</v>
      </c>
      <c r="AK18" s="4">
        <f>COUNTIFS(Pricing!$Q$29:$AA$29,AC18)*2</f>
        <v>0</v>
      </c>
      <c r="AL18" s="4">
        <f>COUNTIFS(Pricing!$Q$32:$AA$32,AC18)*2</f>
        <v>0</v>
      </c>
      <c r="AM18" s="4">
        <f>COUNTIFS(Pricing!$Q$35:$AA$35,AC18)*2</f>
        <v>0</v>
      </c>
      <c r="AN18" s="4">
        <f>COUNTIFS(Pricing!$Q$38:$AA$38,AC18)*2</f>
        <v>0</v>
      </c>
      <c r="AO18" s="4">
        <f>COUNTIFS(Pricing!$Q$41:$AA$41,AC18)*2</f>
        <v>0</v>
      </c>
      <c r="AP18" s="4">
        <f>COUNTIFS(Pricing!$Q$44:$AA$44,AC18)*2</f>
        <v>0</v>
      </c>
      <c r="AQ18" s="4">
        <f>COUNTIFS(Pricing!$Q$47:$AA$47,AI18)*2</f>
        <v>0</v>
      </c>
      <c r="AR18" s="4">
        <f>COUNTIFS(Pricing!$Q$50:$AA$50,AJ18)*2</f>
        <v>0</v>
      </c>
      <c r="AT18" t="s">
        <v>223</v>
      </c>
    </row>
    <row r="19" spans="1:46" x14ac:dyDescent="0.2">
      <c r="A19" t="s">
        <v>298</v>
      </c>
      <c r="B19" t="s">
        <v>299</v>
      </c>
      <c r="C19" s="57">
        <v>0</v>
      </c>
      <c r="E19" s="373" t="s">
        <v>792</v>
      </c>
      <c r="F19" s="374">
        <v>150</v>
      </c>
      <c r="K19" s="29" t="s">
        <v>51</v>
      </c>
      <c r="L19" s="61">
        <f>IF(K19=Pricing!$E$8,($L$15+($C6*$N$26)),)</f>
        <v>0</v>
      </c>
      <c r="M19" s="61">
        <f>IF(K19=Pricing!E11,$M$15+($C6*$N$27),)</f>
        <v>0</v>
      </c>
      <c r="N19" s="61">
        <f>IF(K19=Pricing!E14,$N$15+($C6*$N$28),)</f>
        <v>0</v>
      </c>
      <c r="O19" s="61">
        <f>IF(K19=Pricing!E17,$O$15+($C6*$N$29),)</f>
        <v>0</v>
      </c>
      <c r="P19" s="61">
        <f>IF(K19=Pricing!$E$20,$P$15+($C6*$N$30),)</f>
        <v>0</v>
      </c>
      <c r="Q19" s="61">
        <f>IF(K19=Pricing!$E$23,$Q$15+($C6*$N$31),)</f>
        <v>0</v>
      </c>
      <c r="R19" s="61">
        <f>IF(K19=Pricing!$E$26,$R$15+($C6*$N$32),)</f>
        <v>0</v>
      </c>
      <c r="S19" s="61">
        <f>IF(K19=Pricing!$E$29,$S$15+($C6*$N$33),)</f>
        <v>0</v>
      </c>
      <c r="T19" s="61">
        <f>IF(K19=Pricing!$E$32,$T$15+($C6*$N$34),)</f>
        <v>0</v>
      </c>
      <c r="U19" s="61">
        <f>IF(K19=Pricing!$E$35,$U$15+($C6*$N$35),)</f>
        <v>0</v>
      </c>
      <c r="V19" s="61">
        <f>IF(K19=Pricing!$E$38,$V$15+($C6*$N$36),)</f>
        <v>0</v>
      </c>
      <c r="W19" s="61">
        <f>IF(K19=Pricing!$E$41,$W$15+($C6*$N$37),)</f>
        <v>0</v>
      </c>
      <c r="X19" s="61">
        <f>IF(K19=Pricing!$E$44,$X$15+($C6*$N$38),)</f>
        <v>0</v>
      </c>
      <c r="Y19" s="61">
        <f>IF(K19=Pricing!$E$47,$Y$15+($C6*$N$39),)</f>
        <v>0</v>
      </c>
      <c r="Z19" s="61">
        <f>IF(K19=Pricing!$E$50,$Z$15+($C6*$N$40),)</f>
        <v>0</v>
      </c>
      <c r="AA19" s="57">
        <f>SUM(L19:Z19)</f>
        <v>0</v>
      </c>
      <c r="AC19" s="62" t="s">
        <v>59</v>
      </c>
      <c r="AD19" s="62">
        <f>SUM(AD2:AD18)</f>
        <v>0</v>
      </c>
      <c r="AE19" s="62">
        <f t="shared" ref="AE19:AR19" si="2">SUM(AE2:AE18)</f>
        <v>0</v>
      </c>
      <c r="AF19" s="62">
        <f t="shared" si="2"/>
        <v>0</v>
      </c>
      <c r="AG19" s="62">
        <f t="shared" si="2"/>
        <v>0</v>
      </c>
      <c r="AH19" s="62">
        <f t="shared" si="2"/>
        <v>0</v>
      </c>
      <c r="AI19" s="62">
        <f t="shared" si="2"/>
        <v>0</v>
      </c>
      <c r="AJ19" s="62">
        <f t="shared" si="2"/>
        <v>0</v>
      </c>
      <c r="AK19" s="62">
        <f t="shared" si="2"/>
        <v>0</v>
      </c>
      <c r="AL19" s="62">
        <f t="shared" si="2"/>
        <v>0</v>
      </c>
      <c r="AM19" s="62">
        <f t="shared" si="2"/>
        <v>0</v>
      </c>
      <c r="AN19" s="62">
        <f t="shared" si="2"/>
        <v>0</v>
      </c>
      <c r="AO19" s="62">
        <f t="shared" si="2"/>
        <v>0</v>
      </c>
      <c r="AP19" s="62">
        <f t="shared" si="2"/>
        <v>0</v>
      </c>
      <c r="AQ19" s="62">
        <f t="shared" si="2"/>
        <v>0</v>
      </c>
      <c r="AR19" s="62">
        <f t="shared" si="2"/>
        <v>0</v>
      </c>
    </row>
    <row r="20" spans="1:46" x14ac:dyDescent="0.2">
      <c r="B20" s="91"/>
      <c r="C20" s="434"/>
      <c r="K20" s="29" t="s">
        <v>55</v>
      </c>
      <c r="L20" s="61">
        <f>IF(K20=Pricing!$E$8,($L$15+($C7*$N$26)),)</f>
        <v>0</v>
      </c>
      <c r="M20" s="61">
        <f>IF(K20=Pricing!E11,$M$15+($C7*$N$27),)</f>
        <v>0</v>
      </c>
      <c r="N20" s="61">
        <f>IF(K20=Pricing!E14,$N$15+($C7*$N$28),)</f>
        <v>0</v>
      </c>
      <c r="O20" s="61">
        <f>IF(K20=Pricing!E17,$O$15+($C7*$N$29),)</f>
        <v>0</v>
      </c>
      <c r="P20" s="61">
        <f>IF(K20=Pricing!$E$20,$P$15+($C7*$N$30),)</f>
        <v>0</v>
      </c>
      <c r="Q20" s="61">
        <f>IF(K20=Pricing!$E$23,$Q$15+($C7*$N$31),)</f>
        <v>0</v>
      </c>
      <c r="R20" s="61">
        <f>IF(K20=Pricing!$E$26,$R$15+($C7*$N$32),)</f>
        <v>0</v>
      </c>
      <c r="S20" s="61">
        <f>IF(K20=Pricing!$E$29,$S$15+($C7*$N$33),)</f>
        <v>0</v>
      </c>
      <c r="T20" s="61">
        <f>IF(K20=Pricing!$E$32,$T$15+($C7*$N$34),)</f>
        <v>0</v>
      </c>
      <c r="U20" s="61">
        <f>IF(K20=Pricing!$E$35,$U$15+($C7*$N$35),)</f>
        <v>0</v>
      </c>
      <c r="V20" s="61">
        <f>IF(K20=Pricing!$E$38,$V$15+($C7*$N$36),)</f>
        <v>0</v>
      </c>
      <c r="W20" s="61">
        <f>IF(K20=Pricing!$E$41,$W$15+($C7*$N$37),)</f>
        <v>0</v>
      </c>
      <c r="X20" s="61">
        <f>IF(K20=Pricing!$E$44,$X$15+($C7*$N$38),)</f>
        <v>0</v>
      </c>
      <c r="Y20" s="61">
        <f>IF(K20=Pricing!$E$47,$Y$15+($C7*$N$39),)</f>
        <v>0</v>
      </c>
      <c r="Z20" s="61">
        <f>IF(K20=Pricing!$E$50,$Z$15+($C7*$N$40),)</f>
        <v>0</v>
      </c>
      <c r="AA20" s="57">
        <f>SUM(L20:Z20)</f>
        <v>0</v>
      </c>
      <c r="AB20" s="855" t="s">
        <v>301</v>
      </c>
      <c r="AC20" s="855"/>
      <c r="AD20" s="855"/>
      <c r="AE20" s="855"/>
      <c r="AF20" s="855"/>
      <c r="AT20" t="s">
        <v>224</v>
      </c>
    </row>
    <row r="21" spans="1:46" x14ac:dyDescent="0.2">
      <c r="B21" s="157" t="s">
        <v>302</v>
      </c>
      <c r="K21" s="29" t="s">
        <v>791</v>
      </c>
      <c r="L21" s="61">
        <f>IF(K21=Pricing!$E$8,($L$15+($F18*$N$26)),)</f>
        <v>0</v>
      </c>
      <c r="M21" s="61">
        <f>IF(K21=Pricing!E11,$M$15+($F18*$N$27),)</f>
        <v>0</v>
      </c>
      <c r="N21" s="61">
        <f>IF(K21=Pricing!E14,$N$15+($F18*$N$28),)</f>
        <v>0</v>
      </c>
      <c r="O21" s="61">
        <f>IF(K21=Pricing!E17,$O$15+($F18*$N$29),)</f>
        <v>0</v>
      </c>
      <c r="P21" s="61">
        <f>IF(K21=Pricing!$E$20,$P$15+($F18*$N$30),)</f>
        <v>0</v>
      </c>
      <c r="Q21" s="61">
        <f>IF(K21=Pricing!$E$23,$Q$15+($F18*$N$31),)</f>
        <v>0</v>
      </c>
      <c r="R21" s="61">
        <f>IF(K21=Pricing!$E$26,$R$15+($F18*$N$32),)</f>
        <v>0</v>
      </c>
      <c r="S21" s="61">
        <f>IF(K21=Pricing!$E$29,$S$15+($F18*$N$33),)</f>
        <v>0</v>
      </c>
      <c r="T21" s="61">
        <f>IF(K21=Pricing!$E$32,$T$15+($F18*$N$34),)</f>
        <v>0</v>
      </c>
      <c r="U21" s="61">
        <f>IF(K21=Pricing!$E$35,$U$15+($F18*$N$35),)</f>
        <v>0</v>
      </c>
      <c r="V21" s="61">
        <f>IF(K21=Pricing!$E$38,$V$15+($F18*$N$36),)</f>
        <v>0</v>
      </c>
      <c r="W21" s="61">
        <f>IF(K21=Pricing!$E$41,$W$15+($F18*$N$37),)</f>
        <v>0</v>
      </c>
      <c r="X21" s="61">
        <f>IF(K21=Pricing!$E$44,$X$15+($F18*$N$38),)</f>
        <v>0</v>
      </c>
      <c r="Y21" s="61">
        <f>IF(K21=Pricing!$E$47,$Y$15+($F18*$N$39),)</f>
        <v>0</v>
      </c>
      <c r="Z21" s="61">
        <f>IF(K21=Pricing!$E$50,$Z$15+($F18*$N$40),)</f>
        <v>0</v>
      </c>
      <c r="AA21" s="57">
        <f>SUM(L21:Z21)</f>
        <v>0</v>
      </c>
    </row>
    <row r="22" spans="1:46" x14ac:dyDescent="0.2">
      <c r="B22" s="107" t="s">
        <v>64</v>
      </c>
      <c r="C22" s="175">
        <v>0</v>
      </c>
      <c r="D22" s="107"/>
      <c r="E22" s="107">
        <f>ROUND(20%*Pricing!T62,0.2)</f>
        <v>0</v>
      </c>
      <c r="K22" s="29" t="s">
        <v>792</v>
      </c>
      <c r="L22" s="61">
        <f>IF(K22=Pricing!$E$8,($L$15+($F19*$N$26)),)</f>
        <v>0</v>
      </c>
      <c r="M22" s="61">
        <f>IF(K22=Pricing!E11,$M$15+($F19*$N$27),)</f>
        <v>0</v>
      </c>
      <c r="N22" s="61">
        <f>IF(K22=Pricing!E14,$N$15+($F19*$N$28),)+W28+AA28</f>
        <v>0</v>
      </c>
      <c r="O22" s="61">
        <f>IF(K22=Pricing!E17,$O$15+($F19*$N$29),)</f>
        <v>0</v>
      </c>
      <c r="P22" s="61">
        <f>IF(K22=Pricing!$E$20,$P$15+($F19*$N$30),)</f>
        <v>0</v>
      </c>
      <c r="Q22" s="61">
        <f>IF(K22=Pricing!$E$23,$Q$15+($F19*$N$31),)</f>
        <v>0</v>
      </c>
      <c r="R22" s="61">
        <f>IF(K22=Pricing!$E$26,$R$15+($F19*$N$32),)</f>
        <v>0</v>
      </c>
      <c r="S22" s="61">
        <f>IF(K22=Pricing!$E$29,$S$15+($F19*$N$33),)</f>
        <v>0</v>
      </c>
      <c r="T22" s="61">
        <f>IF(K22=Pricing!$E$32,$T$15+($F19*$N$34),)</f>
        <v>0</v>
      </c>
      <c r="U22" s="61">
        <f>IF(K22=Pricing!$E$35,$U$15+($F19*$N$35),)</f>
        <v>0</v>
      </c>
      <c r="V22" s="61">
        <f>IF(K22=Pricing!$E$38,$V$15+($F19*$N$36),)</f>
        <v>0</v>
      </c>
      <c r="W22" s="61">
        <f>IF(K22=Pricing!$E$41,$W$15+($F19*$N$37),)</f>
        <v>0</v>
      </c>
      <c r="X22" s="61">
        <f>IF(K22=Pricing!$E$44,$X$15+($F19*$N$38),)</f>
        <v>0</v>
      </c>
      <c r="Y22" s="61">
        <f>IF(K22=Pricing!$E$47,$Y$15+($F19*$N$39),)</f>
        <v>0</v>
      </c>
      <c r="Z22" s="61">
        <f>IF(K22=Pricing!$E$50,$Z$15+($F19*$N$40),)</f>
        <v>0</v>
      </c>
      <c r="AA22" s="57">
        <f>SUM(L22:Z22)</f>
        <v>0</v>
      </c>
      <c r="AB22" s="1186" t="s">
        <v>313</v>
      </c>
      <c r="AC22" s="1186"/>
      <c r="AD22" s="1187" t="str">
        <f xml:space="preserve"> TRIM(Pricing!Q8 &amp; Pricing!R8 &amp;  Pricing!S8 &amp; Pricing!T8  &amp; Pricing!U8 &amp; Pricing!V8  &amp; Pricing!W8  &amp; Pricing!X8  &amp; Pricing!Y8 &amp; Pricing!Z8  &amp; Pricing!AA8)</f>
        <v/>
      </c>
      <c r="AE22" s="1187"/>
      <c r="AF22" s="1187"/>
      <c r="AG22" s="1187"/>
      <c r="AH22" s="1186" t="s">
        <v>314</v>
      </c>
      <c r="AI22" s="1186"/>
      <c r="AJ22" s="1187" t="str">
        <f xml:space="preserve"> TRIM('Survey Front'!S12 &amp; 'Survey Front'!T12 &amp;  'Survey Front'!U12 &amp; 'Survey Front'!V12  &amp; 'Survey Front'!W12 &amp; 'Survey Front'!X12  &amp; 'Survey Front'!Y12  &amp; 'Survey Front'!Z12  &amp; 'Survey Front'!AA12 &amp; 'Survey Front'!AB12  &amp; 'Survey Front'!AC12)</f>
        <v/>
      </c>
      <c r="AK22" s="1187"/>
      <c r="AL22" s="1187"/>
      <c r="AN22" t="e">
        <f>AND(FIND("LLL",AD22),Pricing!E8="Antigua")</f>
        <v>#VALUE!</v>
      </c>
      <c r="AO22" t="e">
        <f>AND(FIND("RRR",AD22),Pricing!E8="Antigua")</f>
        <v>#VALUE!</v>
      </c>
      <c r="AT22" t="s">
        <v>225</v>
      </c>
    </row>
    <row r="23" spans="1:46" x14ac:dyDescent="0.2">
      <c r="B23" s="107" t="s">
        <v>66</v>
      </c>
      <c r="C23" s="176">
        <v>0.19900000000000001</v>
      </c>
      <c r="D23" s="107"/>
      <c r="E23" s="107"/>
      <c r="AB23" s="1186" t="s">
        <v>315</v>
      </c>
      <c r="AC23" s="1186"/>
      <c r="AD23" s="1188" t="str">
        <f xml:space="preserve"> TRIM(Pricing!Q11 &amp;Pricing!R11 &amp; Pricing!S11 &amp; Pricing!T11 &amp; Pricing!U11 &amp; Pricing!V11 &amp; Pricing!W11 &amp; Pricing!X11 &amp; Pricing!Y11 &amp; Pricing!Z11 &amp; Pricing!AA11)</f>
        <v/>
      </c>
      <c r="AE23" s="1188"/>
      <c r="AF23" s="1188"/>
      <c r="AH23" s="1189" t="s">
        <v>316</v>
      </c>
      <c r="AI23" s="1190"/>
      <c r="AJ23" s="1187" t="str">
        <f xml:space="preserve"> TRIM('Survey Front'!S15 &amp; 'Survey Front'!T15 &amp;  'Survey Front'!U15 &amp; 'Survey Front'!V15  &amp; 'Survey Front'!W15 &amp; 'Survey Front'!X15  &amp; 'Survey Front'!Y15  &amp; 'Survey Front'!Z15  &amp; 'Survey Front'!AA15 &amp; 'Survey Front'!AB15  &amp; 'Survey Front'!AC15)</f>
        <v/>
      </c>
      <c r="AK23" s="1187"/>
      <c r="AL23" s="1187"/>
    </row>
    <row r="24" spans="1:46" x14ac:dyDescent="0.2">
      <c r="B24" s="107" t="s">
        <v>69</v>
      </c>
      <c r="C24" s="176">
        <v>0.19900000000000001</v>
      </c>
      <c r="D24" s="107"/>
      <c r="E24" s="107"/>
      <c r="K24" s="855" t="s">
        <v>300</v>
      </c>
      <c r="L24" s="855"/>
      <c r="M24" s="855"/>
      <c r="N24" s="855"/>
      <c r="O24" s="855"/>
      <c r="P24" s="855"/>
      <c r="Q24" s="855"/>
      <c r="R24" s="855"/>
      <c r="S24" s="855"/>
      <c r="T24" s="855"/>
      <c r="U24" s="855"/>
      <c r="V24" s="855"/>
      <c r="W24" s="855"/>
      <c r="X24" s="855"/>
      <c r="Y24" s="855"/>
      <c r="Z24" s="855"/>
      <c r="AA24" s="77"/>
      <c r="AB24" s="1186" t="s">
        <v>317</v>
      </c>
      <c r="AC24" s="1186"/>
      <c r="AD24" s="1187" t="str">
        <f xml:space="preserve"> TRIM(Pricing!Q14 &amp; Pricing!R14 &amp; Pricing!S14 &amp; Pricing!T14  &amp; Pricing!U14 &amp;  Pricing!V14 &amp;  Pricing!W14 &amp; Pricing!X14 &amp; Pricing!Y14 &amp; Pricing!Z14 &amp;Pricing!AA14)</f>
        <v/>
      </c>
      <c r="AE24" s="1187"/>
      <c r="AF24" s="1187"/>
      <c r="AH24" s="1189" t="s">
        <v>318</v>
      </c>
      <c r="AI24" s="1190"/>
      <c r="AJ24" s="1187" t="str">
        <f xml:space="preserve"> TRIM('Survey Front'!S18 &amp; 'Survey Front'!T18 &amp;  'Survey Front'!U18 &amp; 'Survey Front'!V18  &amp; 'Survey Front'!W18 &amp; 'Survey Front'!X18  &amp; 'Survey Front'!Y18  &amp; 'Survey Front'!Z18  &amp; 'Survey Front'!AA18 &amp; 'Survey Front'!AB18  &amp; 'Survey Front'!AC18)</f>
        <v/>
      </c>
      <c r="AK24" s="1187"/>
      <c r="AL24" s="1187"/>
      <c r="AT24" t="s">
        <v>226</v>
      </c>
    </row>
    <row r="25" spans="1:46" x14ac:dyDescent="0.2">
      <c r="L25" s="64" t="s">
        <v>303</v>
      </c>
      <c r="M25" s="4" t="s">
        <v>304</v>
      </c>
      <c r="N25" s="4" t="s">
        <v>14</v>
      </c>
      <c r="O25" s="4" t="s">
        <v>266</v>
      </c>
      <c r="P25" s="4" t="s">
        <v>305</v>
      </c>
      <c r="Q25" s="4" t="s">
        <v>306</v>
      </c>
      <c r="R25" s="4" t="s">
        <v>248</v>
      </c>
      <c r="S25" s="65" t="s">
        <v>279</v>
      </c>
      <c r="T25" s="65" t="s">
        <v>307</v>
      </c>
      <c r="U25" s="4" t="s">
        <v>308</v>
      </c>
      <c r="V25" s="4" t="s">
        <v>72</v>
      </c>
      <c r="W25" s="4" t="s">
        <v>309</v>
      </c>
      <c r="X25" s="4" t="s">
        <v>310</v>
      </c>
      <c r="Y25" s="4" t="s">
        <v>311</v>
      </c>
      <c r="Z25" s="4" t="s">
        <v>312</v>
      </c>
      <c r="AA25" s="4" t="s">
        <v>13</v>
      </c>
      <c r="AB25" s="1186" t="s">
        <v>319</v>
      </c>
      <c r="AC25" s="1186"/>
      <c r="AD25" s="1187" t="str">
        <f xml:space="preserve"> TRIM(Pricing!Q17 &amp; Pricing!R17 &amp; Pricing!S17 &amp; Pricing!T17 &amp; Pricing!U17 &amp; Pricing!V17 &amp; Pricing!W17 &amp; Pricing!X17 &amp; Pricing!Y17 &amp; Pricing!Z17 &amp; Pricing!AA17)</f>
        <v/>
      </c>
      <c r="AE25" s="1187"/>
      <c r="AF25" s="1187"/>
      <c r="AH25" s="1189" t="s">
        <v>320</v>
      </c>
      <c r="AI25" s="1190"/>
      <c r="AJ25" s="1187" t="str">
        <f xml:space="preserve"> TRIM('Survey Front'!S21 &amp; 'Survey Front'!T21 &amp;  'Survey Front'!U21 &amp; 'Survey Front'!V21  &amp; 'Survey Front'!W21 &amp; 'Survey Front'!X21  &amp; 'Survey Front'!Y21  &amp; 'Survey Front'!Z21  &amp; 'Survey Front'!AA21 &amp; 'Survey Front'!AB21  &amp; 'Survey Front'!AC21)</f>
        <v/>
      </c>
      <c r="AK25" s="1187"/>
      <c r="AL25" s="1187"/>
    </row>
    <row r="26" spans="1:46" x14ac:dyDescent="0.2">
      <c r="K26" t="s">
        <v>219</v>
      </c>
      <c r="L26" s="66">
        <f>IF(Pricing!AD8="Quoted",,COUNTIFS(Pricing!Q8:AA8,"(CB)"))</f>
        <v>0</v>
      </c>
      <c r="M26" s="4">
        <f>IF(L26&gt;0,$C$8*ROUND(N26,0),)</f>
        <v>0</v>
      </c>
      <c r="N26" s="67">
        <f>IF(Pricing!AD8="Quoted",,IF(Pricing!E8="",,Pricing!L8*Pricing!M8/1000000))</f>
        <v>0</v>
      </c>
      <c r="O26" s="64">
        <f>IF(Pricing!AD8="Quoted",,IF(OR(Pricing!J8 = "Silent",Pricing!J8 = "Split Tilt",Pricing!J8="Silent Split Tilt"),ROUND($N$26*$C$9,0.2),0))</f>
        <v>0</v>
      </c>
      <c r="P26" s="64">
        <f>IF(Pricing!AD8="Quoted",,IF(Pricing!D8="Tracked",ROUND($C$11+(F2*$Q$26),0.2),))</f>
        <v>0</v>
      </c>
      <c r="Q26" s="68">
        <f>IF(Pricing!AD8="Quoted",,IF(Pricing!D8="Tracked",CONVERT(Pricing!L8,"mm","m"),))</f>
        <v>0</v>
      </c>
      <c r="R26" s="64">
        <f>IF(Pricing!D8="S/Shade",ROUND($F$3*N26,0.2),0)</f>
        <v>0</v>
      </c>
      <c r="S26" s="57">
        <f>AL10*L16</f>
        <v>0</v>
      </c>
      <c r="T26" s="4">
        <f>IF(R26&gt;0,N26,)</f>
        <v>0</v>
      </c>
      <c r="U26" s="67">
        <f>IF(Pricing!AD8="Quoted",,IF(OR(Pricing!J8="Silent",(Pricing!J8="Split Tilt"),Pricing!J8="Silent Split Tilt"),Pricing!L8*Pricing!M8/1000000,))</f>
        <v>0</v>
      </c>
      <c r="V26" s="57">
        <f>IF(Pricing!AD8="Quoted",,IF(Pricing!D8="Shape",IF(AD19&gt;2,ROUND(C16+((AD19-2)*C17),0.2),ROUND(C16,0.2)),))</f>
        <v>0</v>
      </c>
      <c r="W26" s="57">
        <f>IF(Pricing!D8="French Door Cutout",ROUND(Matrix2!$F$4,0.2),)</f>
        <v>0</v>
      </c>
      <c r="X26" s="57" t="b">
        <f>IF(Pricing!AD8="Quoted",,IF(OR(Pricing!F8="Custom Colour",ISNUMBER(SEARCH("Classic Black (S/Chg)",Pricing!F8)),ISNUMBER(SEARCH("Matte Black (S/Chg)",Pricing!F8))),1))</f>
        <v>0</v>
      </c>
      <c r="Y26" s="57">
        <f>IF(OR(AND(Pricing!E8&lt;&gt;"Java",Pricing!G10="Stainless Steel"),Pricing!G10="Brushed Nickel Plated"),ROUND(Matrix2!$F$12*Matrix2!N26,0.2),)</f>
        <v>0</v>
      </c>
      <c r="Z26" s="57">
        <f t="shared" ref="Z26:Z37" si="3">IF(AND(N26&lt;1,N26&gt;0),ROUND(1*$C$19,0.2),ROUND(N26*$C$19,0.2))</f>
        <v>0</v>
      </c>
      <c r="AA26" s="57">
        <f>IF(Pricing!AD8="Quoted",,IF(Pricing!AB10="YES",ROUND(CONVERT(Pricing!L8,"mm","m")*$F$14,0.2),))</f>
        <v>0</v>
      </c>
      <c r="AB26" s="1186" t="s">
        <v>321</v>
      </c>
      <c r="AC26" s="1186"/>
      <c r="AD26" s="1187" t="str">
        <f xml:space="preserve"> TRIM(Pricing!Q20 &amp; Pricing!R20 &amp; Pricing!S20 &amp;Pricing!T20 &amp;Pricing!U20 &amp; Pricing!V20 &amp; Pricing!W20 &amp; Pricing!X20 &amp; Pricing!Y20 &amp; Pricing!Z20 &amp; Pricing!AA20)</f>
        <v/>
      </c>
      <c r="AE26" s="1187"/>
      <c r="AF26" s="1187"/>
      <c r="AH26" s="1189" t="s">
        <v>322</v>
      </c>
      <c r="AI26" s="1190"/>
      <c r="AJ26" s="1187" t="str">
        <f xml:space="preserve"> TRIM('Survey Front'!S24 &amp; 'Survey Front'!T24 &amp;  'Survey Front'!U24 &amp; 'Survey Front'!V24  &amp; 'Survey Front'!W24 &amp; 'Survey Front'!X24  &amp; 'Survey Front'!Y24  &amp; 'Survey Front'!Z24  &amp; 'Survey Front'!AA24 &amp; 'Survey Front'!AB24  &amp; 'Survey Front'!AC24)</f>
        <v/>
      </c>
      <c r="AK26" s="1187"/>
      <c r="AL26" s="1187"/>
      <c r="AT26" t="s">
        <v>227</v>
      </c>
    </row>
    <row r="27" spans="1:46" x14ac:dyDescent="0.2">
      <c r="K27" t="s">
        <v>220</v>
      </c>
      <c r="L27" s="66">
        <f>IF(Pricing!AD11="Quoted",,COUNTIFS(Pricing!Q11:AA11,"(CB)"))</f>
        <v>0</v>
      </c>
      <c r="M27" s="4">
        <f t="shared" ref="M27:M40" si="4">IF(L27&gt;0,$C$8*ROUND(N27,0),)</f>
        <v>0</v>
      </c>
      <c r="N27" s="67">
        <f>IF(Pricing!AD11="Quoted",,IF(Pricing!E11="",,Pricing!L11*Pricing!M11/1000000))</f>
        <v>0</v>
      </c>
      <c r="O27" s="64">
        <f>IF(Pricing!AD11="Quoted",,IF(OR(Pricing!J11 = "Silent",Pricing!J11 = "Split Tilt",Pricing!J11="Silent Split Tilt"),ROUND($N$27*$C$9,0.2),0))</f>
        <v>0</v>
      </c>
      <c r="P27" s="64">
        <f>IF(Pricing!AD11="Quoted",,IF(Pricing!D11="Tracked",ROUND($C$11+(F2*$Q$27),0.2),))</f>
        <v>0</v>
      </c>
      <c r="Q27" s="68">
        <f>IF(Pricing!AD11="Quoted",,IF(Pricing!D11="Tracked",CONVERT(Pricing!L11,"mm","m"),))</f>
        <v>0</v>
      </c>
      <c r="R27" s="64">
        <f>IF(Pricing!D11="S/Shade",ROUND($F$3*N27,0.2),0)</f>
        <v>0</v>
      </c>
      <c r="T27" s="4">
        <f t="shared" ref="T27:T40" si="5">IF(R27&gt;0,N27,)</f>
        <v>0</v>
      </c>
      <c r="U27" s="67">
        <f>IF(Pricing!AD11="Quoted",,IF(OR(Pricing!J11="Silent",Pricing!J11="Split Tilt",Pricing!J11="Silent Split Tilt"),Pricing!L11*Pricing!M11/1000000,))</f>
        <v>0</v>
      </c>
      <c r="V27" s="57">
        <f>IF(Pricing!AD11="Quoted",,IF(Pricing!D11="Shape",IF(AE19&gt;2,ROUND(C16+((AE19-2)*C17),0.2),ROUND(C16,0.2)),))</f>
        <v>0</v>
      </c>
      <c r="W27" s="57">
        <f>IF(Pricing!D11="French Door Cutout",ROUND(Matrix2!$F$4,0.2),)</f>
        <v>0</v>
      </c>
      <c r="X27" s="57" t="b">
        <f>IF(Pricing!AD11="Quoted",,IF(OR(Pricing!F11="Custom Colour",ISNUMBER(SEARCH("Classic Black (S/Chg)",Pricing!F11)),ISNUMBER(SEARCH("Matte Black (S/Chg)",Pricing!F11))),1))</f>
        <v>0</v>
      </c>
      <c r="Y27" s="57">
        <f>IF(OR(AND(Pricing!E11&lt;&gt;"Java",Pricing!G13="Stainless Steel"),Pricing!G13="Brushed Nickel Plated"),ROUND(Matrix2!$F$12*Matrix2!N27,0.2),)</f>
        <v>0</v>
      </c>
      <c r="Z27" s="57">
        <f t="shared" si="3"/>
        <v>0</v>
      </c>
      <c r="AA27" s="57">
        <f>IF(Pricing!AD11="Quoted",,IF(Pricing!AB13="YES",ROUND(CONVERT(Pricing!L11,"mm","m")*$F$14,0.2),))</f>
        <v>0</v>
      </c>
      <c r="AB27" s="1186" t="s">
        <v>323</v>
      </c>
      <c r="AC27" s="1186"/>
      <c r="AD27" s="1187" t="str">
        <f xml:space="preserve"> TRIM(Pricing!Q23 &amp;Pricing!R23 &amp;Pricing!S23 &amp;Pricing!T23 &amp;Pricing!U23 &amp; Pricing!V23 &amp; Pricing!W23 &amp; Pricing!X23 &amp; Pricing!Y23 &amp; Pricing!Z23 &amp; Pricing!AA23)</f>
        <v/>
      </c>
      <c r="AE27" s="1187"/>
      <c r="AF27" s="1187"/>
      <c r="AH27" s="1189" t="s">
        <v>324</v>
      </c>
      <c r="AI27" s="1190"/>
      <c r="AJ27" s="1187" t="str">
        <f xml:space="preserve"> TRIM('Survey Front'!S27 &amp; 'Survey Front'!T27 &amp;  'Survey Front'!U27 &amp; 'Survey Front'!V27  &amp; 'Survey Front'!W27 &amp; 'Survey Front'!X27  &amp; 'Survey Front'!Y27  &amp; 'Survey Front'!Z27  &amp; 'Survey Front'!AA27 &amp; 'Survey Front'!AB27  &amp; 'Survey Front'!AC27)</f>
        <v/>
      </c>
      <c r="AK27" s="1187"/>
      <c r="AL27" s="1187"/>
    </row>
    <row r="28" spans="1:46" x14ac:dyDescent="0.2">
      <c r="B28" t="s">
        <v>325</v>
      </c>
      <c r="K28" t="s">
        <v>221</v>
      </c>
      <c r="L28" s="66">
        <f>IF(Pricing!AD14="Quoted",,COUNTIFS(Pricing!Q14:AA14,"(CB)"))</f>
        <v>0</v>
      </c>
      <c r="M28" s="4">
        <f t="shared" si="4"/>
        <v>0</v>
      </c>
      <c r="N28" s="67">
        <f>IF(Pricing!AD14="Quoted",,IF(Pricing!E14="",,Pricing!L14*Pricing!M14/1000000))</f>
        <v>0</v>
      </c>
      <c r="O28" s="64">
        <f>IF(Pricing!AD14="Quoted",,IF(OR(Pricing!J14 = "Silent",Pricing!J14 = "Split Tilt",Pricing!J14="Silent Split Tilt"),ROUND($N$28*$C$9,0.2),0))</f>
        <v>0</v>
      </c>
      <c r="P28" s="64">
        <f>IF(Pricing!AD14="Quoted",,IF(Pricing!D14="Tracked",ROUND($C$11+($F$2*$Q$28),0.2),))</f>
        <v>0</v>
      </c>
      <c r="Q28" s="68">
        <f>IF(Pricing!AD14="Quoted",,IF(Pricing!D14="Tracked",CONVERT(Pricing!L14,"mm","m"),))</f>
        <v>0</v>
      </c>
      <c r="R28" s="64">
        <f>IF(Pricing!D14="S/Shade",ROUND($F$3*N28,0.2),0)</f>
        <v>0</v>
      </c>
      <c r="T28" s="4">
        <f t="shared" si="5"/>
        <v>0</v>
      </c>
      <c r="U28" s="67">
        <f>IF(Pricing!AD14="Quoted",,IF(OR(Pricing!J14="Silent",Pricing!J14="Split Tilt",Pricing!J14="Silent Split Tilt"),Pricing!L14*Pricing!M14/1000000,))</f>
        <v>0</v>
      </c>
      <c r="V28" s="57">
        <f>IF(Pricing!AD14="Quoted",,IF(Pricing!D14="Shape",IF(AF19&gt;2,ROUND(C16+((AF19-2)*C17),0.2),ROUND(C16,0.2)),))</f>
        <v>0</v>
      </c>
      <c r="W28" s="57">
        <f>IF(Pricing!D14="French Door Cutout",ROUND(Matrix2!$F$4,0.2),)</f>
        <v>0</v>
      </c>
      <c r="X28" s="57" t="b">
        <f>IF(Pricing!AD14="Quoted",,IF(OR(Pricing!F14="Custom Colour",ISNUMBER(SEARCH("Classic Black (S/Chg)",Pricing!F14)),ISNUMBER(SEARCH("Matte Black (S/Chg)",Pricing!F14))),1))</f>
        <v>0</v>
      </c>
      <c r="Y28" s="57">
        <f>IF(OR(AND(Pricing!E14&lt;&gt;"Java",Pricing!G16="Stainless Steel"),Pricing!G16="Brushed Nickel Plated"),ROUND(Matrix2!$F$12*Matrix2!N28,0.2),)</f>
        <v>0</v>
      </c>
      <c r="Z28" s="57">
        <f t="shared" si="3"/>
        <v>0</v>
      </c>
      <c r="AA28" s="57">
        <f>IF(Pricing!AD14="Quoted",,IF(Pricing!AB16="YES",ROUND(CONVERT(Pricing!L14,"mm","m")*$F$14,0.2),))</f>
        <v>0</v>
      </c>
      <c r="AB28" s="1186" t="s">
        <v>326</v>
      </c>
      <c r="AC28" s="1186"/>
      <c r="AD28" s="1187" t="str">
        <f xml:space="preserve"> TRIM(Pricing!Q26 &amp;Pricing!R26 &amp;Pricing!S26 &amp; Pricing!T26 &amp; Pricing!U26 &amp; Pricing!V26 &amp; Pricing!W26 &amp; Pricing!X26 &amp; Pricing!Y26 &amp;Pricing!Z26 &amp;Pricing!AA26)</f>
        <v/>
      </c>
      <c r="AE28" s="1187"/>
      <c r="AF28" s="1187"/>
      <c r="AH28" s="1189" t="s">
        <v>327</v>
      </c>
      <c r="AI28" s="1190"/>
      <c r="AJ28" s="1187" t="str">
        <f xml:space="preserve"> TRIM('Survey Front'!S30 &amp; 'Survey Front'!T30 &amp;  'Survey Front'!U30 &amp; 'Survey Front'!V30  &amp; 'Survey Front'!W30 &amp; 'Survey Front'!X30  &amp; 'Survey Front'!Y30  &amp; 'Survey Front'!Z30  &amp; 'Survey Front'!AA30 &amp; 'Survey Front'!AB30  &amp; 'Survey Front'!AC30)</f>
        <v/>
      </c>
      <c r="AK28" s="1187"/>
      <c r="AL28" s="1187"/>
      <c r="AT28" t="s">
        <v>228</v>
      </c>
    </row>
    <row r="29" spans="1:46" ht="15.75" thickBot="1" x14ac:dyDescent="0.25">
      <c r="B29" s="64"/>
      <c r="F29" s="57"/>
      <c r="K29" t="s">
        <v>222</v>
      </c>
      <c r="L29" s="66">
        <f>IF(Pricing!AD17="Quoted",,COUNTIFS(Pricing!Q17:AA17,"(CB)"))</f>
        <v>0</v>
      </c>
      <c r="M29" s="4">
        <f t="shared" si="4"/>
        <v>0</v>
      </c>
      <c r="N29" s="67">
        <f>IF(Pricing!AD17="Quoted",,IF(Pricing!E17="",,Pricing!L17*Pricing!M17/1000000))</f>
        <v>0</v>
      </c>
      <c r="O29" s="64">
        <f>IF(Pricing!AD17="Quoted",,IF(OR(Pricing!J17 = "Silent",Pricing!J17 = "Split Tilt",Pricing!J17="Silent Split Tilt"),ROUND($N$29*$C$9,0.2),0))</f>
        <v>0</v>
      </c>
      <c r="P29" s="64">
        <f>IF(Pricing!AD17="Quoted",,IF(Pricing!D17="Tracked",ROUND($C$11+($F$2*$Q$29),0.2),))</f>
        <v>0</v>
      </c>
      <c r="Q29" s="68">
        <f>IF(Pricing!AD17="Quoted",,IF(Pricing!D17="Tracked",CONVERT(Pricing!L17,"mm","m"),))</f>
        <v>0</v>
      </c>
      <c r="R29" s="64">
        <f>IF(Pricing!D17="S/Shade",ROUND($F$3*N29,0.2),0)</f>
        <v>0</v>
      </c>
      <c r="T29" s="4">
        <f t="shared" si="5"/>
        <v>0</v>
      </c>
      <c r="U29" s="67">
        <f>IF(Pricing!AD17="Quoted",,IF(OR(Pricing!J17="Silent",Pricing!J17="Split Tilt",Pricing!J17="Silent Split Tilt"),Pricing!L17*Pricing!M17/1000000,))</f>
        <v>0</v>
      </c>
      <c r="V29" s="57">
        <f>IF(Pricing!AD17="Quoted",,IF(Pricing!D17="Shape",IF(AG19&gt;2,ROUND(C16+((AG19-2)*C17),0.2),ROUND(C16,0.2)),))</f>
        <v>0</v>
      </c>
      <c r="W29" s="57">
        <f>IF(Pricing!D17="French Door Cutout",ROUND(Matrix2!$F$4,0.2),)</f>
        <v>0</v>
      </c>
      <c r="X29" s="57" t="b">
        <f>IF(Pricing!AD17="Quoted",,IF(OR(Pricing!F17="Custom Colour",ISNUMBER(SEARCH("Classic Black (S/Chg)",Pricing!F17)),ISNUMBER(SEARCH("Matte Black (S/Chg)",Pricing!F17))),1))</f>
        <v>0</v>
      </c>
      <c r="Y29" s="57">
        <f>IF(OR(AND(Pricing!E17&lt;&gt;"Java",Pricing!G19="Stainless Steel"),Pricing!G19="Brushed Nickel Plated"),ROUND(Matrix2!$F$12*Matrix2!N29,0.2),)</f>
        <v>0</v>
      </c>
      <c r="Z29" s="57">
        <f t="shared" si="3"/>
        <v>0</v>
      </c>
      <c r="AA29" s="57">
        <f>IF(Pricing!AD17="Quoted",,IF(Pricing!AB19="YES",ROUND(CONVERT(Pricing!L17,"mm","m")*$F$14,0.2),))</f>
        <v>0</v>
      </c>
      <c r="AB29" s="1186" t="s">
        <v>328</v>
      </c>
      <c r="AC29" s="1186"/>
      <c r="AD29" s="1187" t="str">
        <f xml:space="preserve"> TRIM(Pricing!Q29 &amp; Pricing!R29 &amp;  Pricing!S29 &amp; Pricing!T29 &amp; Pricing!U29  &amp; Pricing!V29 &amp;  Pricing!W29 &amp; Pricing!X29 &amp;Pricing!Y29 &amp;  Pricing!Z29 &amp; Pricing!AA29)</f>
        <v/>
      </c>
      <c r="AE29" s="1187"/>
      <c r="AF29" s="1187"/>
      <c r="AH29" s="1189" t="s">
        <v>329</v>
      </c>
      <c r="AI29" s="1190"/>
      <c r="AJ29" s="1187" t="str">
        <f xml:space="preserve"> TRIM('Survey Front'!S33 &amp; 'Survey Front'!T33 &amp;  'Survey Front'!U33 &amp; 'Survey Front'!V33  &amp; 'Survey Front'!W33 &amp; 'Survey Front'!X33  &amp; 'Survey Front'!Y33  &amp; 'Survey Front'!Z33  &amp; 'Survey Front'!AA33 &amp; 'Survey Front'!AB33  &amp; 'Survey Front'!AC33)</f>
        <v/>
      </c>
      <c r="AK29" s="1187"/>
      <c r="AL29" s="1187"/>
    </row>
    <row r="30" spans="1:46" ht="15.75" thickBot="1" x14ac:dyDescent="0.25">
      <c r="B30" s="1191" t="s">
        <v>955</v>
      </c>
      <c r="C30" s="1192"/>
      <c r="D30" s="91"/>
      <c r="E30" s="91"/>
      <c r="K30" t="s">
        <v>223</v>
      </c>
      <c r="L30" s="66">
        <f>IF(Pricing!AD20="Quoted",,COUNTIFS(Pricing!Q20:AA20,"(CB)"))</f>
        <v>0</v>
      </c>
      <c r="M30" s="4">
        <f t="shared" si="4"/>
        <v>0</v>
      </c>
      <c r="N30" s="67">
        <f>IF(Pricing!AD20="Quoted",,IF(Pricing!E20="",,Pricing!L20*Pricing!M20/1000000))</f>
        <v>0</v>
      </c>
      <c r="O30" s="64">
        <f>IF(Pricing!AD20="Quoted",,IF(OR(Pricing!J20 = "Silent",Pricing!J20 = "Split Tilt",Pricing!J20="Silent Split Tilt"),ROUND($N$30*$C$9,0.2),0))</f>
        <v>0</v>
      </c>
      <c r="P30" s="64">
        <f>IF(Pricing!AD20="Quoted",,IF(Pricing!D20="Tracked",ROUND($C11+(F2*Q30),0.2),))</f>
        <v>0</v>
      </c>
      <c r="Q30" s="68">
        <f>IF(Pricing!AD20="Quoted",,IF(Pricing!D20="Tracked",CONVERT(Pricing!L20,"mm","m"),))</f>
        <v>0</v>
      </c>
      <c r="R30" s="64">
        <f>IF(Pricing!D20="S/Shade",ROUND($F$3*N30,0.2),0)</f>
        <v>0</v>
      </c>
      <c r="T30" s="4">
        <f t="shared" si="5"/>
        <v>0</v>
      </c>
      <c r="U30" s="67">
        <f>IF(Pricing!AD20="Quoted",,IF(OR(Pricing!J20="Silent",Pricing!J20="Split Tilt",Pricing!J20="Silent Split Tilt"),Pricing!L20*Pricing!M20/1000000,))</f>
        <v>0</v>
      </c>
      <c r="V30" s="57">
        <f>IF(Pricing!AD20="Quoted",,IF(Pricing!D20="Shape",IF(AH19&gt;2,ROUND(C16+((AH19-2)*C17),0.2),ROUND(C16,0.2)),))</f>
        <v>0</v>
      </c>
      <c r="W30" s="57">
        <f>IF(Pricing!D20="French Door Cutout",ROUND(Matrix2!$F$4,0.2),)</f>
        <v>0</v>
      </c>
      <c r="X30" s="57" t="b">
        <f>IF(Pricing!AD20="Quoted",,IF(OR(Pricing!F20="Custom Colour",ISNUMBER(SEARCH("Classic Black (S/Chg)",Pricing!F20)),ISNUMBER(SEARCH("Matte Black (S/Chg)",Pricing!F20))),1))</f>
        <v>0</v>
      </c>
      <c r="Y30" s="57">
        <f>IF(OR(AND(Pricing!E20&lt;&gt;"Java",Pricing!G22="Stainless Steel"),Pricing!G22="Brushed Nickel Plated"),ROUND(Matrix2!$F$12*Matrix2!N30,0.2),)</f>
        <v>0</v>
      </c>
      <c r="Z30" s="57">
        <f t="shared" si="3"/>
        <v>0</v>
      </c>
      <c r="AA30" s="57">
        <f>IF(Pricing!AD20="Quoted",,IF(Pricing!AB22="YES",ROUND(CONVERT(Pricing!L20,"mm","m")*$F$14,0.2),))</f>
        <v>0</v>
      </c>
      <c r="AB30" s="1186" t="s">
        <v>330</v>
      </c>
      <c r="AC30" s="1186"/>
      <c r="AD30" s="1187" t="str">
        <f xml:space="preserve"> TRIM(Pricing!Q32&amp; Pricing!R32 &amp; Pricing!S32 &amp; Pricing!T32 &amp; Pricing!U32 &amp; Pricing!V32 &amp;  Pricing!W32 &amp; Pricing!X32 &amp; Pricing!Y32 &amp;Pricing!Z32 &amp; Pricing!AA32)</f>
        <v/>
      </c>
      <c r="AE30" s="1187"/>
      <c r="AF30" s="1187"/>
      <c r="AH30" s="1189" t="s">
        <v>331</v>
      </c>
      <c r="AI30" s="1190"/>
      <c r="AJ30" s="1187" t="str">
        <f xml:space="preserve"> TRIM('Survey Front'!S36 &amp; 'Survey Front'!T36 &amp;  'Survey Front'!U36 &amp; 'Survey Front'!V36  &amp; 'Survey Front'!W36 &amp; 'Survey Front'!X36  &amp; 'Survey Front'!Y36  &amp; 'Survey Front'!Z36  &amp; 'Survey Front'!AA36 &amp; 'Survey Front'!AB36  &amp; 'Survey Front'!AC36)</f>
        <v/>
      </c>
      <c r="AK30" s="1187"/>
      <c r="AL30" s="1187"/>
      <c r="AT30" t="s">
        <v>229</v>
      </c>
    </row>
    <row r="31" spans="1:46" ht="18.75" x14ac:dyDescent="0.25">
      <c r="B31" s="440" t="s">
        <v>41</v>
      </c>
      <c r="C31" s="437">
        <f>C10</f>
        <v>0.25</v>
      </c>
      <c r="D31" s="435" t="s">
        <v>952</v>
      </c>
      <c r="E31" s="91" t="s">
        <v>953</v>
      </c>
      <c r="K31" t="s">
        <v>224</v>
      </c>
      <c r="L31" s="66">
        <f>IF(Pricing!AD23="Quoted",,COUNTIFS(Pricing!Q23:AA23,"(CB)"))</f>
        <v>0</v>
      </c>
      <c r="M31" s="4">
        <f t="shared" si="4"/>
        <v>0</v>
      </c>
      <c r="N31" s="67">
        <f>IF(Pricing!AD23="Quoted",,IF(Pricing!E23="",,Pricing!L23*Pricing!M23/1000000))</f>
        <v>0</v>
      </c>
      <c r="O31" s="64">
        <f>IF(Pricing!AD23="Quoted",,IF(OR(Pricing!J23 = "Silent",Pricing!J23 = "Split Tilt",Pricing!J23="Silent Split Tilt"),ROUND($N$31*$C$9,0.2),0))</f>
        <v>0</v>
      </c>
      <c r="P31" s="64">
        <f>IF(Pricing!AD23="Quoted",,IF(Pricing!D23="Tracked",ROUND(C11+(F2*Q31),0.2),))</f>
        <v>0</v>
      </c>
      <c r="Q31" s="68">
        <f>IF(Pricing!AD23="Quoted",,IF(Pricing!D23="Tracked",CONVERT(Pricing!L23,"mm","m"),))</f>
        <v>0</v>
      </c>
      <c r="R31" s="64">
        <f>IF(Pricing!D23="S/Shade",ROUND($F$3*N31,0.2),0)</f>
        <v>0</v>
      </c>
      <c r="T31" s="4">
        <f t="shared" si="5"/>
        <v>0</v>
      </c>
      <c r="U31" s="67">
        <f>IF(Pricing!AD23="Quoted",,IF(OR(Pricing!J23="Silent",Pricing!J23="Split Tilt",Pricing!J23="Silent Split Tilt"),Pricing!L23*Pricing!M23/1000000,))</f>
        <v>0</v>
      </c>
      <c r="V31" s="57">
        <f>IF(Pricing!AD23="Quoted",,IF(Pricing!D23="Shape",IF(AI19&gt;2,ROUND(C16+((AI19-2)*C17),0.2),ROUND(C16,0.2)),))</f>
        <v>0</v>
      </c>
      <c r="W31" s="57">
        <f>IF(Pricing!D23="French Door Cutout",ROUND(Matrix2!$F$4,0.2),)</f>
        <v>0</v>
      </c>
      <c r="X31" s="57" t="b">
        <f>IF(Pricing!AD23="Quoted",,IF(OR(Pricing!F23="Custom Colour",ISNUMBER(SEARCH("Classic Black (S/Chg)",Pricing!F23)),ISNUMBER(SEARCH("Matte Black (S/Chg)",Pricing!F23))),1))</f>
        <v>0</v>
      </c>
      <c r="Y31" s="57">
        <f>IF(OR(AND(Pricing!E23&lt;&gt;"Java",Pricing!G25="Stainless Steel"),Pricing!G25="Brushed Nickel Plated"),ROUND(Matrix2!$F$12*Matrix2!N31,0.2),)</f>
        <v>0</v>
      </c>
      <c r="Z31" s="57">
        <f t="shared" si="3"/>
        <v>0</v>
      </c>
      <c r="AA31" s="57">
        <f>IF(Pricing!AD23="Quoted",,IF(Pricing!AB25="YES",ROUND(CONVERT(Pricing!L23,"mm","m")*$F$14,0.2),))</f>
        <v>0</v>
      </c>
      <c r="AB31" s="1186" t="s">
        <v>332</v>
      </c>
      <c r="AC31" s="1186"/>
      <c r="AD31" s="1187" t="str">
        <f xml:space="preserve"> TRIM(Pricing!Q35 &amp; Pricing!R35 &amp; Pricing!S35 &amp; Pricing!T35 &amp;  Pricing!U35 &amp; Pricing!V35 &amp;  Pricing!W35 &amp; Pricing!X35 &amp;  Pricing!Y35 &amp; Pricing!Z35 &amp;  Pricing!AA35)</f>
        <v/>
      </c>
      <c r="AE31" s="1187"/>
      <c r="AF31" s="1187"/>
      <c r="AH31" s="1189" t="s">
        <v>333</v>
      </c>
      <c r="AI31" s="1190"/>
      <c r="AJ31" s="1187" t="str">
        <f xml:space="preserve"> TRIM('Survey Front'!S39 &amp; 'Survey Front'!T39 &amp;  'Survey Front'!U39 &amp; 'Survey Front'!V39  &amp; 'Survey Front'!W39 &amp; 'Survey Front'!X39  &amp; 'Survey Front'!Y39  &amp; 'Survey Front'!Z39  &amp; 'Survey Front'!AA39 &amp; 'Survey Front'!AB39  &amp; 'Survey Front'!AC39)</f>
        <v/>
      </c>
      <c r="AK31" s="1187"/>
      <c r="AL31" s="1187"/>
    </row>
    <row r="32" spans="1:46" x14ac:dyDescent="0.2">
      <c r="B32" s="441" t="s">
        <v>43</v>
      </c>
      <c r="C32" s="438">
        <f>C10</f>
        <v>0.25</v>
      </c>
      <c r="K32" t="s">
        <v>225</v>
      </c>
      <c r="L32" s="66">
        <f>IF(Pricing!AD26="Quoted",,COUNTIFS(Pricing!Q26:AA26,"(CB)"))</f>
        <v>0</v>
      </c>
      <c r="M32" s="4">
        <f t="shared" si="4"/>
        <v>0</v>
      </c>
      <c r="N32" s="67">
        <f>IF(Pricing!AD26="Quoted",,IF(Pricing!E26="",,Pricing!L26*Pricing!M26/1000000))</f>
        <v>0</v>
      </c>
      <c r="O32" s="64">
        <f>IF(Pricing!AD26="Quoted",,IF(OR(Pricing!J26 = "Silent",Pricing!J26 = "Split Tilt",Pricing!J26="Silent Split Tilt"),ROUND($N$32*$C$9,0.2),0))</f>
        <v>0</v>
      </c>
      <c r="P32" s="64">
        <f>IF(Pricing!AD26="Quoted",,IF(Pricing!D26="Tracked",ROUND(C11+(F2*Q32),0.2),))</f>
        <v>0</v>
      </c>
      <c r="Q32" s="68">
        <f>IF(Pricing!AD26="Quoted",,IF(Pricing!D26="Tracked",CONVERT(Pricing!L26,"mm","m"),))</f>
        <v>0</v>
      </c>
      <c r="R32" s="64">
        <f>IF(Pricing!D26="S/Shade",ROUND($F$3*N32,0.2),0)</f>
        <v>0</v>
      </c>
      <c r="T32" s="4">
        <f t="shared" si="5"/>
        <v>0</v>
      </c>
      <c r="U32" s="67">
        <f>IF(Pricing!AD26="Quoted",,IF(OR(Pricing!J26="Silent",Pricing!J26="Split Tilt",Pricing!J26="Silent Split Tilt"),Pricing!L26*Pricing!M26/1000000,))</f>
        <v>0</v>
      </c>
      <c r="V32" s="57">
        <f>IF(Pricing!AD26="Quoted",,IF(Pricing!D26="Shape",IF(AJ19&gt;2,ROUND(C16+((AJ19-2)*C17),0.2),ROUND(C16,0.2)),))</f>
        <v>0</v>
      </c>
      <c r="W32" s="57">
        <f>IF(Pricing!D26="French Door Cutout",ROUND(Matrix2!$F$4,0.2),)</f>
        <v>0</v>
      </c>
      <c r="X32" s="57" t="b">
        <f>IF(Pricing!AD26="Quoted",,IF(OR(Pricing!F26="Custom Colour",ISNUMBER(SEARCH("Classic Black (S/Chg)",Pricing!F26)),ISNUMBER(SEARCH("Matte Black (S/Chg)",Pricing!F26))),1))</f>
        <v>0</v>
      </c>
      <c r="Y32" s="57">
        <f>IF(OR(AND(Pricing!E26&lt;&gt;"Java",Pricing!G28="Stainless Steel"),Pricing!G28="Brushed Nickel Plated"),ROUND(Matrix2!$F$12*Matrix2!N32,0.2),)</f>
        <v>0</v>
      </c>
      <c r="Z32" s="57">
        <f t="shared" si="3"/>
        <v>0</v>
      </c>
      <c r="AA32" s="57">
        <f>IF(Pricing!AD26="Quoted",,IF(Pricing!AB28="YES",ROUND(CONVERT(Pricing!L26,"mm","m")*$F$14,0.2),))</f>
        <v>0</v>
      </c>
      <c r="AB32" s="1186" t="s">
        <v>334</v>
      </c>
      <c r="AC32" s="1186"/>
      <c r="AD32" s="1187" t="str">
        <f xml:space="preserve"> TRIM(Pricing!Q38 &amp; Pricing!R38 &amp; Pricing!S38 &amp; Pricing!T38 &amp;Pricing!U38 &amp; Pricing!V38 &amp;  Pricing!W38 &amp;Pricing!X38&amp; Pricing!Y38 &amp; Pricing!Z38 &amp; Pricing!AA38)</f>
        <v/>
      </c>
      <c r="AE32" s="1187"/>
      <c r="AF32" s="1187"/>
      <c r="AH32" s="1189" t="s">
        <v>335</v>
      </c>
      <c r="AI32" s="1190"/>
      <c r="AJ32" s="1187" t="str">
        <f xml:space="preserve"> TRIM('Survey Front'!S42 &amp; 'Survey Front'!T42 &amp;  'Survey Front'!U42 &amp; 'Survey Front'!V42  &amp; 'Survey Front'!W42 &amp; 'Survey Front'!X42  &amp; 'Survey Front'!Y42  &amp; 'Survey Front'!Z42  &amp; 'Survey Front'!AA42 &amp; 'Survey Front'!AB42  &amp; 'Survey Front'!AC42)</f>
        <v/>
      </c>
      <c r="AK32" s="1187"/>
      <c r="AL32" s="1187"/>
      <c r="AT32" t="s">
        <v>230</v>
      </c>
    </row>
    <row r="33" spans="2:46" x14ac:dyDescent="0.2">
      <c r="B33" s="441" t="s">
        <v>47</v>
      </c>
      <c r="C33" s="438">
        <f>C10</f>
        <v>0.25</v>
      </c>
      <c r="E33" s="57"/>
      <c r="H33" s="57"/>
      <c r="K33" t="s">
        <v>226</v>
      </c>
      <c r="L33" s="66">
        <f>IF(Pricing!AD29="Quoted",,COUNTIFS(Pricing!Q29:AA29,"(CB)"))</f>
        <v>0</v>
      </c>
      <c r="M33" s="4">
        <f t="shared" si="4"/>
        <v>0</v>
      </c>
      <c r="N33" s="67">
        <f>IF(Pricing!AD29="Quoted",,IF(Pricing!E29="",,Pricing!L29*Pricing!M29/1000000))</f>
        <v>0</v>
      </c>
      <c r="O33" s="64">
        <f>IF(Pricing!AD29="Quoted",,IF(OR(Pricing!J29 = "Silent",Pricing!J29 = "Split Tilt",Pricing!J29="Silent Split Tilt"),ROUND($N$33*$C$9,0.2),0))</f>
        <v>0</v>
      </c>
      <c r="P33" s="64">
        <f>IF(Pricing!AD29="Quoted",,IF(Pricing!D29="Tracked",ROUND(C11+(F2*Q33),0.2),))</f>
        <v>0</v>
      </c>
      <c r="Q33" s="68">
        <f>IF(Pricing!AD29="Quoted",,IF(Pricing!D29="Tracked",CONVERT(Pricing!L29,"mm","m"),))</f>
        <v>0</v>
      </c>
      <c r="R33" s="64">
        <f>IF(Pricing!D29="S/Shade",ROUND($F$3*N33,0.2),0)</f>
        <v>0</v>
      </c>
      <c r="T33" s="4">
        <f t="shared" si="5"/>
        <v>0</v>
      </c>
      <c r="U33" s="67">
        <f>IF(Pricing!AD29="Quoted",,IF(OR(Pricing!J29="Silent",Pricing!J29="Split Tilt",Pricing!J29="Silent Split Tilt"),Pricing!L29*Pricing!M29/1000000,))</f>
        <v>0</v>
      </c>
      <c r="V33" s="57">
        <f>IF(Pricing!AD29="Quoted",,IF(Pricing!D29="Shape",IF(AK19&gt;2,ROUND(C16+((AK19-2)*C17),0.2),ROUND(C16,0.2)),))</f>
        <v>0</v>
      </c>
      <c r="W33" s="57">
        <f>IF(Pricing!D29="French Door Cutout",ROUND(Matrix2!$F$4,0.2),)</f>
        <v>0</v>
      </c>
      <c r="X33" s="57" t="b">
        <f>IF(Pricing!AD29="Quoted",,IF(OR(Pricing!F29="Custom Colour",ISNUMBER(SEARCH("Classic Black (S/Chg)",Pricing!F29)),ISNUMBER(SEARCH("Matte Black (S/Chg)",Pricing!F29))),1))</f>
        <v>0</v>
      </c>
      <c r="Y33" s="57">
        <f>IF(OR(AND(Pricing!E29&lt;&gt;"Java",Pricing!G31="Stainless Steel"),Pricing!G31="Brushed Nickel Plated"),ROUND(Matrix2!$F$12*Matrix2!N33,0.2),)</f>
        <v>0</v>
      </c>
      <c r="Z33" s="57">
        <f t="shared" si="3"/>
        <v>0</v>
      </c>
      <c r="AA33" s="57">
        <f>IF(Pricing!AD29="Quoted",,IF(Pricing!AB31="YES",ROUND(CONVERT(Pricing!L29,"mm","m")*$F$14,0.2),))</f>
        <v>0</v>
      </c>
      <c r="AB33" s="1186" t="s">
        <v>336</v>
      </c>
      <c r="AC33" s="1186"/>
      <c r="AD33" s="1187" t="str">
        <f xml:space="preserve"> TRIM(Pricing!Q41 &amp;Pricing!R41 &amp; Pricing!S41 &amp;Pricing!T41 &amp;  Pricing!U41 &amp; Pricing!V41 &amp; Pricing!W41 &amp; Pricing!X41 &amp;Pricing!Y41 &amp; Pricing!Z41 &amp; Pricing!AA41)</f>
        <v/>
      </c>
      <c r="AE33" s="1187"/>
      <c r="AF33" s="1187"/>
      <c r="AH33" s="1189" t="s">
        <v>337</v>
      </c>
      <c r="AI33" s="1190"/>
      <c r="AJ33" s="1187" t="str">
        <f xml:space="preserve"> TRIM('Survey Front'!S45 &amp; 'Survey Front'!T45 &amp;  'Survey Front'!U45 &amp; 'Survey Front'!V45  &amp; 'Survey Front'!W45 &amp; 'Survey Front'!X45  &amp; 'Survey Front'!Y45  &amp; 'Survey Front'!Z45  &amp; 'Survey Front'!AA45 &amp; 'Survey Front'!AB45  &amp; 'Survey Front'!AC45)</f>
        <v/>
      </c>
      <c r="AK33" s="1187"/>
      <c r="AL33" s="1187"/>
    </row>
    <row r="34" spans="2:46" x14ac:dyDescent="0.2">
      <c r="B34" s="441" t="s">
        <v>49</v>
      </c>
      <c r="C34" s="438">
        <f>C10</f>
        <v>0.25</v>
      </c>
      <c r="K34" t="s">
        <v>227</v>
      </c>
      <c r="L34" s="66">
        <f>IF(Pricing!AD32="Quoted",,COUNTIFS(Pricing!Q32:AA32,"(CB)"))</f>
        <v>0</v>
      </c>
      <c r="M34" s="4">
        <f t="shared" si="4"/>
        <v>0</v>
      </c>
      <c r="N34" s="67">
        <f>IF(Pricing!AD32="Quoted",,IF(Pricing!E32="",,Pricing!L32*Pricing!M32/1000000))</f>
        <v>0</v>
      </c>
      <c r="O34" s="64">
        <f>IF(Pricing!AD32="Quoted",,IF(OR(Pricing!J32 = "Silent",Pricing!J32 = "Split Tilt",Pricing!J32="Silent Split Tilt"),ROUND($N$34*$C$9,0.2),0))</f>
        <v>0</v>
      </c>
      <c r="P34" s="64">
        <f>IF(Pricing!AD32="Quoted",,IF(Pricing!D32="Tracked",ROUND(C11+(F2*Q34),0.2),))</f>
        <v>0</v>
      </c>
      <c r="Q34" s="68">
        <f>IF(Pricing!AD32="Quoted",,IF(Pricing!D32="Tracked",CONVERT(Pricing!L32,"mm","m"),))</f>
        <v>0</v>
      </c>
      <c r="R34" s="64">
        <f>IF(Pricing!D32="S/Shade",ROUND($F$3*N34,0.2),0)</f>
        <v>0</v>
      </c>
      <c r="T34" s="4">
        <f t="shared" si="5"/>
        <v>0</v>
      </c>
      <c r="U34" s="67">
        <f>IF(Pricing!AD32="Quoted",,IF(OR(Pricing!J32="Silent",Pricing!J32="Split Tilt",Pricing!J32="Silent Split Tilt"),Pricing!L32*Pricing!M32/1000000,))</f>
        <v>0</v>
      </c>
      <c r="V34" s="57">
        <f>IF(Pricing!AD32="Quoted",,IF(Pricing!D32="Shape",IF(AL19&gt;2,ROUND(C16+((AL19-2)*C17),0.2),ROUND(C16,0.2)),))</f>
        <v>0</v>
      </c>
      <c r="W34" s="57">
        <f>IF(Pricing!D32="French Door Cutout",ROUND(Matrix2!$F$4,0.2),)</f>
        <v>0</v>
      </c>
      <c r="X34" s="57" t="b">
        <f>IF(Pricing!AD32="Quoted",,IF(OR(Pricing!F32="Custom Colour",ISNUMBER(SEARCH("Classic Black (S/Chg)",Pricing!F32)),ISNUMBER(SEARCH("Matte Black (S/Chg)",Pricing!F32))),1))</f>
        <v>0</v>
      </c>
      <c r="Y34" s="57">
        <f>IF(OR(AND(Pricing!E32&lt;&gt;"Java",Pricing!G34="Stainless Steel"),Pricing!G34="Brushed Nickel Plated"),ROUND(Matrix2!$F$12*Matrix2!N34,0.2),)</f>
        <v>0</v>
      </c>
      <c r="Z34" s="57">
        <f t="shared" si="3"/>
        <v>0</v>
      </c>
      <c r="AA34" s="57">
        <f>IF(Pricing!AD32="Quoted",,IF(Pricing!AB34="YES",ROUND(CONVERT(Pricing!L32,"mm","m")*$F$14,0.2),))</f>
        <v>0</v>
      </c>
      <c r="AB34" s="1186" t="s">
        <v>338</v>
      </c>
      <c r="AC34" s="1186"/>
      <c r="AD34" s="1187" t="str">
        <f xml:space="preserve"> TRIM(Pricing!Q44 &amp; Pricing!R44 &amp; Pricing!S44 &amp; Pricing!T44 &amp; Pricing!U44 &amp; Pricing!V44 &amp; Pricing!W44 &amp; Pricing!X44 &amp; Pricing!Y44 &amp;Pricing!Z44 &amp; Pricing!AA44)</f>
        <v/>
      </c>
      <c r="AE34" s="1187"/>
      <c r="AF34" s="1187"/>
      <c r="AH34" s="1189" t="s">
        <v>339</v>
      </c>
      <c r="AI34" s="1190"/>
      <c r="AJ34" s="1187" t="str">
        <f xml:space="preserve"> TRIM('Survey Front'!S48 &amp; 'Survey Front'!T48 &amp;  'Survey Front'!U48 &amp; 'Survey Front'!V48  &amp; 'Survey Front'!W48 &amp; 'Survey Front'!X48  &amp; 'Survey Front'!Y48  &amp; 'Survey Front'!Z48  &amp; 'Survey Front'!AA48 &amp; 'Survey Front'!AB48  &amp; 'Survey Front'!AC48)</f>
        <v/>
      </c>
      <c r="AK34" s="1187"/>
      <c r="AL34" s="1187"/>
      <c r="AT34" t="s">
        <v>231</v>
      </c>
    </row>
    <row r="35" spans="2:46" x14ac:dyDescent="0.2">
      <c r="B35" s="441" t="s">
        <v>51</v>
      </c>
      <c r="C35" s="438">
        <f>C10</f>
        <v>0.25</v>
      </c>
      <c r="K35" t="s">
        <v>228</v>
      </c>
      <c r="L35" s="66">
        <f>IF(Pricing!AD35="Quoted",,COUNTIFS(Pricing!Q35:AA35,"(CB)"))</f>
        <v>0</v>
      </c>
      <c r="M35" s="4">
        <f t="shared" si="4"/>
        <v>0</v>
      </c>
      <c r="N35" s="67">
        <f>IF(Pricing!AD35="Quoted",,IF(Pricing!E35="",,Pricing!L35*Pricing!M35/1000000))</f>
        <v>0</v>
      </c>
      <c r="O35" s="64">
        <f>IF(Pricing!AD35="Quoted",,IF(OR(Pricing!J35 = "Silent",Pricing!J35 = "Split Tilt",Pricing!J35="Silent Split Tilt"),ROUND($N$35*$C$9,0.2),0))</f>
        <v>0</v>
      </c>
      <c r="P35" s="64">
        <f>IF(Pricing!AD35="Quoted",,IF(Pricing!D35="Tracked",ROUND(C11+(F2*Q35),0.2),))</f>
        <v>0</v>
      </c>
      <c r="Q35" s="68">
        <f>IF(Pricing!AD35="Quoted",,IF(Pricing!D35="Tracked",CONVERT(Pricing!L35,"mm","m"),))</f>
        <v>0</v>
      </c>
      <c r="R35" s="64">
        <f>IF(Pricing!D35="S/Shade",ROUND($F$3*N35,0.2),0)</f>
        <v>0</v>
      </c>
      <c r="T35" s="4">
        <f t="shared" si="5"/>
        <v>0</v>
      </c>
      <c r="U35" s="67">
        <f>IF(Pricing!AD35="Quoted",,IF(OR(Pricing!J35="Silent",Pricing!J35="Split Tilt",Pricing!J35="Silent Split Tilt"),Pricing!L35*Pricing!M35/1000000,))</f>
        <v>0</v>
      </c>
      <c r="V35" s="57">
        <f>IF(Pricing!AD35="Quoted",,IF(Pricing!D35="Shape",IF(AM19&gt;2,ROUND(C16+((AM19-2)*C17),0.2),ROUND(C16,0.2)),))</f>
        <v>0</v>
      </c>
      <c r="W35" s="57">
        <f>IF(Pricing!D35="French Door Cutout",ROUND(Matrix2!$F$4,0.2),)</f>
        <v>0</v>
      </c>
      <c r="X35" s="57" t="b">
        <f>IF(Pricing!AD35="Quoted",,IF(OR(Pricing!F35="Custom Colour",ISNUMBER(SEARCH("Classic Black (S/Chg)",Pricing!F35)),ISNUMBER(SEARCH("Matte Black (S/Chg)",Pricing!F35))),1))</f>
        <v>0</v>
      </c>
      <c r="Y35" s="57">
        <f>IF(OR(AND(Pricing!E35&lt;&gt;"Java",Pricing!G37="Stainless Steel"),Pricing!G37="Brushed Nickel Plated"),ROUND(Matrix2!$F$12*Matrix2!N35,0.2),)</f>
        <v>0</v>
      </c>
      <c r="Z35" s="57">
        <f t="shared" si="3"/>
        <v>0</v>
      </c>
      <c r="AA35" s="57">
        <f>IF(Pricing!AD35="Quoted",,IF(Pricing!AB37="YES",ROUND(CONVERT(Pricing!L35,"mm","m")*$F$14,0.2),))</f>
        <v>0</v>
      </c>
      <c r="AB35" s="1186" t="s">
        <v>340</v>
      </c>
      <c r="AC35" s="1186"/>
      <c r="AD35" s="1187" t="str">
        <f xml:space="preserve"> TRIM(Pricing!Q47 &amp; Pricing!R47 &amp;Pricing!S47 &amp; Pricing!T47 &amp; Pricing!U47 &amp; Pricing!V47 &amp; Pricing!W47 &amp; Pricing!X47 &amp; Pricing!Y47 &amp; Pricing!Z47 &amp; Pricing!AA47)</f>
        <v/>
      </c>
      <c r="AE35" s="1187"/>
      <c r="AF35" s="1187"/>
      <c r="AH35" s="1189" t="s">
        <v>341</v>
      </c>
      <c r="AI35" s="1190"/>
      <c r="AJ35" s="1187" t="str">
        <f xml:space="preserve"> TRIM('Survey Front'!S51 &amp; 'Survey Front'!T51 &amp;  'Survey Front'!U51 &amp; 'Survey Front'!V51  &amp; 'Survey Front'!W51 &amp; 'Survey Front'!X51  &amp; 'Survey Front'!Y51  &amp; 'Survey Front'!Z51  &amp; 'Survey Front'!AA51 &amp; 'Survey Front'!AB51  &amp; 'Survey Front'!AC51)</f>
        <v/>
      </c>
      <c r="AK35" s="1187"/>
      <c r="AL35" s="1187"/>
    </row>
    <row r="36" spans="2:46" x14ac:dyDescent="0.2">
      <c r="B36" s="441" t="s">
        <v>55</v>
      </c>
      <c r="C36" s="438">
        <f>C10</f>
        <v>0.25</v>
      </c>
      <c r="K36" t="s">
        <v>229</v>
      </c>
      <c r="L36" s="66">
        <f>IF(Pricing!AD38="Quoted",,COUNTIFS(Pricing!Q38:AA38,"(CB)"))</f>
        <v>0</v>
      </c>
      <c r="M36" s="4">
        <f t="shared" si="4"/>
        <v>0</v>
      </c>
      <c r="N36" s="67">
        <f>IF(Pricing!AD38="Quoted",,IF(Pricing!E38="",,Pricing!L38*Pricing!M38/1000000))</f>
        <v>0</v>
      </c>
      <c r="O36" s="64">
        <f>IF(Pricing!AD38="Quoted",,IF(OR(Pricing!J38 = "Silent",Pricing!J38 = "Split Tilt",Pricing!J38="Silent Split Tilt"),ROUND($N$36*$C$9,0.2),0))</f>
        <v>0</v>
      </c>
      <c r="P36" s="64">
        <f>IF(Pricing!AD38="Quoted",,IF(Pricing!D38="Tracked",ROUND(C11+(F2*Q36),0.2),))</f>
        <v>0</v>
      </c>
      <c r="Q36" s="68">
        <f>IF(Pricing!AD38="Quoted",,IF(Pricing!D38="Tracked",CONVERT(Pricing!L38,"mm","m"),))</f>
        <v>0</v>
      </c>
      <c r="R36" s="64">
        <f>IF(Pricing!D38="S/Shade",ROUND($F$3*N36,0.2),0)</f>
        <v>0</v>
      </c>
      <c r="T36" s="4">
        <f t="shared" si="5"/>
        <v>0</v>
      </c>
      <c r="U36" s="67">
        <f>IF(Pricing!AD38="Quoted",,IF(OR(Pricing!J38="Silent",Pricing!J38="Split Tilt",Pricing!J38="Silent Split Tilt"),Pricing!L38*Pricing!M38/1000000,))</f>
        <v>0</v>
      </c>
      <c r="V36" s="57">
        <f>IF(Pricing!AD38="Quoted",,IF(Pricing!D38="Shape",IF(AN19&gt;2,ROUND(C16+((AN19-2)*C17),0.2),ROUND(C16,0.2)),))</f>
        <v>0</v>
      </c>
      <c r="W36" s="57">
        <f>IF(Pricing!D38="French Door Cutout",ROUND(Matrix2!$F$4,0.2),)</f>
        <v>0</v>
      </c>
      <c r="X36" s="57" t="b">
        <f>IF(Pricing!AD38="Quoted",,IF(OR(Pricing!F38="Custom Colour",ISNUMBER(SEARCH("Classic Black (S/Chg)",Pricing!F38)),ISNUMBER(SEARCH("Matte Black (S/Chg)",Pricing!F38))),1))</f>
        <v>0</v>
      </c>
      <c r="Y36" s="57">
        <f>IF(OR(AND(Pricing!E38&lt;&gt;"Java",Pricing!G40="Stainless Steel"),Pricing!G40="Brushed Nickel Plated"),ROUND(Matrix2!$F$12*Matrix2!N36,0.2),)</f>
        <v>0</v>
      </c>
      <c r="Z36" s="57">
        <f t="shared" si="3"/>
        <v>0</v>
      </c>
      <c r="AA36" s="57">
        <f>IF(Pricing!AD38="Quoted",,IF(Pricing!AB40="YES",ROUND(CONVERT(Pricing!L38,"mm","m")*$F$14,0.2),))</f>
        <v>0</v>
      </c>
      <c r="AB36" s="1186" t="s">
        <v>342</v>
      </c>
      <c r="AC36" s="1186"/>
      <c r="AD36" s="1187" t="str">
        <f xml:space="preserve"> TRIM(Pricing!Q50 &amp; Pricing!R50 &amp; Pricing!S50 &amp;Pricing!T50 &amp; Pricing!U50 &amp; Pricing!V50 &amp; Pricing!W50 &amp; Pricing!X50 &amp; Pricing!Y50 &amp; Pricing!Z50 &amp; Pricing!AA50)</f>
        <v/>
      </c>
      <c r="AE36" s="1187"/>
      <c r="AF36" s="1187"/>
      <c r="AH36" s="1189" t="s">
        <v>343</v>
      </c>
      <c r="AI36" s="1190"/>
      <c r="AJ36" s="1187" t="str">
        <f xml:space="preserve"> TRIM('Survey Front'!S54 &amp; 'Survey Front'!T54 &amp;  'Survey Front'!U54 &amp; 'Survey Front'!V54  &amp; 'Survey Front'!W54 &amp; 'Survey Front'!X54  &amp; 'Survey Front'!Y54  &amp; 'Survey Front'!Z54  &amp; 'Survey Front'!AA54 &amp; 'Survey Front'!AB54  &amp; 'Survey Front'!AC54)</f>
        <v/>
      </c>
      <c r="AK36" s="1187"/>
      <c r="AL36" s="1187"/>
      <c r="AT36" t="s">
        <v>232</v>
      </c>
    </row>
    <row r="37" spans="2:46" x14ac:dyDescent="0.2">
      <c r="B37" s="441" t="s">
        <v>791</v>
      </c>
      <c r="C37" s="438">
        <f>C10</f>
        <v>0.25</v>
      </c>
      <c r="K37" t="s">
        <v>230</v>
      </c>
      <c r="L37" s="66">
        <f>IF(Pricing!AD41="Quoted",,COUNTIFS(Pricing!Q41:AA41,"(CB)"))</f>
        <v>0</v>
      </c>
      <c r="M37" s="4">
        <f t="shared" si="4"/>
        <v>0</v>
      </c>
      <c r="N37" s="67">
        <f>IF(Pricing!AD41="Quoted",,IF(Pricing!E41="",,Pricing!L41*Pricing!M41/1000000))</f>
        <v>0</v>
      </c>
      <c r="O37" s="64">
        <f>IF(Pricing!AD41="Quoted",,IF(OR(Pricing!J41 = "Silent",Pricing!J41 = "Split Tilt",Pricing!J41="Silent Split Tilt"),ROUND($N$37*$C$9,0.2),0))</f>
        <v>0</v>
      </c>
      <c r="P37" s="64">
        <f>IF(Pricing!AD41="Quoted",,IF(Pricing!D41="Tracked",ROUND(C11+(F2*Q37),0.2),))</f>
        <v>0</v>
      </c>
      <c r="Q37" s="68">
        <f>IF(Pricing!AD41="Quoted",,IF(Pricing!D41="Tracked",CONVERT(Pricing!L41,"mm","m"),))</f>
        <v>0</v>
      </c>
      <c r="R37" s="64">
        <f>IF(Pricing!D41="S/Shade",ROUND($F$3*N37,0.2),0)</f>
        <v>0</v>
      </c>
      <c r="T37" s="4">
        <f t="shared" si="5"/>
        <v>0</v>
      </c>
      <c r="U37" s="67">
        <f>IF(Pricing!AD41="Quoted",,IF(OR(Pricing!J41="Silent",Pricing!J41="Split Tilt",Pricing!J41="Silent Split Tilt"),Pricing!L41*Pricing!M41/1000000,))</f>
        <v>0</v>
      </c>
      <c r="V37" s="57">
        <f>IF(Pricing!AD41="Quoted",,IF(Pricing!D41="Shape",IF(AO19&gt;2,ROUND(C16+((AO19-2)*C17),0.2),ROUND(C16,0.2)),))</f>
        <v>0</v>
      </c>
      <c r="W37" s="57">
        <f>IF(Pricing!D41="French Door Cutout",ROUND(Matrix2!$F$4,0.2),)</f>
        <v>0</v>
      </c>
      <c r="X37" s="57" t="b">
        <f>IF(Pricing!AD41="Quoted",,IF(OR(Pricing!F41="Custom Colour",ISNUMBER(SEARCH("Classic Black (S/Chg)",Pricing!F41)),ISNUMBER(SEARCH("Matte Black (S/Chg)",Pricing!F41))),1))</f>
        <v>0</v>
      </c>
      <c r="Y37" s="57">
        <f>IF(OR(AND(Pricing!E41&lt;&gt;"Java",Pricing!G43="Stainless Steel"),Pricing!G43="Brushed Nickel Plated"),ROUND(Matrix2!$F$12*Matrix2!N37,0.2),)</f>
        <v>0</v>
      </c>
      <c r="Z37" s="57">
        <f t="shared" si="3"/>
        <v>0</v>
      </c>
      <c r="AA37" s="57">
        <f>IF(Pricing!AD41="Quoted",,IF(Pricing!AB43="YES",ROUND(CONVERT(Pricing!L41,"mm","m")*$F$14,0.2),))</f>
        <v>0</v>
      </c>
    </row>
    <row r="38" spans="2:46" ht="15.75" thickBot="1" x14ac:dyDescent="0.25">
      <c r="B38" s="442" t="s">
        <v>792</v>
      </c>
      <c r="C38" s="439">
        <f>C10</f>
        <v>0.25</v>
      </c>
      <c r="K38" t="s">
        <v>231</v>
      </c>
      <c r="L38" s="66">
        <f>IF(Pricing!AD44="Quoted",,COUNTIFS(Pricing!Q44:AA44,"(CB)"))</f>
        <v>0</v>
      </c>
      <c r="M38" s="4">
        <f t="shared" si="4"/>
        <v>0</v>
      </c>
      <c r="N38" s="67">
        <f>IF(Pricing!AD44="Quoted",,IF(Pricing!E44="",,Pricing!L44*Pricing!M44/1000000))</f>
        <v>0</v>
      </c>
      <c r="O38" s="64">
        <f>IF(Pricing!AD44="Quoted",,IF(OR(Pricing!J44 = "Silent",Pricing!J44 = "Split Tilt",Pricing!J44="Silent Split Tilt"),ROUND($N$38*$C$9,0.2),0))</f>
        <v>0</v>
      </c>
      <c r="P38" s="64">
        <f>IF(Pricing!AD44="Quoted",,IF(Pricing!D44="Tracked",ROUND(C11+(F2*Q38),0.2),))</f>
        <v>0</v>
      </c>
      <c r="Q38" s="68">
        <f>IF(Pricing!AD44="Quoted",,IF(Pricing!D44="Tracked",CONVERT(Pricing!L44,"mm","m"),))</f>
        <v>0</v>
      </c>
      <c r="R38" s="64">
        <f>IF(Pricing!D44="S/Shade",ROUND($F$3*N38,0.2),0)</f>
        <v>0</v>
      </c>
      <c r="T38" s="4">
        <f t="shared" si="5"/>
        <v>0</v>
      </c>
      <c r="U38" s="67">
        <f>IF(Pricing!AD44="Quoted",,IF(OR(Pricing!J44="Silent",Pricing!J44="Split Tilt",Pricing!J44="Silent Split Tilt"),Pricing!L44*Pricing!M44/1000000,))</f>
        <v>0</v>
      </c>
      <c r="V38" s="57">
        <f>IF(Pricing!AD44="Quoted",,IF(Pricing!D44="Shape",IF(AP19&gt;2,ROUND(C16+((AP19-2)*C17),0.2),ROUND(C16,0.2)),))</f>
        <v>0</v>
      </c>
      <c r="W38" s="57">
        <f>IF(Pricing!D44="French Door Cutout",ROUND(Matrix2!$F$4,0.2),)</f>
        <v>0</v>
      </c>
      <c r="X38" s="57" t="b">
        <f>IF(Pricing!AD44="Quoted",,IF(OR(Pricing!F44="Custom Colour",ISNUMBER(SEARCH("Classic Black (S/Chg)",Pricing!F44)),ISNUMBER(SEARCH("Matte Black (S/Chg)",Pricing!F44))),1))</f>
        <v>0</v>
      </c>
      <c r="Y38" s="57">
        <f>IF(OR(AND(Pricing!E44&lt;&gt;"Java",Pricing!G46="Stainless Steel"),Pricing!G46="Brushed Nickel Plated"),ROUND(Matrix2!$F$12*Matrix2!N38,0.2),)</f>
        <v>0</v>
      </c>
      <c r="Z38" s="57">
        <f>IF(AND(N38&lt;1,N38&gt;0),ROUND(1*$C$19,0.2),ROUND(N38*$C$19,0.2))</f>
        <v>0</v>
      </c>
      <c r="AA38" s="57">
        <f>IF(Pricing!AD44="Quoted",,IF(Pricing!AB46="YES",ROUND(CONVERT(Pricing!L44,"mm","m")*$F$14,0.2),))</f>
        <v>0</v>
      </c>
      <c r="AH38" t="s">
        <v>344</v>
      </c>
      <c r="AT38" t="s">
        <v>233</v>
      </c>
    </row>
    <row r="39" spans="2:46" x14ac:dyDescent="0.2">
      <c r="K39" t="s">
        <v>232</v>
      </c>
      <c r="L39" s="66">
        <f>IF(Pricing!AD47="Quoted",,COUNTIFS(Pricing!Q47:AA47,"(CB)"))</f>
        <v>0</v>
      </c>
      <c r="M39" s="4">
        <f t="shared" si="4"/>
        <v>0</v>
      </c>
      <c r="N39" s="67">
        <f>IF(Pricing!AD47="Quoted",,IF(Pricing!E47="",,Pricing!L47*Pricing!M47/1000000))</f>
        <v>0</v>
      </c>
      <c r="O39" s="64">
        <f>IF(Pricing!AD47="Quoted",,IF(OR(Pricing!J47 = "Silent",Pricing!J47 = "Split Tilt",Pricing!J47="Silent Split Tilt"),ROUND($N$39*$C$9,0.2),0))</f>
        <v>0</v>
      </c>
      <c r="P39" s="64">
        <f>IF(Pricing!AD47="Quoted",,IF(Pricing!D47="Tracked",ROUND(C11+(F2*Q39),0.2),))</f>
        <v>0</v>
      </c>
      <c r="Q39" s="68">
        <f>IF(Pricing!AD47="Quoted",,IF(Pricing!D47="Tracked",CONVERT(Pricing!L47,"mm","m"),))</f>
        <v>0</v>
      </c>
      <c r="R39" s="64">
        <f>IF(Pricing!D47="S/Shade",ROUND($F$3*N39,0.2),0)</f>
        <v>0</v>
      </c>
      <c r="T39" s="4">
        <f t="shared" si="5"/>
        <v>0</v>
      </c>
      <c r="U39" s="67">
        <f>IF(Pricing!AD47="Quoted",,IF(OR(Pricing!J47="Silent",Pricing!J47="Split Tilt",Pricing!J47="Silent Split Tilt"),Pricing!L47*Pricing!M47/1000000,))</f>
        <v>0</v>
      </c>
      <c r="V39" s="57">
        <f>IF(Pricing!AD47="Quoted",,IF(Pricing!D47="Shape",IF(AQ19&gt;2,ROUND(C16+((AQ19-2)*C17),0.2),ROUND(C16,0.2)),))</f>
        <v>0</v>
      </c>
      <c r="W39" s="57">
        <f>IF(Pricing!D47="French Door Cutout",ROUND(Matrix2!$F$4,0.2),)</f>
        <v>0</v>
      </c>
      <c r="X39" s="57" t="b">
        <f>IF(Pricing!AD47="Quoted",,IF(OR(Pricing!F47="Custom Colour",ISNUMBER(SEARCH("Classic Black (S/Chg)",Pricing!F47)),ISNUMBER(SEARCH("Matte Black (S/Chg)",Pricing!F47))),1))</f>
        <v>0</v>
      </c>
      <c r="Y39" s="57">
        <f>IF(OR(AND(Pricing!E47&lt;&gt;"Java",Pricing!G49="Stainless Steel"),Pricing!G49="Brushed Nickel Plated"),ROUND(Matrix2!$F$12*Matrix2!N39,0.2),)</f>
        <v>0</v>
      </c>
      <c r="Z39" s="57">
        <f>IF(AND(N39&lt;1,N39&gt;0),ROUND(1*$C$19,0.2),ROUND(N39*$C$19,0.2))</f>
        <v>0</v>
      </c>
      <c r="AA39" s="57">
        <f>IF(Pricing!AD47="Quoted",,IF(Pricing!AB49="YES",ROUND(CONVERT(Pricing!L47,"mm","m")*$F$14,0.2),))</f>
        <v>0</v>
      </c>
      <c r="AC39" s="56" t="s">
        <v>218</v>
      </c>
      <c r="AD39" s="56" t="s">
        <v>219</v>
      </c>
      <c r="AE39" s="56" t="s">
        <v>220</v>
      </c>
      <c r="AF39" s="56" t="s">
        <v>221</v>
      </c>
      <c r="AG39" s="56" t="s">
        <v>222</v>
      </c>
      <c r="AH39" s="56" t="s">
        <v>223</v>
      </c>
      <c r="AI39" s="56" t="s">
        <v>224</v>
      </c>
      <c r="AJ39" s="56" t="s">
        <v>225</v>
      </c>
      <c r="AK39" s="56" t="s">
        <v>226</v>
      </c>
      <c r="AL39" s="56" t="s">
        <v>227</v>
      </c>
      <c r="AM39" s="56" t="s">
        <v>228</v>
      </c>
      <c r="AN39" s="56" t="s">
        <v>229</v>
      </c>
      <c r="AO39" s="56" t="s">
        <v>230</v>
      </c>
      <c r="AP39" s="56" t="s">
        <v>231</v>
      </c>
      <c r="AQ39" s="56" t="s">
        <v>232</v>
      </c>
      <c r="AR39" s="56" t="s">
        <v>233</v>
      </c>
    </row>
    <row r="40" spans="2:46" x14ac:dyDescent="0.2">
      <c r="K40" t="s">
        <v>233</v>
      </c>
      <c r="L40" s="66">
        <f>IF(Pricing!AD50="Quoted",,COUNTIFS(Pricing!Q50:AA50,"(CB)"))</f>
        <v>0</v>
      </c>
      <c r="M40" s="4">
        <f t="shared" si="4"/>
        <v>0</v>
      </c>
      <c r="N40" s="67">
        <f>IF(Pricing!AD50="Quoted",,IF(Pricing!E50="",,Pricing!L50*Pricing!M50/1000000))</f>
        <v>0</v>
      </c>
      <c r="O40" s="64">
        <f>IF(Pricing!AD50="Quoted",,IF(OR(Pricing!J50 = "Silent",Pricing!J50 = "Split Tilt",Pricing!J50="Silent Split Tilt"),ROUND($N$40*$C$9,0.2),0))</f>
        <v>0</v>
      </c>
      <c r="P40" s="64">
        <f>IF(Pricing!AD50="Quoted",,IF(Pricing!D50="Tracked",ROUND(C11+(F2*Q40),0.2),))</f>
        <v>0</v>
      </c>
      <c r="Q40" s="68">
        <f>IF(Pricing!AD50="Quoted",,IF(Pricing!D50="Tracked",CONVERT(Pricing!L50,"mm","m"),))</f>
        <v>0</v>
      </c>
      <c r="R40" s="64">
        <f>IF(Pricing!D50="S/Shade",ROUND($F$3*N40,0.2),0)</f>
        <v>0</v>
      </c>
      <c r="T40" s="4">
        <f t="shared" si="5"/>
        <v>0</v>
      </c>
      <c r="U40" s="67">
        <f>IF(Pricing!AD50="Quoted",,IF(OR(Pricing!J50="Silent",Pricing!J50="Split Tilt",Pricing!J50="Silent Split Tilt"),Pricing!L50*Pricing!M50/1000000,))</f>
        <v>0</v>
      </c>
      <c r="V40" s="57">
        <f>IF(Pricing!AD50="Quoted",,IF(Pricing!D50="Shape",IF(AR19&gt;2,ROUND(C16+((AR19-2)*C17),0.2),ROUND(C16,0.2)),))</f>
        <v>0</v>
      </c>
      <c r="W40" s="57">
        <f>IF(Pricing!D50="French Door Cutout",ROUND(Matrix2!$F$4,0.2),)</f>
        <v>0</v>
      </c>
      <c r="X40" s="57" t="b">
        <f>IF(Pricing!AD50="Quoted",,IF(OR(Pricing!F50="Custom Colour",ISNUMBER(SEARCH("Classic Black (S/Chg)",Pricing!F50)),ISNUMBER(SEARCH("Matte Black (S/Chg)",Pricing!F50))),1))</f>
        <v>0</v>
      </c>
      <c r="Y40" s="57">
        <f>IF(OR(AND(Pricing!E50&lt;&gt;"Java",Pricing!G52="Stainless Steel"),Pricing!G52="Brushed Nickel Plated"),ROUND(Matrix2!$F$12*Matrix2!N40,0.2),)</f>
        <v>0</v>
      </c>
      <c r="Z40" s="57">
        <f>IF(AND(N40&lt;1,N40&gt;0),ROUND(1*$C$19,0.2),ROUND(N40*$C$19,0.2))</f>
        <v>0</v>
      </c>
      <c r="AA40" s="57">
        <f>IF(Pricing!AD50="Quoted",,IF(Pricing!AB52="YES",ROUND(CONVERT(Pricing!L50,"mm","m")*$F$14,0.2),))</f>
        <v>0</v>
      </c>
      <c r="AC40" s="305" t="s">
        <v>236</v>
      </c>
      <c r="AD40" s="4">
        <f>COUNTIFS('Survey Front'!$S$12:$AC$12,$AC40)</f>
        <v>0</v>
      </c>
      <c r="AE40" s="4">
        <f>COUNTIFS('Survey Front'!$S$15:$AC$15,$AC40)</f>
        <v>0</v>
      </c>
      <c r="AF40" s="4">
        <f>COUNTIFS('Survey Front'!$S$18:$AC$18,$AC40)</f>
        <v>0</v>
      </c>
      <c r="AG40" s="4">
        <f>COUNTIFS('Survey Front'!$S$21:$AC$21,$AC40)</f>
        <v>0</v>
      </c>
      <c r="AH40" s="4">
        <f>COUNTIFS('Survey Front'!$S$24:$AC$24,$AC40)</f>
        <v>0</v>
      </c>
      <c r="AI40" s="4">
        <f>COUNTIFS('Survey Front'!$S$27:$AC$27,$AC40)</f>
        <v>0</v>
      </c>
      <c r="AJ40" s="4">
        <f>COUNTIFS('Survey Front'!$S$30:$AC$30,$AC40)</f>
        <v>0</v>
      </c>
      <c r="AK40" s="4">
        <f>COUNTIFS('Survey Front'!$S$33:$AC$33,$AC40)</f>
        <v>0</v>
      </c>
      <c r="AL40" s="4">
        <f>COUNTIFS('Survey Front'!$S$36:$AC$36,$AC40)</f>
        <v>0</v>
      </c>
      <c r="AM40" s="4">
        <f>COUNTIFS('Survey Front'!$S$39:$AC$39,$AC40)</f>
        <v>0</v>
      </c>
      <c r="AN40" s="4">
        <f>COUNTIFS('Survey Front'!$S$42:$AC$42,$AC40)</f>
        <v>0</v>
      </c>
      <c r="AO40" s="4">
        <f>COUNTIFS('Survey Front'!$S$45:$AC$45,$AC40)</f>
        <v>0</v>
      </c>
      <c r="AP40" s="4">
        <f>COUNTIFS('Survey Front'!$S$48:$AC$48,$AC40)</f>
        <v>0</v>
      </c>
      <c r="AQ40" s="4">
        <f>COUNTIFS('Survey Front'!$S$51:$AC$51,$AC40)</f>
        <v>0</v>
      </c>
      <c r="AR40" s="4">
        <f>COUNTIFS('Survey Front'!$S$54:$AC$54,$AC40)</f>
        <v>0</v>
      </c>
      <c r="AS40" s="305" t="s">
        <v>236</v>
      </c>
    </row>
    <row r="41" spans="2:46" x14ac:dyDescent="0.2">
      <c r="X41" s="57">
        <f>SUM(X26:X40)</f>
        <v>0</v>
      </c>
      <c r="AC41" s="306" t="s">
        <v>250</v>
      </c>
      <c r="AD41" s="4">
        <f>COUNTIFS('Survey Front'!$S$12:$AC$12,$AC41)</f>
        <v>0</v>
      </c>
      <c r="AE41" s="4">
        <f>COUNTIFS('Survey Front'!$S$15:$AC$15,$AC41)</f>
        <v>0</v>
      </c>
      <c r="AF41" s="4">
        <f>COUNTIFS('Survey Front'!$S$18:$AC$18,$AC41)</f>
        <v>0</v>
      </c>
      <c r="AG41" s="4">
        <f>COUNTIFS('Survey Front'!$S$21:$AC$21,$AC41)</f>
        <v>0</v>
      </c>
      <c r="AH41" s="4">
        <f>COUNTIFS('Survey Front'!$S$24:$AC$24,$AC41)</f>
        <v>0</v>
      </c>
      <c r="AI41" s="4">
        <f>COUNTIFS('Survey Front'!$S$27:$AC$27,$AC41)</f>
        <v>0</v>
      </c>
      <c r="AJ41" s="4">
        <f>COUNTIFS('Survey Front'!$S$30:$AC$30,$AC41)</f>
        <v>0</v>
      </c>
      <c r="AK41" s="4">
        <f>COUNTIFS('Survey Front'!$S$33:$AC$33,$AC41)</f>
        <v>0</v>
      </c>
      <c r="AL41" s="4">
        <f>COUNTIFS('Survey Front'!$S$36:$AC$36,$AC41)</f>
        <v>0</v>
      </c>
      <c r="AM41" s="4">
        <f>COUNTIFS('Survey Front'!$S$39:$AC$39,$AC41)</f>
        <v>0</v>
      </c>
      <c r="AN41" s="4">
        <f>COUNTIFS('Survey Front'!$S$42:$AC$42,$AC41)</f>
        <v>0</v>
      </c>
      <c r="AO41" s="4">
        <f>COUNTIFS('Survey Front'!$S$45:$AC$45,$AC41)</f>
        <v>0</v>
      </c>
      <c r="AP41" s="4">
        <f>COUNTIFS('Survey Front'!$S$48:$AC$48,$AC41)</f>
        <v>0</v>
      </c>
      <c r="AQ41" s="4">
        <f>COUNTIFS('Survey Front'!$S$51:$AC$51,$AC41)</f>
        <v>0</v>
      </c>
      <c r="AR41" s="4">
        <f>COUNTIFS('Survey Front'!$S$54:$AC$54,$AC41)</f>
        <v>0</v>
      </c>
      <c r="AS41" s="306" t="s">
        <v>250</v>
      </c>
    </row>
    <row r="42" spans="2:46" x14ac:dyDescent="0.2">
      <c r="AC42" s="305" t="s">
        <v>261</v>
      </c>
      <c r="AD42" s="4">
        <f>COUNTIFS('Survey Front'!$S$12:$AC$12,$AC42)*2</f>
        <v>0</v>
      </c>
      <c r="AE42" s="4">
        <f>COUNTIFS('Survey Front'!$S$15:$AC$15,$AC42)*2</f>
        <v>0</v>
      </c>
      <c r="AF42" s="4">
        <f>COUNTIFS('Survey Front'!$S$18:$AC$18,$AC42)*2</f>
        <v>0</v>
      </c>
      <c r="AG42" s="4">
        <f>COUNTIFS('Survey Front'!$S$21:$AC$21,$AC42)*2</f>
        <v>0</v>
      </c>
      <c r="AH42" s="4">
        <f>COUNTIFS('Survey Front'!$S$24:$AC$24,$AC42)*2</f>
        <v>0</v>
      </c>
      <c r="AI42" s="4">
        <f>COUNTIFS('Survey Front'!$S$27:$AC$27,$AC42)*2</f>
        <v>0</v>
      </c>
      <c r="AJ42" s="4">
        <f>COUNTIFS('Survey Front'!$S$30:$AC$30,$AC42)*2</f>
        <v>0</v>
      </c>
      <c r="AK42" s="4">
        <f>COUNTIFS('Survey Front'!$S$33:$AC$33,$AC42)*2</f>
        <v>0</v>
      </c>
      <c r="AL42" s="4">
        <f>COUNTIFS('Survey Front'!$S$36:$AC$36,$AC42)*2</f>
        <v>0</v>
      </c>
      <c r="AM42" s="4">
        <f>COUNTIFS('Survey Front'!$S$39:$AC$39,$AC42)*2</f>
        <v>0</v>
      </c>
      <c r="AN42" s="4">
        <f>COUNTIFS('Survey Front'!$S$42:$AC$42,$AC42)*2</f>
        <v>0</v>
      </c>
      <c r="AO42" s="4">
        <f>COUNTIFS('Survey Front'!$S$45:$AC$45,$AC42)*2</f>
        <v>0</v>
      </c>
      <c r="AP42" s="4">
        <f>COUNTIFS('Survey Front'!$S$48:$AC$48,$AC42)*2</f>
        <v>0</v>
      </c>
      <c r="AQ42" s="4">
        <f>COUNTIFS('Survey Front'!$S$51:$AC$51,$AC42)*2</f>
        <v>0</v>
      </c>
      <c r="AR42" s="4">
        <f>COUNTIFS('Survey Front'!$S$54:$AC$54,$AC42)*2</f>
        <v>0</v>
      </c>
      <c r="AS42" s="305" t="s">
        <v>261</v>
      </c>
    </row>
    <row r="43" spans="2:46" x14ac:dyDescent="0.2">
      <c r="K43" s="1184" t="s">
        <v>345</v>
      </c>
      <c r="L43" s="1185"/>
      <c r="M43" s="1185"/>
      <c r="N43" s="1185"/>
      <c r="O43" s="1185"/>
      <c r="P43" s="1185"/>
      <c r="Q43" s="1185"/>
      <c r="R43" s="1185"/>
      <c r="S43" s="1185"/>
      <c r="T43" s="1185"/>
      <c r="U43" s="1185"/>
      <c r="V43" s="1185"/>
      <c r="W43" s="1185"/>
      <c r="X43" s="1185"/>
      <c r="Y43" s="1185"/>
      <c r="Z43" s="1185"/>
      <c r="AC43" s="306" t="s">
        <v>253</v>
      </c>
      <c r="AD43" s="4">
        <f>COUNTIFS('Survey Front'!$S$12:$AC$12,$AC43)*2</f>
        <v>0</v>
      </c>
      <c r="AE43" s="4">
        <f>COUNTIFS('Survey Front'!$S$15:$AC$15,$AC43)*2</f>
        <v>0</v>
      </c>
      <c r="AF43" s="4">
        <f>COUNTIFS('Survey Front'!$S$18:$AC$18,$AC43)*2</f>
        <v>0</v>
      </c>
      <c r="AG43" s="4">
        <f>COUNTIFS('Survey Front'!$S$21:$AC$21,$AC43)*2</f>
        <v>0</v>
      </c>
      <c r="AH43" s="4">
        <f>COUNTIFS('Survey Front'!$S$24:$AC$24,$AC43)*2</f>
        <v>0</v>
      </c>
      <c r="AI43" s="4">
        <f>COUNTIFS('Survey Front'!$S$27:$AC$27,$AC43)*2</f>
        <v>0</v>
      </c>
      <c r="AJ43" s="4">
        <f>COUNTIFS('Survey Front'!$S$30:$AC$30,$AC43)*2</f>
        <v>0</v>
      </c>
      <c r="AK43" s="4">
        <f>COUNTIFS('Survey Front'!$S$33:$AC$33,$AC43)*2</f>
        <v>0</v>
      </c>
      <c r="AL43" s="4">
        <f>COUNTIFS('Survey Front'!$S$36:$AC$36,$AC43)*2</f>
        <v>0</v>
      </c>
      <c r="AM43" s="4">
        <f>COUNTIFS('Survey Front'!$S$39:$AC$39,$AC43)*2</f>
        <v>0</v>
      </c>
      <c r="AN43" s="4">
        <f>COUNTIFS('Survey Front'!$S$42:$AC$42,$AC43)*2</f>
        <v>0</v>
      </c>
      <c r="AO43" s="4">
        <f>COUNTIFS('Survey Front'!$S$45:$AC$45,$AC43)*2</f>
        <v>0</v>
      </c>
      <c r="AP43" s="4">
        <f>COUNTIFS('Survey Front'!$S$48:$AC$48,$AC43)*2</f>
        <v>0</v>
      </c>
      <c r="AQ43" s="4">
        <f>COUNTIFS('Survey Front'!$S$51:$AC$51,$AC43)*2</f>
        <v>0</v>
      </c>
      <c r="AR43" s="4">
        <f>COUNTIFS('Survey Front'!$S$54:$AC$54,$AC43)*2</f>
        <v>0</v>
      </c>
      <c r="AS43" s="306" t="s">
        <v>253</v>
      </c>
    </row>
    <row r="44" spans="2:46" x14ac:dyDescent="0.2">
      <c r="K44" s="29"/>
      <c r="L44" s="58" t="s">
        <v>219</v>
      </c>
      <c r="M44" s="58" t="s">
        <v>220</v>
      </c>
      <c r="N44" s="58" t="s">
        <v>221</v>
      </c>
      <c r="O44" s="58" t="s">
        <v>222</v>
      </c>
      <c r="P44" s="58" t="s">
        <v>223</v>
      </c>
      <c r="Q44" s="58" t="s">
        <v>224</v>
      </c>
      <c r="R44" s="58" t="s">
        <v>225</v>
      </c>
      <c r="S44" s="58" t="s">
        <v>226</v>
      </c>
      <c r="T44" s="58" t="s">
        <v>227</v>
      </c>
      <c r="U44" s="58" t="s">
        <v>228</v>
      </c>
      <c r="V44" s="58" t="s">
        <v>229</v>
      </c>
      <c r="W44" s="58" t="s">
        <v>230</v>
      </c>
      <c r="X44" s="58" t="s">
        <v>231</v>
      </c>
      <c r="Y44" s="58" t="s">
        <v>232</v>
      </c>
      <c r="Z44" s="58" t="s">
        <v>233</v>
      </c>
      <c r="AC44" s="305" t="s">
        <v>256</v>
      </c>
      <c r="AD44" s="4">
        <f>COUNTIFS('Survey Front'!$S$12:$AC$12,$AC44)*2</f>
        <v>0</v>
      </c>
      <c r="AE44" s="4">
        <f>COUNTIFS('Survey Front'!$S$15:$AC$15,$AC44)*2</f>
        <v>0</v>
      </c>
      <c r="AF44" s="4">
        <f>COUNTIFS('Survey Front'!$S$18:$AC$18,$AC44)*2</f>
        <v>0</v>
      </c>
      <c r="AG44" s="4">
        <f>COUNTIFS('Survey Front'!$S$21:$AC$21,$AC44)*2</f>
        <v>0</v>
      </c>
      <c r="AH44" s="4">
        <f>COUNTIFS('Survey Front'!$S$24:$AC$24,$AC44)*2</f>
        <v>0</v>
      </c>
      <c r="AI44" s="4">
        <f>COUNTIFS('Survey Front'!$S$27:$AC$27,$AC44)*2</f>
        <v>0</v>
      </c>
      <c r="AJ44" s="4">
        <f>COUNTIFS('Survey Front'!$S$30:$AC$30,$AC44)*2</f>
        <v>0</v>
      </c>
      <c r="AK44" s="4">
        <f>COUNTIFS('Survey Front'!$S$33:$AC$33,$AC44)*2</f>
        <v>0</v>
      </c>
      <c r="AL44" s="4">
        <f>COUNTIFS('Survey Front'!$S$36:$AC$36,$AC44)*2</f>
        <v>0</v>
      </c>
      <c r="AM44" s="4">
        <f>COUNTIFS('Survey Front'!$S$39:$AC$39,$AC44)*2</f>
        <v>0</v>
      </c>
      <c r="AN44" s="4">
        <f>COUNTIFS('Survey Front'!$S$42:$AC$42,$AC44)*2</f>
        <v>0</v>
      </c>
      <c r="AO44" s="4">
        <f>COUNTIFS('Survey Front'!$S$45:$AC$45,$AC44)*2</f>
        <v>0</v>
      </c>
      <c r="AP44" s="4">
        <f>COUNTIFS('Survey Front'!$S$48:$AC$48,$AC44)*2</f>
        <v>0</v>
      </c>
      <c r="AQ44" s="4">
        <f>COUNTIFS('Survey Front'!$S$51:$AC$51,$AC44)*2</f>
        <v>0</v>
      </c>
      <c r="AR44" s="4">
        <f>COUNTIFS('Survey Front'!$S$54:$AC$54,$AC44)*2</f>
        <v>0</v>
      </c>
      <c r="AS44" s="305" t="s">
        <v>256</v>
      </c>
    </row>
    <row r="45" spans="2:46" x14ac:dyDescent="0.2">
      <c r="K45" s="60" t="s">
        <v>41</v>
      </c>
      <c r="L45" s="61">
        <f>IF(Pricing!$AD$8="Quoted",($C$2*$N$68)+$AA$68,)</f>
        <v>0</v>
      </c>
      <c r="M45" s="61">
        <f>IF(Pricing!$AD$11="Quoted",($C$2*$N$69)+$AA$69,)</f>
        <v>0</v>
      </c>
      <c r="N45" s="61">
        <f>IF(Pricing!$AD$14="Quoted",($C$2*$N$70)+$AA$70,)</f>
        <v>0</v>
      </c>
      <c r="O45" s="61">
        <f>IF(Pricing!$AD$17="Quoted",($C$2*$N$71)+$AA$71,)</f>
        <v>0</v>
      </c>
      <c r="P45" s="61">
        <f>IF(Pricing!$AD$20="Quoted",($C$2*$N$72)+$AA$72,)</f>
        <v>0</v>
      </c>
      <c r="Q45" s="61">
        <f>IF(Pricing!$AD$23="Quoted",($C$2*$N$73)+$AA$73,)</f>
        <v>0</v>
      </c>
      <c r="R45" s="61">
        <f>IF(Pricing!$AD$26="Quoted",($C$2*$N$74)+$AA$74,)</f>
        <v>0</v>
      </c>
      <c r="S45" s="61">
        <f>IF(Pricing!$AD$29="Quoted",($C$2*$N$75)+$AA$75,)</f>
        <v>0</v>
      </c>
      <c r="T45" s="61">
        <f>IF(Pricing!$AD$32="Quoted",($C$2*$N$76)+$AA$76,)</f>
        <v>0</v>
      </c>
      <c r="U45" s="61">
        <f>IF(Pricing!$AD$35="Quoted",($C$2*$N$77)+$AA$77,)</f>
        <v>0</v>
      </c>
      <c r="V45" s="61">
        <f>IF(Pricing!$AD$38="Quoted",($C$2*$N$78)+$AA$78,)</f>
        <v>0</v>
      </c>
      <c r="W45" s="61">
        <f>IF(Pricing!$AD$41="Quoted",($C$2*$N$79)+$AA$79,)</f>
        <v>0</v>
      </c>
      <c r="X45" s="61">
        <f>IF(Pricing!$AD$44="Quoted",($C$2*$N$80)+$AA$80,)</f>
        <v>0</v>
      </c>
      <c r="Y45" s="61">
        <f>IF(Pricing!$AD$47="Quoted",($C$2*$N$81)+$AA$81,)</f>
        <v>0</v>
      </c>
      <c r="Z45" s="61">
        <f>IF(Pricing!$AD$50="Quoted",($C$2*$N$82)+$AA$82,)</f>
        <v>0</v>
      </c>
      <c r="AA45" s="57">
        <f t="shared" ref="AA45:AA50" si="6">SUM(L45:Z45)</f>
        <v>0</v>
      </c>
      <c r="AC45" s="305" t="s">
        <v>259</v>
      </c>
      <c r="AD45" s="4">
        <f>COUNTIFS('Survey Front'!$S$12:$AC$12,$AC45)*2</f>
        <v>0</v>
      </c>
      <c r="AE45" s="4">
        <f>COUNTIFS('Survey Front'!$S$15:$AC$15,$AC45)*2</f>
        <v>0</v>
      </c>
      <c r="AF45" s="4">
        <f>COUNTIFS('Survey Front'!$S$18:$AC$18,$AC45)*2</f>
        <v>0</v>
      </c>
      <c r="AG45" s="4">
        <f>COUNTIFS('Survey Front'!$S$21:$AC$21,$AC45)*2</f>
        <v>0</v>
      </c>
      <c r="AH45" s="4">
        <f>COUNTIFS('Survey Front'!$S$24:$AC$24,$AC45)*2</f>
        <v>0</v>
      </c>
      <c r="AI45" s="4">
        <f>COUNTIFS('Survey Front'!$S$27:$AC$27,$AC45)*2</f>
        <v>0</v>
      </c>
      <c r="AJ45" s="4">
        <f>COUNTIFS('Survey Front'!$S$30:$AC$30,$AC45)*2</f>
        <v>0</v>
      </c>
      <c r="AK45" s="4">
        <f>COUNTIFS('Survey Front'!$S$33:$AC$33,$AC45)*2</f>
        <v>0</v>
      </c>
      <c r="AL45" s="4">
        <f>COUNTIFS('Survey Front'!$S$36:$AC$36,$AC45)*2</f>
        <v>0</v>
      </c>
      <c r="AM45" s="4">
        <f>COUNTIFS('Survey Front'!$S$39:$AC$39,$AC45)*2</f>
        <v>0</v>
      </c>
      <c r="AN45" s="4">
        <f>COUNTIFS('Survey Front'!$S$42:$AC$42,$AC45)*2</f>
        <v>0</v>
      </c>
      <c r="AO45" s="4">
        <f>COUNTIFS('Survey Front'!$S$45:$AC$45,$AC45)*2</f>
        <v>0</v>
      </c>
      <c r="AP45" s="4">
        <f>COUNTIFS('Survey Front'!$S$48:$AC$48,$AC45)*2</f>
        <v>0</v>
      </c>
      <c r="AQ45" s="4">
        <f>COUNTIFS('Survey Front'!$S$51:$AC$51,$AC45)*2</f>
        <v>0</v>
      </c>
      <c r="AR45" s="4">
        <f>COUNTIFS('Survey Front'!$S$54:$AC$54,$AC45)*2</f>
        <v>0</v>
      </c>
      <c r="AS45" s="305" t="s">
        <v>259</v>
      </c>
    </row>
    <row r="46" spans="2:46" x14ac:dyDescent="0.2">
      <c r="K46" s="60" t="s">
        <v>43</v>
      </c>
      <c r="L46" s="61">
        <f>IF(K46=Pricing!$E$8,($L$45+($C3*$N$68))+AA68+W68,)</f>
        <v>0</v>
      </c>
      <c r="M46" s="61">
        <f>IF(K46=Pricing!$E$11,($M$45+($C3*$N$69))+AA69+W69,)</f>
        <v>0</v>
      </c>
      <c r="N46" s="61">
        <f>IF(K46=Pricing!$E$14,($N$45+($C3*$N$70))+AA70+W70,)</f>
        <v>0</v>
      </c>
      <c r="O46" s="61">
        <f>IF(K46=Pricing!$E$17,($O$45+($C3*$N$71))+AA71+W71,)</f>
        <v>0</v>
      </c>
      <c r="P46" s="61">
        <f>IF(K46=Pricing!$E$20,($P$45+($C3*$N$72))+AA72+W72,)</f>
        <v>0</v>
      </c>
      <c r="Q46" s="61">
        <f>IF(K46=Pricing!$E$23,($L$45+($C3*$N$73))+AA73+W73,)</f>
        <v>0</v>
      </c>
      <c r="R46" s="61">
        <f>IF(K46=Pricing!$E$26,($R$45+($C3*$N$74))+AA74+W74,)</f>
        <v>0</v>
      </c>
      <c r="S46" s="61">
        <f>IF(K46=Pricing!$E$29,($S$45+($C3*$N$75))+AA75+W75,)</f>
        <v>0</v>
      </c>
      <c r="T46" s="61">
        <f>IF(K46=Pricing!$E$32,($T$45+($C3*$N$76))+AA76+W76,)</f>
        <v>0</v>
      </c>
      <c r="U46" s="61">
        <f>IF(K46=Pricing!$E$35,($U$45+($C3*$N$77))+AA77+W77,)</f>
        <v>0</v>
      </c>
      <c r="V46" s="61">
        <f>IF(K46=Pricing!$E$38,($V$45+($C3*$N$78))+AA78+W78,)</f>
        <v>0</v>
      </c>
      <c r="W46" s="61">
        <f>IF(K46=Pricing!$E$41,($W$45+($C3*$N$79))+AA79+W79,)</f>
        <v>0</v>
      </c>
      <c r="X46" s="61">
        <f>IF(K46=Pricing!$E$44,($X$45+($C3*$N$80))+AA80+W80,)</f>
        <v>0</v>
      </c>
      <c r="Y46" s="61">
        <f>IF(K46=Pricing!$E$47,($Y$45+($C3*$N$81))+AA81+W81,)</f>
        <v>0</v>
      </c>
      <c r="Z46" s="61">
        <f>IF(K46=Pricing!$E$50,($Z$45+($C3*$N$82))+AA82+W82,)</f>
        <v>0</v>
      </c>
      <c r="AA46" s="57">
        <f t="shared" si="6"/>
        <v>0</v>
      </c>
      <c r="AC46" s="306" t="s">
        <v>265</v>
      </c>
      <c r="AD46" s="4">
        <f>COUNTIFS('Survey Front'!$S$12:$AC$12,$AC46)*2</f>
        <v>0</v>
      </c>
      <c r="AE46" s="4">
        <f>COUNTIFS('Survey Front'!$S$15:$AC$15,$AC46)*2</f>
        <v>0</v>
      </c>
      <c r="AF46" s="4">
        <f>COUNTIFS('Survey Front'!$S$18:$AC$18,$AC46)*2</f>
        <v>0</v>
      </c>
      <c r="AG46" s="4">
        <f>COUNTIFS('Survey Front'!$S$21:$AC$21,$AC46)*2</f>
        <v>0</v>
      </c>
      <c r="AH46" s="4">
        <f>COUNTIFS('Survey Front'!$S$24:$AC$24,$AC46)*2</f>
        <v>0</v>
      </c>
      <c r="AI46" s="4">
        <f>COUNTIFS('Survey Front'!$S$27:$AC$27,$AC46)*2</f>
        <v>0</v>
      </c>
      <c r="AJ46" s="4">
        <f>COUNTIFS('Survey Front'!$S$30:$AC$30,$AC46)*2</f>
        <v>0</v>
      </c>
      <c r="AK46" s="4">
        <f>COUNTIFS('Survey Front'!$S$33:$AC$33,$AC46)*2</f>
        <v>0</v>
      </c>
      <c r="AL46" s="4">
        <f>COUNTIFS('Survey Front'!$S$36:$AC$36,$AC46)*2</f>
        <v>0</v>
      </c>
      <c r="AM46" s="4">
        <f>COUNTIFS('Survey Front'!$S$39:$AC$39,$AC46)*2</f>
        <v>0</v>
      </c>
      <c r="AN46" s="4">
        <f>COUNTIFS('Survey Front'!$S$42:$AC$42,$AC46)*2</f>
        <v>0</v>
      </c>
      <c r="AO46" s="4">
        <f>COUNTIFS('Survey Front'!$S$45:$AC$45,$AC46)*2</f>
        <v>0</v>
      </c>
      <c r="AP46" s="4">
        <f>COUNTIFS('Survey Front'!$S$48:$AC$48,$AC46)*2</f>
        <v>0</v>
      </c>
      <c r="AQ46" s="4">
        <f>COUNTIFS('Survey Front'!$S$51:$AC$51,$AC46)*2</f>
        <v>0</v>
      </c>
      <c r="AR46" s="4">
        <f>COUNTIFS('Survey Front'!$S$54:$AC$54,$AC46)*2</f>
        <v>0</v>
      </c>
      <c r="AS46" s="306" t="s">
        <v>265</v>
      </c>
    </row>
    <row r="47" spans="2:46" x14ac:dyDescent="0.2">
      <c r="K47" s="60" t="s">
        <v>47</v>
      </c>
      <c r="L47" s="61">
        <f>IF(K47=Pricing!$E$8,($L$45+($C4*$N$68))+AA69+W69,)</f>
        <v>0</v>
      </c>
      <c r="M47" s="61">
        <f>IF(K47=Pricing!$E$11,($M$45+($C4*$N$69))+AA69+W69,)</f>
        <v>0</v>
      </c>
      <c r="N47" s="61">
        <f>IF(K47=Pricing!$E$14,($N$45+($C4*$N$70))+AA71+W71,)</f>
        <v>0</v>
      </c>
      <c r="O47" s="61">
        <f>IF(K47=Pricing!$E$17,($O$45+($C4*$N$71))+AA72+W72,)</f>
        <v>0</v>
      </c>
      <c r="P47" s="61">
        <f>IF(K47=Pricing!$E$20,($P$45+($C4*$N$72))+AA73+W73,)</f>
        <v>0</v>
      </c>
      <c r="Q47" s="61">
        <f>IF(K47=Pricing!$E$23,($L$45+($C4*$N$73))+AA74+W74,)</f>
        <v>0</v>
      </c>
      <c r="R47" s="61">
        <f>IF(K47=Pricing!$E$26,($R$45+($C4*$N$74))+AA75+W75,)</f>
        <v>0</v>
      </c>
      <c r="S47" s="61">
        <f>IF(K47=Pricing!$E$29,($S$45+($C4*$N$75))+AA76+W76,)</f>
        <v>0</v>
      </c>
      <c r="T47" s="61">
        <f>IF(K47=Pricing!$E$32,($T$45+($C4*$N$76))+AA76+W76,)</f>
        <v>0</v>
      </c>
      <c r="U47" s="61">
        <f>IF(K47=Pricing!$E$35,($U$45+($C4*$N$77))+AA77+W77,)</f>
        <v>0</v>
      </c>
      <c r="V47" s="61">
        <f>IF(K47=Pricing!$E$38,($V$45+($C4*$N$78))+AA78+W78,)</f>
        <v>0</v>
      </c>
      <c r="W47" s="61">
        <f>IF(K47=Pricing!$E$44,($W$44+($C4*$N$79))+AA79+W79,)</f>
        <v>0</v>
      </c>
      <c r="X47" s="61">
        <f>IF(K47=Pricing!$E$44,($X$45+($C4*$N$80))+AA80+W80,)</f>
        <v>0</v>
      </c>
      <c r="Y47" s="61">
        <f>IF(K47=Pricing!$E$47,($Y$45+($C4*$N$81))+AA81+W81,)</f>
        <v>0</v>
      </c>
      <c r="Z47" s="61">
        <f>IF(K47=Pricing!$E$50,($Z$45+($C4*$N$82))+AA82+W82,)</f>
        <v>0</v>
      </c>
      <c r="AA47" s="57">
        <f t="shared" si="6"/>
        <v>0</v>
      </c>
      <c r="AC47" s="305" t="s">
        <v>268</v>
      </c>
      <c r="AD47" s="4">
        <f>COUNTIFS('Survey Front'!$S$12:$AC$12,$AC47)*2</f>
        <v>0</v>
      </c>
      <c r="AE47" s="4">
        <f>COUNTIFS('Survey Front'!$S$15:$AC$15,$AC47)*2</f>
        <v>0</v>
      </c>
      <c r="AF47" s="4">
        <f>COUNTIFS('Survey Front'!$S$18:$AC$18,$AC47)*2</f>
        <v>0</v>
      </c>
      <c r="AG47" s="4">
        <f>COUNTIFS('Survey Front'!$S$21:$AC$21,$AC47)*2</f>
        <v>0</v>
      </c>
      <c r="AH47" s="4">
        <f>COUNTIFS('Survey Front'!$S$24:$AC$24,$AC47)*2</f>
        <v>0</v>
      </c>
      <c r="AI47" s="4">
        <f>COUNTIFS('Survey Front'!$S$27:$AC$27,$AC47)*2</f>
        <v>0</v>
      </c>
      <c r="AJ47" s="4">
        <f>COUNTIFS('Survey Front'!$S$30:$AC$30,$AC47)*2</f>
        <v>0</v>
      </c>
      <c r="AK47" s="4">
        <f>COUNTIFS('Survey Front'!$S$33:$AC$33,$AC47)*2</f>
        <v>0</v>
      </c>
      <c r="AL47" s="4">
        <f>COUNTIFS('Survey Front'!$S$36:$AC$36,$AC47)*2</f>
        <v>0</v>
      </c>
      <c r="AM47" s="4">
        <f>COUNTIFS('Survey Front'!$S$39:$AC$39,$AC47)*2</f>
        <v>0</v>
      </c>
      <c r="AN47" s="4">
        <f>COUNTIFS('Survey Front'!$S$42:$AC$42,$AC47)*2</f>
        <v>0</v>
      </c>
      <c r="AO47" s="4">
        <f>COUNTIFS('Survey Front'!$S$45:$AC$45,$AC47)*2</f>
        <v>0</v>
      </c>
      <c r="AP47" s="4">
        <f>COUNTIFS('Survey Front'!$S$48:$AC$48,$AC47)*2</f>
        <v>0</v>
      </c>
      <c r="AQ47" s="4">
        <f>COUNTIFS('Survey Front'!$S$51:$AC$51,$AC47)*2</f>
        <v>0</v>
      </c>
      <c r="AR47" s="4">
        <f>COUNTIFS('Survey Front'!$S$54:$AC$54,$AC47)*2</f>
        <v>0</v>
      </c>
      <c r="AS47" s="305" t="s">
        <v>268</v>
      </c>
    </row>
    <row r="48" spans="2:46" x14ac:dyDescent="0.2">
      <c r="K48" s="60" t="s">
        <v>49</v>
      </c>
      <c r="L48" s="61">
        <f>IF(K48=Pricing!$E$8,($L$45+($C5*$N$68))+AA70+W70,)</f>
        <v>0</v>
      </c>
      <c r="M48" s="61">
        <f>IF(K48=Pricing!$E$11,($M$45+($C5*$N$69))+AA69+W69,)</f>
        <v>0</v>
      </c>
      <c r="N48" s="61">
        <f>IF(K48=Pricing!$E$14,($N$45+($C5*$N$70))+AA70+W70,)</f>
        <v>0</v>
      </c>
      <c r="O48" s="61">
        <f>IF(K48=Pricing!$E$17,($O$45+($C5*$N$71))+AA71+W71,)</f>
        <v>0</v>
      </c>
      <c r="P48" s="61">
        <f>IF(K48=Pricing!$E$20,($P$45+($C5*$N$72))+AA72+W72,)</f>
        <v>0</v>
      </c>
      <c r="Q48" s="61">
        <f>IF(K48=Pricing!$E$23,($L$45+($C5*$N$73))+AA73+W73,)</f>
        <v>0</v>
      </c>
      <c r="R48" s="61">
        <f>IF(K48=Pricing!$E$26,($R$45+($C5*$N$74))+AA74+W74,)</f>
        <v>0</v>
      </c>
      <c r="S48" s="61">
        <f>IF(K48=Pricing!$E$29,($S$45+($C5*$N$75))+AA77+W77,)</f>
        <v>0</v>
      </c>
      <c r="T48" s="61">
        <f>IF(K48=Pricing!$E$32,($T$45+($C5*$N$76))+AA76+W76,)</f>
        <v>0</v>
      </c>
      <c r="U48" s="61">
        <f>IF(K48=Pricing!$E$35,($U$45+($C5*$N$77))+AA77+W77,)</f>
        <v>0</v>
      </c>
      <c r="V48" s="61">
        <f>IF(K48=Pricing!$E$38,($V$45+($C5*$N$78))+AA78+W78,)</f>
        <v>0</v>
      </c>
      <c r="W48" s="61">
        <f>IF(K48=Pricing!$E$41,($W$45+($C5*$N$79))+AA79+W79,)</f>
        <v>0</v>
      </c>
      <c r="X48" s="61">
        <f>IF(K48=Pricing!$E$44,($X$45+($C5*$N$80))+AA80+W80,)</f>
        <v>0</v>
      </c>
      <c r="Y48" s="61">
        <f>IF(K48=Pricing!$E$47,($Y$45+($C5*$N$81))+AA81+W81,)</f>
        <v>0</v>
      </c>
      <c r="Z48" s="61">
        <f>IF(K48=Pricing!$E$50,($Z$45+($C5*$N$82))+AA82+W82,)</f>
        <v>0</v>
      </c>
      <c r="AA48" s="57">
        <f t="shared" si="6"/>
        <v>0</v>
      </c>
      <c r="AC48" s="306" t="s">
        <v>270</v>
      </c>
      <c r="AD48" s="4">
        <f>COUNTIFS('Survey Front'!$S$12:$AC$12,$AC48)*2</f>
        <v>0</v>
      </c>
      <c r="AE48" s="4">
        <f>COUNTIFS('Survey Front'!$S$15:$AC$15,$AC48)*2</f>
        <v>0</v>
      </c>
      <c r="AF48" s="4">
        <f>COUNTIFS('Survey Front'!$S$18:$AC$18,$AC48)*2</f>
        <v>0</v>
      </c>
      <c r="AG48" s="4">
        <f>COUNTIFS('Survey Front'!$S$21:$AC$21,$AC48)*2</f>
        <v>0</v>
      </c>
      <c r="AH48" s="4">
        <f>COUNTIFS('Survey Front'!$S$24:$AC$24,$AC48)*2</f>
        <v>0</v>
      </c>
      <c r="AI48" s="4">
        <f>COUNTIFS('Survey Front'!$S$27:$AC$27,$AC48)*2</f>
        <v>0</v>
      </c>
      <c r="AJ48" s="4">
        <f>COUNTIFS('Survey Front'!$S$30:$AC$30,$AC48)*2</f>
        <v>0</v>
      </c>
      <c r="AK48" s="4">
        <f>COUNTIFS('Survey Front'!$S$33:$AC$33,$AC48)*2</f>
        <v>0</v>
      </c>
      <c r="AL48" s="4">
        <f>COUNTIFS('Survey Front'!$S$36:$AC$36,$AC48)*2</f>
        <v>0</v>
      </c>
      <c r="AM48" s="4">
        <f>COUNTIFS('Survey Front'!$S$39:$AC$39,$AC48)*2</f>
        <v>0</v>
      </c>
      <c r="AN48" s="4">
        <f>COUNTIFS('Survey Front'!$S$42:$AC$42,$AC48)*2</f>
        <v>0</v>
      </c>
      <c r="AO48" s="4">
        <f>COUNTIFS('Survey Front'!$S$45:$AC$45,$AC48)*2</f>
        <v>0</v>
      </c>
      <c r="AP48" s="4">
        <f>COUNTIFS('Survey Front'!$S$48:$AC$48,$AC48)*2</f>
        <v>0</v>
      </c>
      <c r="AQ48" s="4">
        <f>COUNTIFS('Survey Front'!$S$51:$AC$51,$AC48)*2</f>
        <v>0</v>
      </c>
      <c r="AR48" s="4">
        <f>COUNTIFS('Survey Front'!$S$54:$AC$54,$AC48)*2</f>
        <v>0</v>
      </c>
      <c r="AS48" s="306" t="s">
        <v>270</v>
      </c>
    </row>
    <row r="49" spans="11:45" x14ac:dyDescent="0.2">
      <c r="K49" s="60" t="s">
        <v>51</v>
      </c>
      <c r="L49" s="61">
        <f>IF(K49=Pricing!$E$8,($L$45+($C6*$N$68))+AA71+W71,)</f>
        <v>0</v>
      </c>
      <c r="M49" s="61">
        <f>IF(K49=Pricing!$E$11,($M$45+($C6*$N$69))+AA69+W69,)</f>
        <v>0</v>
      </c>
      <c r="N49" s="61">
        <f>IF(K49=Pricing!$E$14,($N$45+($C6*$N$70))+AA70+W70,)</f>
        <v>0</v>
      </c>
      <c r="O49" s="61">
        <f>IF(K49=Pricing!$E$17,($O$45+($C6*$N$71))+AA71+W71,)</f>
        <v>0</v>
      </c>
      <c r="P49" s="61">
        <f>IF(K49=Pricing!$E$20,($P$45+($C6*$N$72))+AA72+W72,)</f>
        <v>0</v>
      </c>
      <c r="Q49" s="61">
        <f>IF(K49=Pricing!$E$23,($L$45+($C6*$N$73))+AA73+W73,)</f>
        <v>0</v>
      </c>
      <c r="R49" s="61">
        <f>IF(K49=Pricing!$E$26,($R$45+($C6*$N$74))+AA74+W74,)</f>
        <v>0</v>
      </c>
      <c r="S49" s="61">
        <f>IF(K49=Pricing!$E$29,($S$45+($C6*$N$75))+AA78+W78,)</f>
        <v>0</v>
      </c>
      <c r="T49" s="61">
        <f>IF(K49=Pricing!$E$32,($T$45+($C6*$N$76))+AA76+W76,)</f>
        <v>0</v>
      </c>
      <c r="U49" s="61">
        <f>IF(K49=Pricing!$E$35,($U$45+($C6*$N$77))+AA77+W77,)</f>
        <v>0</v>
      </c>
      <c r="V49" s="61">
        <f>IF(K49=Pricing!$E$38,($V$45+($C6*$N$78))+AA78+W78,)</f>
        <v>0</v>
      </c>
      <c r="W49" s="61">
        <f>IF(K49=Pricing!$E$41,($W$45+($C6*$N$79))+AA79+W79,)</f>
        <v>0</v>
      </c>
      <c r="X49" s="61">
        <f>IF(K49=Pricing!$E$44,($X$45+($C6*$N$80))+AA80+W80,)</f>
        <v>0</v>
      </c>
      <c r="Y49" s="61">
        <f>IF(K49=Pricing!$E$47,($Y$45+($C6*$N$81))+AA81+W81,)</f>
        <v>0</v>
      </c>
      <c r="Z49" s="61">
        <f>IF(K49=Pricing!$E$50,($Z$45+($C6*$N$82))+AA82+W82,)</f>
        <v>0</v>
      </c>
      <c r="AA49" s="57">
        <f t="shared" si="6"/>
        <v>0</v>
      </c>
      <c r="AC49" s="305" t="s">
        <v>274</v>
      </c>
      <c r="AD49" s="4">
        <f>COUNTIFS('Survey Front'!$S$12:$AC$12,$AC49)*2</f>
        <v>0</v>
      </c>
      <c r="AE49" s="4">
        <f>COUNTIFS('Survey Front'!$S$15:$AC$15,$AC49)*2</f>
        <v>0</v>
      </c>
      <c r="AF49" s="4">
        <f>COUNTIFS('Survey Front'!$S$18:$AC$18,$AC49)*2</f>
        <v>0</v>
      </c>
      <c r="AG49" s="4">
        <f>COUNTIFS('Survey Front'!$S$21:$AC$21,$AC49)*2</f>
        <v>0</v>
      </c>
      <c r="AH49" s="4">
        <f>COUNTIFS('Survey Front'!$S$24:$AC$24,$AC49)*2</f>
        <v>0</v>
      </c>
      <c r="AI49" s="4">
        <f>COUNTIFS('Survey Front'!$S$27:$AC$27,$AC49)*2</f>
        <v>0</v>
      </c>
      <c r="AJ49" s="4">
        <f>COUNTIFS('Survey Front'!$S$30:$AC$30,$AC49)*2</f>
        <v>0</v>
      </c>
      <c r="AK49" s="4">
        <f>COUNTIFS('Survey Front'!$S$33:$AC$33,$AC49)*2</f>
        <v>0</v>
      </c>
      <c r="AL49" s="4">
        <f>COUNTIFS('Survey Front'!$S$36:$AC$36,$AC49)*2</f>
        <v>0</v>
      </c>
      <c r="AM49" s="4">
        <f>COUNTIFS('Survey Front'!$S$39:$AC$39,$AC49)*2</f>
        <v>0</v>
      </c>
      <c r="AN49" s="4">
        <f>COUNTIFS('Survey Front'!$S$42:$AC$42,$AC49)*2</f>
        <v>0</v>
      </c>
      <c r="AO49" s="4">
        <f>COUNTIFS('Survey Front'!$S$45:$AC$45,$AC49)*2</f>
        <v>0</v>
      </c>
      <c r="AP49" s="4">
        <f>COUNTIFS('Survey Front'!$S$48:$AC$48,$AC49)*2</f>
        <v>0</v>
      </c>
      <c r="AQ49" s="4">
        <f>COUNTIFS('Survey Front'!$S$51:$AC$51,$AC49)*2</f>
        <v>0</v>
      </c>
      <c r="AR49" s="4">
        <f>COUNTIFS('Survey Front'!$S$54:$AC$54,$AC49)*2</f>
        <v>0</v>
      </c>
      <c r="AS49" s="305" t="s">
        <v>274</v>
      </c>
    </row>
    <row r="50" spans="11:45" x14ac:dyDescent="0.2">
      <c r="K50" s="60" t="s">
        <v>55</v>
      </c>
      <c r="L50" s="61">
        <f>IF(K50=Pricing!$E$8,($L$45+($C7*$N$68))+AA72+W72,)</f>
        <v>0</v>
      </c>
      <c r="M50" s="61">
        <f>IF(K50=Pricing!$E$11,($M$45+($C7*$N$69))+AA69+W69,)</f>
        <v>0</v>
      </c>
      <c r="N50" s="61">
        <f>IF(K50=Pricing!$E$14,($N$45+($C7*$N$70))+AA70+W70,)</f>
        <v>0</v>
      </c>
      <c r="O50" s="61">
        <f>IF(K50=Pricing!$E$17,($O$45+($C7*$N$71))+AA71+W71,)</f>
        <v>0</v>
      </c>
      <c r="P50" s="61">
        <f>IF(K50=Pricing!$E$20,($P$45+($C7*$N$72))+AA72+W72,)</f>
        <v>0</v>
      </c>
      <c r="Q50" s="61">
        <f>IF(K50=Pricing!$E$23,($L$45+($C7*$N$73))+AA73+W73,)</f>
        <v>0</v>
      </c>
      <c r="R50" s="61">
        <f>IF(K50=Pricing!$E$26,($R$45+($C7*$N$74))+AA74+W74,)</f>
        <v>0</v>
      </c>
      <c r="S50" s="61">
        <f>IF(K50=Pricing!$E$29,($S$45+($C7*$N$75))+AA79+W79,)</f>
        <v>0</v>
      </c>
      <c r="T50" s="61">
        <f>IF(K50=Pricing!$E$32,($T$45+($C7*$N$76))+AA76+W76,)</f>
        <v>0</v>
      </c>
      <c r="U50" s="61">
        <f>IF(K50=Pricing!$E$35,($U$45+($C7*$N$77))+AA77+W77,)</f>
        <v>0</v>
      </c>
      <c r="V50" s="61">
        <f>IF(K50=Pricing!$E$38,($V$45+($C7*$N$78))+AA78+W78,)</f>
        <v>0</v>
      </c>
      <c r="W50" s="61">
        <f>IF(K50=Pricing!$E$41,($W$45+($C7*$N$79))+AA79+W79,)</f>
        <v>0</v>
      </c>
      <c r="X50" s="61">
        <f>IF(K50=Pricing!$E$44,($X$45+($C7*$N$80))+AA80+W80,)</f>
        <v>0</v>
      </c>
      <c r="Y50" s="61">
        <f>IF(K50=Pricing!$E$47,($Y$45+($C7*$N$81))+AA81+W81,)</f>
        <v>0</v>
      </c>
      <c r="Z50" s="61">
        <f>IF(K50=Pricing!$E$50,($Z$45+($C7*$N$82))+AA82+W82,)</f>
        <v>0</v>
      </c>
      <c r="AA50" s="57">
        <f t="shared" si="6"/>
        <v>0</v>
      </c>
      <c r="AB50" s="121" t="s">
        <v>277</v>
      </c>
      <c r="AC50" s="306" t="s">
        <v>278</v>
      </c>
      <c r="AD50" s="4">
        <f>COUNTIFS('Survey Front'!$S$12:$AC$12,$AC50)*2</f>
        <v>0</v>
      </c>
      <c r="AE50" s="4">
        <f>COUNTIFS('Survey Front'!$S$15:$AC$15,$AC50)*2</f>
        <v>0</v>
      </c>
      <c r="AF50" s="4">
        <f>COUNTIFS('Survey Front'!$S$18:$AC$18,$AC50)*2</f>
        <v>0</v>
      </c>
      <c r="AG50" s="4">
        <f>COUNTIFS('Survey Front'!$S$21:$AC$21,$AC50)*2</f>
        <v>0</v>
      </c>
      <c r="AH50" s="4">
        <f>COUNTIFS('Survey Front'!$S$24:$AC$24,$AC50)*2</f>
        <v>0</v>
      </c>
      <c r="AI50" s="4">
        <f>COUNTIFS('Survey Front'!$S$27:$AC$27,$AC50)*2</f>
        <v>0</v>
      </c>
      <c r="AJ50" s="4">
        <f>COUNTIFS('Survey Front'!$S$30:$AC$30,$AC50)*2</f>
        <v>0</v>
      </c>
      <c r="AK50" s="4">
        <f>COUNTIFS('Survey Front'!$S$33:$AC$33,$AC50)*2</f>
        <v>0</v>
      </c>
      <c r="AL50" s="4">
        <f>COUNTIFS('Survey Front'!$S$36:$AC$36,$AC50)*2</f>
        <v>0</v>
      </c>
      <c r="AM50" s="4">
        <f>COUNTIFS('Survey Front'!$S$39:$AC$39,$AC50)*2</f>
        <v>0</v>
      </c>
      <c r="AN50" s="4">
        <f>COUNTIFS('Survey Front'!$S$42:$AC$42,$AC50)*2</f>
        <v>0</v>
      </c>
      <c r="AO50" s="4">
        <f>COUNTIFS('Survey Front'!$S$45:$AC$45,$AC50)*2</f>
        <v>0</v>
      </c>
      <c r="AP50" s="4">
        <f>COUNTIFS('Survey Front'!$S$48:$AC$48,$AC50)*2</f>
        <v>0</v>
      </c>
      <c r="AQ50" s="4">
        <f>COUNTIFS('Survey Front'!$S$51:$AC$51,$AC50)*2</f>
        <v>0</v>
      </c>
      <c r="AR50" s="4">
        <f>COUNTIFS('Survey Front'!$S$54:$AC$54,$AC50)*2</f>
        <v>0</v>
      </c>
      <c r="AS50" s="306" t="s">
        <v>278</v>
      </c>
    </row>
    <row r="51" spans="11:45" x14ac:dyDescent="0.2">
      <c r="K51" s="60" t="s">
        <v>791</v>
      </c>
      <c r="L51" s="61">
        <f>IF(K51=Pricing!$E$8,($L$45+($F18*$N$68))+AA73+W73,)</f>
        <v>0</v>
      </c>
      <c r="M51" s="61">
        <f>IF(K51=Pricing!$E$11,($M$45+($F18*$N$69))+AA69+W69,)</f>
        <v>0</v>
      </c>
      <c r="N51" s="61">
        <f>IF(K51=Pricing!$E$14,($N$45+($F18*$N$70))+AA70+W70,)</f>
        <v>0</v>
      </c>
      <c r="O51" s="61">
        <f>IF(K51=Pricing!$E$17,($O$45+($F18*$N$71))+AA71+W71,)</f>
        <v>0</v>
      </c>
      <c r="P51" s="61">
        <f>IF(K51=Pricing!$E$20,($P$45+($F18*$N$72))+AA72+W72,)</f>
        <v>0</v>
      </c>
      <c r="Q51" s="61">
        <f>IF(K51=Pricing!$E$23,($L$45+($F18*$N$73))+AA73+W73,)</f>
        <v>0</v>
      </c>
      <c r="R51" s="61">
        <f>IF(K51=Pricing!$E$26,($R$45+($F18*$N$74))+AA74+W74,)</f>
        <v>0</v>
      </c>
      <c r="S51" s="61">
        <f>IF(K51=Pricing!$E$29,($S$45+($F18*$N$75))+AA80+W80,)</f>
        <v>0</v>
      </c>
      <c r="T51" s="61">
        <f>IF(K51=Pricing!$E$32,($T$45+($F18*$N$76))+AA76+W76,)</f>
        <v>0</v>
      </c>
      <c r="U51" s="61">
        <f>IF(K51=Pricing!$E$35,($U$45+($F18*$N$77))+AA77+W77,)</f>
        <v>0</v>
      </c>
      <c r="V51" s="61">
        <f>IF(K51=Pricing!$E$38,($V$45+($F18*$N$78))+AA78+W78,)</f>
        <v>0</v>
      </c>
      <c r="W51" s="61">
        <f>IF(K51=Pricing!$E$41,($W$45+($F18*$N$79))+AA79+W79,)</f>
        <v>0</v>
      </c>
      <c r="X51" s="61">
        <f>IF(K51=Pricing!$E$44,($X$45+($F18*$N$80))+AA80+W80,)</f>
        <v>0</v>
      </c>
      <c r="Y51" s="61">
        <f>IF(K51=Pricing!$E$47,($Y$45+($F18*$N$81))+AA81+W81,)</f>
        <v>0</v>
      </c>
      <c r="Z51" s="61">
        <f>IF(K51=Pricing!$E$50,($Z$45+($F18*$N$82))+AA82+W82,)</f>
        <v>0</v>
      </c>
      <c r="AA51" s="57">
        <f t="shared" ref="AA51:AA52" si="7">SUM(L51:Z51)</f>
        <v>0</v>
      </c>
      <c r="AB51" s="57">
        <f>AA57*(1-5%)</f>
        <v>0</v>
      </c>
      <c r="AC51" s="305" t="s">
        <v>281</v>
      </c>
      <c r="AD51" s="4">
        <f>COUNTIFS('Survey Front'!$S$12:$AC$12,$AC51)*2</f>
        <v>0</v>
      </c>
      <c r="AE51" s="4">
        <f>COUNTIFS('Survey Front'!$S$15:$AC$15,$AC51)*2</f>
        <v>0</v>
      </c>
      <c r="AF51" s="4">
        <f>COUNTIFS('Survey Front'!$S$18:$AC$18,$AC51)*2</f>
        <v>0</v>
      </c>
      <c r="AG51" s="4">
        <f>COUNTIFS('Survey Front'!$S$21:$AC$21,$AC51)*2</f>
        <v>0</v>
      </c>
      <c r="AH51" s="4">
        <f>COUNTIFS('Survey Front'!$S$24:$AC$24,$AC51)*2</f>
        <v>0</v>
      </c>
      <c r="AI51" s="4">
        <f>COUNTIFS('Survey Front'!$S$27:$AC$27,$AC51)*2</f>
        <v>0</v>
      </c>
      <c r="AJ51" s="4">
        <f>COUNTIFS('Survey Front'!$S$30:$AC$30,$AC51)*2</f>
        <v>0</v>
      </c>
      <c r="AK51" s="4">
        <f>COUNTIFS('Survey Front'!$S$33:$AC$33,$AC51)*2</f>
        <v>0</v>
      </c>
      <c r="AL51" s="4">
        <f>COUNTIFS('Survey Front'!$S$36:$AC$36,$AC51)*2</f>
        <v>0</v>
      </c>
      <c r="AM51" s="4">
        <f>COUNTIFS('Survey Front'!$S$39:$AC$39,$AC51)*2</f>
        <v>0</v>
      </c>
      <c r="AN51" s="4">
        <f>COUNTIFS('Survey Front'!$S$42:$AC$42,$AC51)*2</f>
        <v>0</v>
      </c>
      <c r="AO51" s="4">
        <f>COUNTIFS('Survey Front'!$S$45:$AC$45,$AC51)*2</f>
        <v>0</v>
      </c>
      <c r="AP51" s="4">
        <f>COUNTIFS('Survey Front'!$S$48:$AC$48,$AC51)*2</f>
        <v>0</v>
      </c>
      <c r="AQ51" s="4">
        <f>COUNTIFS('Survey Front'!$S$51:$AC$51,$AC51)*2</f>
        <v>0</v>
      </c>
      <c r="AR51" s="4">
        <f>COUNTIFS('Survey Front'!$S$54:$AC$54,$AC51)*2</f>
        <v>0</v>
      </c>
      <c r="AS51" s="305" t="s">
        <v>281</v>
      </c>
    </row>
    <row r="52" spans="11:45" x14ac:dyDescent="0.2">
      <c r="K52" s="60" t="s">
        <v>792</v>
      </c>
      <c r="L52" s="61">
        <f>IF(K52=Pricing!$E$8,($L$45+($F19*$N$68))+AA74+W74,)</f>
        <v>0</v>
      </c>
      <c r="M52" s="61">
        <f>IF(K52=Pricing!$E$11,($M$45+($F19*$N$69))+AA69+W69,)</f>
        <v>0</v>
      </c>
      <c r="N52" s="61">
        <f>IF(K52=Pricing!$E$14,($N$45+($F19*$N$70))+AA70+W70,)</f>
        <v>0</v>
      </c>
      <c r="O52" s="61">
        <f>IF(K52=Pricing!$E$17,($O$45+($F19*$N$71))+AA71+W71,)</f>
        <v>0</v>
      </c>
      <c r="P52" s="61">
        <f>IF(K52=Pricing!$E$20,($P$45+($F19*$N$72))+AA72+W72,)</f>
        <v>0</v>
      </c>
      <c r="Q52" s="61">
        <f>IF(K52=Pricing!$E$23,($L$45+($F19*$N$73))+AA73+W73,)</f>
        <v>0</v>
      </c>
      <c r="R52" s="61">
        <f>IF(K52=Pricing!$E$26,($R$45+($F19*$N$74))+AA74+W74,)</f>
        <v>0</v>
      </c>
      <c r="S52" s="61">
        <f>IF(K52=Pricing!$E$29,($S$45+($F19*$N$75))+AA81+W81,)</f>
        <v>0</v>
      </c>
      <c r="T52" s="61">
        <f>IF(K52=Pricing!$E$32,($T$45+($F19*$N$76))+AA76+W76,)</f>
        <v>0</v>
      </c>
      <c r="U52" s="61">
        <f>IF(K52=Pricing!$E$35,($U$45+($F19*$N$77))+AA77+W77,)</f>
        <v>0</v>
      </c>
      <c r="V52" s="61">
        <f>IF(K52=Pricing!$E$38,($V$45+($F19*$N$78))+AA78+W78,)</f>
        <v>0</v>
      </c>
      <c r="W52" s="61">
        <f>IF(K52=Pricing!$E$41,($W$45+($F19*$N$79))+AA79+W79,)</f>
        <v>0</v>
      </c>
      <c r="X52" s="61">
        <f>IF(K52=Pricing!$E$44,($X$45+($F19*$N$80))+AA80+W80,)</f>
        <v>0</v>
      </c>
      <c r="Y52" s="61">
        <f>IF(K52=Pricing!$E$47,($Y$45+($F19*$N$81))+AA81+W81,)</f>
        <v>0</v>
      </c>
      <c r="Z52" s="61">
        <f>IF(K52=Pricing!$E$50,($Z$45+($F19*$N$82))+AA82+W82,)</f>
        <v>0</v>
      </c>
      <c r="AA52" s="57">
        <f t="shared" si="7"/>
        <v>0</v>
      </c>
      <c r="AC52" s="306" t="s">
        <v>285</v>
      </c>
      <c r="AD52" s="4">
        <f>COUNTIFS('Survey Front'!$S$12:$AC$12,$AC52)*2</f>
        <v>0</v>
      </c>
      <c r="AE52" s="4">
        <f>COUNTIFS('Survey Front'!$S$15:$AC$15,$AC52)*2</f>
        <v>0</v>
      </c>
      <c r="AF52" s="4">
        <f>COUNTIFS('Survey Front'!$S$18:$AC$18,$AC52)*2</f>
        <v>0</v>
      </c>
      <c r="AG52" s="4">
        <f>COUNTIFS('Survey Front'!$S$21:$AC$21,$AC52)*2</f>
        <v>0</v>
      </c>
      <c r="AH52" s="4">
        <f>COUNTIFS('Survey Front'!$S$24:$AC$24,$AC52)*2</f>
        <v>0</v>
      </c>
      <c r="AI52" s="4">
        <f>COUNTIFS('Survey Front'!$S$27:$AC$27,$AC52)*2</f>
        <v>0</v>
      </c>
      <c r="AJ52" s="4">
        <f>COUNTIFS('Survey Front'!$S$30:$AC$30,$AC52)*2</f>
        <v>0</v>
      </c>
      <c r="AK52" s="4">
        <f>COUNTIFS('Survey Front'!$S$33:$AC$33,$AC52)*2</f>
        <v>0</v>
      </c>
      <c r="AL52" s="4">
        <f>COUNTIFS('Survey Front'!$S$36:$AC$36,$AC52)*2</f>
        <v>0</v>
      </c>
      <c r="AM52" s="4">
        <f>COUNTIFS('Survey Front'!$S$39:$AC$39,$AC52)*2</f>
        <v>0</v>
      </c>
      <c r="AN52" s="4">
        <f>COUNTIFS('Survey Front'!$S$42:$AC$42,$AC52)*2</f>
        <v>0</v>
      </c>
      <c r="AO52" s="4">
        <f>COUNTIFS('Survey Front'!$S$45:$AC$45,$AC52)*2</f>
        <v>0</v>
      </c>
      <c r="AP52" s="4">
        <f>COUNTIFS('Survey Front'!$S$48:$AC$48,$AC52)*2</f>
        <v>0</v>
      </c>
      <c r="AQ52" s="4">
        <f>COUNTIFS('Survey Front'!$S$51:$AC$51,$AC52)*2</f>
        <v>0</v>
      </c>
      <c r="AR52" s="4">
        <f>COUNTIFS('Survey Front'!$S$54:$AC$54,$AC52)*2</f>
        <v>0</v>
      </c>
      <c r="AS52" s="306" t="s">
        <v>285</v>
      </c>
    </row>
    <row r="53" spans="11:45" x14ac:dyDescent="0.2">
      <c r="AC53" s="305" t="s">
        <v>288</v>
      </c>
      <c r="AD53" s="4">
        <f>COUNTIFS('Survey Front'!$S$12:$AC$12,$AC53)*2</f>
        <v>0</v>
      </c>
      <c r="AE53" s="4">
        <f>COUNTIFS('Survey Front'!$S$15:$AC$15,$AC53)*2</f>
        <v>0</v>
      </c>
      <c r="AF53" s="4">
        <f>COUNTIFS('Survey Front'!$S$18:$AC$18,$AC53)*2</f>
        <v>0</v>
      </c>
      <c r="AG53" s="4">
        <f>COUNTIFS('Survey Front'!$S$21:$AC$21,$AC53)*2</f>
        <v>0</v>
      </c>
      <c r="AH53" s="4">
        <f>COUNTIFS('Survey Front'!$S$24:$AC$24,$AC53)*2</f>
        <v>0</v>
      </c>
      <c r="AI53" s="4">
        <f>COUNTIFS('Survey Front'!$S$27:$AC$27,$AC53)*2</f>
        <v>0</v>
      </c>
      <c r="AJ53" s="4">
        <f>COUNTIFS('Survey Front'!$S$30:$AC$30,$AC53)*2</f>
        <v>0</v>
      </c>
      <c r="AK53" s="4">
        <f>COUNTIFS('Survey Front'!$S$33:$AC$33,$AC53)*2</f>
        <v>0</v>
      </c>
      <c r="AL53" s="4">
        <f>COUNTIFS('Survey Front'!$S$36:$AC$36,$AC53)*2</f>
        <v>0</v>
      </c>
      <c r="AM53" s="4">
        <f>COUNTIFS('Survey Front'!$S$39:$AC$39,$AC53)*2</f>
        <v>0</v>
      </c>
      <c r="AN53" s="4">
        <f>COUNTIFS('Survey Front'!$S$42:$AC$42,$AC53)*2</f>
        <v>0</v>
      </c>
      <c r="AO53" s="4">
        <f>COUNTIFS('Survey Front'!$S$45:$AC$45,$AC53)*2</f>
        <v>0</v>
      </c>
      <c r="AP53" s="4">
        <f>COUNTIFS('Survey Front'!$S$48:$AC$48,$AC53)*2</f>
        <v>0</v>
      </c>
      <c r="AQ53" s="4">
        <f>COUNTIFS('Survey Front'!$S$51:$AC$51,$AC53)*2</f>
        <v>0</v>
      </c>
      <c r="AR53" s="4">
        <f>COUNTIFS('Survey Front'!$S$54:$AC$54,$AC53)*2</f>
        <v>0</v>
      </c>
      <c r="AS53" s="305" t="s">
        <v>288</v>
      </c>
    </row>
    <row r="54" spans="11:45" x14ac:dyDescent="0.2">
      <c r="AC54" s="306" t="s">
        <v>292</v>
      </c>
      <c r="AD54" s="4">
        <f>COUNTIFS('Survey Front'!$S$12:$AC$12,$AC54)*2</f>
        <v>0</v>
      </c>
      <c r="AE54" s="4">
        <f>COUNTIFS('Survey Front'!$S$15:$AC$15,$AC54)*2</f>
        <v>0</v>
      </c>
      <c r="AF54" s="4">
        <f>COUNTIFS('Survey Front'!$S$18:$AC$18,$AC54)*2</f>
        <v>0</v>
      </c>
      <c r="AG54" s="4">
        <f>COUNTIFS('Survey Front'!$S$21:$AC$21,$AC54)*2</f>
        <v>0</v>
      </c>
      <c r="AH54" s="4">
        <f>COUNTIFS('Survey Front'!$S$24:$AC$24,$AC54)*2</f>
        <v>0</v>
      </c>
      <c r="AI54" s="4">
        <f>COUNTIFS('Survey Front'!$S$27:$AC$27,$AC54)*2</f>
        <v>0</v>
      </c>
      <c r="AJ54" s="4">
        <f>COUNTIFS('Survey Front'!$S$30:$AC$30,$AC54)*2</f>
        <v>0</v>
      </c>
      <c r="AK54" s="4">
        <f>COUNTIFS('Survey Front'!$S$33:$AC$33,$AC54)*2</f>
        <v>0</v>
      </c>
      <c r="AL54" s="4">
        <f>COUNTIFS('Survey Front'!$S$36:$AC$36,$AC54)*2</f>
        <v>0</v>
      </c>
      <c r="AM54" s="4">
        <f>COUNTIFS('Survey Front'!$S$39:$AC$39,$AC54)*2</f>
        <v>0</v>
      </c>
      <c r="AN54" s="4">
        <f>COUNTIFS('Survey Front'!$S$42:$AC$42,$AC54)*2</f>
        <v>0</v>
      </c>
      <c r="AO54" s="4">
        <f>COUNTIFS('Survey Front'!$S$45:$AC$45,$AC54)*2</f>
        <v>0</v>
      </c>
      <c r="AP54" s="4">
        <f>COUNTIFS('Survey Front'!$S$48:$AC$48,$AC54)*2</f>
        <v>0</v>
      </c>
      <c r="AQ54" s="4">
        <f>COUNTIFS('Survey Front'!$S$51:$AC$51,$AC54)*2</f>
        <v>0</v>
      </c>
      <c r="AR54" s="4">
        <f>COUNTIFS('Survey Front'!$S$54:$AC$54,$AC54)*2</f>
        <v>0</v>
      </c>
      <c r="AS54" s="306" t="s">
        <v>292</v>
      </c>
    </row>
    <row r="55" spans="11:45" x14ac:dyDescent="0.2">
      <c r="K55" s="1184" t="s">
        <v>346</v>
      </c>
      <c r="L55" s="1185"/>
      <c r="M55" s="1185"/>
      <c r="N55" s="1185"/>
      <c r="O55" s="1185"/>
      <c r="P55" s="1185"/>
      <c r="Q55" s="1185"/>
      <c r="R55" s="1185"/>
      <c r="S55" s="1185"/>
      <c r="T55" s="1185"/>
      <c r="U55" s="1185"/>
      <c r="V55" s="1185"/>
      <c r="W55" s="1185"/>
      <c r="X55" s="1185"/>
      <c r="Y55" s="1185"/>
      <c r="Z55" s="1185"/>
      <c r="AC55" s="305" t="s">
        <v>295</v>
      </c>
      <c r="AD55" s="4">
        <f>COUNTIFS('Survey Front'!$S$12:$AC$12,$AC55)*2</f>
        <v>0</v>
      </c>
      <c r="AE55" s="4">
        <f>COUNTIFS('Survey Front'!$S$15:$AC$15,$AC55)*2</f>
        <v>0</v>
      </c>
      <c r="AF55" s="4">
        <f>COUNTIFS('Survey Front'!$S$18:$AC$18,$AC55)*2</f>
        <v>0</v>
      </c>
      <c r="AG55" s="4">
        <f>COUNTIFS('Survey Front'!$S$21:$AC$21,$AC55)*2</f>
        <v>0</v>
      </c>
      <c r="AH55" s="4">
        <f>COUNTIFS('Survey Front'!$S$24:$AC$24,$AC55)*2</f>
        <v>0</v>
      </c>
      <c r="AI55" s="4">
        <f>COUNTIFS('Survey Front'!$S$27:$AC$27,$AC55)*2</f>
        <v>0</v>
      </c>
      <c r="AJ55" s="4">
        <f>COUNTIFS('Survey Front'!$S$30:$AC$30,$AC55)*2</f>
        <v>0</v>
      </c>
      <c r="AK55" s="4">
        <f>COUNTIFS('Survey Front'!$S$33:$AC$33,$AC55)*2</f>
        <v>0</v>
      </c>
      <c r="AL55" s="4">
        <f>COUNTIFS('Survey Front'!$S$36:$AC$36,$AC55)*2</f>
        <v>0</v>
      </c>
      <c r="AM55" s="4">
        <f>COUNTIFS('Survey Front'!$S$39:$AC$39,$AC55)*2</f>
        <v>0</v>
      </c>
      <c r="AN55" s="4">
        <f>COUNTIFS('Survey Front'!$S$42:$AC$42,$AC55)*2</f>
        <v>0</v>
      </c>
      <c r="AO55" s="4">
        <f>COUNTIFS('Survey Front'!$S$45:$AC$45,$AC55)*2</f>
        <v>0</v>
      </c>
      <c r="AP55" s="4">
        <f>COUNTIFS('Survey Front'!$S$48:$AC$48,$AC55)*2</f>
        <v>0</v>
      </c>
      <c r="AQ55" s="4">
        <f>COUNTIFS('Survey Front'!$S$51:$AC$51,$AC55)*2</f>
        <v>0</v>
      </c>
      <c r="AR55" s="4">
        <f>COUNTIFS('Survey Front'!$S$54:$AC$54,$AC55)*2</f>
        <v>0</v>
      </c>
      <c r="AS55" s="305" t="s">
        <v>295</v>
      </c>
    </row>
    <row r="56" spans="11:45" x14ac:dyDescent="0.2">
      <c r="K56" s="29"/>
      <c r="L56" s="58" t="s">
        <v>219</v>
      </c>
      <c r="M56" s="58" t="s">
        <v>220</v>
      </c>
      <c r="N56" s="58" t="s">
        <v>221</v>
      </c>
      <c r="O56" s="58" t="s">
        <v>222</v>
      </c>
      <c r="P56" s="58" t="s">
        <v>223</v>
      </c>
      <c r="Q56" s="58" t="s">
        <v>224</v>
      </c>
      <c r="R56" s="58" t="s">
        <v>225</v>
      </c>
      <c r="S56" s="58" t="s">
        <v>226</v>
      </c>
      <c r="T56" s="58" t="s">
        <v>227</v>
      </c>
      <c r="U56" s="58" t="s">
        <v>228</v>
      </c>
      <c r="V56" s="58" t="s">
        <v>229</v>
      </c>
      <c r="W56" s="58" t="s">
        <v>230</v>
      </c>
      <c r="X56" s="58" t="s">
        <v>231</v>
      </c>
      <c r="Y56" s="58" t="s">
        <v>232</v>
      </c>
      <c r="Z56" s="58" t="s">
        <v>233</v>
      </c>
      <c r="AC56" s="306" t="s">
        <v>297</v>
      </c>
      <c r="AD56" s="4">
        <f>COUNTIFS('Survey Front'!$S$12:$AC$12,$AC56)*2</f>
        <v>0</v>
      </c>
      <c r="AE56" s="4">
        <f>COUNTIFS('Survey Front'!$S$15:$AC$15,$AC56)*2</f>
        <v>0</v>
      </c>
      <c r="AF56" s="4">
        <f>COUNTIFS('Survey Front'!$S$18:$AC$18,$AC56)*2</f>
        <v>0</v>
      </c>
      <c r="AG56" s="4">
        <f>COUNTIFS('Survey Front'!$S$21:$AC$21,$AC56)*2</f>
        <v>0</v>
      </c>
      <c r="AH56" s="4">
        <f>COUNTIFS('Survey Front'!$S$24:$AC$24,$AC56)*2</f>
        <v>0</v>
      </c>
      <c r="AI56" s="4">
        <f>COUNTIFS('Survey Front'!$S$27:$AC$27,$AC56)*2</f>
        <v>0</v>
      </c>
      <c r="AJ56" s="4">
        <f>COUNTIFS('Survey Front'!$S$30:$AC$30,$AC56)*2</f>
        <v>0</v>
      </c>
      <c r="AK56" s="4">
        <f>COUNTIFS('Survey Front'!$S$33:$AC$33,$AC56)*2</f>
        <v>0</v>
      </c>
      <c r="AL56" s="4">
        <f>COUNTIFS('Survey Front'!$S$36:$AC$36,$AC56)*2</f>
        <v>0</v>
      </c>
      <c r="AM56" s="4">
        <f>COUNTIFS('Survey Front'!$S$39:$AC$39,$AC56)*2</f>
        <v>0</v>
      </c>
      <c r="AN56" s="4">
        <f>COUNTIFS('Survey Front'!$S$42:$AC$42,$AC56)*2</f>
        <v>0</v>
      </c>
      <c r="AO56" s="4">
        <f>COUNTIFS('Survey Front'!$S$45:$AC$45,$AC56)*2</f>
        <v>0</v>
      </c>
      <c r="AP56" s="4">
        <f>COUNTIFS('Survey Front'!$S$48:$AC$48,$AC56)*2</f>
        <v>0</v>
      </c>
      <c r="AQ56" s="4">
        <f>COUNTIFS('Survey Front'!$S$51:$AC$51,$AC56)*2</f>
        <v>0</v>
      </c>
      <c r="AR56" s="4">
        <f>COUNTIFS('Survey Front'!$S$54:$AC$54,$AC56)*2</f>
        <v>0</v>
      </c>
      <c r="AS56" s="306" t="s">
        <v>297</v>
      </c>
    </row>
    <row r="57" spans="11:45" x14ac:dyDescent="0.2">
      <c r="K57" s="29" t="s">
        <v>41</v>
      </c>
      <c r="L57" s="61">
        <f>IF(N68&gt;0,((C2*N68)-((C2*N68)*$C$10))+AA68+W68,)</f>
        <v>0</v>
      </c>
      <c r="M57" s="61">
        <f>IF(N69&gt;0,((C2*N69)-((C2*N69)*$C$10))+AA69+W69,)</f>
        <v>0</v>
      </c>
      <c r="N57" s="61">
        <f>IF(N70&gt;0,((C2*N70)-((C2*N70)*$C$10))+AA70+W70,)</f>
        <v>0</v>
      </c>
      <c r="O57" s="61">
        <f>IF(N71&gt;0,((C2*N71)-((C2*N71)*$C$10))+AA71+W71,)</f>
        <v>0</v>
      </c>
      <c r="P57" s="61">
        <f>IF(N72&gt;0,((C2*N72)-((C2*N72)*$C$10))+AA72+W72,)</f>
        <v>0</v>
      </c>
      <c r="Q57" s="61">
        <f>IF(N73&gt;0,((C2*N73)-((C2*N73)*$C$10))+AA73+W73,)</f>
        <v>0</v>
      </c>
      <c r="R57" s="61">
        <f>IF(N74&gt;0,((C2*N74)-((C2*N74)*$C$10))+AA74+W74,)</f>
        <v>0</v>
      </c>
      <c r="S57" s="61">
        <f>IF(N75&gt;0,((C2*N75)-((C2*N75)*$C$10))+AA75+W75,)</f>
        <v>0</v>
      </c>
      <c r="T57" s="61">
        <f>IF(N76&gt;0,((C2*N76)-((C2*N76)*$C$10))+AA76+W76,)</f>
        <v>0</v>
      </c>
      <c r="U57" s="61">
        <f>IF(N77&gt;0,((C2*N77)-((C2*N77)*$C$10))+AA77+W77,)</f>
        <v>0</v>
      </c>
      <c r="V57" s="61">
        <f>IF(N78&gt;0,((C2*N78)-((C2*N78)*$C$10))+AA78+W78,)</f>
        <v>0</v>
      </c>
      <c r="W57" s="61">
        <f>IF(N79&gt;0,((C2*N79)-((C2*N79)*$C$10))+AA79+W79,)</f>
        <v>0</v>
      </c>
      <c r="X57" s="61">
        <f>IF(N80&gt;0,((C2*N80)-((C2*N80)*$C$10))+AA80+W80,)</f>
        <v>0</v>
      </c>
      <c r="Y57" s="61" t="b">
        <f>IF(N81&gt;0,((C2*N81)-((C2*N81)*$C$10))+AA81+W81)</f>
        <v>0</v>
      </c>
      <c r="Z57" s="61">
        <f>IF(N82&gt;0,((C2*N82)-((C2*N82)*$C$10))+AA82+W82,)</f>
        <v>0</v>
      </c>
      <c r="AA57" s="57">
        <f t="shared" ref="AA57:AA62" si="8">SUM(L57:Z57)</f>
        <v>0</v>
      </c>
      <c r="AC57" s="305" t="s">
        <v>347</v>
      </c>
      <c r="AD57" s="4">
        <f>COUNTIFS('Survey Front'!$S$12:$AC$12,$AC57)*2</f>
        <v>0</v>
      </c>
      <c r="AE57" s="4">
        <f>COUNTIFS('Survey Front'!$S$15:$AC$15,$AC57)*2</f>
        <v>0</v>
      </c>
      <c r="AF57" s="4">
        <f>COUNTIFS('Survey Front'!$S$18:$AC$18,$AC57)*2</f>
        <v>0</v>
      </c>
      <c r="AG57" s="4">
        <f>COUNTIFS('Survey Front'!$S$21:$AC$21,$AC57)*2</f>
        <v>0</v>
      </c>
      <c r="AH57" s="4">
        <f>COUNTIFS('Survey Front'!$S$24:$AC$24,$AC57)*2</f>
        <v>0</v>
      </c>
      <c r="AI57" s="4">
        <f>COUNTIFS('Survey Front'!$S$27:$AC$27,$AC57)*2</f>
        <v>0</v>
      </c>
      <c r="AJ57" s="4">
        <f>COUNTIFS('Survey Front'!$S$30:$AC$30,$AC57)*2</f>
        <v>0</v>
      </c>
      <c r="AK57" s="4">
        <f>COUNTIFS('Survey Front'!$S$33:$AC$33,$AC57)*2</f>
        <v>0</v>
      </c>
      <c r="AL57" s="4">
        <f>COUNTIFS('Survey Front'!$S$36:$AC$36,$AC57)*2</f>
        <v>0</v>
      </c>
      <c r="AM57" s="4">
        <f>COUNTIFS('Survey Front'!$S$39:$AC$39,$AC57)*2</f>
        <v>0</v>
      </c>
      <c r="AN57" s="4">
        <f>COUNTIFS('Survey Front'!$S$42:$AC$42,$AC57)*2</f>
        <v>0</v>
      </c>
      <c r="AO57" s="4">
        <f>COUNTIFS('Survey Front'!$S$45:$AC$45,$AC57)*2</f>
        <v>0</v>
      </c>
      <c r="AP57" s="4">
        <f>COUNTIFS('Survey Front'!$S$48:$AC$48,$AC57)*2</f>
        <v>0</v>
      </c>
      <c r="AQ57" s="4">
        <f>COUNTIFS('Survey Front'!$S$51:$AC$51,$AC57)*2</f>
        <v>0</v>
      </c>
      <c r="AR57" s="4">
        <f>COUNTIFS('Survey Front'!$S$54:$AC$54,$AC57)*2</f>
        <v>0</v>
      </c>
      <c r="AS57" s="305" t="s">
        <v>347</v>
      </c>
    </row>
    <row r="58" spans="11:45" x14ac:dyDescent="0.2">
      <c r="K58" s="29" t="s">
        <v>43</v>
      </c>
      <c r="L58" s="61">
        <f>IF(K58=Pricing!$E$8,($L$57+($C3*$N$68))+$AA68+$W68,)</f>
        <v>0</v>
      </c>
      <c r="M58" s="61">
        <f>IF(K58=Pricing!$E$11,($M$57+($C3*$N$69))+$AA69+$W69,)</f>
        <v>0</v>
      </c>
      <c r="N58" s="61">
        <f>IF(K58=Pricing!$E$14,($N$57+($C3*$N$69))+$AA69+$W69,)</f>
        <v>0</v>
      </c>
      <c r="O58" s="61">
        <f>IF(K58=Pricing!$E$17,($O$57+($C3*$N$71))+$AA71+$W71,)</f>
        <v>0</v>
      </c>
      <c r="P58" s="61">
        <f>IF(K58=Pricing!$E$20,($P$57+($C3*$N$72))+$AA72+$W72,)</f>
        <v>0</v>
      </c>
      <c r="Q58" s="61">
        <f>IF(K58=Pricing!$E$23,($Q$57+($C3*$N$73))+$AA73+$W73,)</f>
        <v>0</v>
      </c>
      <c r="R58" s="61">
        <f>IF(K58=Pricing!$E$26,($R$57+($C3*$N$74))+$AA74+$W74,)</f>
        <v>0</v>
      </c>
      <c r="S58" s="61">
        <f>IF(K58=Pricing!$E$29,($S$57+($C3*$N$75))+$AA75+$W75,)</f>
        <v>0</v>
      </c>
      <c r="T58" s="61">
        <f>IF(K58=Pricing!$E$32,($T$57+($C3*$N$76))+$AA76+$W76,)</f>
        <v>0</v>
      </c>
      <c r="U58" s="61">
        <f>IF(K58=Pricing!$E$35,($U$57+($C3*$N$77))+$AA77+$W77,)</f>
        <v>0</v>
      </c>
      <c r="V58" s="61">
        <f>IF(K58=Pricing!$E$38,($V$57+($C3*$N$78))+$AA78+$W78,)</f>
        <v>0</v>
      </c>
      <c r="W58" s="61">
        <f>IF(K58=Pricing!$E$41,($W$57+($C3*$N$79))+$AA79+$W79,)</f>
        <v>0</v>
      </c>
      <c r="X58" s="61">
        <f>IF(K58=Pricing!$E$44,($X$57+($C3*$N$80))+$AA80+$W80,)</f>
        <v>0</v>
      </c>
      <c r="Y58" s="61">
        <f>IF(K58=Pricing!$E$47,($Y$57+($C3*$N$81))+$AA81+$W81,)</f>
        <v>0</v>
      </c>
      <c r="Z58" s="61">
        <f>IF(K58=Pricing!$E$50,($Z$57+($C3*$N$82))+$AA82+$W82,)</f>
        <v>0</v>
      </c>
      <c r="AA58" s="57">
        <f t="shared" si="8"/>
        <v>0</v>
      </c>
      <c r="AC58" s="306" t="s">
        <v>349</v>
      </c>
      <c r="AD58" s="4">
        <f>COUNTIFS('Survey Front'!$S$12:$AC$12,$AC58)*2</f>
        <v>0</v>
      </c>
      <c r="AE58" s="4">
        <f>COUNTIFS('Survey Front'!$S$15:$AC$15,$AC58)*2</f>
        <v>0</v>
      </c>
      <c r="AF58" s="4">
        <f>COUNTIFS('Survey Front'!$S$18:$AC$18,$AC58)*2</f>
        <v>0</v>
      </c>
      <c r="AG58" s="4">
        <f>COUNTIFS('Survey Front'!$S$21:$AC$21,$AC58)*2</f>
        <v>0</v>
      </c>
      <c r="AH58" s="4">
        <f>COUNTIFS('Survey Front'!$S$24:$AC$24,$AC58)*2</f>
        <v>0</v>
      </c>
      <c r="AI58" s="4">
        <f>COUNTIFS('Survey Front'!$S$27:$AC$27,$AC58)*2</f>
        <v>0</v>
      </c>
      <c r="AJ58" s="4">
        <f>COUNTIFS('Survey Front'!$S$30:$AC$30,$AC58)*2</f>
        <v>0</v>
      </c>
      <c r="AK58" s="4">
        <f>COUNTIFS('Survey Front'!$S$33:$AC$33,$AC58)*2</f>
        <v>0</v>
      </c>
      <c r="AL58" s="4">
        <f>COUNTIFS('Survey Front'!$S$36:$AC$36,$AC58)*2</f>
        <v>0</v>
      </c>
      <c r="AM58" s="4">
        <f>COUNTIFS('Survey Front'!$S$39:$AC$39,$AC58)*2</f>
        <v>0</v>
      </c>
      <c r="AN58" s="4">
        <f>COUNTIFS('Survey Front'!$S$42:$AC$42,$AC58)*2</f>
        <v>0</v>
      </c>
      <c r="AO58" s="4">
        <f>COUNTIFS('Survey Front'!$S$45:$AC$45,$AC58)*2</f>
        <v>0</v>
      </c>
      <c r="AP58" s="4">
        <f>COUNTIFS('Survey Front'!$S$48:$AC$48,$AC58)*2</f>
        <v>0</v>
      </c>
      <c r="AQ58" s="4">
        <f>COUNTIFS('Survey Front'!$S$51:$AC$51,$AC58)*2</f>
        <v>0</v>
      </c>
      <c r="AR58" s="4">
        <f>COUNTIFS('Survey Front'!$S$54:$AC$54,$AC58)*2</f>
        <v>0</v>
      </c>
      <c r="AS58" s="306" t="s">
        <v>349</v>
      </c>
    </row>
    <row r="59" spans="11:45" x14ac:dyDescent="0.2">
      <c r="K59" s="29" t="s">
        <v>47</v>
      </c>
      <c r="L59" s="61">
        <f>IF(K59=Pricing!$E$8,($L$57+($C4*$N$68))+AA68+W68,)</f>
        <v>0</v>
      </c>
      <c r="M59" s="61">
        <f>IF(K59=Pricing!$E$11,($M$57+($C4*$N$69))+$AA69+$W69,)</f>
        <v>0</v>
      </c>
      <c r="N59" s="61">
        <f>IF(K59=Pricing!$E$14,($N$57+($C4*$N$70))+$AA70+$W70,)</f>
        <v>0</v>
      </c>
      <c r="O59" s="61">
        <f>IF(K59=Pricing!$E$17,($O$57+($C4*$N$71))+$AA71+$W71,)</f>
        <v>0</v>
      </c>
      <c r="P59" s="61">
        <f>IF(K59=Pricing!$E$20,($P$57+($C4*$N$72))+$AA72+$W72,)</f>
        <v>0</v>
      </c>
      <c r="Q59" s="61">
        <f>IF(K59=Pricing!$E$23,($Q$57+($C4*$N$73))+$AA73+$W73,)</f>
        <v>0</v>
      </c>
      <c r="R59" s="61">
        <f>IF(K59=Pricing!$E$26,($R$57+($C4*$N$74))+$AA74+$W74,)</f>
        <v>0</v>
      </c>
      <c r="S59" s="61">
        <f>IF(K59=Pricing!$E$29,($S$57+($C4*$N$75))+$AA76+$W76,)</f>
        <v>0</v>
      </c>
      <c r="T59" s="61">
        <f>IF(K59=Pricing!$E$32,($T$57+($C4*$N$76))+$AA76+$W76,)</f>
        <v>0</v>
      </c>
      <c r="U59" s="61">
        <f>IF(K59=Pricing!$E$35,($U$57+($C4*$N$77))+$AA77+$W77,)</f>
        <v>0</v>
      </c>
      <c r="V59" s="61">
        <f>IF(K59=Pricing!$E$38,($V$57+($C4*$N$78))+$AA78+$W78,)</f>
        <v>0</v>
      </c>
      <c r="W59" s="61">
        <f>IF(K59=Pricing!$E$42,($W$57+($C4*$N$79))+$AA79+$W79,)</f>
        <v>0</v>
      </c>
      <c r="X59" s="61">
        <f>IF(K59=Pricing!$E$44,($X$57+($C4*$N$80))+$AA80+$W80,)</f>
        <v>0</v>
      </c>
      <c r="Y59" s="61">
        <f>IF(K59=Pricing!$E$47,($Y$57+($C4*$N$81))+$AA81+$W81,)</f>
        <v>0</v>
      </c>
      <c r="Z59" s="61">
        <f>IF(K59=Pricing!$E$50,($Z$57+($C4*$N$82))+$AA82+$W82,)</f>
        <v>0</v>
      </c>
      <c r="AA59" s="57">
        <f t="shared" si="8"/>
        <v>0</v>
      </c>
      <c r="AC59" s="305" t="s">
        <v>350</v>
      </c>
      <c r="AD59" s="4">
        <f>COUNTIFS('Survey Front'!$S$12:$AC$12,$AC59)*2</f>
        <v>0</v>
      </c>
      <c r="AE59" s="4">
        <f>COUNTIFS('Survey Front'!$S$15:$AC$15,$AC59)*2</f>
        <v>0</v>
      </c>
      <c r="AF59" s="4">
        <f>COUNTIFS('Survey Front'!$S$18:$AC$18,$AC59)*2</f>
        <v>0</v>
      </c>
      <c r="AG59" s="4">
        <f>COUNTIFS('Survey Front'!$S$21:$AC$21,$AC59)*2</f>
        <v>0</v>
      </c>
      <c r="AH59" s="4">
        <f>COUNTIFS('Survey Front'!$S$24:$AC$24,$AC59)*2</f>
        <v>0</v>
      </c>
      <c r="AI59" s="4">
        <f>COUNTIFS('Survey Front'!$S$27:$AC$27,$AC59)*2</f>
        <v>0</v>
      </c>
      <c r="AJ59" s="4">
        <f>COUNTIFS('Survey Front'!$S$30:$AC$30,$AC59)*2</f>
        <v>0</v>
      </c>
      <c r="AK59" s="4">
        <f>COUNTIFS('Survey Front'!$S$33:$AC$33,$AC59)*2</f>
        <v>0</v>
      </c>
      <c r="AL59" s="4">
        <f>COUNTIFS('Survey Front'!$S$36:$AC$36,$AC59)*2</f>
        <v>0</v>
      </c>
      <c r="AM59" s="4">
        <f>COUNTIFS('Survey Front'!$S$39:$AC$39,$AC59)*2</f>
        <v>0</v>
      </c>
      <c r="AN59" s="4">
        <f>COUNTIFS('Survey Front'!$S$42:$AC$42,$AC59)*2</f>
        <v>0</v>
      </c>
      <c r="AO59" s="4">
        <f>COUNTIFS('Survey Front'!$S$45:$AC$45,$AC59)*2</f>
        <v>0</v>
      </c>
      <c r="AP59" s="4">
        <f>COUNTIFS('Survey Front'!$S$48:$AC$48,$AC59)*2</f>
        <v>0</v>
      </c>
      <c r="AQ59" s="4">
        <f>COUNTIFS('Survey Front'!$S$51:$AC$51,$AC59)*2</f>
        <v>0</v>
      </c>
      <c r="AR59" s="4">
        <f>COUNTIFS('Survey Front'!$S$54:$AC$54,$AC59)*2</f>
        <v>0</v>
      </c>
      <c r="AS59" s="305" t="s">
        <v>350</v>
      </c>
    </row>
    <row r="60" spans="11:45" x14ac:dyDescent="0.2">
      <c r="K60" s="29" t="s">
        <v>49</v>
      </c>
      <c r="L60" s="61">
        <f>IF(K60=Pricing!$E$8,($L$57+($C5*$N$68))+AA68+W68,)</f>
        <v>0</v>
      </c>
      <c r="M60" s="61">
        <f>IF(K60=Pricing!$E$11,($M$57+($C5*$N$69))+$AA69+$W69,)</f>
        <v>0</v>
      </c>
      <c r="N60" s="61">
        <f>IF(K60=Pricing!$E$14,($N$57+($C5*$N$70))+$AA70+$W70,)</f>
        <v>0</v>
      </c>
      <c r="O60" s="61">
        <f>IF(K60=Pricing!$E$17,($O$57+($C5*$N$71))+$AA71+$W71,)</f>
        <v>0</v>
      </c>
      <c r="P60" s="61">
        <f>IF(K60=Pricing!$E$20,($P$57+($C5*$N$72))+$AA72+$W72,)</f>
        <v>0</v>
      </c>
      <c r="Q60" s="61">
        <f>IF(K60=Pricing!$E$23,($Q$57+($C5*$N$73))+$AA73+$W73,)</f>
        <v>0</v>
      </c>
      <c r="R60" s="61">
        <f>IF(K60=Pricing!$E$26,($R$57+($C5*$N$74))+$AA74+$W74,)</f>
        <v>0</v>
      </c>
      <c r="S60" s="61">
        <f>IF(K60=Pricing!$E$29,($S$57+($C5*$N$75))+$AA75+$W75,)</f>
        <v>0</v>
      </c>
      <c r="T60" s="61">
        <f>IF(K60=Pricing!$E$32,($T$57+($C5*$N$76))+$AA76+$W76,)</f>
        <v>0</v>
      </c>
      <c r="U60" s="61">
        <f>IF(K60=Pricing!$E$35,($U$57+($C5*$N$77))+$AA77+$W77,)</f>
        <v>0</v>
      </c>
      <c r="V60" s="61">
        <f>IF(K60=Pricing!$E$38,($V$57+($C5*$N$78))+$AA78+$W78,)</f>
        <v>0</v>
      </c>
      <c r="W60" s="61">
        <f>IF(K60=Pricing!$E$43,($W$57+($C5*$N$79))+$AA79+$W79,)</f>
        <v>0</v>
      </c>
      <c r="X60" s="61">
        <f>IF(K60=Pricing!$E$44,($X$57+($C5*$N$80))+$AA80+$W80,)</f>
        <v>0</v>
      </c>
      <c r="Y60" s="61">
        <f>IF(K60=Pricing!$E$47,($Y$57+($C5*$N$81))+$AA81+$W81,)</f>
        <v>0</v>
      </c>
      <c r="Z60" s="61">
        <f>IF(K60=Pricing!$E$50,($Z$57+($C5*$N$82))+$AA82+$W82,)</f>
        <v>0</v>
      </c>
      <c r="AA60" s="57">
        <f t="shared" si="8"/>
        <v>0</v>
      </c>
      <c r="AC60" s="306" t="s">
        <v>351</v>
      </c>
      <c r="AD60" s="4">
        <f>COUNTIFS('Survey Front'!$S$12:$AC$12,$AC60)*2</f>
        <v>0</v>
      </c>
      <c r="AE60" s="4">
        <f>COUNTIFS('Survey Front'!$S$15:$AC$15,$AC60)*2</f>
        <v>0</v>
      </c>
      <c r="AF60" s="4">
        <f>COUNTIFS('Survey Front'!$S$18:$AC$18,$AC60)*2</f>
        <v>0</v>
      </c>
      <c r="AG60" s="4">
        <f>COUNTIFS('Survey Front'!$S$21:$AC$21,$AC60)*2</f>
        <v>0</v>
      </c>
      <c r="AH60" s="4">
        <f>COUNTIFS('Survey Front'!$S$24:$AC$24,$AC60)*2</f>
        <v>0</v>
      </c>
      <c r="AI60" s="4">
        <f>COUNTIFS('Survey Front'!$S$27:$AC$27,$AC60)*2</f>
        <v>0</v>
      </c>
      <c r="AJ60" s="4">
        <f>COUNTIFS('Survey Front'!$S$30:$AC$30,$AC60)*2</f>
        <v>0</v>
      </c>
      <c r="AK60" s="4">
        <f>COUNTIFS('Survey Front'!$S$33:$AC$33,$AC60)*2</f>
        <v>0</v>
      </c>
      <c r="AL60" s="4">
        <f>COUNTIFS('Survey Front'!$S$36:$AC$36,$AC60)*2</f>
        <v>0</v>
      </c>
      <c r="AM60" s="4">
        <f>COUNTIFS('Survey Front'!$S$39:$AC$39,$AC60)*2</f>
        <v>0</v>
      </c>
      <c r="AN60" s="4">
        <f>COUNTIFS('Survey Front'!$S$42:$AC$42,$AC60)*2</f>
        <v>0</v>
      </c>
      <c r="AO60" s="4">
        <f>COUNTIFS('Survey Front'!$S$45:$AC$45,$AC60)*2</f>
        <v>0</v>
      </c>
      <c r="AP60" s="4">
        <f>COUNTIFS('Survey Front'!$S$48:$AC$48,$AC60)*2</f>
        <v>0</v>
      </c>
      <c r="AQ60" s="4">
        <f>COUNTIFS('Survey Front'!$S$51:$AC$51,$AC60)*2</f>
        <v>0</v>
      </c>
      <c r="AR60" s="4">
        <f>COUNTIFS('Survey Front'!$S$54:$AC$54,$AC60)*2</f>
        <v>0</v>
      </c>
      <c r="AS60" s="306" t="s">
        <v>351</v>
      </c>
    </row>
    <row r="61" spans="11:45" x14ac:dyDescent="0.2">
      <c r="K61" s="29" t="s">
        <v>51</v>
      </c>
      <c r="L61" s="61">
        <f>IF(K61=Pricing!$E$8,($L$57+($C6*$N$68))+AA68+W68,)</f>
        <v>0</v>
      </c>
      <c r="M61" s="61">
        <f>IF(K61=Pricing!$E$11,($M$57+($C6*$N$69))+$AA69+$W69,)</f>
        <v>0</v>
      </c>
      <c r="N61" s="61">
        <f>IF(K61=Pricing!$E$14,($N$57+($C6*$N$70))+$AA70+$W70,)</f>
        <v>0</v>
      </c>
      <c r="O61" s="61">
        <f>IF(K61=Pricing!$E$17,($O$57+($C6*$N$71))+$AA71+$W71,)</f>
        <v>0</v>
      </c>
      <c r="P61" s="61">
        <f>IF(K61=Pricing!$E$20,($P$57+($C6*$N$72))+$AA72+$W72,)</f>
        <v>0</v>
      </c>
      <c r="Q61" s="61">
        <f>IF(K61=Pricing!$E$23,($Q$57+($C6*$N$73))+$AA73+$W73,)</f>
        <v>0</v>
      </c>
      <c r="R61" s="61">
        <f>IF(K61=Pricing!$E$26,($R$57+($C6*$N$74))+$AA74+$W74,)</f>
        <v>0</v>
      </c>
      <c r="S61" s="61">
        <f>IF(K61=Pricing!$E$29,($S$57+($C6*$N$75))+$AA75+$W75,)</f>
        <v>0</v>
      </c>
      <c r="T61" s="61">
        <f>IF(K61=Pricing!$E$32,($T$57+($C6*$N$76))+$AA76+$W76,)</f>
        <v>0</v>
      </c>
      <c r="U61" s="61">
        <f>IF(K61=Pricing!$E$35,($U$57+($C6*$N$77))+$AA77+$W77,)</f>
        <v>0</v>
      </c>
      <c r="V61" s="61">
        <f>IF(K61=Pricing!$E$38,($V$57+($C6*$N$78))+$AA78+$W78,)</f>
        <v>0</v>
      </c>
      <c r="W61" s="61">
        <f>IF(K61=Pricing!$E$44,($W$57+($C6*$N$79))+$AA79+$W79,)</f>
        <v>0</v>
      </c>
      <c r="X61" s="61">
        <f>IF(K61=Pricing!$E$44,($X$57+($C6*$N$80))+$AA80+$W80,)</f>
        <v>0</v>
      </c>
      <c r="Y61" s="61">
        <f>IF(K61=Pricing!$E$47,($Y$57+($C6*$N$81))+$AA81+$W81,)</f>
        <v>0</v>
      </c>
      <c r="Z61" s="61">
        <f>IF(K61=Pricing!$E$50,($Z$57+($C6*$N$82))+$AA82+$W82,)</f>
        <v>0</v>
      </c>
      <c r="AA61" s="57">
        <f t="shared" si="8"/>
        <v>0</v>
      </c>
      <c r="AC61" s="62" t="s">
        <v>59</v>
      </c>
      <c r="AD61" s="62">
        <f t="shared" ref="AD61:AR61" si="9">SUM(AD40:AD60)</f>
        <v>0</v>
      </c>
      <c r="AE61" s="62">
        <f t="shared" si="9"/>
        <v>0</v>
      </c>
      <c r="AF61" s="62">
        <f t="shared" si="9"/>
        <v>0</v>
      </c>
      <c r="AG61" s="62">
        <f t="shared" si="9"/>
        <v>0</v>
      </c>
      <c r="AH61" s="62">
        <f t="shared" si="9"/>
        <v>0</v>
      </c>
      <c r="AI61" s="62">
        <f t="shared" si="9"/>
        <v>0</v>
      </c>
      <c r="AJ61" s="62">
        <f t="shared" si="9"/>
        <v>0</v>
      </c>
      <c r="AK61" s="62">
        <f t="shared" si="9"/>
        <v>0</v>
      </c>
      <c r="AL61" s="62">
        <f t="shared" si="9"/>
        <v>0</v>
      </c>
      <c r="AM61" s="62">
        <f t="shared" si="9"/>
        <v>0</v>
      </c>
      <c r="AN61" s="62">
        <f t="shared" si="9"/>
        <v>0</v>
      </c>
      <c r="AO61" s="62">
        <f t="shared" si="9"/>
        <v>0</v>
      </c>
      <c r="AP61" s="62">
        <f t="shared" si="9"/>
        <v>0</v>
      </c>
      <c r="AQ61" s="62">
        <f t="shared" si="9"/>
        <v>0</v>
      </c>
      <c r="AR61" s="62">
        <f t="shared" si="9"/>
        <v>0</v>
      </c>
    </row>
    <row r="62" spans="11:45" x14ac:dyDescent="0.2">
      <c r="K62" s="29" t="s">
        <v>55</v>
      </c>
      <c r="L62" s="61">
        <f>IF(K62=Pricing!$E$8,($L$57+($C7*$N$68))+AA68+W68,)</f>
        <v>0</v>
      </c>
      <c r="M62" s="61">
        <f>IF(K62=Pricing!$E$11,($M$57+($C7*$N$69))+$AA69+$W69,)</f>
        <v>0</v>
      </c>
      <c r="N62" s="61">
        <f>IF(K62=Pricing!$E$14,($N$57+($C7*$N$70))+$AA70+$W70,)</f>
        <v>0</v>
      </c>
      <c r="O62" s="61">
        <f>IF(K62=Pricing!$E$17,($O$57+($C7*$N$71))+$AA71+$W71,)</f>
        <v>0</v>
      </c>
      <c r="P62" s="61">
        <f>IF(K62=Pricing!$E$20,($P$57+($C7*$N$72))+$AA72+$W72,)</f>
        <v>0</v>
      </c>
      <c r="Q62" s="61">
        <f>IF(K62=Pricing!$E$23,($Q$57+($C7*$N$73))+$AA73+$W73,)</f>
        <v>0</v>
      </c>
      <c r="R62" s="61">
        <f>IF(K62=Pricing!$E$26,($R$57+($C7*$N$74))+$AA74+$W74,)</f>
        <v>0</v>
      </c>
      <c r="S62" s="61">
        <f>IF(K62=Pricing!$E$29,($S$57+($C7*$N$75))+$AA75+$W75,)</f>
        <v>0</v>
      </c>
      <c r="T62" s="61">
        <f>IF(K62=Pricing!$E$32,($T$57+($C7*$N$76))+$AA76+$W76,)</f>
        <v>0</v>
      </c>
      <c r="U62" s="61">
        <f>IF(K62=Pricing!$E$35,($U$57+($C7*$N$77))+$AA77+$W77,)</f>
        <v>0</v>
      </c>
      <c r="V62" s="61">
        <f>IF(K62=Pricing!$E$38,($V$57+($C7*$N$78))+$AA78+$W78,)</f>
        <v>0</v>
      </c>
      <c r="W62" s="61">
        <f>IF(K62=Pricing!$E$45,($W$57+($C7*$N$79))+$AA79+$W79,)</f>
        <v>0</v>
      </c>
      <c r="X62" s="61">
        <f>IF(K62=Pricing!$E$44,($X$57+($C7*$N$80))+$AA80+$W80,)</f>
        <v>0</v>
      </c>
      <c r="Y62" s="61">
        <f>IF(K62=Pricing!$E$47,($Y$57+($C7*$N$81))+$AA81+$W81,)</f>
        <v>0</v>
      </c>
      <c r="Z62" s="61">
        <f>IF(K62=Pricing!$E$50,($Z$57+($C7*$N$82))+$AA82+$W82,)</f>
        <v>0</v>
      </c>
      <c r="AA62" s="57">
        <f t="shared" si="8"/>
        <v>0</v>
      </c>
    </row>
    <row r="63" spans="11:45" x14ac:dyDescent="0.2">
      <c r="K63" s="29" t="s">
        <v>791</v>
      </c>
      <c r="L63" s="61">
        <f>IF(K63=Pricing!$E$8,($L$57+($F18*$N$68))+AA68+W68,)</f>
        <v>0</v>
      </c>
      <c r="M63" s="61">
        <f>IF(K63=Pricing!$E$11,($M$57+($F18*$N$69))+$AA69+$W69,)</f>
        <v>0</v>
      </c>
      <c r="N63" s="61">
        <f>IF(K63=Pricing!$E$14,($N$57+($F18*$N$70))+$AA70+$W70,)</f>
        <v>0</v>
      </c>
      <c r="O63" s="61">
        <f>IF(K63=Pricing!$E$17,($O$57+($F18*$N$71))+$AA71+$W71,)</f>
        <v>0</v>
      </c>
      <c r="P63" s="61">
        <f>IF(K63=Pricing!$E$20,($P$57+($F18*$N$72))+$AA72+$W72,)</f>
        <v>0</v>
      </c>
      <c r="Q63" s="61">
        <f>IF(K63=Pricing!$E$23,($Q$57+($F18*$N$73))+$AA73+$W73,)</f>
        <v>0</v>
      </c>
      <c r="R63" s="61">
        <f>IF(K63=Pricing!$E$26,($R$57+($F18*$N$74))+$AA74+$W74,)</f>
        <v>0</v>
      </c>
      <c r="S63" s="61">
        <f>IF(K63=Pricing!$E$29,($S$57+($F18*$N$75))+$AA75+$W75,)</f>
        <v>0</v>
      </c>
      <c r="T63" s="61">
        <f>IF(K63=Pricing!$E$32,($T$57+($F18*$N$76))+$AA76+$W76,)</f>
        <v>0</v>
      </c>
      <c r="U63" s="61">
        <f>IF(K63=Pricing!$E$35,($U$57+($F18*$N$77))+$AA77+$W77,)</f>
        <v>0</v>
      </c>
      <c r="V63" s="61">
        <f>IF(K63=Pricing!$E$38,($V$57+($F18*$N$78))+$AA78+$W78,)</f>
        <v>0</v>
      </c>
      <c r="W63" s="61">
        <f>IF(K63=Pricing!$E$46,($W$57+($F18*$N$79))+$AA79+$W79,)</f>
        <v>0</v>
      </c>
      <c r="X63" s="61">
        <f>IF(K63=Pricing!$E$44,($X$57+($F18*$N$80))+$AA80+$W80,)</f>
        <v>0</v>
      </c>
      <c r="Y63" s="61">
        <f>IF(K63=Pricing!$E$47,($Y$57+($F18*$N$81))+$AA81+$W81,)</f>
        <v>0</v>
      </c>
      <c r="Z63" s="61">
        <f>IF(K63=Pricing!$E$50,($Z$57+($F18*$N$82))+$AA82+$W82,)</f>
        <v>0</v>
      </c>
      <c r="AA63" s="57">
        <f t="shared" ref="AA63:AA64" si="10">SUM(L63:Z63)</f>
        <v>0</v>
      </c>
    </row>
    <row r="64" spans="11:45" x14ac:dyDescent="0.2">
      <c r="K64" s="29" t="s">
        <v>792</v>
      </c>
      <c r="L64" s="61">
        <f>IF(K64=Pricing!$E$8,($L$57+($F19*$N$68))+AA68+W68,)</f>
        <v>0</v>
      </c>
      <c r="M64" s="61">
        <f>IF(K64=Pricing!$E$11,($M$57+($F19*$N$69))+$AA69+$W69,)</f>
        <v>0</v>
      </c>
      <c r="N64" s="61">
        <f>IF(K64=Pricing!$E$14,($N$57+($F19*$N$70))+$AA70+$W70,)</f>
        <v>0</v>
      </c>
      <c r="O64" s="61">
        <f>IF(K64=Pricing!$E$17,($O$57+($F19*$N$71))+$AA71+$W71,)</f>
        <v>0</v>
      </c>
      <c r="P64" s="61">
        <f>IF(K64=Pricing!$E$20,($P$57+($F19*$N$72))+$AA72+$W72,)</f>
        <v>0</v>
      </c>
      <c r="Q64" s="61">
        <f>IF(K64=Pricing!$E$23,($Q$57+($F19*$N$73))+$AA73+$W73,)</f>
        <v>0</v>
      </c>
      <c r="R64" s="61">
        <f>IF(K64=Pricing!$E$26,($R$57+($F19*$N$74))+$AA74+$W74,)</f>
        <v>0</v>
      </c>
      <c r="S64" s="61">
        <f>IF(K64=Pricing!$E$29,($S$57+($F19*$N$75))+$AA75+$W75,)</f>
        <v>0</v>
      </c>
      <c r="T64" s="61">
        <f>IF(K64=Pricing!$E$32,($T$57+($F19*$N$76))+$AA76+$W76,)</f>
        <v>0</v>
      </c>
      <c r="U64" s="61">
        <f>IF(K64=Pricing!$E$35,($U$57+($F19*$N$77))+$AA77+$W77,)</f>
        <v>0</v>
      </c>
      <c r="V64" s="61">
        <f>IF(K64=Pricing!$E$38,($V$57+($F19*$N$78))+$AA78+$W78,)</f>
        <v>0</v>
      </c>
      <c r="W64" s="61">
        <f>IF(K64=Pricing!$E$478,($W$57+($F19*$N$79))+$AA79+$W79,)</f>
        <v>0</v>
      </c>
      <c r="X64" s="61">
        <f>IF(K64=Pricing!$E$44,($X$57+($F19*$N$80))+$AA80+$W80,)</f>
        <v>0</v>
      </c>
      <c r="Y64" s="61">
        <f>IF(K64=Pricing!$E$47,($L$45+($F19*$N$81))+$AA81+$W81,)</f>
        <v>0</v>
      </c>
      <c r="Z64" s="61">
        <f>IF(K64=Pricing!$E$50,($Z$57+($F19*$N$82))+$AA82+$W82,)</f>
        <v>0</v>
      </c>
      <c r="AA64" s="57">
        <f t="shared" si="10"/>
        <v>0</v>
      </c>
    </row>
    <row r="66" spans="11:27" x14ac:dyDescent="0.2">
      <c r="K66" s="855" t="s">
        <v>348</v>
      </c>
      <c r="L66" s="855"/>
      <c r="M66" s="855"/>
      <c r="N66" s="855"/>
      <c r="O66" s="855"/>
      <c r="P66" s="855"/>
      <c r="Q66" s="855"/>
      <c r="R66" s="855"/>
      <c r="S66" s="855"/>
      <c r="T66" s="855"/>
      <c r="U66" s="855"/>
      <c r="V66" s="855"/>
      <c r="W66" s="855"/>
      <c r="X66" s="855"/>
      <c r="Y66" s="855"/>
      <c r="Z66" s="855"/>
      <c r="AA66" s="855"/>
    </row>
    <row r="67" spans="11:27" x14ac:dyDescent="0.2">
      <c r="L67" s="64" t="s">
        <v>303</v>
      </c>
      <c r="M67" s="4" t="s">
        <v>304</v>
      </c>
      <c r="N67" s="4" t="s">
        <v>14</v>
      </c>
      <c r="O67" s="4" t="s">
        <v>266</v>
      </c>
      <c r="P67" s="4" t="s">
        <v>305</v>
      </c>
      <c r="Q67" s="4" t="s">
        <v>306</v>
      </c>
      <c r="R67" s="4" t="s">
        <v>248</v>
      </c>
      <c r="S67" s="65" t="s">
        <v>279</v>
      </c>
      <c r="T67" s="65" t="s">
        <v>307</v>
      </c>
      <c r="U67" s="4" t="s">
        <v>308</v>
      </c>
      <c r="V67" s="4" t="s">
        <v>72</v>
      </c>
      <c r="W67" s="4" t="s">
        <v>309</v>
      </c>
      <c r="X67" t="s">
        <v>310</v>
      </c>
      <c r="Y67" s="4" t="s">
        <v>311</v>
      </c>
      <c r="Z67" t="s">
        <v>312</v>
      </c>
      <c r="AA67" s="4" t="s">
        <v>13</v>
      </c>
    </row>
    <row r="68" spans="11:27" x14ac:dyDescent="0.2">
      <c r="K68" t="s">
        <v>219</v>
      </c>
      <c r="L68" s="66">
        <f>IF(Pricing!AD8="Quoted",COUNTIFS(Pricing!Q8:AA8,"(CB)"),)</f>
        <v>0</v>
      </c>
      <c r="M68" s="4">
        <f t="shared" ref="M68:M82" si="11">IF(L68&gt;0,C8*ROUND(N68,0),)</f>
        <v>0</v>
      </c>
      <c r="N68" s="67">
        <f>IF(Pricing!AD8="Quoted",IF(Pricing!E8="",,Pricing!L8*Pricing!M8/1000000),)</f>
        <v>0</v>
      </c>
      <c r="O68" s="64">
        <f>IF(Pricing!AD8="Quoted",IF(OR(Pricing!J8 = "Silent",Pricing!J8 = "Split Tilt"),ROUND($N$68*$C$9,0.2),0),)</f>
        <v>0</v>
      </c>
      <c r="P68" s="64">
        <f>IF(Pricing!AD8="Quoted",IF(Pricing!D8="Tracked",ROUND($C$11+(Q68*$F$2),0.2),),)</f>
        <v>0</v>
      </c>
      <c r="Q68" s="68">
        <f>IF(Pricing!AD8="Quoted",IF(Pricing!D8="Tracked",IF(N68&gt;0,CONVERT(Pricing!L8,"mm","m"),),),)</f>
        <v>0</v>
      </c>
      <c r="R68" s="64">
        <f>IF(Pricing!D8="S/Shade",ROUND($F$3*N68,0.2),0)</f>
        <v>0</v>
      </c>
      <c r="S68" s="57">
        <v>0</v>
      </c>
      <c r="T68" s="4">
        <f>IF(R68&gt;0,N68,)</f>
        <v>0</v>
      </c>
      <c r="U68" s="67">
        <f>IF(Pricing!AD8="Quoted",IF(OR(Pricing!J8="Silent",Pricing!J8="Split Tilt"),ROUND(N68*$C$9,0.2),),)</f>
        <v>0</v>
      </c>
      <c r="V68" s="57">
        <f>IF(Pricing!AD8="Quoted",IF(Pricing!D8="Shape",IF(AD19&gt;2,ROUND(C16+((AD19-2)*C17),0.2),ROUND(C16,0.2)),),)</f>
        <v>0</v>
      </c>
      <c r="W68" s="57">
        <f>IF(Pricing!D8="French Door Cutout",ROUND(Matrix2!$F$4,0.2),)</f>
        <v>0</v>
      </c>
      <c r="X68" s="57">
        <f>IF(Pricing!AD8="Quoted",IF(OR(Pricing!F8="Custom Colour",ISNUMBER(SEARCH("Classic Black",Pricing!F8)),ISNUMBER(SEARCH("Matte Black",Pricing!F8))),ROUND(Matrix2!F11,0.2),),)</f>
        <v>0</v>
      </c>
      <c r="Y68" s="57">
        <f>IF(OR(AND(Pricing!E8&lt;&gt;"Java",Pricing!G10="Stainless Steel"),Pricing!G10="Brushed Nickel Plated"),ROUND(Matrix2!$F$12*Matrix2!N68,0.2),)</f>
        <v>0</v>
      </c>
      <c r="Z68" s="174">
        <f t="shared" ref="Z68:Z82" si="12">IF(AND(N68&lt;1,N68&gt;0),ROUND(1*$C$19,0.2),ROUND(N68*$C$19,0.2))</f>
        <v>0</v>
      </c>
      <c r="AA68" s="57">
        <f>IF(Pricing!AD8="Quoted",IF(Pricing!AB10="YES",ROUND(CONVERT(Pricing!L8,"mm","m")*$F$14,0.2),),)</f>
        <v>0</v>
      </c>
    </row>
    <row r="69" spans="11:27" x14ac:dyDescent="0.2">
      <c r="K69" t="s">
        <v>220</v>
      </c>
      <c r="L69" s="66">
        <f>IF(Pricing!AD11="Quoted",COUNTIFS(Pricing!Q11:AA11,"(CB)"),)</f>
        <v>0</v>
      </c>
      <c r="M69" s="4">
        <f t="shared" si="11"/>
        <v>0</v>
      </c>
      <c r="N69" s="67">
        <f>IF(Pricing!AD11="Quoted",IF(Pricing!E11="",,Pricing!L11*Pricing!M11/1000000),)</f>
        <v>0</v>
      </c>
      <c r="O69" s="64">
        <f>IF(Pricing!AD11="Quoted",IF(OR(Pricing!J11 = "Silent",Pricing!J11 = "Split Tilt"),ROUND($N$69*$C$9,0.2),0),)</f>
        <v>0</v>
      </c>
      <c r="P69" s="64">
        <f>IF(Pricing!AD11="Quoted",IF(Pricing!D11="Tracked",ROUND($C$11+(Q69*$F$2),0.2),),)</f>
        <v>0</v>
      </c>
      <c r="Q69" s="68">
        <f>IF(Pricing!AD11="Quoted",IF(Pricing!D11="Tracked",IF(N69&gt;0,CONVERT(Pricing!L11,"mm","m"),),),)</f>
        <v>0</v>
      </c>
      <c r="R69" s="64">
        <f>IF(Pricing!D11="S/Shade",ROUND($F$3*N69,0.2),0)</f>
        <v>0</v>
      </c>
      <c r="S69" s="57"/>
      <c r="T69" s="4">
        <f t="shared" ref="T69:T82" si="13">IF(R69&gt;0,N69,)</f>
        <v>0</v>
      </c>
      <c r="U69" s="67">
        <f>IF(Pricing!AD11="Quoted",IF(OR(Pricing!J11="Silent",Pricing!J11="Split Tilt"),ROUND(N69*$C$9,0.2),),)</f>
        <v>0</v>
      </c>
      <c r="V69" s="57">
        <f>IF(Pricing!AD11="Quoted",IF(Pricing!D11="Shape",IF(AE19&gt;2,ROUND(C16+((AE19-2)*C17),0.2),ROUND(C16,0.2)),),)</f>
        <v>0</v>
      </c>
      <c r="W69" s="57">
        <f>IF(Pricing!D11="French Door Cutout",ROUND(Matrix2!$F$4,0.2),)</f>
        <v>0</v>
      </c>
      <c r="X69" s="57">
        <f>IF(Pricing!AD11="Quoted",IF(OR(Pricing!F11="Custom Colour",ISNUMBER(SEARCH("Classic Black",Pricing!F11)),ISNUMBER(SEARCH("Matte Black",Pricing!F11))),ROUND(Matrix2!F11,0.2),),)</f>
        <v>0</v>
      </c>
      <c r="Y69" s="57">
        <f>IF(OR(AND(Pricing!E11&lt;&gt;"Java",Pricing!G13="Stainless Steel"),Pricing!G13="Brushed Nickel Plated"),ROUND(Matrix2!$F$12*Matrix2!N69,0.2),)</f>
        <v>0</v>
      </c>
      <c r="Z69" s="174">
        <f t="shared" si="12"/>
        <v>0</v>
      </c>
      <c r="AA69" s="57">
        <f>IF(Pricing!AD11="Quoted",IF(Pricing!AB13="YES",ROUND(CONVERT(Pricing!L11,"mm","m")*$F$14,0.2),),)</f>
        <v>0</v>
      </c>
    </row>
    <row r="70" spans="11:27" x14ac:dyDescent="0.2">
      <c r="K70" t="s">
        <v>221</v>
      </c>
      <c r="L70" s="66">
        <f>IF(Pricing!AD14="Quoted",COUNTIFS(Pricing!Q14:AA14,"(CB)"),)</f>
        <v>0</v>
      </c>
      <c r="M70" s="4">
        <f t="shared" si="11"/>
        <v>0</v>
      </c>
      <c r="N70" s="67">
        <f>IF(Pricing!AD14="Quoted",IF(Pricing!E14="",,Pricing!L14*Pricing!M14/1000000),)</f>
        <v>0</v>
      </c>
      <c r="O70" s="64">
        <f>IF(Pricing!AD14="Quoted",IF(OR(Pricing!J14="Silent",Pricing!J14="Split Tilt"),ROUND($N$70*$C$9,0.2),0),)</f>
        <v>0</v>
      </c>
      <c r="P70" s="64">
        <f>IF(Pricing!AD14="Quoted",IF(Pricing!D14="Tracked",ROUND(($C$11+(Q70*$F$2)),0.2),),)</f>
        <v>0</v>
      </c>
      <c r="Q70" s="68">
        <f>IF(Pricing!AD14="Quoted",IF(Pricing!D14="Tracked",IF(N70&gt;0,CONVERT(Pricing!L14,"mm","m"),),),)</f>
        <v>0</v>
      </c>
      <c r="R70" s="64">
        <f>IF(Pricing!D14="S/Shade",ROUND($F$3*N70,0.2),0)</f>
        <v>0</v>
      </c>
      <c r="S70" s="57"/>
      <c r="T70" s="4">
        <f t="shared" si="13"/>
        <v>0</v>
      </c>
      <c r="U70" s="67">
        <f>IF(Pricing!AD8="Quoted",IF(OR(Pricing!J14="Silent",Pricing!J14="Split Tilt"),ROUND(N70*$C$9,0.2),),)</f>
        <v>0</v>
      </c>
      <c r="V70" s="57">
        <f>IF(Pricing!AD14="Quoted",IF(Pricing!D14="Shape",IF(AF19&gt;2,ROUND(C16+((AF19-2)*C17),0.2),ROUND(C16,0.2)),),)</f>
        <v>0</v>
      </c>
      <c r="W70" s="57">
        <f>IF(Pricing!D14="French Door Cutout",ROUND(Matrix2!$F$4,0.2),)</f>
        <v>0</v>
      </c>
      <c r="X70" s="57">
        <f>IF(Pricing!AD14="Quoted",IF(OR(Pricing!F14="Custom Colour",ISNUMBER(SEARCH("Classic Black",Pricing!F14)),ISNUMBER(SEARCH("Matte Black",Pricing!F14))),ROUND(Matrix2!F11,0.2),),)</f>
        <v>0</v>
      </c>
      <c r="Y70" s="57">
        <f>IF(OR(AND(Pricing!E14&lt;&gt;"Java",Pricing!G16="Stainless Steel"),Pricing!G16="Brushed Nickel Plated"),ROUND(Matrix2!$F$12*Matrix2!N70,0.2),)</f>
        <v>0</v>
      </c>
      <c r="Z70" s="174">
        <f t="shared" si="12"/>
        <v>0</v>
      </c>
      <c r="AA70" s="57">
        <f>IF(Pricing!AD14="Quoted",IF(Pricing!AB16="YES",ROUND(CONVERT(Pricing!L14,"mm","m")*$F$14,0.2),),)</f>
        <v>0</v>
      </c>
    </row>
    <row r="71" spans="11:27" x14ac:dyDescent="0.2">
      <c r="K71" t="s">
        <v>222</v>
      </c>
      <c r="L71" s="66">
        <f>IF(Pricing!AD17="Quoted",COUNTIFS(Pricing!Q17:AA17,"(CB)"),)</f>
        <v>0</v>
      </c>
      <c r="M71" s="4">
        <f t="shared" si="11"/>
        <v>0</v>
      </c>
      <c r="N71" s="67">
        <f>IF(Pricing!AD17="Quoted",IF(Pricing!E17="",,Pricing!L17*Pricing!M17/1000000),)</f>
        <v>0</v>
      </c>
      <c r="O71" s="64">
        <f>IF(Pricing!AD17="Quoted",IF(OR(Pricing!J17 = "Silent",Pricing!J17 = "Split Tilt"),ROUND($N$71*$C$9,0.2),0),)</f>
        <v>0</v>
      </c>
      <c r="P71" s="64">
        <f>IF(Pricing!AD17="Quoted",IF(Pricing!D17="Tracked",ROUND($C$11+(Q71*$F$2),0.2),),)</f>
        <v>0</v>
      </c>
      <c r="Q71" s="68">
        <f>IF(Pricing!AD17="Quoted",IF(Pricing!D17="Tracked",IF(N71&gt;0,CONVERT(Pricing!L17,"mm","m"),),),)</f>
        <v>0</v>
      </c>
      <c r="R71" s="64">
        <f>IF(Pricing!D17="S/Shade",ROUND($F$3*N71,0.2),0)</f>
        <v>0</v>
      </c>
      <c r="S71" s="57"/>
      <c r="T71" s="4">
        <f t="shared" si="13"/>
        <v>0</v>
      </c>
      <c r="U71" s="67">
        <f>IF(Pricing!AD17="Quoted",IF(OR(Pricing!J17="Silent",Pricing!J17="Split Tilt"),ROUND(N71*$C$9,0.2),),)</f>
        <v>0</v>
      </c>
      <c r="V71" s="57">
        <f>IF(Pricing!AD17="Quoted",IF(Pricing!D17="Shape",IF(AG19&gt;2,ROUND(C16+((AG19-2)*C17),0.2),ROUND(C16,0.2)),),)</f>
        <v>0</v>
      </c>
      <c r="W71" s="57">
        <f>IF(Pricing!D17="French Door Cutout",ROUND(Matrix2!$F$4,0.2),)</f>
        <v>0</v>
      </c>
      <c r="X71" s="57">
        <f>IF(Pricing!AD17="Quoted",IF(OR(Pricing!F17="Custom Colour",ISNUMBER(SEARCH("Classic Black",Pricing!F17)),ISNUMBER(SEARCH("Matte Black",Pricing!F17))),ROUND(Matrix2!F11,0.2),),)</f>
        <v>0</v>
      </c>
      <c r="Y71" s="57">
        <f>IF(OR(AND(Pricing!E17&lt;&gt;"Java",Pricing!G19="Stainless Steel"),Pricing!G19="Brushed Nickel Plated"),ROUND(Matrix2!$F$12*Matrix2!N71,0.2),)</f>
        <v>0</v>
      </c>
      <c r="Z71" s="174">
        <f t="shared" si="12"/>
        <v>0</v>
      </c>
      <c r="AA71" s="57">
        <f>IF(Pricing!AD17="Quoted",IF(Pricing!AB19="YES",ROUND(CONVERT(Pricing!L17,"mm","m")*$F$14,0.2),),)</f>
        <v>0</v>
      </c>
    </row>
    <row r="72" spans="11:27" x14ac:dyDescent="0.2">
      <c r="K72" t="s">
        <v>223</v>
      </c>
      <c r="L72" s="66">
        <f>IF(Pricing!AD20="Quoted",COUNTIFS(Pricing!Q20:AA20,"(CB)"),)</f>
        <v>0</v>
      </c>
      <c r="M72" s="4">
        <f t="shared" si="11"/>
        <v>0</v>
      </c>
      <c r="N72" s="67">
        <f>IF(Pricing!AD20="Quoted",IF(Pricing!E20="",,Pricing!L20*Pricing!M20/1000000),)</f>
        <v>0</v>
      </c>
      <c r="O72" s="64">
        <f>IF(Pricing!AD20="Quoted",IF(OR(Pricing!J20 = "Silent",Pricing!J20 = "Split Tilt"),ROUND($N$72*$C$9,0.2),0),)</f>
        <v>0</v>
      </c>
      <c r="P72" s="64">
        <f>IF(Pricing!AD20="Quoted",IF(Pricing!D20="Tracked",ROUND($C$11+(Q72*$F$2),0.2),),)</f>
        <v>0</v>
      </c>
      <c r="Q72" s="68">
        <f>IF(Pricing!AD20="Quoted",IF(Pricing!D20="Tracked",IF(N72&gt;0,CONVERT(Pricing!L20,"mm","m"),),),)</f>
        <v>0</v>
      </c>
      <c r="R72" s="64">
        <f>IF(Pricing!D20="S/Shade",ROUND($F$3*N72,0.2),0)</f>
        <v>0</v>
      </c>
      <c r="S72" s="57"/>
      <c r="T72" s="4">
        <f t="shared" si="13"/>
        <v>0</v>
      </c>
      <c r="U72" s="67">
        <f>IF(Pricing!AD20="Quoted",IF(OR(Pricing!J20="Silent",Pricing!J20="Split Tilt"),ROUND(N72*$C$9,0.2),),)</f>
        <v>0</v>
      </c>
      <c r="V72" s="57">
        <f>IF(Pricing!AD20="Quoted",IF(Pricing!D20="Shape",IF(AH19&gt;2,ROUND(C16+((AH19-2)*C17),0.2),ROUND(C16,0.2)),),)</f>
        <v>0</v>
      </c>
      <c r="W72" s="57">
        <f>IF(Pricing!D20="French Door Cutout",ROUND(Matrix2!$F$4,0.2),)</f>
        <v>0</v>
      </c>
      <c r="X72" s="57">
        <f>IF(Pricing!AD20="Quoted",IF(OR(Pricing!F20="Custom Colour",ISNUMBER(SEARCH("Classic Black",Pricing!F20)),ISNUMBER(SEARCH("Matte Black",Pricing!F20))),ROUND(Matrix2!F11,0.2),),)</f>
        <v>0</v>
      </c>
      <c r="Y72" s="57">
        <f>IF(OR(AND(Pricing!E20&lt;&gt;"Java",Pricing!G22="Stainless Steel"),Pricing!G22="Brushed Nickel Plated"),ROUND(Matrix2!$F$12*Matrix2!N73,0.2),)</f>
        <v>0</v>
      </c>
      <c r="Z72" s="174">
        <f t="shared" si="12"/>
        <v>0</v>
      </c>
      <c r="AA72" s="57">
        <f>IF(Pricing!AD20="Quoted",IF(Pricing!AB22="YES",ROUND(CONVERT(Pricing!L20,"mm","m")*$F$14,0.2),),)</f>
        <v>0</v>
      </c>
    </row>
    <row r="73" spans="11:27" x14ac:dyDescent="0.2">
      <c r="K73" t="s">
        <v>224</v>
      </c>
      <c r="L73" s="66">
        <f>IF(Pricing!AD23="Quoted",COUNTIFS(Pricing!Q23:AA23,"(CB)"),)</f>
        <v>0</v>
      </c>
      <c r="M73" s="4">
        <f t="shared" si="11"/>
        <v>0</v>
      </c>
      <c r="N73" s="67">
        <f>IF(Pricing!AD23="Quoted",IF(Pricing!E23="",,Pricing!L23*Pricing!M23/1000000),)</f>
        <v>0</v>
      </c>
      <c r="O73" s="64">
        <f>IF(Pricing!AD23="Quoted",IF(OR(Pricing!J23="Silent",Pricing!J23="Split Tilt"),ROUND($N$73*$C$9,0.2),0),)</f>
        <v>0</v>
      </c>
      <c r="P73" s="64">
        <f>IF(Pricing!AD23="Quoted",IF(Pricing!D23="Tracked",ROUND($C$11+(Q73*$F$2),0.2),),)</f>
        <v>0</v>
      </c>
      <c r="Q73" s="68">
        <f>IF(Pricing!AD23="Quoted",IF(Pricing!D23="Tracked",IF(N73&gt;0,CONVERT(Pricing!L23,"mm","m"),),),)</f>
        <v>0</v>
      </c>
      <c r="R73" s="64">
        <f>IF(Pricing!D23="S/Shade",ROUND($F$3*N73,0.2),0)</f>
        <v>0</v>
      </c>
      <c r="S73" s="57"/>
      <c r="T73" s="4">
        <f t="shared" si="13"/>
        <v>0</v>
      </c>
      <c r="U73" s="67">
        <f>IF(Pricing!AD23="Quoted",IF(OR(Pricing!J23="Silent",Pricing!J23="Split Tilt"),ROUND(N73*$C$9,0.2),),)</f>
        <v>0</v>
      </c>
      <c r="V73" s="57">
        <f>IF(Pricing!AD23="Quoted",IF(Pricing!D23="Shape",IF(AI19&gt;2,ROUND(C16+((AI19-2)*C17),0.2),ROUND(C16,0.2)),),)</f>
        <v>0</v>
      </c>
      <c r="W73" s="57">
        <f>IF(Pricing!D23="French Door Cutout",ROUND(Matrix2!$F$4,0.2),)</f>
        <v>0</v>
      </c>
      <c r="X73" s="57">
        <f>IF(Pricing!AD23="Quoted",IF(OR(Pricing!F23="Custom Colour",ISNUMBER(SEARCH("Classic Black",Pricing!F23)),ISNUMBER(SEARCH("Matte Black",Pricing!F23))),ROUND(Matrix2!F11,0.2),),)</f>
        <v>0</v>
      </c>
      <c r="Y73" s="57">
        <f>IF(OR(AND(Pricing!E26&lt;&gt;"Java",Pricing!G28="Stainless Steel"),Pricing!G28="Brushed Nickel Plated"),ROUND(Matrix2!$F$12*Matrix2!N73,0.2),)</f>
        <v>0</v>
      </c>
      <c r="Z73" s="174">
        <f t="shared" si="12"/>
        <v>0</v>
      </c>
      <c r="AA73" s="57">
        <f>IF(Pricing!AD23="Quoted",IF(Pricing!AD23="YES",ROUND(CONVERT(Pricing!L23,"mm","m")*$F$14,0.2),),)</f>
        <v>0</v>
      </c>
    </row>
    <row r="74" spans="11:27" x14ac:dyDescent="0.2">
      <c r="K74" t="s">
        <v>225</v>
      </c>
      <c r="L74" s="66">
        <f>IF(Pricing!AD26="Quoted",COUNTIFS(Pricing!Q26:AA130,"(CB)"),)</f>
        <v>0</v>
      </c>
      <c r="M74" s="4">
        <f t="shared" si="11"/>
        <v>0</v>
      </c>
      <c r="N74" s="67">
        <f>IF(Pricing!AD26="Quoted",IF(Pricing!E26="",,Pricing!L26*Pricing!M26/1000000),)</f>
        <v>0</v>
      </c>
      <c r="O74" s="64">
        <f>IF(Pricing!AD26="Quoted",IF(OR(Pricing!J26 = "Silent",Pricing!J26 = "Split Tilt"),ROUND($N$74*$C$9,0.2),0),)</f>
        <v>0</v>
      </c>
      <c r="P74" s="64">
        <f>IF(Pricing!AD26="Quoted",IF(Pricing!D26="Tracked",ROUND($C$11+(Q74*$F$2),0.2),),)</f>
        <v>0</v>
      </c>
      <c r="Q74" s="68">
        <f>IF(Pricing!AD26="Quoted",IF(Pricing!D26="Tracked",IF(N74&gt;0,CONVERT(Pricing!L26,"mm","m"),),),)</f>
        <v>0</v>
      </c>
      <c r="R74" s="64">
        <f>IF(Pricing!D26="S/Shade",ROUND($F$3*N74,0.2),0)</f>
        <v>0</v>
      </c>
      <c r="S74" s="57"/>
      <c r="T74" s="4">
        <f t="shared" si="13"/>
        <v>0</v>
      </c>
      <c r="U74" s="67">
        <f>IF(Pricing!AD26="Quoted",IF(OR(Pricing!J26="Silent",Pricing!J26="Split Tilt"),ROUND(N74*$C$9,0.2),),)</f>
        <v>0</v>
      </c>
      <c r="V74" s="57">
        <f>IF(Pricing!AD26="Quoted",IF(Pricing!D26="Shape",IF(AJ19&gt;2,ROUND(C16+((AJ19-2)*C17),0.2),ROUND(C16,0.2)),),)</f>
        <v>0</v>
      </c>
      <c r="W74" s="57">
        <f>IF(Pricing!D26="French Door Cutout",ROUND(Matrix2!$F$4,0.2),)</f>
        <v>0</v>
      </c>
      <c r="X74" s="57">
        <f>IF(Pricing!AD26="Quoted",IF(OR(Pricing!F26="Custom Colour",ISNUMBER(SEARCH("Classic Black",Pricing!F26)),ISNUMBER(SEARCH("Matte Black",Pricing!F26))),ROUND(Matrix2!F11,0.2),),)</f>
        <v>0</v>
      </c>
      <c r="Y74" s="57">
        <f>IF(OR(AND(Pricing!E26&lt;&gt;"Java",Pricing!G28="Stainless Steel"),Pricing!G28="Brushed Nickel Plated"),ROUND(Matrix2!$F$12*Matrix2!N74,0.2),)</f>
        <v>0</v>
      </c>
      <c r="Z74" s="174">
        <f t="shared" si="12"/>
        <v>0</v>
      </c>
      <c r="AA74" s="57">
        <f>IF(Pricing!AD26="Quoted",IF(Pricing!AD26="YES",ROUND(CONVERT(Pricing!L26,"mm","m")*$F$14,0.2),),)</f>
        <v>0</v>
      </c>
    </row>
    <row r="75" spans="11:27" x14ac:dyDescent="0.2">
      <c r="K75" t="s">
        <v>226</v>
      </c>
      <c r="L75" s="66">
        <f>IF(Pricing!AD29="Quoted",COUNTIFS(Pricing!Q29:AA29,"(CB)"),)</f>
        <v>0</v>
      </c>
      <c r="M75" s="4">
        <f t="shared" si="11"/>
        <v>0</v>
      </c>
      <c r="N75" s="67">
        <f>IF(Pricing!AD29="Quoted",IF(Pricing!E29="",,Pricing!L29*Pricing!M29/1000000),)</f>
        <v>0</v>
      </c>
      <c r="O75" s="64">
        <f>IF(Pricing!AD29="Quoted",IF(OR(Pricing!J29 = "Silent",Pricing!J29 = "Split Tilt"),ROUND($N$75*$C$9,0.2),0),)</f>
        <v>0</v>
      </c>
      <c r="P75" s="64">
        <f>IF(Pricing!AD29="Quoted",IF(Pricing!D29="Tracked",ROUND($C$11+(Q75*$F$2),0.2),),)</f>
        <v>0</v>
      </c>
      <c r="Q75" s="68">
        <f>IF(Pricing!AD29="Quoted",IF(Pricing!D29="Tracked",IF(N75&gt;0,CONVERT(Pricing!L29,"mm","m"),),),)</f>
        <v>0</v>
      </c>
      <c r="R75" s="64">
        <f>IF(Pricing!D29="S/Shade",ROUND($F$3*N75,0.2),0)</f>
        <v>0</v>
      </c>
      <c r="S75" s="57"/>
      <c r="T75" s="4">
        <f t="shared" si="13"/>
        <v>0</v>
      </c>
      <c r="U75" s="67">
        <f>IF(Pricing!AD29="Quoted",IF(OR(Pricing!J29="Silent",Pricing!J29="Split Tilt"),ROUND(N75*$C$9,0.2),),)</f>
        <v>0</v>
      </c>
      <c r="V75" s="57">
        <f>IF(Pricing!AD29="Quoted",IF(Pricing!D29="Shape",IF(AK19&gt;2,ROUND(C16+((AK19-2)*C17),0.2),ROUND(C16,0.2)),),)</f>
        <v>0</v>
      </c>
      <c r="W75" s="57">
        <f>IF(Pricing!D29="French Door Cutout",ROUND(Matrix2!$F$4,0.2),)</f>
        <v>0</v>
      </c>
      <c r="X75" s="57">
        <f>IF(Pricing!AD29="Quoted",IF(OR(Pricing!F29="Custom Colour",ISNUMBER(SEARCH("Classic Black",Pricing!F29)),ISNUMBER(SEARCH("Matte Black",Pricing!F29))),ROUND(Matrix2!F11,0.2),),)</f>
        <v>0</v>
      </c>
      <c r="Y75" s="57">
        <f>IF(OR(AND(Pricing!E29&lt;&gt;"Java",Pricing!G31="Stainless Steel"),Pricing!G31="Brushed Nickel Plated"),ROUND(Matrix2!$F$12*Matrix2!N75,0.2),)</f>
        <v>0</v>
      </c>
      <c r="Z75" s="174">
        <f t="shared" si="12"/>
        <v>0</v>
      </c>
      <c r="AA75" s="57">
        <f>IF(Pricing!AD29="Quoted",IF(Pricing!AD29="YES",ROUND(CONVERT(Pricing!L29,"mm","m")*$F$14,0.2),),)</f>
        <v>0</v>
      </c>
    </row>
    <row r="76" spans="11:27" x14ac:dyDescent="0.2">
      <c r="K76" t="s">
        <v>227</v>
      </c>
      <c r="L76" s="66">
        <f>IF(Pricing!AD32="Quoted",COUNTIFS(Pricing!Q32:AA32,"(CB)"),)</f>
        <v>0</v>
      </c>
      <c r="M76" s="4">
        <f t="shared" si="11"/>
        <v>0</v>
      </c>
      <c r="N76" s="67">
        <f>IF(Pricing!AD32="Quoted",IF(Pricing!E32="",,Pricing!L32*Pricing!M32/1000000),)</f>
        <v>0</v>
      </c>
      <c r="O76" s="64">
        <f>IF(Pricing!AD32="Quoted",IF(OR(Pricing!J32 = "Silent",Pricing!J32 = "Split Tilt"),ROUND($N$76*$C$9,0.2),0),)</f>
        <v>0</v>
      </c>
      <c r="P76" s="64">
        <f>IF(Pricing!AD32="Quoted",IF(Pricing!D32="Tracked",ROUND($C$11+(Q76*$F$2),0.2),),)</f>
        <v>0</v>
      </c>
      <c r="Q76" s="68">
        <f>IF(Pricing!AD32="Quoted",IF(Pricing!D32="Tracked",IF(N76&gt;0,CONVERT(Pricing!L32,"mm","m"),),),)</f>
        <v>0</v>
      </c>
      <c r="R76" s="64">
        <f>IF(Pricing!D32="S/Shade",ROUND($F$3*N76,0.2),0)</f>
        <v>0</v>
      </c>
      <c r="S76" s="57"/>
      <c r="T76" s="4">
        <f t="shared" si="13"/>
        <v>0</v>
      </c>
      <c r="U76" s="67">
        <f>IF(Pricing!AD32="Quoted",IF(OR(Pricing!J32="Silent",Pricing!J32="Split Tilt"),ROUND(N76*$C$9,0.2),),)</f>
        <v>0</v>
      </c>
      <c r="V76" s="57">
        <f>IF(Pricing!AD32="Quoted",IF(Pricing!D32="Shape",IF(AL19&gt;2,ROUND(C16+((AL19-2)*C17),0.2),ROUND(C16,0.2)),),)</f>
        <v>0</v>
      </c>
      <c r="W76" s="57">
        <f>IF(Pricing!D32="French Door Cutout",ROUND(Matrix2!$F$4,0.2),)</f>
        <v>0</v>
      </c>
      <c r="X76" s="57">
        <f>IF(Pricing!AD32="Quoted",IF(OR(Pricing!F32="Custom Colour",ISNUMBER(SEARCH("Classic Black",Pricing!F32)),ISNUMBER(SEARCH("Matte Black",Pricing!F32))),ROUND(Matrix2!F11,0.2),),)</f>
        <v>0</v>
      </c>
      <c r="Y76" s="57">
        <f>IF(OR(AND(Pricing!E32&lt;&gt;"Java",Pricing!G34="Stainless Steel"),Pricing!G34="Brushed Nickel Plated"),ROUND(Matrix2!$F$12*Matrix2!N76,0.2),)</f>
        <v>0</v>
      </c>
      <c r="Z76" s="174">
        <f t="shared" si="12"/>
        <v>0</v>
      </c>
      <c r="AA76" s="57">
        <f>IF(Pricing!AD32="Quoted",IF(Pricing!AD32="YES",ROUND(CONVERT(Pricing!L32,"mm","m")*$F$14,0.2),),)</f>
        <v>0</v>
      </c>
    </row>
    <row r="77" spans="11:27" x14ac:dyDescent="0.2">
      <c r="K77" t="s">
        <v>228</v>
      </c>
      <c r="L77" s="66">
        <f>IF(Pricing!AD35="Quoted",COUNTIFS(Pricing!Q35:AA35,"(CB)"),)</f>
        <v>0</v>
      </c>
      <c r="M77" s="4">
        <f t="shared" si="11"/>
        <v>0</v>
      </c>
      <c r="N77" s="67">
        <f>IF(Pricing!AD35="Quoted",IF(Pricing!E35="",,Pricing!L35*Pricing!M35/1000000),)</f>
        <v>0</v>
      </c>
      <c r="O77" s="64">
        <f>IF(Pricing!AD35="Quoted",IF(OR(Pricing!J35 = "Silent",Pricing!J35 = "Split Tilt"),ROUND($N$77*$C$9,0.2),0),)</f>
        <v>0</v>
      </c>
      <c r="P77" s="64">
        <f>IF(Pricing!AD35="Quoted",IF(Pricing!D35="Tracked",ROUND($C$11+(Q77*$F$2),0.2),),)</f>
        <v>0</v>
      </c>
      <c r="Q77" s="68">
        <f>IF(Pricing!AD35="Quoted",IF(Pricing!D35="Tracked",IF(N77&gt;0,CONVERT(Pricing!L35,"mm","m"),),),)</f>
        <v>0</v>
      </c>
      <c r="R77" s="64">
        <f>IF(Pricing!D35="S/Shade",ROUND($F$3*N77,0.2),0)</f>
        <v>0</v>
      </c>
      <c r="S77" s="57"/>
      <c r="T77" s="4">
        <f t="shared" si="13"/>
        <v>0</v>
      </c>
      <c r="U77" s="67">
        <f>IF(Pricing!AD35="Quoted",IF(OR(Pricing!J35="Silent",Pricing!J35="Split Tilt"),ROUND(N77*$C$9,0.2),),)</f>
        <v>0</v>
      </c>
      <c r="V77" s="57">
        <f>IF(Pricing!AD35="Quoted",IF(Pricing!D35="Shape",IF(AM19&gt;2,Roumd(C16+((AM19-2)*C17),0.2),ROUND(C16,0.2)),),)</f>
        <v>0</v>
      </c>
      <c r="W77" s="57">
        <f>IF(Pricing!D35="French Door Cutout",ROUND(Matrix2!$F$4,0.2),)</f>
        <v>0</v>
      </c>
      <c r="X77" s="57">
        <f>IF(Pricing!AD35="Quoted",IF(OR(Pricing!F35="Custom Colour",ISNUMBER(SEARCH("Classic Black",Pricing!F35)),ISNUMBER(SEARCH("Matte Black",Pricing!F35))),ROUND(Matrix2!F11,0.2),),)</f>
        <v>0</v>
      </c>
      <c r="Y77" s="57">
        <f>IF(OR(AND(Pricing!E35&lt;&gt;"Java",Pricing!G37="Stainless Steel"),Pricing!G37="Brushed Nickel Plated"),ROUND(Matrix2!$F$12*Matrix2!N77,0.2),)</f>
        <v>0</v>
      </c>
      <c r="Z77" s="174">
        <f t="shared" si="12"/>
        <v>0</v>
      </c>
      <c r="AA77" s="57">
        <f>IF(Pricing!AD35="Quoted",IF(Pricing!AD35="YES",ROUND(CONVERT(Pricing!L35,"mm","m")*$F$14,0.2),),)</f>
        <v>0</v>
      </c>
    </row>
    <row r="78" spans="11:27" x14ac:dyDescent="0.2">
      <c r="K78" t="s">
        <v>229</v>
      </c>
      <c r="L78" s="66">
        <f>IF(Pricing!AD38="Quoted",COUNTIFS(Pricing!Q38:AA38,"(CB)"),)</f>
        <v>0</v>
      </c>
      <c r="M78" s="4">
        <f t="shared" si="11"/>
        <v>0</v>
      </c>
      <c r="N78" s="67">
        <f>IF(Pricing!AD38="Quoted",IF(Pricing!E38="",,Pricing!L38*Pricing!M38/1000000),)</f>
        <v>0</v>
      </c>
      <c r="O78" s="64">
        <f>IF(Pricing!AD38="Quoted",IF(OR(Pricing!J38 = "Silent",Pricing!J38 = "Split Tilt"),ROUND($N$78*$C$9,0.2),0),)</f>
        <v>0</v>
      </c>
      <c r="P78" s="64">
        <f>IF(Pricing!AD38="Quoted",IF(Pricing!D38="Tracked",ROUND($C$11+(Q78*$F$2),0.2),),)</f>
        <v>0</v>
      </c>
      <c r="Q78" s="68">
        <f>IF(Pricing!AD38="Quoted",IF(Pricing!D38="Tracked",IF(N78&gt;0,CONVERT(Pricing!L38,"mm","m"),),),)</f>
        <v>0</v>
      </c>
      <c r="R78" s="64">
        <f>IF(Pricing!D38="S/Shade",ROUND($F$3*N78,0.2),0)</f>
        <v>0</v>
      </c>
      <c r="S78" s="57"/>
      <c r="T78" s="4">
        <f t="shared" si="13"/>
        <v>0</v>
      </c>
      <c r="U78" s="67">
        <f>IF(Pricing!AD38="Quoted",IF(OR(Pricing!J38="Silent",Pricing!J38="Split Tilt"),ROUND(N78*$C$9,0.2),),)</f>
        <v>0</v>
      </c>
      <c r="V78" s="57">
        <f>IF(Pricing!AD38="Quoted",IF(Pricing!D38="Shape",IF(AN19&gt;2,ROUND(C16+((AN19-2)*C17),0.2),ROUND(C16,0.2)),),)</f>
        <v>0</v>
      </c>
      <c r="W78" s="57">
        <f>IF(Pricing!D38="French Door Cutout",ROUND(Matrix2!$F$4,0.2),)</f>
        <v>0</v>
      </c>
      <c r="X78" s="57">
        <f>IF(Pricing!AD38="Quoted",IF(OR(Pricing!F38="Custom Colour",ISNUMBER(SEARCH("Classic Black",Pricing!F38)),ISNUMBER(SEARCH("Matte Black",Pricing!F38))),ROUND(Matrix2!F11,0.2),),)</f>
        <v>0</v>
      </c>
      <c r="Y78" s="57">
        <f>IF(OR(AND(Pricing!E38&lt;&gt;"Java",Pricing!G40="Stainless Steel"),Pricing!G40="Brushed Nickel Plated"),ROUND(Matrix2!$F$12*Matrix2!N78,0.2),)</f>
        <v>0</v>
      </c>
      <c r="Z78" s="174">
        <f t="shared" si="12"/>
        <v>0</v>
      </c>
      <c r="AA78" s="57">
        <f>IF(Pricing!AD38="Quoted",IF(Pricing!AD38="YES",ROUND(CONVERT(Pricing!L38,"mm","m")*$F$14,0.2),),)</f>
        <v>0</v>
      </c>
    </row>
    <row r="79" spans="11:27" x14ac:dyDescent="0.2">
      <c r="K79" t="s">
        <v>230</v>
      </c>
      <c r="L79" s="66">
        <f>IF(Pricing!AD41="Quoted",COUNTIFS(Pricing!Q41:AA41,"(CB)"),)</f>
        <v>0</v>
      </c>
      <c r="M79" s="4">
        <f t="shared" si="11"/>
        <v>0</v>
      </c>
      <c r="N79" s="67">
        <f>IF(Pricing!AD41="Quoted",IF(Pricing!E41="",,Pricing!L41*Pricing!M41/1000000),)</f>
        <v>0</v>
      </c>
      <c r="O79" s="64">
        <f>IF(Pricing!AD41="Quoted",IF(OR(Pricing!J41 = "Silent",Pricing!J41 = "Split Tilt"),ROUND($N$69*$C$9,0.2),0),)</f>
        <v>0</v>
      </c>
      <c r="P79" s="64">
        <f>IF(Pricing!AD41="Quoted",IF(Pricing!D41="Tracked",ROUND($C$11+(Q79*$F$2),0.2),),)</f>
        <v>0</v>
      </c>
      <c r="Q79" s="68">
        <f>IF(Pricing!AD41="Quoted",IF(Pricing!D41="Tracked",IF(N79&gt;0,CONVERT(Pricing!L41,"mm","m"),),),)</f>
        <v>0</v>
      </c>
      <c r="R79" s="64">
        <f>IF(Pricing!D41="S/Shade",ROUND($F$3*N79,0.2),0)</f>
        <v>0</v>
      </c>
      <c r="S79" s="57"/>
      <c r="T79" s="4">
        <f t="shared" si="13"/>
        <v>0</v>
      </c>
      <c r="U79" s="67">
        <f>IF(Pricing!AD41="Quoted",IF(OR(Pricing!J41="Silent",Pricing!J41="Split Tilt"),ROUND(N79*$C$9,0.2),),)</f>
        <v>0</v>
      </c>
      <c r="V79" s="57">
        <f>IF(Pricing!AD41="Quoted",IF(Pricing!D41="Shape",IF(AO19&gt;2,ROUND(C16+((AO19-2)*C17),0.2),ROUND(C16,0.2)),),)</f>
        <v>0</v>
      </c>
      <c r="W79" s="57">
        <f>IF(Pricing!D41="French Door Cutout",ROUND(Matrix2!$F$4,0.2),)</f>
        <v>0</v>
      </c>
      <c r="X79" s="57">
        <f>IF(Pricing!AD41="Quoted",IF(OR(Pricing!F41="Custom Colour",ISNUMBER(SEARCH("Classic Black",Pricing!F41)),ISNUMBER(SEARCH("Matte Black",Pricing!F41))),ROUND(Matrix2!F11,0.2),),)</f>
        <v>0</v>
      </c>
      <c r="Y79" s="57">
        <f>IF(OR(AND(Pricing!E41&lt;&gt;"Java",Pricing!G43="Stainless Steel"),Pricing!G43="Brushed Nickel Plated"),ROUND(Matrix2!$F$12*Matrix2!N79,0.2),)</f>
        <v>0</v>
      </c>
      <c r="Z79" s="174">
        <f t="shared" si="12"/>
        <v>0</v>
      </c>
      <c r="AA79" s="57">
        <f>IF(Pricing!AD41="Quoted",IF(Pricing!AD41="YES",ROUND(CONVERT(Pricing!L41,"mm","m")*$F$14,0.2),),)</f>
        <v>0</v>
      </c>
    </row>
    <row r="80" spans="11:27" x14ac:dyDescent="0.2">
      <c r="K80" t="s">
        <v>231</v>
      </c>
      <c r="L80" s="66">
        <f>IF(Pricing!AD44="Quoted",COUNTIFS(Pricing!Q44:AA44,"(CB)"),)</f>
        <v>0</v>
      </c>
      <c r="M80" s="4">
        <f t="shared" si="11"/>
        <v>0</v>
      </c>
      <c r="N80" s="67">
        <f>IF(Pricing!AD44="Quoted",IF(Pricing!E44="",,Pricing!L44*Pricing!M44/1000000),)</f>
        <v>0</v>
      </c>
      <c r="O80" s="64">
        <f>IF(Pricing!AD44="Quoted",IF(OR(Pricing!J44 = "Silent",Pricing!J44 = "Split Tilt"),ROUND($N$69*$C$9,0.2),0),)</f>
        <v>0</v>
      </c>
      <c r="P80" s="64">
        <f>IF(Pricing!AD44="Quoted",IF(Pricing!D44="Tracked",ROUND($C$11+(Q80*$F$2),0.2),),)</f>
        <v>0</v>
      </c>
      <c r="Q80" s="68">
        <f>IF(Pricing!AD44="Quoted",IF(Pricing!D44="Tracked",IF(N80&gt;0,CONVERT(Pricing!L44,"mm","m"),),),)</f>
        <v>0</v>
      </c>
      <c r="R80" s="64">
        <f>IF(Pricing!D44="S/Shade",ROUND($F$3*N80,0.2),0)</f>
        <v>0</v>
      </c>
      <c r="S80" s="57"/>
      <c r="T80" s="4">
        <f t="shared" si="13"/>
        <v>0</v>
      </c>
      <c r="U80" s="67">
        <f>IF(Pricing!AD44="Quoted",IF(OR(Pricing!J44="Silent",Pricing!J44="Split Tilt"),ROUND(N80*$C$9,0.2),),)</f>
        <v>0</v>
      </c>
      <c r="V80" s="57">
        <f>IF(Pricing!AD44="Quoted",IF(Pricing!D44="Shape",IF(AP19&gt;2,ROUND(C16+((AP19-2)*C17),0.2),ROUND(C16,0.2)),),)</f>
        <v>0</v>
      </c>
      <c r="W80" s="57">
        <f>IF(Pricing!D44="French Door Cutout",ROUND(Matrix2!$F$4,0.2),)</f>
        <v>0</v>
      </c>
      <c r="X80" s="57">
        <f>IF(Pricing!AD44="Quoted",IF(OR(Pricing!F44="Custom Colour",ISNUMBER(SEARCH("Classic Black",Pricing!F44)),ISNUMBER(SEARCH("Matte Black",Pricing!F44))),ROUND(Matrix2!F11,0.2),),)</f>
        <v>0</v>
      </c>
      <c r="Y80" s="57">
        <f>IF(OR(AND(Pricing!E44&lt;&gt;"Java",Pricing!G46="Stainless Steel"),Pricing!G46="Brushed Nickel Plated"),ROUND(Matrix2!$F$12*Matrix2!N80,0.2),)</f>
        <v>0</v>
      </c>
      <c r="Z80" s="174">
        <f t="shared" si="12"/>
        <v>0</v>
      </c>
      <c r="AA80" s="57">
        <f>IF(Pricing!AD44="Quoted",IF(Pricing!AD44="YES",ROUND(CONVERT(Pricing!L44,"mm","m")*$F$14,0.2),),)</f>
        <v>0</v>
      </c>
    </row>
    <row r="81" spans="11:32" x14ac:dyDescent="0.2">
      <c r="K81" t="s">
        <v>232</v>
      </c>
      <c r="L81" s="66">
        <f>IF(Pricing!AD47="Quoted",COUNTIFS(Pricing!Q47:AA47,"(CB)"),)</f>
        <v>0</v>
      </c>
      <c r="M81" s="4">
        <f t="shared" si="11"/>
        <v>0</v>
      </c>
      <c r="N81" s="67">
        <f>IF(Pricing!AD47="Quoted",IF(Pricing!E47="",,Pricing!L47*Pricing!M47/1000000),)</f>
        <v>0</v>
      </c>
      <c r="O81" s="64">
        <f>IF(Pricing!AD47="Quoted",IF(OR(Pricing!J47="Silent",Pricing!J47="Split Tilt"),ROUND($N$69*$C$9,0.2),0),)</f>
        <v>0</v>
      </c>
      <c r="P81" s="64">
        <f>IF(Pricing!AD47="Quoted",IF(Pricing!D47="Tracked",ROUND($C$11+(Q81*$F$2),0.2),),)</f>
        <v>0</v>
      </c>
      <c r="Q81" s="68">
        <f>IF(Pricing!AD47="Quoted",IF(Pricing!D47="Tracked",IF(N81&gt;0,CONVERT(Pricing!L47,"mm","m"),),),)</f>
        <v>0</v>
      </c>
      <c r="R81" s="64">
        <f>IF(Pricing!D47="S/Shade",ROUND($F$3*N81,0.2),0)</f>
        <v>0</v>
      </c>
      <c r="S81" s="57"/>
      <c r="T81" s="4">
        <f t="shared" si="13"/>
        <v>0</v>
      </c>
      <c r="U81" s="67">
        <f>IF(Pricing!AD47="Quoted",IF(OR(Pricing!J47="Silent",Pricing!J47="Split Tilt"),ROUND(N81*$C$9,0.2),),)</f>
        <v>0</v>
      </c>
      <c r="V81" s="57">
        <f>IF(Pricing!AD47="Quoted",IF(Pricing!D47="Shape",IF(AQ19&gt;2,ROUND(C16+((AQ19-2)*C17),0.2),ROUND(C16,0.2)),),)</f>
        <v>0</v>
      </c>
      <c r="W81" s="57">
        <f>IF(Pricing!D47="French Door Cutout",ROUND(Matrix2!$F$4,0.2),)</f>
        <v>0</v>
      </c>
      <c r="X81" s="57">
        <f>IF(Pricing!AD47="Quoted",IF(OR(Pricing!F47="Custom Colour",ISNUMBER(SEARCH("Classic Black",Pricing!F47)),ISNUMBER(SEARCH("Matte Black",Pricing!F47))),ROUND(Matrix2!F11,0.2),),)</f>
        <v>0</v>
      </c>
      <c r="Y81" s="57">
        <f>IF(OR(AND(Pricing!E47&lt;&gt;"Java",Pricing!G49="Stainless Steel"),Pricing!G49="Brushed Nickel Plated"),ROUND(Matrix2!$F$12*Matrix2!N81,0.2),)</f>
        <v>0</v>
      </c>
      <c r="Z81" s="174">
        <f t="shared" si="12"/>
        <v>0</v>
      </c>
      <c r="AA81" s="57">
        <f>IF(Pricing!AD47="Quoted",IF(Pricing!AD47="YES",ROUND(CONVERT(Pricing!L47,"mm","m")*$F$14,0.2),),)</f>
        <v>0</v>
      </c>
    </row>
    <row r="82" spans="11:32" x14ac:dyDescent="0.2">
      <c r="K82" t="s">
        <v>233</v>
      </c>
      <c r="L82" s="66">
        <f>IF(Pricing!AD50="Quoted",COUNTIFS(Pricing!Q50:AA50,"(CB)"),)</f>
        <v>0</v>
      </c>
      <c r="M82" s="4">
        <f t="shared" si="11"/>
        <v>0</v>
      </c>
      <c r="N82" s="67">
        <f>IF(Pricing!AD50="Quoted",IF(Pricing!E50="",,Pricing!L50*Pricing!M50/1000000),)</f>
        <v>0</v>
      </c>
      <c r="O82" s="64">
        <f>IF(Pricing!AD50="Quoted",IF(OR(Pricing!J50 = "Silent",Pricing!J50 = "Split Tilt)"),ROUND($N$69*$C$9,0.2),0),)</f>
        <v>0</v>
      </c>
      <c r="P82" s="64">
        <f>IF(Pricing!AD50="Quoted",IF(Pricing!D50="Tracked",ROUND($C$11+(Q82*$F$2),0.2),),)</f>
        <v>0</v>
      </c>
      <c r="Q82" s="68">
        <f>IF(Pricing!AD50="Quoted",IF(Pricing!D50="Tracked",IF(N82&gt;0,CONVERT(Pricing!L50,"mm","m"),),),)</f>
        <v>0</v>
      </c>
      <c r="R82" s="64">
        <f>IF(Pricing!D50="S/Shade",ROUND($F$3*N82,0.2),0)</f>
        <v>0</v>
      </c>
      <c r="S82" s="57"/>
      <c r="T82" s="4">
        <f t="shared" si="13"/>
        <v>0</v>
      </c>
      <c r="U82" s="67">
        <f>IF(Pricing!AD50="Quoted",IF(OR(Pricing!J50="Silent",Pricing!J50="Split Tilt"),ROUND(N82*$C$9,0.2),),)</f>
        <v>0</v>
      </c>
      <c r="V82" s="57">
        <f>IF(Pricing!AD50="Quoted",IF(Pricing!D50="Shape",IF(AR19&gt;2,ROUND(C16+((AR19-2)*C17),0.2),ROUND(C16,0.2)),),)</f>
        <v>0</v>
      </c>
      <c r="W82" s="57">
        <f>IF(Pricing!D50="French Door Cutout",ROUND(Matrix2!$F$4,0.2),)</f>
        <v>0</v>
      </c>
      <c r="X82" s="57">
        <f>IF(Pricing!AD50="Quoted",IF(OR(Pricing!F50="Custom Colour",ISNUMBER(SEARCH("Classic Black",Pricing!F50)),ISNUMBER(SEARCH("Matte Black",Pricing!F50))),ROUND(Matrix2!F11,0.2),),)</f>
        <v>0</v>
      </c>
      <c r="Y82" s="57">
        <f>IF(OR(AND(Pricing!E50&lt;&gt;"Java",Pricing!G52="Stainless Steel"),Pricing!G52="Brushed Nickel Plated"),ROUND(Matrix2!$F$12*Matrix2!N82,0.2),)</f>
        <v>0</v>
      </c>
      <c r="Z82" s="174">
        <f t="shared" si="12"/>
        <v>0</v>
      </c>
      <c r="AA82" s="57">
        <f>IF(Pricing!AD50="Quoted",IF(Pricing!AD50="YES",ROUND(CONVERT(Pricing!L50,"mm","m")*$F$14,0.2),),)</f>
        <v>0</v>
      </c>
    </row>
    <row r="85" spans="11:32" ht="15.75" thickBot="1" x14ac:dyDescent="0.25">
      <c r="K85" s="855" t="s">
        <v>352</v>
      </c>
      <c r="L85" s="855"/>
      <c r="M85" s="855"/>
      <c r="N85" s="855"/>
      <c r="O85" s="855"/>
      <c r="P85" s="855"/>
      <c r="Q85" s="855"/>
      <c r="R85" s="855"/>
      <c r="S85" s="855"/>
      <c r="T85" s="855"/>
      <c r="U85" s="855"/>
      <c r="V85" s="855"/>
      <c r="W85" s="855"/>
      <c r="X85" s="855"/>
      <c r="Y85" s="855"/>
      <c r="Z85" s="855"/>
      <c r="AA85" s="855"/>
      <c r="AD85" s="782" t="s">
        <v>813</v>
      </c>
      <c r="AE85" s="782"/>
      <c r="AF85" s="782"/>
    </row>
    <row r="86" spans="11:32" ht="15.75" thickTop="1" x14ac:dyDescent="0.2">
      <c r="L86" s="69" t="s">
        <v>219</v>
      </c>
      <c r="M86" s="69" t="s">
        <v>220</v>
      </c>
      <c r="N86" s="69" t="s">
        <v>221</v>
      </c>
      <c r="O86" s="69" t="s">
        <v>222</v>
      </c>
      <c r="P86" s="69" t="s">
        <v>223</v>
      </c>
      <c r="Q86" s="69" t="s">
        <v>224</v>
      </c>
      <c r="R86" s="69" t="s">
        <v>225</v>
      </c>
      <c r="S86" s="69" t="s">
        <v>226</v>
      </c>
      <c r="T86" s="69" t="s">
        <v>227</v>
      </c>
      <c r="U86" s="69" t="s">
        <v>228</v>
      </c>
      <c r="V86" s="69" t="s">
        <v>229</v>
      </c>
      <c r="W86" s="69" t="s">
        <v>230</v>
      </c>
      <c r="X86" s="69" t="s">
        <v>231</v>
      </c>
      <c r="Y86" s="69" t="s">
        <v>232</v>
      </c>
      <c r="Z86" s="70" t="s">
        <v>233</v>
      </c>
      <c r="AA86" s="71" t="s">
        <v>77</v>
      </c>
      <c r="AC86" s="29" t="s">
        <v>41</v>
      </c>
      <c r="AD86" s="29">
        <f>INDEX(AA87:AA94,MATCH(AC86,K87:K94,0))</f>
        <v>0</v>
      </c>
      <c r="AE86" s="383">
        <f>AD86*C2</f>
        <v>0</v>
      </c>
    </row>
    <row r="87" spans="11:32" x14ac:dyDescent="0.2">
      <c r="K87" s="29" t="s">
        <v>41</v>
      </c>
      <c r="L87" s="377">
        <f>IF(AND(Pricing!$E$8=K87,Pricing!$AD$8="Quoted"),,IF(Pricing!$E$8=K87,$N$26,))</f>
        <v>0</v>
      </c>
      <c r="M87" s="377">
        <f>IF(AND(Pricing!$E$11=K87,Pricing!$AD$11="Quoted"),,IF(Pricing!$E$11=K87,$N$27,))</f>
        <v>0</v>
      </c>
      <c r="N87" s="377">
        <f>IF(AND(Pricing!$E$14=K87,Pricing!$AD$14="Quoted"),,IF(Pricing!$E$14=K87,$N$28,))</f>
        <v>0</v>
      </c>
      <c r="O87" s="377">
        <f>IF(AND(Pricing!$E$17=K87,Pricing!$AD$17="Quoted"),,IF(Pricing!$E$17=K87,$N$29,))</f>
        <v>0</v>
      </c>
      <c r="P87" s="377">
        <f>IF(AND(Pricing!$E$20=K87,Pricing!$AD$20="Quoted"),,IF(Pricing!$E$20=K87,$N$30,))</f>
        <v>0</v>
      </c>
      <c r="Q87" s="377">
        <f>IF(AND(Pricing!$E$23=K87,Pricing!$AD$23="Quoted"),,IF(Pricing!$E$23=K87,$N$31,))</f>
        <v>0</v>
      </c>
      <c r="R87" s="377">
        <f>IF(AND(Pricing!$E$26=K87,Pricing!$AD$26="Quoted"),,IF(Pricing!$E$26=K87,$N$32,))</f>
        <v>0</v>
      </c>
      <c r="S87" s="377">
        <f>IF(AND(Pricing!$E$29=K87,Pricing!$AD$29="Quoted"),,IF(Pricing!$E$29=K87,$N$33,))</f>
        <v>0</v>
      </c>
      <c r="T87" s="377">
        <f>IF(AND(Pricing!$E$32=K87,Pricing!$AD$32="Quoted"),,IF(Pricing!$E$32=K87,$N$34,))</f>
        <v>0</v>
      </c>
      <c r="U87" s="377">
        <f>IF(AND(Pricing!$E$35=K87,Pricing!$AD$35="Quoted"),,IF(Pricing!$E$35=K87,$N$35,))</f>
        <v>0</v>
      </c>
      <c r="V87" s="377">
        <f>IF(AND(Pricing!$E$38=K87,Pricing!$AD$38="Quoted"),,IF(Pricing!$E$38=K87,$N$36,))</f>
        <v>0</v>
      </c>
      <c r="W87" s="377">
        <f>IF(AND(Pricing!$E$41=K87,Pricing!$AD$41="Quoted"),,IF(Pricing!$E$41=K87,$N$37,))</f>
        <v>0</v>
      </c>
      <c r="X87" s="377">
        <f>IF(AND(Pricing!$E$44=K87,Pricing!$AD$44="Quoted"),,IF(Pricing!$E$44=K87,$N$38,))</f>
        <v>0</v>
      </c>
      <c r="Y87" s="377">
        <f>IF(AND(Pricing!$E$47=K87,Pricing!$AD$47="Quoted"),,IF(Pricing!$E$47=K87,$N$39,))</f>
        <v>0</v>
      </c>
      <c r="Z87" s="377">
        <f>IF(AND(Pricing!$E$50=K87,Pricing!$AD$50="Quoted"),,IF(Pricing!$E$50=K87,$N$40,))</f>
        <v>0</v>
      </c>
      <c r="AA87" s="375">
        <f t="shared" ref="AA87:AA94" si="14">SUM(L87:Z87)</f>
        <v>0</v>
      </c>
      <c r="AC87" s="29" t="s">
        <v>43</v>
      </c>
      <c r="AD87" s="29">
        <f t="shared" ref="AD87:AD93" si="15">INDEX(AA88:AA95,MATCH(AC87,K88:K95,0))</f>
        <v>0</v>
      </c>
      <c r="AE87" s="383">
        <f t="shared" ref="AE87:AE91" si="16">AD87*C3</f>
        <v>0</v>
      </c>
    </row>
    <row r="88" spans="11:32" x14ac:dyDescent="0.2">
      <c r="K88" s="29" t="s">
        <v>43</v>
      </c>
      <c r="L88" s="377">
        <f>IF(AND(Pricing!$E$8=K88,Pricing!$AD$8="Quoted"),,IF(Pricing!$E$8=K88,$N$26,))</f>
        <v>0</v>
      </c>
      <c r="M88" s="377">
        <f>IF(AND(Pricing!$E$11=$K88,Pricing!$AD$11="Quoted"),,IF(Pricing!$E$11=K88,$N$27,))</f>
        <v>0</v>
      </c>
      <c r="N88" s="377">
        <f>IF(AND(Pricing!$E$14=K88,Pricing!$AD$14="Quoted"),,IF(Pricing!$E$14=K88,$N$28,))</f>
        <v>0</v>
      </c>
      <c r="O88" s="377">
        <f>IF(AND(Pricing!$E$17=K88,Pricing!$AD$17="Quoted"),,IF(Pricing!$E$17=K88,$N$29,))</f>
        <v>0</v>
      </c>
      <c r="P88" s="377">
        <f>IF(AND(Pricing!$E$20=K88,Pricing!$AD$20="Quoted"),,IF(Pricing!$E$20=K88,$N$30,))</f>
        <v>0</v>
      </c>
      <c r="Q88" s="377">
        <f>IF(AND(Pricing!$E$23=K88,Pricing!$AD$23="Quoted"),,IF(Pricing!$E$23=K88,$N$31,))</f>
        <v>0</v>
      </c>
      <c r="R88" s="377">
        <f>IF(AND(Pricing!$E$26=K88,Pricing!$AD$26="Quoted"),,IF(Pricing!$E$26=K88,$N$32,))</f>
        <v>0</v>
      </c>
      <c r="S88" s="377">
        <f>IF(AND(Pricing!$E$29=K88,Pricing!$AD$29="Quoted"),,IF(Pricing!$E$29=K88,$N$33,))</f>
        <v>0</v>
      </c>
      <c r="T88" s="377">
        <f>IF(AND(Pricing!$E$32=K88,Pricing!$AD$32="Quoted"),,IF(Pricing!$E$32=K88,$N$34,))</f>
        <v>0</v>
      </c>
      <c r="U88" s="377">
        <f>IF(AND(Pricing!$E$35=K88,Pricing!$AD$35="Quoted"),,IF(Pricing!$E$35=K88,$N$35,))</f>
        <v>0</v>
      </c>
      <c r="V88" s="377">
        <f>IF(AND(Pricing!$E$38=K88,Pricing!$AD$38="Quoted"),,IF(Pricing!$E$38=K88,$N$36,))</f>
        <v>0</v>
      </c>
      <c r="W88" s="377">
        <f>IF(AND(Pricing!$E$41=K88,Pricing!$AD$41="Quoted"),,IF(Pricing!$E$41=K88,$N$37,))</f>
        <v>0</v>
      </c>
      <c r="X88" s="377">
        <f>IF(AND(Pricing!$E$44=K88,Pricing!$AD$44="Quoted"),,IF(Pricing!$E$44=K88,$N$38,))</f>
        <v>0</v>
      </c>
      <c r="Y88" s="377">
        <f>IF(AND(Pricing!$E$47=K88,Pricing!$AD$47="Quoted"),,IF(Pricing!$E$47=K88,$N$39,))</f>
        <v>0</v>
      </c>
      <c r="Z88" s="377">
        <f>IF(AND(Pricing!$E$50=K88,Pricing!$AD$50="Quoted"),,IF(Pricing!$E$50=K88,$N$40,))</f>
        <v>0</v>
      </c>
      <c r="AA88" s="375">
        <f t="shared" si="14"/>
        <v>0</v>
      </c>
      <c r="AC88" s="29" t="s">
        <v>47</v>
      </c>
      <c r="AD88" s="29">
        <f t="shared" si="15"/>
        <v>0</v>
      </c>
      <c r="AE88" s="383">
        <f t="shared" si="16"/>
        <v>0</v>
      </c>
    </row>
    <row r="89" spans="11:32" x14ac:dyDescent="0.2">
      <c r="K89" s="29" t="s">
        <v>47</v>
      </c>
      <c r="L89" s="377">
        <f>IF(AND(Pricing!$E$8=K89,Pricing!$AD$8="Quoted"),,IF(Pricing!$E$8=K89,$N$26,))</f>
        <v>0</v>
      </c>
      <c r="M89" s="377">
        <f>IF(AND(Pricing!$E$11=$K89,Pricing!$AD$11="Quoted"),,IF(Pricing!$E$11=K89,$N$27,))</f>
        <v>0</v>
      </c>
      <c r="N89" s="377">
        <f>IF(AND(Pricing!$E$14=K89,Pricing!$AD$14="Quoted"),,IF(Pricing!$E$14=K89,$N$28,))</f>
        <v>0</v>
      </c>
      <c r="O89" s="377">
        <f>IF(AND(Pricing!$E$17=K89,Pricing!$AD$17="Quoted"),,IF(Pricing!$E$17=K89,$N$29,))</f>
        <v>0</v>
      </c>
      <c r="P89" s="377">
        <f>IF(AND(Pricing!$E$20=K89,Pricing!$AD$20="Quoted"),,IF(Pricing!$E$20=K89,$N$30,))</f>
        <v>0</v>
      </c>
      <c r="Q89" s="377">
        <f>IF(AND(Pricing!$E$23=K89,Pricing!$AD$23="Quoted"),,IF(Pricing!$E$23=K89,$N$31,))</f>
        <v>0</v>
      </c>
      <c r="R89" s="377">
        <f>IF(AND(Pricing!$E$26=K89,Pricing!$AD$26="Quoted"),,IF(Pricing!$E$26=K89,$N$32,))</f>
        <v>0</v>
      </c>
      <c r="S89" s="377">
        <f>IF(AND(Pricing!$E$29=K89,Pricing!$AD$29="Quoted"),,IF(Pricing!$E$29=K89,$N$33,))</f>
        <v>0</v>
      </c>
      <c r="T89" s="377">
        <f>IF(AND(Pricing!$E$32=K89,Pricing!$AD$32="Quoted"),,IF(Pricing!$E$32=K89,$N$34,))</f>
        <v>0</v>
      </c>
      <c r="U89" s="377">
        <f>IF(AND(Pricing!$E$35=K89,Pricing!$AD$35="Quoted"),,IF(Pricing!$E$35=K89,$N$35,))</f>
        <v>0</v>
      </c>
      <c r="V89" s="377">
        <f>IF(AND(Pricing!$E$38=K89,Pricing!$AD$38="Quoted"),,IF(Pricing!$E$38=K89,$N$36,))</f>
        <v>0</v>
      </c>
      <c r="W89" s="377">
        <f>IF(AND(Pricing!$E$41=K89,Pricing!$AD$41="Quoted"),,IF(Pricing!$E$41=K89,$N$37,))</f>
        <v>0</v>
      </c>
      <c r="X89" s="377">
        <f>IF(AND(Pricing!$E$44=K89,Pricing!$AD$44="Quoted"),,IF(Pricing!$E$44=K89,$N$38,))</f>
        <v>0</v>
      </c>
      <c r="Y89" s="377">
        <f>IF(AND(Pricing!$E$47=K89,Pricing!$AD$47="Quoted"),,IF(Pricing!$E$47=K89,$N$39,))</f>
        <v>0</v>
      </c>
      <c r="Z89" s="377">
        <f>IF(AND(Pricing!$E$50=K89,Pricing!$AD$50="Quoted"),,IF(Pricing!$E$50=K89,$N$40,))</f>
        <v>0</v>
      </c>
      <c r="AA89" s="375">
        <f t="shared" si="14"/>
        <v>0</v>
      </c>
      <c r="AC89" s="29" t="s">
        <v>49</v>
      </c>
      <c r="AD89" s="29">
        <f t="shared" si="15"/>
        <v>0</v>
      </c>
      <c r="AE89" s="383">
        <f t="shared" si="16"/>
        <v>0</v>
      </c>
    </row>
    <row r="90" spans="11:32" x14ac:dyDescent="0.2">
      <c r="K90" s="29" t="s">
        <v>49</v>
      </c>
      <c r="L90" s="377">
        <f>IF(AND(Pricing!$E$8=K90,Pricing!$AD$8="Quoted"),,IF(Pricing!$E$8=K90,$N$26,))</f>
        <v>0</v>
      </c>
      <c r="M90" s="377">
        <f>IF(AND(Pricing!$E$11=$K90,Pricing!$AD$11="Quoted"),,IF(Pricing!$E$11=K90,$N$27,))</f>
        <v>0</v>
      </c>
      <c r="N90" s="377">
        <f>IF(AND(Pricing!$E$14=K90,Pricing!$AD$14="Quoted"),,IF(Pricing!$E$14=K90,$N$28,))</f>
        <v>0</v>
      </c>
      <c r="O90" s="377">
        <f>IF(AND(Pricing!$E$17=K90,Pricing!$AD$17="Quoted"),,IF(Pricing!$E$17=K90,$N$29,))</f>
        <v>0</v>
      </c>
      <c r="P90" s="377">
        <f>IF(AND(Pricing!$E$20=K90,Pricing!$AD$20="Quoted"),,IF(Pricing!$E$20=K90,$N$30,))</f>
        <v>0</v>
      </c>
      <c r="Q90" s="377">
        <f>IF(AND(Pricing!$E$23=K90,Pricing!$AD$23="Quoted"),,IF(Pricing!$E$23=K90,$N$31,))</f>
        <v>0</v>
      </c>
      <c r="R90" s="377">
        <f>IF(AND(Pricing!$E$26=K90,Pricing!$AD$26="Quoted"),,IF(Pricing!$E$26=K90,$N$32,))</f>
        <v>0</v>
      </c>
      <c r="S90" s="377">
        <f>IF(AND(Pricing!$E$29=K90,Pricing!$AD$29="Quoted"),,IF(Pricing!$E$29=K90,$N$33,))</f>
        <v>0</v>
      </c>
      <c r="T90" s="377">
        <f>IF(AND(Pricing!$E$32=K90,Pricing!$AD$32="Quoted"),,IF(Pricing!$E$32=K90,$N$34,))</f>
        <v>0</v>
      </c>
      <c r="U90" s="377">
        <f>IF(AND(Pricing!$E$35=K90,Pricing!$AD$35="Quoted"),,IF(Pricing!$E$35=K90,$N$35,))</f>
        <v>0</v>
      </c>
      <c r="V90" s="377">
        <f>IF(AND(Pricing!$E$38=K90,Pricing!$AD$38="Quoted"),,IF(Pricing!$E$38=K90,$N$36,))</f>
        <v>0</v>
      </c>
      <c r="W90" s="377">
        <f>IF(AND(Pricing!$E$41=K90,Pricing!$AD$41="Quoted"),,IF(Pricing!$E$41=K90,$N$37,))</f>
        <v>0</v>
      </c>
      <c r="X90" s="377">
        <f>IF(AND(Pricing!$E$44=K90,Pricing!$AD$44="Quoted"),,IF(Pricing!$E$44=K90,$N$38,))</f>
        <v>0</v>
      </c>
      <c r="Y90" s="377">
        <f>IF(AND(Pricing!$E$47=K90,Pricing!$AD$47="Quoted"),,IF(Pricing!$E$47=K90,$N$39,))</f>
        <v>0</v>
      </c>
      <c r="Z90" s="377">
        <f>IF(AND(Pricing!$E$50=K90,Pricing!$AD$50="Quoted"),,IF(Pricing!$E$50=K90,$N$40,))</f>
        <v>0</v>
      </c>
      <c r="AA90" s="375">
        <f t="shared" si="14"/>
        <v>0</v>
      </c>
      <c r="AC90" s="29" t="s">
        <v>51</v>
      </c>
      <c r="AD90" s="29">
        <f t="shared" si="15"/>
        <v>0</v>
      </c>
      <c r="AE90" s="383">
        <f t="shared" si="16"/>
        <v>0</v>
      </c>
    </row>
    <row r="91" spans="11:32" x14ac:dyDescent="0.2">
      <c r="K91" s="29" t="s">
        <v>51</v>
      </c>
      <c r="L91" s="377">
        <f>IF(AND(Pricing!$E$8=K91,Pricing!$AD$8="Quoted"),,IF(Pricing!$E$8=K91,$N$26,))</f>
        <v>0</v>
      </c>
      <c r="M91" s="377">
        <f>IF(AND(Pricing!$E$11=$K91,Pricing!$AD$11="Quoted"),,IF(Pricing!$E$11=K91,$N$27,))</f>
        <v>0</v>
      </c>
      <c r="N91" s="377">
        <f>IF(AND(Pricing!$E$14=K91,Pricing!$AD$14="Quoted"),,IF(Pricing!$E$14=K91,$N$28,))</f>
        <v>0</v>
      </c>
      <c r="O91" s="377">
        <f>IF(AND(Pricing!$E$17=K91,Pricing!$AD$17="Quoted"),,IF(Pricing!$E$17=K91,$N$29,))</f>
        <v>0</v>
      </c>
      <c r="P91" s="377">
        <f>IF(AND(Pricing!$E$20=K91,Pricing!$AD$20="Quoted"),,IF(Pricing!$E$20=K91,$N$30,))</f>
        <v>0</v>
      </c>
      <c r="Q91" s="377">
        <f>IF(AND(Pricing!$E$23=K91,Pricing!$AD$23="Quoted"),,IF(Pricing!$E$23=K91,$N$31,))</f>
        <v>0</v>
      </c>
      <c r="R91" s="377">
        <f>IF(AND(Pricing!$E$26=K91,Pricing!$AD$26="Quoted"),,IF(Pricing!$E$26=K91,$N$32,))</f>
        <v>0</v>
      </c>
      <c r="S91" s="377">
        <f>IF(AND(Pricing!$E$29=K91,Pricing!$AD$29="Quoted"),,IF(Pricing!$E$29=K91,$N$33,))</f>
        <v>0</v>
      </c>
      <c r="T91" s="377">
        <f>IF(AND(Pricing!$E$32=K91,Pricing!$AD$32="Quoted"),,IF(Pricing!$E$32=K91,$N$34,))</f>
        <v>0</v>
      </c>
      <c r="U91" s="377">
        <f>IF(AND(Pricing!$E$35=K91,Pricing!$AD$35="Quoted"),,IF(Pricing!$E$35=K91,$N$35,))</f>
        <v>0</v>
      </c>
      <c r="V91" s="377">
        <f>IF(AND(Pricing!$E$38=K91,Pricing!$AD$38="Quoted"),,IF(Pricing!$E$38=K91,$N$36,))</f>
        <v>0</v>
      </c>
      <c r="W91" s="377">
        <f>IF(AND(Pricing!$E$41=K91,Pricing!$AD$41="Quoted"),,IF(Pricing!$E$41=K91,$N$37,))</f>
        <v>0</v>
      </c>
      <c r="X91" s="377">
        <f>IF(AND(Pricing!$E$44=K91,Pricing!$AD$44="Quoted"),,IF(Pricing!$E$44=K91,$N$38,))</f>
        <v>0</v>
      </c>
      <c r="Y91" s="377">
        <f>IF(AND(Pricing!$E$47=K91,Pricing!$AD$47="Quoted"),,IF(Pricing!$E$47=K91,$N$39,))</f>
        <v>0</v>
      </c>
      <c r="Z91" s="377">
        <f>IF(AND(Pricing!$E$50=K91,Pricing!$AD$50="Quoted"),,IF(Pricing!$E$50=K91,$N$40,))</f>
        <v>0</v>
      </c>
      <c r="AA91" s="375">
        <f t="shared" si="14"/>
        <v>0</v>
      </c>
      <c r="AC91" s="31" t="s">
        <v>55</v>
      </c>
      <c r="AD91" s="29">
        <f t="shared" si="15"/>
        <v>0</v>
      </c>
      <c r="AE91" s="383">
        <f t="shared" si="16"/>
        <v>0</v>
      </c>
    </row>
    <row r="92" spans="11:32" ht="15.75" thickBot="1" x14ac:dyDescent="0.25">
      <c r="K92" s="31" t="s">
        <v>55</v>
      </c>
      <c r="L92" s="377">
        <f>IF(AND(Pricing!$E$8=K92,Pricing!$AD$8="Quoted"),,IF(Pricing!$E$8=K92,$N$26,))</f>
        <v>0</v>
      </c>
      <c r="M92" s="377">
        <f>IF(AND(Pricing!$E$11=$K92,Pricing!$AD$11="Quoted"),,IF(Pricing!$E$11=K92,$N$27,))</f>
        <v>0</v>
      </c>
      <c r="N92" s="377">
        <f>IF(AND(Pricing!$E$14=K92,Pricing!$AD$14="Quoted"),,IF(Pricing!$E$14=K92,$N$28,))</f>
        <v>0</v>
      </c>
      <c r="O92" s="377">
        <f>IF(AND(Pricing!$E$17=K92,Pricing!$AD$17="Quoted"),,IF(Pricing!$E$17=K92,$N$29,))</f>
        <v>0</v>
      </c>
      <c r="P92" s="377">
        <f>IF(AND(Pricing!$E$20=K92,Pricing!$AD$20="Quoted"),,IF(Pricing!$E$20=K92,$N$30,))</f>
        <v>0</v>
      </c>
      <c r="Q92" s="377">
        <f>IF(AND(Pricing!$E$23=K92,Pricing!$AD$23="Quoted"),,IF(Pricing!$E$23=K92,$N$31,))</f>
        <v>0</v>
      </c>
      <c r="R92" s="377">
        <f>IF(AND(Pricing!$E$26=K92,Pricing!$AD$26="Quoted"),,IF(Pricing!$E$26=K92,$N$32,))</f>
        <v>0</v>
      </c>
      <c r="S92" s="377">
        <f>IF(AND(Pricing!$E$29=K92,Pricing!$AD$29="Quoted"),,IF(Pricing!$E$29=K92,$N$33,))</f>
        <v>0</v>
      </c>
      <c r="T92" s="377">
        <f>IF(AND(Pricing!$E$32=K92,Pricing!$AD$32="Quoted"),,IF(Pricing!$E$32=K92,$N$34,))</f>
        <v>0</v>
      </c>
      <c r="U92" s="377">
        <f>IF(AND(Pricing!$E$35=K92,Pricing!$AD$35="Quoted"),,IF(Pricing!$E$35=K92,$N$35,))</f>
        <v>0</v>
      </c>
      <c r="V92" s="377">
        <f>IF(AND(Pricing!$E$38=K92,Pricing!$AD$38="Quoted"),,IF(Pricing!$E$38=K92,$N$36,))</f>
        <v>0</v>
      </c>
      <c r="W92" s="377">
        <f>IF(AND(Pricing!$E$41=K92,Pricing!$AD$41="Quoted"),,IF(Pricing!$E$41=K92,$N$37,))</f>
        <v>0</v>
      </c>
      <c r="X92" s="377">
        <f>IF(AND(Pricing!$E$44=K92,Pricing!$AD$44="Quoted"),,IF(Pricing!$E$44=K92,$N$38,))</f>
        <v>0</v>
      </c>
      <c r="Y92" s="377">
        <f>IF(AND(Pricing!$E$47=K92,Pricing!$AD$47="Quoted"),,IF(Pricing!$E$47=K92,$N$39,))</f>
        <v>0</v>
      </c>
      <c r="Z92" s="377">
        <f>IF(AND(Pricing!$E$50=K92,Pricing!$AD$50="Quoted"),,IF(Pricing!$E$50=K92,$N$40,))</f>
        <v>0</v>
      </c>
      <c r="AA92" s="376">
        <f t="shared" si="14"/>
        <v>0</v>
      </c>
      <c r="AC92" s="29" t="s">
        <v>791</v>
      </c>
      <c r="AD92" s="29">
        <f t="shared" si="15"/>
        <v>0</v>
      </c>
      <c r="AE92" s="383">
        <f>AD92*F18</f>
        <v>0</v>
      </c>
    </row>
    <row r="93" spans="11:32" ht="16.5" thickTop="1" thickBot="1" x14ac:dyDescent="0.25">
      <c r="K93" s="29" t="s">
        <v>791</v>
      </c>
      <c r="L93" s="377">
        <f>IF(AND(Pricing!$E$8=K93,Pricing!$AD$8="Quoted"),,IF(Pricing!$E$8=K93,$N$26,))</f>
        <v>0</v>
      </c>
      <c r="M93" s="377">
        <f>IF(AND(Pricing!$E$11=$K93,Pricing!$AD$11="Quoted"),,IF(Pricing!$E$11=K93,$N$27,))</f>
        <v>0</v>
      </c>
      <c r="N93" s="377">
        <f>IF(AND(Pricing!$E$14=K93,Pricing!$AD$14="Quoted"),,IF(Pricing!$E$14=K93,$N$28,))</f>
        <v>0</v>
      </c>
      <c r="O93" s="377">
        <f>IF(AND(Pricing!$E$17=K93,Pricing!$AD$17="Quoted"),,IF(Pricing!$E$17=K93,$N$29,))</f>
        <v>0</v>
      </c>
      <c r="P93" s="377">
        <f>IF(AND(Pricing!$E$20=K93,Pricing!$AD$20="Quoted"),,IF(Pricing!$E$20=K93,$N$30,))</f>
        <v>0</v>
      </c>
      <c r="Q93" s="377">
        <f>IF(AND(Pricing!$E$23=K93,Pricing!$AD$23="Quoted"),,IF(Pricing!$E$23=K93,$N$31,))</f>
        <v>0</v>
      </c>
      <c r="R93" s="377">
        <f>IF(AND(Pricing!$E$26=K93,Pricing!$AD$26="Quoted"),,IF(Pricing!$E$26=K93,$N$32,))</f>
        <v>0</v>
      </c>
      <c r="S93" s="377">
        <f>IF(AND(Pricing!$E$29=K93,Pricing!$AD$29="Quoted"),,IF(Pricing!$E$29=K93,$N$33,))</f>
        <v>0</v>
      </c>
      <c r="T93" s="377">
        <f>IF(AND(Pricing!$E$32=K93,Pricing!$AD$32="Quoted"),,IF(Pricing!$E$32=K93,$N$34,))</f>
        <v>0</v>
      </c>
      <c r="U93" s="377">
        <f>IF(AND(Pricing!$E$35=K93,Pricing!$AD$35="Quoted"),,IF(Pricing!$E$35=K93,$N$35,))</f>
        <v>0</v>
      </c>
      <c r="V93" s="377">
        <f>IF(AND(Pricing!$E$38=K93,Pricing!$AD$38="Quoted"),,IF(Pricing!$E$38=K93,$N$36,))</f>
        <v>0</v>
      </c>
      <c r="W93" s="377">
        <f>IF(AND(Pricing!$E$41=K93,Pricing!$AD$41="Quoted"),,IF(Pricing!$E$41=K93,$N$37,))</f>
        <v>0</v>
      </c>
      <c r="X93" s="377">
        <f>IF(AND(Pricing!$E$44=K93,Pricing!$AD$44="Quoted"),,IF(Pricing!$E$44=K93,$N$38,))</f>
        <v>0</v>
      </c>
      <c r="Y93" s="377">
        <f>IF(AND(Pricing!$E$47=K93,Pricing!$AD$47="Quoted"),,IF(Pricing!$E$47=K93,$N$39,))</f>
        <v>0</v>
      </c>
      <c r="Z93" s="377">
        <f>IF(AND(Pricing!$E$50=K93,Pricing!$AD$50="Quoted"),,IF(Pricing!$E$50=K93,$N$40,))</f>
        <v>0</v>
      </c>
      <c r="AA93" s="376">
        <f t="shared" si="14"/>
        <v>0</v>
      </c>
      <c r="AC93" s="29" t="s">
        <v>792</v>
      </c>
      <c r="AD93" s="29">
        <f t="shared" si="15"/>
        <v>0</v>
      </c>
      <c r="AE93" s="383">
        <f>AD93*F19</f>
        <v>0</v>
      </c>
    </row>
    <row r="94" spans="11:32" ht="16.5" thickTop="1" thickBot="1" x14ac:dyDescent="0.25">
      <c r="K94" s="29" t="s">
        <v>792</v>
      </c>
      <c r="L94" s="377">
        <f>IF(AND(Pricing!$E$8=K94,Pricing!$AD$8="Quoted"),,IF(Pricing!$E$8=K94,$N$26,))</f>
        <v>0</v>
      </c>
      <c r="M94" s="377">
        <f>IF(AND(Pricing!$E$11=$K94,Pricing!$AD$11="Quoted"),,IF(Pricing!$E$11=K94,$N$27,))</f>
        <v>0</v>
      </c>
      <c r="N94" s="377">
        <f>IF(AND(Pricing!$E$14=K94,Pricing!$AD$14="Quoted"),,IF(Pricing!$E$14=K94,$N$28,))</f>
        <v>0</v>
      </c>
      <c r="O94" s="377">
        <f>IF(AND(Pricing!$E$17=K94,Pricing!$AD$17="Quoted"),,IF(Pricing!$E$17=K94,$N$29,))</f>
        <v>0</v>
      </c>
      <c r="P94" s="377">
        <f>IF(AND(Pricing!$E$20=K94,Pricing!$AD$20="Quoted"),,IF(Pricing!$E$20=K94,$N$30,))</f>
        <v>0</v>
      </c>
      <c r="Q94" s="377">
        <f>IF(AND(Pricing!$E$23=K94,Pricing!$AD$23="Quoted"),,IF(Pricing!$E$23=K94,$N$31,))</f>
        <v>0</v>
      </c>
      <c r="R94" s="377">
        <f>IF(AND(Pricing!$E$26=K94,Pricing!$AD$26="Quoted"),,IF(Pricing!$E$26=K94,$N$32,))</f>
        <v>0</v>
      </c>
      <c r="S94" s="377">
        <f>IF(AND(Pricing!$E$29=K94,Pricing!$AD$29="Quoted"),,IF(Pricing!$E$29=K94,$N$33,))</f>
        <v>0</v>
      </c>
      <c r="T94" s="377">
        <f>IF(AND(Pricing!$E$32=K94,Pricing!$AD$32="Quoted"),,IF(Pricing!$E$32=K94,$N$34,))</f>
        <v>0</v>
      </c>
      <c r="U94" s="377">
        <f>IF(AND(Pricing!$E$35=K94,Pricing!$AD$35="Quoted"),,IF(Pricing!$E$35=K94,$N$35,))</f>
        <v>0</v>
      </c>
      <c r="V94" s="377">
        <f>IF(AND(Pricing!$E$38=K94,Pricing!$AD$38="Quoted"),,IF(Pricing!$E$38=K94,$N$36,))</f>
        <v>0</v>
      </c>
      <c r="W94" s="377">
        <f>IF(AND(Pricing!$E$41=K94,Pricing!$AD$41="Quoted"),,IF(Pricing!$E$41=K94,$N$37,))</f>
        <v>0</v>
      </c>
      <c r="X94" s="377">
        <f>IF(AND(Pricing!$E$44=K94,Pricing!$AD$44="Quoted"),,IF(Pricing!$E$44=K94,$N$38,))</f>
        <v>0</v>
      </c>
      <c r="Y94" s="377">
        <f>IF(AND(Pricing!$E$47=K94,Pricing!$AD$47="Quoted"),,IF(Pricing!$E$47=K94,$N$39,))</f>
        <v>0</v>
      </c>
      <c r="Z94" s="377">
        <f>IF(AND(Pricing!$E$50=K94,Pricing!$AD$50="Quoted"),,IF(Pricing!$E$50=K94,$N$40,))</f>
        <v>0</v>
      </c>
      <c r="AA94" s="376">
        <f t="shared" si="14"/>
        <v>0</v>
      </c>
    </row>
    <row r="95" spans="11:32" ht="15.75" thickTop="1" x14ac:dyDescent="0.2"/>
    <row r="97" spans="11:27" ht="15.75" thickBot="1" x14ac:dyDescent="0.25">
      <c r="K97" s="855" t="s">
        <v>805</v>
      </c>
      <c r="L97" s="855"/>
      <c r="M97" s="855"/>
      <c r="N97" s="855"/>
      <c r="O97" s="855"/>
      <c r="P97" s="855"/>
      <c r="Q97" s="855"/>
      <c r="R97" s="855"/>
      <c r="S97" s="855"/>
      <c r="T97" s="855"/>
      <c r="U97" s="855"/>
      <c r="V97" s="855"/>
      <c r="W97" s="855"/>
      <c r="X97" s="855"/>
      <c r="Y97" s="855"/>
      <c r="Z97" s="855"/>
      <c r="AA97" s="855"/>
    </row>
    <row r="98" spans="11:27" ht="15.75" thickTop="1" x14ac:dyDescent="0.2">
      <c r="L98" s="69" t="s">
        <v>219</v>
      </c>
      <c r="M98" s="69" t="s">
        <v>220</v>
      </c>
      <c r="N98" s="69" t="s">
        <v>221</v>
      </c>
      <c r="O98" s="69" t="s">
        <v>222</v>
      </c>
      <c r="P98" s="69" t="s">
        <v>223</v>
      </c>
      <c r="Q98" s="69" t="s">
        <v>224</v>
      </c>
      <c r="R98" s="69" t="s">
        <v>225</v>
      </c>
      <c r="S98" s="69" t="s">
        <v>226</v>
      </c>
      <c r="T98" s="69" t="s">
        <v>227</v>
      </c>
      <c r="U98" s="69" t="s">
        <v>228</v>
      </c>
      <c r="V98" s="69" t="s">
        <v>229</v>
      </c>
      <c r="W98" s="69" t="s">
        <v>230</v>
      </c>
      <c r="X98" s="69" t="s">
        <v>231</v>
      </c>
      <c r="Y98" s="69" t="s">
        <v>232</v>
      </c>
      <c r="Z98" s="70" t="s">
        <v>233</v>
      </c>
      <c r="AA98" s="71" t="s">
        <v>77</v>
      </c>
    </row>
    <row r="99" spans="11:27" x14ac:dyDescent="0.2">
      <c r="K99" s="29" t="s">
        <v>41</v>
      </c>
      <c r="L99" s="377">
        <f>IF(N68&gt;1,$N$68,)</f>
        <v>0</v>
      </c>
      <c r="M99" s="377">
        <f>IF(K99=Pricing!$E$11,$N$69,)</f>
        <v>0</v>
      </c>
      <c r="N99" s="377">
        <f>IF(K99=Pricing!$E$14,$N$70,)</f>
        <v>0</v>
      </c>
      <c r="O99" s="377">
        <f>IF(K99=Pricing!$E$17,$N$71,)</f>
        <v>0</v>
      </c>
      <c r="P99" s="377">
        <f>IF(K99=Pricing!$E$20,$N$72,)</f>
        <v>0</v>
      </c>
      <c r="Q99" s="377">
        <f>IF(K99=Pricing!$E$23,$N$73,)</f>
        <v>0</v>
      </c>
      <c r="R99" s="377">
        <f>IF(K99=Pricing!$E$26,$N$74,)</f>
        <v>0</v>
      </c>
      <c r="S99" s="377">
        <f>IF(K99=Pricing!$E$29,$N$75,)</f>
        <v>0</v>
      </c>
      <c r="T99" s="377">
        <f>IF(K99=Pricing!$E$32,$N$76,)</f>
        <v>0</v>
      </c>
      <c r="U99" s="377">
        <f>IF(K99=Pricing!$E$35,$N$77,)</f>
        <v>0</v>
      </c>
      <c r="V99" s="377">
        <f>IF(K99=Pricing!$E$38,$N$78,)</f>
        <v>0</v>
      </c>
      <c r="W99" s="377">
        <f>IF(K99=Pricing!$E$41,$N$79,)</f>
        <v>0</v>
      </c>
      <c r="X99" s="377">
        <f>IF(K99=Pricing!$E$44,$N$80,)</f>
        <v>0</v>
      </c>
      <c r="Y99" s="377">
        <f>IF(K99=Pricing!$E$47,$N$81,)</f>
        <v>0</v>
      </c>
      <c r="Z99" s="377">
        <f>IF(K99=Pricing!$E$50,$N$82,)</f>
        <v>0</v>
      </c>
      <c r="AA99" s="375">
        <f t="shared" ref="AA99:AA106" si="17">SUM(L99:Z99)</f>
        <v>0</v>
      </c>
    </row>
    <row r="100" spans="11:27" x14ac:dyDescent="0.2">
      <c r="K100" s="29" t="s">
        <v>43</v>
      </c>
      <c r="L100" s="377">
        <f>IF(K100=Pricing!E8,$N$68,)</f>
        <v>0</v>
      </c>
      <c r="M100" s="377">
        <f>IF(K100=Pricing!$E$11,$N$69,)</f>
        <v>0</v>
      </c>
      <c r="N100" s="377">
        <f>IF(K100=Pricing!$E$14,$N$70,)</f>
        <v>0</v>
      </c>
      <c r="O100" s="377">
        <f>IF(K100=Pricing!$E$17,$N$71,)</f>
        <v>0</v>
      </c>
      <c r="P100" s="377">
        <f>IF(K100=Pricing!$E$20,$N$72,)</f>
        <v>0</v>
      </c>
      <c r="Q100" s="377">
        <f>IF(K100=Pricing!$E$23,$N$73,)</f>
        <v>0</v>
      </c>
      <c r="R100" s="377">
        <f>IF(K100=Pricing!$E$26,$N$74,)</f>
        <v>0</v>
      </c>
      <c r="S100" s="377">
        <f>IF(K100=Pricing!$E$29,$N$75,)</f>
        <v>0</v>
      </c>
      <c r="T100" s="377">
        <f>IF(K100=Pricing!$E$32,$N$76,)</f>
        <v>0</v>
      </c>
      <c r="U100" s="377">
        <f>IF(K100=Pricing!$E$35,$N$77,)</f>
        <v>0</v>
      </c>
      <c r="V100" s="377">
        <f>IF(K100=Pricing!$E$38,$N$78,)</f>
        <v>0</v>
      </c>
      <c r="W100" s="377">
        <f>IF(K100=Pricing!$E$41,$N$79,)</f>
        <v>0</v>
      </c>
      <c r="X100" s="377">
        <f>IF(K100=Pricing!$E$44,$N$80,)</f>
        <v>0</v>
      </c>
      <c r="Y100" s="377">
        <f>IF(K100=Pricing!$E$47,$N$81,)</f>
        <v>0</v>
      </c>
      <c r="Z100" s="377">
        <f>IF(K100=Pricing!$E$50,$N$82,)</f>
        <v>0</v>
      </c>
      <c r="AA100" s="375">
        <f t="shared" si="17"/>
        <v>0</v>
      </c>
    </row>
    <row r="101" spans="11:27" x14ac:dyDescent="0.2">
      <c r="K101" s="29" t="s">
        <v>47</v>
      </c>
      <c r="L101" s="377">
        <f>IF(K101=Pricing!E8,$N$68,)</f>
        <v>0</v>
      </c>
      <c r="M101" s="377">
        <f>IF(K101=Pricing!$E$11,$N$69,)</f>
        <v>0</v>
      </c>
      <c r="N101" s="377">
        <f>IF(K101=Pricing!$E$14,$N$70,)</f>
        <v>0</v>
      </c>
      <c r="O101" s="377">
        <f>IF(K101=Pricing!$E$17,$N$71,)</f>
        <v>0</v>
      </c>
      <c r="P101" s="377">
        <f>IF(K101=Pricing!$E$20,$N$72,)</f>
        <v>0</v>
      </c>
      <c r="Q101" s="377">
        <f>IF(K101=Pricing!$E$23,$N$73,)</f>
        <v>0</v>
      </c>
      <c r="R101" s="377">
        <f>IF(K101=Pricing!$E$26,$N$74,)</f>
        <v>0</v>
      </c>
      <c r="S101" s="377">
        <f>IF(K101=Pricing!$E$29,$N$75,)</f>
        <v>0</v>
      </c>
      <c r="T101" s="377">
        <f>IF(K101=Pricing!$E$32,$N$76,)</f>
        <v>0</v>
      </c>
      <c r="U101" s="377">
        <f>IF(K101=Pricing!$E$35,$N$77,)</f>
        <v>0</v>
      </c>
      <c r="V101" s="377">
        <f>IF(K101=Pricing!$E$38,$N$78,)</f>
        <v>0</v>
      </c>
      <c r="W101" s="377">
        <f>IF(K101=Pricing!$E$41,$N$79,)</f>
        <v>0</v>
      </c>
      <c r="X101" s="377">
        <f>IF(K101=Pricing!$E$44,$N$80,)</f>
        <v>0</v>
      </c>
      <c r="Y101" s="377">
        <f>IF(K101=Pricing!$E$47,$N$81,)</f>
        <v>0</v>
      </c>
      <c r="Z101" s="377">
        <f>IF(K101=Pricing!$E$50,$N$82,)</f>
        <v>0</v>
      </c>
      <c r="AA101" s="375">
        <f t="shared" si="17"/>
        <v>0</v>
      </c>
    </row>
    <row r="102" spans="11:27" x14ac:dyDescent="0.2">
      <c r="K102" s="29" t="s">
        <v>49</v>
      </c>
      <c r="L102" s="377">
        <f>IF(K102=Pricing!E8,$N$68,)</f>
        <v>0</v>
      </c>
      <c r="M102" s="377">
        <f>IF(K102=Pricing!$E$11,$N$69,)</f>
        <v>0</v>
      </c>
      <c r="N102" s="377">
        <f>IF(K102=Pricing!$E$14,$N$70,)</f>
        <v>0</v>
      </c>
      <c r="O102" s="377">
        <f>IF(K102=Pricing!$E$17,$N$71,)</f>
        <v>0</v>
      </c>
      <c r="P102" s="377">
        <f>IF(K102=Pricing!$E$20,$N$72,)</f>
        <v>0</v>
      </c>
      <c r="Q102" s="377">
        <f>IF(K102=Pricing!$E$23,$N$73,)</f>
        <v>0</v>
      </c>
      <c r="R102" s="377">
        <f>IF(K102=Pricing!$E$26,$N$74,)</f>
        <v>0</v>
      </c>
      <c r="S102" s="377">
        <f>IF(K102=Pricing!$E$29,$N$75,)</f>
        <v>0</v>
      </c>
      <c r="T102" s="377">
        <f>IF(K102=Pricing!$E$32,$N$76,)</f>
        <v>0</v>
      </c>
      <c r="U102" s="377">
        <f>IF(K102=Pricing!$E$35,$N$77,)</f>
        <v>0</v>
      </c>
      <c r="V102" s="377">
        <f>IF(K102=Pricing!$E$38,$N$78,)</f>
        <v>0</v>
      </c>
      <c r="W102" s="377">
        <f>IF(K102=Pricing!$E$41,$N$79,)</f>
        <v>0</v>
      </c>
      <c r="X102" s="377">
        <f>IF(K102=Pricing!$E$44,$N$80,)</f>
        <v>0</v>
      </c>
      <c r="Y102" s="377">
        <f>IF(K102=Pricing!$E$47,$N$81,)</f>
        <v>0</v>
      </c>
      <c r="Z102" s="377">
        <f>IF(K102=Pricing!$E$50,$N$82,)</f>
        <v>0</v>
      </c>
      <c r="AA102" s="375">
        <f t="shared" si="17"/>
        <v>0</v>
      </c>
    </row>
    <row r="103" spans="11:27" x14ac:dyDescent="0.2">
      <c r="K103" s="29" t="s">
        <v>51</v>
      </c>
      <c r="L103" s="377">
        <f>IF(K103=Pricing!E8,$N$68,)</f>
        <v>0</v>
      </c>
      <c r="M103" s="377">
        <f>IF(K103=Pricing!$E$11,$N$69,)</f>
        <v>0</v>
      </c>
      <c r="N103" s="377">
        <f>IF(K103=Pricing!$E$14,$N$70,)</f>
        <v>0</v>
      </c>
      <c r="O103" s="377">
        <f>IF(K103=Pricing!$E$17,$N$71,)</f>
        <v>0</v>
      </c>
      <c r="P103" s="377">
        <f>IF(K103=Pricing!$E$20,$N$72,)</f>
        <v>0</v>
      </c>
      <c r="Q103" s="377">
        <f>IF(K103=Pricing!$E$23,$N$73,)</f>
        <v>0</v>
      </c>
      <c r="R103" s="377">
        <f>IF(K103=Pricing!$E$26,$N$74,)</f>
        <v>0</v>
      </c>
      <c r="S103" s="377">
        <f>IF(K103=Pricing!$E$29,$N$75,)</f>
        <v>0</v>
      </c>
      <c r="T103" s="377">
        <f>IF(K103=Pricing!$E$32,$N$76,)</f>
        <v>0</v>
      </c>
      <c r="U103" s="377">
        <f>IF(K103=Pricing!$E$35,$N$77,)</f>
        <v>0</v>
      </c>
      <c r="V103" s="377">
        <f>IF(K103=Pricing!$E$38,$N$78,)</f>
        <v>0</v>
      </c>
      <c r="W103" s="377">
        <f>IF(K103=Pricing!$E$41,$N$79,)</f>
        <v>0</v>
      </c>
      <c r="X103" s="377">
        <f>IF(K103=Pricing!$E$44,$N$80,)</f>
        <v>0</v>
      </c>
      <c r="Y103" s="377">
        <f>IF(K103=Pricing!$E$47,$N$81,)</f>
        <v>0</v>
      </c>
      <c r="Z103" s="377">
        <f>IF(K103=Pricing!$E$50,$N$82,)</f>
        <v>0</v>
      </c>
      <c r="AA103" s="375">
        <f t="shared" si="17"/>
        <v>0</v>
      </c>
    </row>
    <row r="104" spans="11:27" ht="15.75" thickBot="1" x14ac:dyDescent="0.25">
      <c r="K104" s="31" t="s">
        <v>55</v>
      </c>
      <c r="L104" s="377">
        <f>IF(K104=Pricing!E8,$N$68,)</f>
        <v>0</v>
      </c>
      <c r="M104" s="377">
        <f>IF(K104=Pricing!$E$11,$N$69,)</f>
        <v>0</v>
      </c>
      <c r="N104" s="377">
        <f>IF(K104=Pricing!$E$14,$N$70,)</f>
        <v>0</v>
      </c>
      <c r="O104" s="377">
        <f>IF(K104=Pricing!$E$17,$N$71,)</f>
        <v>0</v>
      </c>
      <c r="P104" s="377">
        <f>IF(K104=Pricing!$E$20,$N$72,)</f>
        <v>0</v>
      </c>
      <c r="Q104" s="377">
        <f>IF(K104=Pricing!$E$23,$N$73,)</f>
        <v>0</v>
      </c>
      <c r="R104" s="377">
        <f>IF(K104=Pricing!$E$26,$N$74,)</f>
        <v>0</v>
      </c>
      <c r="S104" s="377">
        <f>IF(K104=Pricing!$E$29,$N$75,)</f>
        <v>0</v>
      </c>
      <c r="T104" s="377">
        <f>IF(K104=Pricing!$E$32,$N$76,)</f>
        <v>0</v>
      </c>
      <c r="U104" s="377">
        <f>IF(K104=Pricing!$E$35,$N$77,)</f>
        <v>0</v>
      </c>
      <c r="V104" s="377">
        <f>IF(K104=Pricing!$E$38,$N$78,)</f>
        <v>0</v>
      </c>
      <c r="W104" s="377">
        <f>IF(K104=Pricing!$E$41,$N$79,)</f>
        <v>0</v>
      </c>
      <c r="X104" s="377">
        <f>IF(K104=Pricing!$E$44,$N$80,)</f>
        <v>0</v>
      </c>
      <c r="Y104" s="377">
        <f>IF(K104=Pricing!$E$47,$N$81,)</f>
        <v>0</v>
      </c>
      <c r="Z104" s="377">
        <f>IF(K104=Pricing!$E$50,$N$82,)</f>
        <v>0</v>
      </c>
      <c r="AA104" s="376">
        <f t="shared" si="17"/>
        <v>0</v>
      </c>
    </row>
    <row r="105" spans="11:27" ht="16.5" thickTop="1" thickBot="1" x14ac:dyDescent="0.25">
      <c r="K105" s="29" t="s">
        <v>791</v>
      </c>
      <c r="L105" s="377">
        <f>IF(K105=Pricing!E8,$N$68,)</f>
        <v>0</v>
      </c>
      <c r="M105" s="377">
        <f>IF(K105=Pricing!$E$11,$N$69,)</f>
        <v>0</v>
      </c>
      <c r="N105" s="377">
        <f>IF(K105=Pricing!$E$14,$N$70,)</f>
        <v>0</v>
      </c>
      <c r="O105" s="377">
        <f>IF(K105=Pricing!$E$17,$N$71,)</f>
        <v>0</v>
      </c>
      <c r="P105" s="377">
        <f>IF(K105=Pricing!$E$20,$N$72,)</f>
        <v>0</v>
      </c>
      <c r="Q105" s="377">
        <f>IF(K105=Pricing!$E$23,$N$73,)</f>
        <v>0</v>
      </c>
      <c r="R105" s="377">
        <f>IF(K105=Pricing!$E$26,$N$74,)</f>
        <v>0</v>
      </c>
      <c r="S105" s="377">
        <f>IF(K105=Pricing!$E$29,$N$75,)</f>
        <v>0</v>
      </c>
      <c r="T105" s="377">
        <f>IF(K105=Pricing!$E$32,$N$76,)</f>
        <v>0</v>
      </c>
      <c r="U105" s="377">
        <f>IF(K105=Pricing!$E$35,$N$77,)</f>
        <v>0</v>
      </c>
      <c r="V105" s="377">
        <f>IF(K105=Pricing!$E$38,$N$78,)</f>
        <v>0</v>
      </c>
      <c r="W105" s="377">
        <f>IF(K105=Pricing!$E$41,$N$79,)</f>
        <v>0</v>
      </c>
      <c r="X105" s="377">
        <f>IF(K105=Pricing!$E$44,$N$80,)</f>
        <v>0</v>
      </c>
      <c r="Y105" s="377">
        <f>IF(K105=Pricing!$E$47,$N$81,)</f>
        <v>0</v>
      </c>
      <c r="Z105" s="377">
        <f>IF(K105=Pricing!$E$50,$N$82,)</f>
        <v>0</v>
      </c>
      <c r="AA105" s="72">
        <f t="shared" si="17"/>
        <v>0</v>
      </c>
    </row>
    <row r="106" spans="11:27" ht="16.5" thickTop="1" thickBot="1" x14ac:dyDescent="0.25">
      <c r="K106" s="29" t="s">
        <v>792</v>
      </c>
      <c r="L106" s="377">
        <f>IF(K106=Pricing!E8,$N$68,)</f>
        <v>0</v>
      </c>
      <c r="M106" s="377">
        <f>IF(K106=Pricing!$E$11,$N$69,)</f>
        <v>0</v>
      </c>
      <c r="N106" s="377">
        <f>IF(K106=Pricing!$E$14,$N$70,)</f>
        <v>0</v>
      </c>
      <c r="O106" s="377">
        <f>IF(K106=Pricing!$E$17,$N$71,)</f>
        <v>0</v>
      </c>
      <c r="P106" s="377">
        <f>IF(K106=Pricing!$E$20,$N$72,)</f>
        <v>0</v>
      </c>
      <c r="Q106" s="377">
        <f>IF(K106=Pricing!$E$23,$N$73,)</f>
        <v>0</v>
      </c>
      <c r="R106" s="377">
        <f>IF(K106=Pricing!$E$26,$N$74,)</f>
        <v>0</v>
      </c>
      <c r="S106" s="377">
        <f>IF(K106=Pricing!$E$29,$N$75,)</f>
        <v>0</v>
      </c>
      <c r="T106" s="377">
        <f>IF(K106=Pricing!$E$32,$N$76,)</f>
        <v>0</v>
      </c>
      <c r="U106" s="377">
        <f>IF(K106=Pricing!$E$35,$N$77,)</f>
        <v>0</v>
      </c>
      <c r="V106" s="377">
        <f>IF(K106=Pricing!$E$38,$N$78,)</f>
        <v>0</v>
      </c>
      <c r="W106" s="377">
        <f>IF(K106=Pricing!$E$41,$N$79,)</f>
        <v>0</v>
      </c>
      <c r="X106" s="377">
        <f>IF(K106=Pricing!$E$44,$N$80,)</f>
        <v>0</v>
      </c>
      <c r="Y106" s="377">
        <f>IF(K106=Pricing!$E$47,$N$81,)</f>
        <v>0</v>
      </c>
      <c r="Z106" s="377">
        <f>IF(K106=Pricing!$E$50,$N$82,)</f>
        <v>0</v>
      </c>
      <c r="AA106" s="72">
        <f t="shared" si="17"/>
        <v>0</v>
      </c>
    </row>
    <row r="107" spans="11:27" ht="15.75" thickTop="1" x14ac:dyDescent="0.2"/>
    <row r="108" spans="11:27" ht="15.75" thickBot="1" x14ac:dyDescent="0.25">
      <c r="K108" s="855" t="s">
        <v>806</v>
      </c>
      <c r="L108" s="855"/>
      <c r="M108" s="855"/>
      <c r="N108" s="855"/>
      <c r="O108" s="855"/>
      <c r="P108" s="855"/>
      <c r="Q108" s="855"/>
      <c r="R108" s="855"/>
      <c r="S108" s="855"/>
      <c r="T108" s="855"/>
      <c r="U108" s="855"/>
      <c r="V108" s="855"/>
      <c r="W108" s="855"/>
      <c r="X108" s="855"/>
      <c r="Y108" s="855"/>
      <c r="Z108" s="855"/>
      <c r="AA108" s="855"/>
    </row>
    <row r="109" spans="11:27" ht="15.75" thickTop="1" x14ac:dyDescent="0.2">
      <c r="L109" s="69" t="s">
        <v>219</v>
      </c>
      <c r="M109" s="69" t="s">
        <v>220</v>
      </c>
      <c r="N109" s="69" t="s">
        <v>221</v>
      </c>
      <c r="O109" s="69" t="s">
        <v>222</v>
      </c>
      <c r="P109" s="69" t="s">
        <v>223</v>
      </c>
      <c r="Q109" s="69" t="s">
        <v>224</v>
      </c>
      <c r="R109" s="69" t="s">
        <v>225</v>
      </c>
      <c r="S109" s="69" t="s">
        <v>226</v>
      </c>
      <c r="T109" s="69" t="s">
        <v>227</v>
      </c>
      <c r="U109" s="69" t="s">
        <v>228</v>
      </c>
      <c r="V109" s="69" t="s">
        <v>229</v>
      </c>
      <c r="W109" s="69" t="s">
        <v>230</v>
      </c>
      <c r="X109" s="69" t="s">
        <v>231</v>
      </c>
      <c r="Y109" s="69" t="s">
        <v>232</v>
      </c>
      <c r="Z109" s="70" t="s">
        <v>233</v>
      </c>
      <c r="AA109" s="71" t="s">
        <v>77</v>
      </c>
    </row>
    <row r="110" spans="11:27" x14ac:dyDescent="0.2">
      <c r="K110" s="29" t="s">
        <v>41</v>
      </c>
      <c r="L110" s="61">
        <f>IF(Pricing!AD8="Quoted",(C2*L99)-((C2*L99)*$C$10),)</f>
        <v>0</v>
      </c>
      <c r="M110" s="61">
        <f>IF(Pricing!AD11="Quoted",(C2*M99)-((C2*M99)*$C$10),)</f>
        <v>0</v>
      </c>
      <c r="N110" s="61">
        <f>(C2*N99)-((C2*N99)*$C$10)</f>
        <v>0</v>
      </c>
      <c r="O110" s="61">
        <f>(C2*O99)-((C2*O99)*$C$10)</f>
        <v>0</v>
      </c>
      <c r="P110" s="61">
        <f>(C2*P99)-((C2*P99)*$C$10)</f>
        <v>0</v>
      </c>
      <c r="Q110" s="61">
        <f>(C2*Q99)-((C2*Q99)*$C$10)</f>
        <v>0</v>
      </c>
      <c r="R110" s="61">
        <f>(C2*R99)-((C2*R99)*$C$10)</f>
        <v>0</v>
      </c>
      <c r="S110" s="61">
        <f>(C2*S99)-((C2*S99)*$C$10)</f>
        <v>0</v>
      </c>
      <c r="T110" s="61">
        <f>(C2*T99)-((C2*T99)*$C$10)</f>
        <v>0</v>
      </c>
      <c r="U110" s="61">
        <f>(C2*U99)-((C2*U99)*$C$10)</f>
        <v>0</v>
      </c>
      <c r="V110" s="61">
        <f>(C2*V99)-((C2*V99)*$C$10)</f>
        <v>0</v>
      </c>
      <c r="W110" s="61">
        <f>(C2*W99)-((C2*W99)*$C$10)</f>
        <v>0</v>
      </c>
      <c r="X110" s="61">
        <f>(C2*X99)-((C2*X99)*$C$10)</f>
        <v>0</v>
      </c>
      <c r="Y110" s="61">
        <f>(C2*Y99)-((C2*Y99)*$C$10)</f>
        <v>0</v>
      </c>
      <c r="Z110" s="61">
        <f>(C2*Z99)-((C2*Z99)*$C$10)</f>
        <v>0</v>
      </c>
      <c r="AA110" s="378">
        <f t="shared" ref="AA110:AA117" si="18">SUM(L110:Z110)</f>
        <v>0</v>
      </c>
    </row>
    <row r="111" spans="11:27" x14ac:dyDescent="0.2">
      <c r="K111" s="29" t="s">
        <v>43</v>
      </c>
      <c r="L111" s="61">
        <f>L100*C3</f>
        <v>0</v>
      </c>
      <c r="M111" s="61">
        <f>M100*C3</f>
        <v>0</v>
      </c>
      <c r="N111" s="61">
        <f>N100*C3</f>
        <v>0</v>
      </c>
      <c r="O111" s="61">
        <f>O100*C3</f>
        <v>0</v>
      </c>
      <c r="P111" s="61">
        <f>P100*C3</f>
        <v>0</v>
      </c>
      <c r="Q111" s="61">
        <f>Q100*C3</f>
        <v>0</v>
      </c>
      <c r="R111" s="61">
        <f>R100*C3</f>
        <v>0</v>
      </c>
      <c r="S111" s="61">
        <f>S100*C3</f>
        <v>0</v>
      </c>
      <c r="T111" s="61">
        <f>T100*C3</f>
        <v>0</v>
      </c>
      <c r="U111" s="61">
        <f>U100*C3</f>
        <v>0</v>
      </c>
      <c r="V111" s="61">
        <f>V100*C3</f>
        <v>0</v>
      </c>
      <c r="W111" s="61">
        <f>W100*C3</f>
        <v>0</v>
      </c>
      <c r="X111" s="61">
        <f>X100*C3</f>
        <v>0</v>
      </c>
      <c r="Y111" s="61">
        <f>Y100*C3</f>
        <v>0</v>
      </c>
      <c r="Z111" s="61">
        <f>Z100*C3</f>
        <v>0</v>
      </c>
      <c r="AA111" s="378">
        <f t="shared" si="18"/>
        <v>0</v>
      </c>
    </row>
    <row r="112" spans="11:27" x14ac:dyDescent="0.2">
      <c r="K112" s="29" t="s">
        <v>47</v>
      </c>
      <c r="L112" s="61">
        <f>L101*C4</f>
        <v>0</v>
      </c>
      <c r="M112" s="61">
        <f>M101*C4</f>
        <v>0</v>
      </c>
      <c r="N112" s="61">
        <f>N101*C4</f>
        <v>0</v>
      </c>
      <c r="O112" s="61">
        <f>O101*C4</f>
        <v>0</v>
      </c>
      <c r="P112" s="61">
        <f>P101*C4</f>
        <v>0</v>
      </c>
      <c r="Q112" s="61">
        <f>Q101*C4</f>
        <v>0</v>
      </c>
      <c r="R112" s="61">
        <f>R101*C4</f>
        <v>0</v>
      </c>
      <c r="S112" s="61">
        <f>S101*C4</f>
        <v>0</v>
      </c>
      <c r="T112" s="61">
        <f>T101*C4</f>
        <v>0</v>
      </c>
      <c r="U112" s="61">
        <f>U101*C4</f>
        <v>0</v>
      </c>
      <c r="V112" s="61">
        <f>V101*C4</f>
        <v>0</v>
      </c>
      <c r="W112" s="61">
        <f>W101*C4</f>
        <v>0</v>
      </c>
      <c r="X112" s="61">
        <f>X101*C4</f>
        <v>0</v>
      </c>
      <c r="Y112" s="61">
        <f>Y101*C4</f>
        <v>0</v>
      </c>
      <c r="Z112" s="61">
        <f>Z101*C4</f>
        <v>0</v>
      </c>
      <c r="AA112" s="378">
        <f t="shared" si="18"/>
        <v>0</v>
      </c>
    </row>
    <row r="113" spans="11:27" x14ac:dyDescent="0.2">
      <c r="K113" s="29" t="s">
        <v>49</v>
      </c>
      <c r="L113" s="61">
        <f>L102*C5</f>
        <v>0</v>
      </c>
      <c r="M113" s="61">
        <f>M102*C5</f>
        <v>0</v>
      </c>
      <c r="N113" s="61">
        <f>N102*C5</f>
        <v>0</v>
      </c>
      <c r="O113" s="61">
        <f>O102*C5</f>
        <v>0</v>
      </c>
      <c r="P113" s="61">
        <f>P102*C5</f>
        <v>0</v>
      </c>
      <c r="Q113" s="61">
        <f>Q102*C5</f>
        <v>0</v>
      </c>
      <c r="R113" s="61">
        <f>R102*C5</f>
        <v>0</v>
      </c>
      <c r="S113" s="61">
        <f>S102*C5</f>
        <v>0</v>
      </c>
      <c r="T113" s="61">
        <f>T102*C5</f>
        <v>0</v>
      </c>
      <c r="U113" s="61">
        <f>U102*C5</f>
        <v>0</v>
      </c>
      <c r="V113" s="61">
        <f>V102*C5</f>
        <v>0</v>
      </c>
      <c r="W113" s="61">
        <f>W102*C5</f>
        <v>0</v>
      </c>
      <c r="X113" s="61">
        <f>X102*C5</f>
        <v>0</v>
      </c>
      <c r="Y113" s="61">
        <f>Y102*C5</f>
        <v>0</v>
      </c>
      <c r="Z113" s="61">
        <f>Z102*C5</f>
        <v>0</v>
      </c>
      <c r="AA113" s="378">
        <f t="shared" si="18"/>
        <v>0</v>
      </c>
    </row>
    <row r="114" spans="11:27" x14ac:dyDescent="0.2">
      <c r="K114" s="29" t="s">
        <v>51</v>
      </c>
      <c r="L114" s="61">
        <f>L103*C6</f>
        <v>0</v>
      </c>
      <c r="M114" s="61">
        <f>M103*C6</f>
        <v>0</v>
      </c>
      <c r="N114" s="61">
        <f>N103*C6</f>
        <v>0</v>
      </c>
      <c r="O114" s="61">
        <f>O103*C6</f>
        <v>0</v>
      </c>
      <c r="P114" s="61">
        <f>P103*C6</f>
        <v>0</v>
      </c>
      <c r="Q114" s="61">
        <f>Q103*C6</f>
        <v>0</v>
      </c>
      <c r="R114" s="61">
        <f>R103*C6</f>
        <v>0</v>
      </c>
      <c r="S114" s="61">
        <f>S103*C6</f>
        <v>0</v>
      </c>
      <c r="T114" s="61">
        <f>T103*C6</f>
        <v>0</v>
      </c>
      <c r="U114" s="61">
        <f>U103*C6</f>
        <v>0</v>
      </c>
      <c r="V114" s="61">
        <f>V103*C6</f>
        <v>0</v>
      </c>
      <c r="W114" s="61">
        <f>W103*C6</f>
        <v>0</v>
      </c>
      <c r="X114" s="61">
        <f>X103*C6</f>
        <v>0</v>
      </c>
      <c r="Y114" s="61">
        <f>Y103*C6</f>
        <v>0</v>
      </c>
      <c r="Z114" s="61">
        <f>Z103*C6</f>
        <v>0</v>
      </c>
      <c r="AA114" s="378">
        <f t="shared" si="18"/>
        <v>0</v>
      </c>
    </row>
    <row r="115" spans="11:27" ht="15.75" thickBot="1" x14ac:dyDescent="0.25">
      <c r="K115" s="31" t="s">
        <v>55</v>
      </c>
      <c r="L115" s="61">
        <f>L104*C7</f>
        <v>0</v>
      </c>
      <c r="M115" s="61">
        <f>M104*C7</f>
        <v>0</v>
      </c>
      <c r="N115" s="61">
        <f>N104*C7</f>
        <v>0</v>
      </c>
      <c r="O115" s="61">
        <f>O104*C7</f>
        <v>0</v>
      </c>
      <c r="P115" s="61">
        <f>P104*C7</f>
        <v>0</v>
      </c>
      <c r="Q115" s="61">
        <f>Q104*C7</f>
        <v>0</v>
      </c>
      <c r="R115" s="61">
        <f>R104*C7</f>
        <v>0</v>
      </c>
      <c r="S115" s="61">
        <f>S104*C7</f>
        <v>0</v>
      </c>
      <c r="T115" s="61">
        <f>T104*C7</f>
        <v>0</v>
      </c>
      <c r="U115" s="61">
        <f>U104*C7</f>
        <v>0</v>
      </c>
      <c r="V115" s="61">
        <f>V104*C7</f>
        <v>0</v>
      </c>
      <c r="W115" s="61">
        <f>W104*C7</f>
        <v>0</v>
      </c>
      <c r="X115" s="61">
        <f>X104*C7</f>
        <v>0</v>
      </c>
      <c r="Y115" s="61">
        <f>Y104*C7</f>
        <v>0</v>
      </c>
      <c r="Z115" s="61">
        <f>Z104*C7</f>
        <v>0</v>
      </c>
      <c r="AA115" s="379">
        <f t="shared" si="18"/>
        <v>0</v>
      </c>
    </row>
    <row r="116" spans="11:27" ht="15.75" thickBot="1" x14ac:dyDescent="0.25">
      <c r="K116" s="29" t="s">
        <v>791</v>
      </c>
      <c r="L116" s="61">
        <f>L105*F18</f>
        <v>0</v>
      </c>
      <c r="M116" s="61">
        <f>M105*F18</f>
        <v>0</v>
      </c>
      <c r="N116" s="61">
        <f>N105*F18</f>
        <v>0</v>
      </c>
      <c r="O116" s="61">
        <f>O105*F18</f>
        <v>0</v>
      </c>
      <c r="P116" s="61">
        <f>P105*F18</f>
        <v>0</v>
      </c>
      <c r="Q116" s="61">
        <f>Q105*F18</f>
        <v>0</v>
      </c>
      <c r="R116" s="61">
        <f>R105*F18</f>
        <v>0</v>
      </c>
      <c r="S116" s="61">
        <f>S105*F18</f>
        <v>0</v>
      </c>
      <c r="T116" s="61">
        <f>T105*F18</f>
        <v>0</v>
      </c>
      <c r="U116" s="61">
        <f>U105*F18</f>
        <v>0</v>
      </c>
      <c r="V116" s="61">
        <f>V105*F18</f>
        <v>0</v>
      </c>
      <c r="W116" s="61">
        <f>W105*F18</f>
        <v>0</v>
      </c>
      <c r="X116" s="61">
        <f>X105*F18</f>
        <v>0</v>
      </c>
      <c r="Y116" s="61">
        <f>Y105*F18</f>
        <v>0</v>
      </c>
      <c r="Z116" s="61">
        <f>Z105*F18</f>
        <v>0</v>
      </c>
      <c r="AA116" s="163">
        <f t="shared" si="18"/>
        <v>0</v>
      </c>
    </row>
    <row r="117" spans="11:27" ht="15.75" thickBot="1" x14ac:dyDescent="0.25">
      <c r="K117" s="29" t="s">
        <v>792</v>
      </c>
      <c r="L117" s="61">
        <f>L106*F19</f>
        <v>0</v>
      </c>
      <c r="M117" s="61">
        <f>M106*F19</f>
        <v>0</v>
      </c>
      <c r="N117" s="61">
        <f>N106*F19</f>
        <v>0</v>
      </c>
      <c r="O117" s="61">
        <f>O106*F19</f>
        <v>0</v>
      </c>
      <c r="P117" s="61">
        <f>P106*F19</f>
        <v>0</v>
      </c>
      <c r="Q117" s="61">
        <f>Q106*F19</f>
        <v>0</v>
      </c>
      <c r="R117" s="61">
        <f>R106*F19</f>
        <v>0</v>
      </c>
      <c r="S117" s="61">
        <f>S106*F19</f>
        <v>0</v>
      </c>
      <c r="T117" s="61">
        <f>T106*F19</f>
        <v>0</v>
      </c>
      <c r="U117" s="61">
        <f>U106*F19</f>
        <v>0</v>
      </c>
      <c r="V117" s="61">
        <f>V106*F19</f>
        <v>0</v>
      </c>
      <c r="W117" s="61">
        <f>W106*F19</f>
        <v>0</v>
      </c>
      <c r="X117" s="61">
        <f>X106*F19</f>
        <v>0</v>
      </c>
      <c r="Y117" s="61">
        <f>Y106*F19</f>
        <v>0</v>
      </c>
      <c r="Z117" s="61">
        <f>Z106*F19</f>
        <v>0</v>
      </c>
      <c r="AA117" s="163">
        <f t="shared" si="18"/>
        <v>0</v>
      </c>
    </row>
    <row r="120" spans="11:27" x14ac:dyDescent="0.2">
      <c r="K120" s="1183" t="s">
        <v>353</v>
      </c>
      <c r="L120" s="1183"/>
      <c r="M120" s="1183"/>
      <c r="N120" s="1183"/>
      <c r="O120" s="1183"/>
      <c r="P120" s="1183"/>
      <c r="Q120" s="1183"/>
      <c r="R120" s="1183"/>
      <c r="S120" s="1183"/>
      <c r="T120" s="1183"/>
      <c r="U120" s="1183"/>
      <c r="V120" s="1183"/>
      <c r="W120" s="1183"/>
      <c r="X120" s="1183"/>
      <c r="Y120" s="1183"/>
      <c r="Z120" s="1183"/>
      <c r="AA120" s="1183"/>
    </row>
    <row r="121" spans="11:27" x14ac:dyDescent="0.2">
      <c r="K121" s="1184" t="str">
        <f>" Base Price -" &amp; C107 &amp; "% Discount + Bay Posts + Std Shapes + Custom Colours + Installation + Buildout"</f>
        <v xml:space="preserve"> Base Price -% Discount + Bay Posts + Std Shapes + Custom Colours + Installation + Buildout</v>
      </c>
      <c r="L121" s="1185"/>
      <c r="M121" s="1185"/>
      <c r="N121" s="1185"/>
      <c r="O121" s="1185"/>
      <c r="P121" s="1185"/>
      <c r="Q121" s="1185"/>
      <c r="R121" s="1185"/>
      <c r="S121" s="1185"/>
      <c r="T121" s="1185"/>
      <c r="U121" s="1185"/>
      <c r="V121" s="1185"/>
      <c r="W121" s="1185"/>
      <c r="X121" s="1185"/>
      <c r="Y121" s="1185"/>
      <c r="Z121" s="1185"/>
      <c r="AA121" s="1185"/>
    </row>
    <row r="122" spans="11:27" x14ac:dyDescent="0.2">
      <c r="K122" s="29"/>
      <c r="L122" s="58" t="s">
        <v>219</v>
      </c>
      <c r="M122" s="58" t="s">
        <v>220</v>
      </c>
      <c r="N122" s="58" t="s">
        <v>221</v>
      </c>
      <c r="O122" s="58" t="s">
        <v>222</v>
      </c>
      <c r="P122" s="58" t="s">
        <v>223</v>
      </c>
      <c r="Q122" s="58" t="s">
        <v>224</v>
      </c>
      <c r="R122" s="58" t="s">
        <v>225</v>
      </c>
      <c r="S122" s="58" t="s">
        <v>226</v>
      </c>
      <c r="T122" s="58" t="s">
        <v>227</v>
      </c>
      <c r="U122" s="58" t="s">
        <v>228</v>
      </c>
      <c r="V122" s="58" t="s">
        <v>229</v>
      </c>
      <c r="W122" s="58" t="s">
        <v>230</v>
      </c>
      <c r="X122" s="58" t="s">
        <v>231</v>
      </c>
      <c r="Y122" s="58" t="s">
        <v>232</v>
      </c>
      <c r="Z122" s="58" t="s">
        <v>233</v>
      </c>
      <c r="AA122" s="58" t="s">
        <v>59</v>
      </c>
    </row>
    <row r="123" spans="11:27" x14ac:dyDescent="0.2">
      <c r="K123" s="29" t="s">
        <v>41</v>
      </c>
      <c r="L123" s="61">
        <f>((C2*$N$136)-((C2*$N$136)*$C$10))+$AA$136</f>
        <v>0</v>
      </c>
      <c r="M123" s="61">
        <f>((C2*$N$137)-((C2*N137)*$C$10))+AA137</f>
        <v>0</v>
      </c>
      <c r="N123" s="61">
        <f>(($C$2*N138)-(($C$2*N138)*$C$10))+AA138</f>
        <v>0</v>
      </c>
      <c r="O123" s="61">
        <f>(($C$2*N139)-(($C$2*N139)*$C$10))+AA139</f>
        <v>0</v>
      </c>
      <c r="P123" s="61">
        <f>(($C$2*N140)-(($C$2*N140)*$C$10))+AA140</f>
        <v>0</v>
      </c>
      <c r="Q123" s="61">
        <f>(($C$2*N141)-(($C$2*N141)*$C$10))+AA141</f>
        <v>0</v>
      </c>
      <c r="R123" s="61">
        <f>(($C$2*$N$74)-(($C$2*$N$74)*$C$10))+$AA$74</f>
        <v>0</v>
      </c>
      <c r="S123" s="61">
        <f>(($C$2*$N$75)-(($C$2*$N$75)*$C$10))+$AA$75</f>
        <v>0</v>
      </c>
      <c r="T123" s="61">
        <f>(($C$2*$N$76)-(($C$2*$N$76)*$C$10))+$AA$76</f>
        <v>0</v>
      </c>
      <c r="U123" s="61">
        <f>(($C$2*$N$77)-(($C$2*$N$77)*$C$10))+$AA$77</f>
        <v>0</v>
      </c>
      <c r="V123" s="61">
        <f>(($C$2*$N$78)-(($C$2*$N$78)*$C$10))+$AA$78</f>
        <v>0</v>
      </c>
      <c r="W123" s="61">
        <f>(($C$2*$N$79)-(($C$2*$N$79)*$C$10))+$AA$79</f>
        <v>0</v>
      </c>
      <c r="X123" s="61">
        <f>(($C$2*$N$80)-(($C$2*$N$80)*$C$10))+$AA$80</f>
        <v>0</v>
      </c>
      <c r="Y123" s="61">
        <f>(($C$2*$N$81)-(($C$2*$N$81)*$C$10))+$AA$81</f>
        <v>0</v>
      </c>
      <c r="Z123" s="61">
        <f>(($C$2*$N$82)-(($C$2*$N$82)*$C$10))+$AA$82</f>
        <v>0</v>
      </c>
      <c r="AA123" s="57">
        <f t="shared" ref="AA123:AA130" si="19">SUM(L123:Z123)</f>
        <v>0</v>
      </c>
    </row>
    <row r="124" spans="11:27" x14ac:dyDescent="0.2">
      <c r="K124" s="29" t="s">
        <v>43</v>
      </c>
      <c r="L124" s="61">
        <f>L123+(C3*$N$136)</f>
        <v>0</v>
      </c>
      <c r="M124" s="61">
        <f>M123+(C3*N137)</f>
        <v>0</v>
      </c>
      <c r="N124" s="61">
        <f>N123+(C3*N138)</f>
        <v>0</v>
      </c>
      <c r="O124" s="61">
        <f>$O$123+(C3*$N$139)</f>
        <v>0</v>
      </c>
      <c r="P124" s="61">
        <f>$P$123+(C3*$N$140)</f>
        <v>0</v>
      </c>
      <c r="Q124" s="61">
        <f>$Q$123+(C3*$N$141)</f>
        <v>0</v>
      </c>
      <c r="R124" s="61">
        <f>$R123+(C3*$N$142)</f>
        <v>0</v>
      </c>
      <c r="S124" s="61">
        <f>$S$123+(C3*$N$143)</f>
        <v>0</v>
      </c>
      <c r="T124" s="61">
        <f>$T123+(C3*$N$144)</f>
        <v>0</v>
      </c>
      <c r="U124" s="61">
        <f>$U$123+(C3*$N$145)</f>
        <v>0</v>
      </c>
      <c r="V124" s="61">
        <f>$V$123+(C3*$N$146)</f>
        <v>0</v>
      </c>
      <c r="W124" s="61">
        <f>$W$123+(C3*$N$147)</f>
        <v>0</v>
      </c>
      <c r="X124" s="61">
        <f>$X$123+(C3*$N$148)</f>
        <v>0</v>
      </c>
      <c r="Y124" s="61">
        <f>$Y$123+(C3*$N$149)</f>
        <v>0</v>
      </c>
      <c r="Z124" s="61">
        <f>$Z$123+(C3*$N$150)</f>
        <v>0</v>
      </c>
      <c r="AA124" s="57">
        <f t="shared" si="19"/>
        <v>0</v>
      </c>
    </row>
    <row r="125" spans="11:27" x14ac:dyDescent="0.2">
      <c r="K125" s="29" t="s">
        <v>47</v>
      </c>
      <c r="L125" s="61">
        <f>L123+(C4*N136)</f>
        <v>0</v>
      </c>
      <c r="M125" s="61">
        <f>M123+(C4*N137)</f>
        <v>0</v>
      </c>
      <c r="N125" s="61">
        <f>N123+(C4*N138)</f>
        <v>0</v>
      </c>
      <c r="O125" s="61">
        <f>$O$123+(C4*$N$139)</f>
        <v>0</v>
      </c>
      <c r="P125" s="61">
        <f>$P$123+(C4*$N$140)</f>
        <v>0</v>
      </c>
      <c r="Q125" s="61">
        <f>$Q$123+(C4*$N$141)</f>
        <v>0</v>
      </c>
      <c r="R125" s="61">
        <f>$R123+(C4*$N$142)</f>
        <v>0</v>
      </c>
      <c r="S125" s="61">
        <f>$S$123+(C4*$N$143)</f>
        <v>0</v>
      </c>
      <c r="T125" s="61">
        <f>$T123+(C4*$N$144)</f>
        <v>0</v>
      </c>
      <c r="U125" s="61">
        <f>$U$123+(C4*$N$145)</f>
        <v>0</v>
      </c>
      <c r="V125" s="61">
        <f>$V$123+(C4*$N$146)</f>
        <v>0</v>
      </c>
      <c r="W125" s="61">
        <f>$W$123+(C4*$N$147)</f>
        <v>0</v>
      </c>
      <c r="X125" s="61">
        <f>$X$123+(C4*$N$148)</f>
        <v>0</v>
      </c>
      <c r="Y125" s="61">
        <f>$Y$123+(C4*$N$149)</f>
        <v>0</v>
      </c>
      <c r="Z125" s="61">
        <f>$Z$123+(C4*$N$150)</f>
        <v>0</v>
      </c>
      <c r="AA125" s="57">
        <f t="shared" si="19"/>
        <v>0</v>
      </c>
    </row>
    <row r="126" spans="11:27" x14ac:dyDescent="0.2">
      <c r="K126" s="29" t="s">
        <v>49</v>
      </c>
      <c r="L126" s="61">
        <f>$L$123+(C5*N136)+W136+Z136</f>
        <v>0</v>
      </c>
      <c r="M126" s="61">
        <f>M123+(C5*N137)</f>
        <v>0</v>
      </c>
      <c r="N126" s="61">
        <f>N123+(C5*N138)</f>
        <v>0</v>
      </c>
      <c r="O126" s="61">
        <f>$O$123+(C5*$N$139)</f>
        <v>0</v>
      </c>
      <c r="P126" s="61">
        <f>$P$123+(C5*$N$140)</f>
        <v>0</v>
      </c>
      <c r="Q126" s="61">
        <f>$Q$123+(C5*$N$141)</f>
        <v>0</v>
      </c>
      <c r="R126" s="61">
        <f>$R123+(C5*$N$142)</f>
        <v>0</v>
      </c>
      <c r="S126" s="61">
        <f>$S$123+(C5*$N$143)</f>
        <v>0</v>
      </c>
      <c r="T126" s="61">
        <f>$T123+(C5*$N$144)</f>
        <v>0</v>
      </c>
      <c r="U126" s="61">
        <f>$U$123+(C5*$N$145)</f>
        <v>0</v>
      </c>
      <c r="V126" s="61">
        <f>$V$123+(C5*$N$146)</f>
        <v>0</v>
      </c>
      <c r="W126" s="61">
        <f>$W$123+(C5*$N$147)</f>
        <v>0</v>
      </c>
      <c r="X126" s="61">
        <f>$X$123+(C5*$N$148)</f>
        <v>0</v>
      </c>
      <c r="Y126" s="61">
        <f>$Y$123+(C5*$N$149)</f>
        <v>0</v>
      </c>
      <c r="Z126" s="61">
        <f>$Z$123+(C5*$N$150)</f>
        <v>0</v>
      </c>
      <c r="AA126" s="57">
        <f t="shared" si="19"/>
        <v>0</v>
      </c>
    </row>
    <row r="127" spans="11:27" x14ac:dyDescent="0.2">
      <c r="K127" s="29" t="s">
        <v>51</v>
      </c>
      <c r="L127" s="61">
        <f>$L$123+(C6*N136)</f>
        <v>0</v>
      </c>
      <c r="M127" s="61">
        <f>M123+(C6*N137)</f>
        <v>0</v>
      </c>
      <c r="N127" s="61">
        <f>N123+(C6*N138)</f>
        <v>0</v>
      </c>
      <c r="O127" s="61">
        <f>$O$123+(C6*$N$139)</f>
        <v>0</v>
      </c>
      <c r="P127" s="61">
        <f>$P$123+(C6*$N$140)</f>
        <v>0</v>
      </c>
      <c r="Q127" s="61">
        <f>$Q$123+(C6*$N$141)</f>
        <v>0</v>
      </c>
      <c r="R127" s="61">
        <f>$R123+(C6*$N$142)</f>
        <v>0</v>
      </c>
      <c r="S127" s="61">
        <f>$S$123+(C6*$N$143)</f>
        <v>0</v>
      </c>
      <c r="T127" s="61">
        <f>$T123+(C6*$N$144)</f>
        <v>0</v>
      </c>
      <c r="U127" s="61">
        <f>$U$123+(C6*$N$145)</f>
        <v>0</v>
      </c>
      <c r="V127" s="61">
        <f>$V$123+(C6*$N$146)</f>
        <v>0</v>
      </c>
      <c r="W127" s="61">
        <f>$W$123+(C6*$N$147)</f>
        <v>0</v>
      </c>
      <c r="X127" s="61">
        <f>$X$123+(C6*$N$148)</f>
        <v>0</v>
      </c>
      <c r="Y127" s="61">
        <f>$Y$123+(C6*$N$149)</f>
        <v>0</v>
      </c>
      <c r="Z127" s="61">
        <f>$Z$123+(C6*$N$150)</f>
        <v>0</v>
      </c>
      <c r="AA127" s="57">
        <f t="shared" si="19"/>
        <v>0</v>
      </c>
    </row>
    <row r="128" spans="11:27" x14ac:dyDescent="0.2">
      <c r="K128" s="29" t="s">
        <v>55</v>
      </c>
      <c r="L128" s="61">
        <f>$L$123+(C7*N136)+W136</f>
        <v>0</v>
      </c>
      <c r="M128" s="61">
        <f>M123+(C7*N137)</f>
        <v>0</v>
      </c>
      <c r="N128" s="61">
        <f>N123+(C7*N138)</f>
        <v>0</v>
      </c>
      <c r="O128" s="61">
        <f>$O$123+(C7*$N$139)</f>
        <v>0</v>
      </c>
      <c r="P128" s="61">
        <f>$P$123+(C7*$N$140)</f>
        <v>0</v>
      </c>
      <c r="Q128" s="61">
        <f>$Q$123+(C7*$N$141)</f>
        <v>0</v>
      </c>
      <c r="R128" s="61">
        <f>$R123+(C7*$N$142)</f>
        <v>0</v>
      </c>
      <c r="S128" s="61">
        <f>$S$123+(C7*$N$143)</f>
        <v>0</v>
      </c>
      <c r="T128" s="61">
        <f>$T123+(C7*$N$144)</f>
        <v>0</v>
      </c>
      <c r="U128" s="61">
        <f>$U$123+(C7*$N$145)</f>
        <v>0</v>
      </c>
      <c r="V128" s="61">
        <f>$V$123+(C7*$N$146)</f>
        <v>0</v>
      </c>
      <c r="W128" s="61">
        <f>$W$123+(C7*$N$147)</f>
        <v>0</v>
      </c>
      <c r="X128" s="61">
        <f>$X$123+(C7*$N$148)</f>
        <v>0</v>
      </c>
      <c r="Y128" s="61">
        <f>$Y$123+(C7*$N$149)</f>
        <v>0</v>
      </c>
      <c r="Z128" s="61">
        <f>$Z$123+(C7*$N$150)</f>
        <v>0</v>
      </c>
      <c r="AA128" s="57">
        <f t="shared" si="19"/>
        <v>0</v>
      </c>
    </row>
    <row r="129" spans="11:27" x14ac:dyDescent="0.2">
      <c r="K129" s="29" t="s">
        <v>791</v>
      </c>
      <c r="L129" s="61">
        <f>$L$123+(F18*N136)+W136</f>
        <v>0</v>
      </c>
      <c r="M129" s="61">
        <f>M123+(F18*N138)</f>
        <v>0</v>
      </c>
      <c r="N129" s="61">
        <f>N123+(F18*N139)</f>
        <v>0</v>
      </c>
      <c r="O129" s="61">
        <f>$O$123+(F18*$N$139)</f>
        <v>0</v>
      </c>
      <c r="P129" s="61">
        <f>$P$123+(F18*$N$140)</f>
        <v>0</v>
      </c>
      <c r="Q129" s="61">
        <f>$Q$123+(F18*$N$141)</f>
        <v>0</v>
      </c>
      <c r="R129" s="61">
        <f>$R123+(F18*$N$142)</f>
        <v>0</v>
      </c>
      <c r="S129" s="61">
        <f>$S$123+(F18*$N$143)</f>
        <v>0</v>
      </c>
      <c r="T129" s="61">
        <f>$T123+(F18*$N$144)</f>
        <v>0</v>
      </c>
      <c r="U129" s="61">
        <f>$U$123+(F18*$N$145)</f>
        <v>0</v>
      </c>
      <c r="V129" s="61">
        <f>$V$123+(F18*$N$146)</f>
        <v>0</v>
      </c>
      <c r="W129" s="61">
        <f>$W$123+(F18*$N$147)</f>
        <v>0</v>
      </c>
      <c r="X129" s="61">
        <f>$X$123+(F18*$N$148)</f>
        <v>0</v>
      </c>
      <c r="Y129" s="61">
        <f>$Y$123+(F18*$N$149)</f>
        <v>0</v>
      </c>
      <c r="Z129" s="61">
        <f>$Z$123+(F18*$N$150)</f>
        <v>0</v>
      </c>
      <c r="AA129" s="57">
        <f t="shared" si="19"/>
        <v>0</v>
      </c>
    </row>
    <row r="130" spans="11:27" x14ac:dyDescent="0.2">
      <c r="K130" s="29" t="s">
        <v>792</v>
      </c>
      <c r="L130" s="61">
        <f>$L$123+(F19*N138)+W138</f>
        <v>0</v>
      </c>
      <c r="M130" s="61">
        <f>M123+(F19*N139)</f>
        <v>0</v>
      </c>
      <c r="N130" s="61">
        <f>N123+(F19*N140)</f>
        <v>0</v>
      </c>
      <c r="O130" s="61">
        <f>$O$123+(F19*$N$139)</f>
        <v>0</v>
      </c>
      <c r="P130" s="61">
        <f>$P$123+(F19*$N$140)</f>
        <v>0</v>
      </c>
      <c r="Q130" s="61">
        <f>$Q$123+(F19*$N$141)</f>
        <v>0</v>
      </c>
      <c r="R130" s="61">
        <f>$R123+(F19*$N$142)</f>
        <v>0</v>
      </c>
      <c r="S130" s="61">
        <f>$S$123+(F19*$N$143)</f>
        <v>0</v>
      </c>
      <c r="T130" s="61">
        <f>$T123+(F19*$N$144)</f>
        <v>0</v>
      </c>
      <c r="U130" s="61">
        <f>$U$123+(F19*$N$145)</f>
        <v>0</v>
      </c>
      <c r="V130" s="61">
        <f>$V$123+(F19*$N$146)</f>
        <v>0</v>
      </c>
      <c r="W130" s="61">
        <f>$W$123+(F19*$N$147)</f>
        <v>0</v>
      </c>
      <c r="X130" s="61">
        <f>$X$123+(F19*$N$148)</f>
        <v>0</v>
      </c>
      <c r="Y130" s="61">
        <f>$Y$123+(F19*$N$149)</f>
        <v>0</v>
      </c>
      <c r="Z130" s="61">
        <f>$Z$123+(F19*$N$150)</f>
        <v>0</v>
      </c>
      <c r="AA130" s="57">
        <f t="shared" si="19"/>
        <v>0</v>
      </c>
    </row>
    <row r="134" spans="11:27" x14ac:dyDescent="0.2">
      <c r="K134" s="855" t="s">
        <v>804</v>
      </c>
      <c r="L134" s="855"/>
      <c r="M134" s="855"/>
      <c r="N134" s="855"/>
      <c r="O134" s="855"/>
      <c r="P134" s="855"/>
      <c r="Q134" s="855"/>
      <c r="R134" s="855"/>
      <c r="S134" s="855"/>
      <c r="T134" s="855"/>
      <c r="U134" s="855"/>
      <c r="V134" s="855"/>
      <c r="W134" s="855"/>
      <c r="X134" s="855"/>
      <c r="Y134" s="855"/>
      <c r="Z134" s="855"/>
      <c r="AA134" s="855"/>
    </row>
    <row r="135" spans="11:27" x14ac:dyDescent="0.2">
      <c r="L135" s="64" t="s">
        <v>303</v>
      </c>
      <c r="M135" s="4" t="s">
        <v>304</v>
      </c>
      <c r="N135" s="4" t="s">
        <v>14</v>
      </c>
      <c r="O135" s="4" t="s">
        <v>266</v>
      </c>
      <c r="P135" s="4" t="s">
        <v>305</v>
      </c>
      <c r="Q135" s="4" t="s">
        <v>306</v>
      </c>
      <c r="R135" s="4" t="s">
        <v>248</v>
      </c>
      <c r="S135" s="65" t="s">
        <v>279</v>
      </c>
      <c r="T135" s="65" t="s">
        <v>307</v>
      </c>
      <c r="U135" s="4" t="s">
        <v>308</v>
      </c>
      <c r="V135" s="4" t="s">
        <v>72</v>
      </c>
      <c r="W135" s="4" t="s">
        <v>309</v>
      </c>
      <c r="X135" s="4" t="s">
        <v>310</v>
      </c>
      <c r="Y135" s="4" t="s">
        <v>311</v>
      </c>
      <c r="Z135" s="4" t="s">
        <v>312</v>
      </c>
      <c r="AA135" s="4" t="s">
        <v>13</v>
      </c>
    </row>
    <row r="136" spans="11:27" x14ac:dyDescent="0.2">
      <c r="K136" t="s">
        <v>219</v>
      </c>
      <c r="L136" s="66">
        <f>IF('Survey Front'!AD12="Q",,COUNTIFS('Survey Front'!S12:AC12,"(CB)"))</f>
        <v>0</v>
      </c>
      <c r="M136" s="4">
        <f>IF(L136&gt;0,$C$8*ROUND(N136,0),)</f>
        <v>0</v>
      </c>
      <c r="N136" s="67">
        <f>IF('Survey Front'!AD12="Q",,IF('Survey Front'!E12="",,'Survey Front'!M12*'Survey Front'!N12/1000000))</f>
        <v>0</v>
      </c>
      <c r="O136" s="64">
        <f>IF('Survey Front'!AD12="Q",,IF(OR('Survey Front'!L12 = "Silent",'Survey Front'!L12 = "Split Tilt",'Survey Front'!L12="Silent Split Tilt"),ROUND(N136*$C$9,0.2),0))</f>
        <v>0</v>
      </c>
      <c r="P136" s="64">
        <f>IF('Survey Front'!AD12="Q",,IF('Survey Front'!D12="Tracked",ROUND($C$11+($F$2*Q136),0.2),))</f>
        <v>0</v>
      </c>
      <c r="Q136" s="68">
        <f>IF('Survey Front'!AD12="Quoted",,IF('Survey Front'!D12="Tracked",CONVERT('Survey Front'!M12,"mm","m"),))</f>
        <v>0</v>
      </c>
      <c r="R136" s="64">
        <f>IF('Survey Front'!D12="S/Shade",ROUND($F$3*N136,0.2),0)</f>
        <v>0</v>
      </c>
      <c r="S136" s="57">
        <f>AL107*L124</f>
        <v>0</v>
      </c>
      <c r="T136" s="4">
        <f>IF(R136&gt;0,N136,)</f>
        <v>0</v>
      </c>
      <c r="U136" s="67">
        <f>IF('Survey Front'!AD12="Q",,IF(OR('Survey Front'!L12="Silent",('Survey Front'!L12="Split Tilt"),'Survey Front'!L12="Silent Split Tilt"),'Survey Front'!M12*'Survey Front'!N12/1000000,))</f>
        <v>0</v>
      </c>
      <c r="V136" s="57">
        <f>IF('Survey Front'!AD12="Q",,IF('Survey Front'!D12="Shape",IF(AD$19&gt;2,ROUND($C$16+((AD$19-2)*$C$17),0.2),ROUND($C$16,0.2)),))</f>
        <v>0</v>
      </c>
      <c r="W136" s="57">
        <f>IF('Survey Front'!D12="French Door Cutout",ROUND(Matrix2!$F$4,0.2),)</f>
        <v>0</v>
      </c>
      <c r="X136" s="57" t="b">
        <f>IF('Survey Front'!AD12="Q",,IF(OR('Survey Front'!F12="Custom Colour",ISNUMBER(SEARCH("Classic Black (S/Chg)",'Survey Front'!F12)),ISNUMBER(SEARCH("Matte Black (S/Chg)",'Survey Front'!F12))),1))</f>
        <v>0</v>
      </c>
      <c r="Y136" s="57">
        <f>IF(OR(AND('Survey Front'!E12&lt;&gt;"Java",'Survey Front'!G14="Stainless Steel"),'Survey Front'!G14="Brushed Nickel Plated"),ROUND(Matrix2!$F$12*Matrix2!N136,0.2),)</f>
        <v>0</v>
      </c>
      <c r="Z136" s="57">
        <f t="shared" ref="Z136:Z147" si="20">IF(AND(N136&lt;1,N136&gt;0),ROUND(1*$C$19,0.2),ROUND(N136*$C$19,0.2))</f>
        <v>0</v>
      </c>
      <c r="AA136" s="57">
        <f>IF('Survey Front'!AD12="Q","",IF('Survey Front'!AD14&lt;&gt; "",ROUND(CONVERT('Survey Front'!M12,"mm","m")*$F$14,0.2),))</f>
        <v>0</v>
      </c>
    </row>
    <row r="137" spans="11:27" x14ac:dyDescent="0.2">
      <c r="K137" t="s">
        <v>220</v>
      </c>
      <c r="L137" s="66">
        <f>IF('Survey Front'!AD15="Q",,COUNTIFS('Survey Front'!S15:AC15,"(CB)"))</f>
        <v>0</v>
      </c>
      <c r="M137" s="4">
        <f t="shared" ref="M137:M150" si="21">IF(L137&gt;0,$C$8*ROUND(N137,0),)</f>
        <v>0</v>
      </c>
      <c r="N137" s="67">
        <f>IF('Survey Front'!AD15="Q",,IF('Survey Front'!E15="",,'Survey Front'!M15*'Survey Front'!N15/1000000))</f>
        <v>0</v>
      </c>
      <c r="O137" s="64">
        <f>IF('Survey Front'!AD15="Q",,IF(OR('Survey Front'!L15 = "Silent",'Survey Front'!L15 = "Split Tilt",'Survey Front'!L15="Silent Split Tilt"),ROUND(N137*$C$9,0.2),0))</f>
        <v>0</v>
      </c>
      <c r="P137" s="64">
        <f>IF('Survey Front'!AD15="Q",,IF('Survey Front'!D15="Tracked",ROUND($C$11+($F$2*Q137),0.2),))</f>
        <v>0</v>
      </c>
      <c r="Q137" s="68">
        <f>IF('Survey Front'!AD15="Quoted",,IF('Survey Front'!D15="Tracked",CONVERT('Survey Front'!M15,"mm","m"),))</f>
        <v>0</v>
      </c>
      <c r="R137" s="64">
        <f>IF('Survey Front'!D15="S/Shade",ROUND($F$3*N137,0.2),0)</f>
        <v>0</v>
      </c>
      <c r="T137" s="4">
        <f t="shared" ref="T137:T150" si="22">IF(R137&gt;0,N137,)</f>
        <v>0</v>
      </c>
      <c r="U137" s="67">
        <f>IF('Survey Front'!AD15="Q",,IF(OR('Survey Front'!L15="Silent",('Survey Front'!L15="Split Tilt"),'Survey Front'!L15="Silent Split Tilt"),'Survey Front'!M15*'Survey Front'!N15/1000000,))</f>
        <v>0</v>
      </c>
      <c r="V137" s="57">
        <f>IF('Survey Front'!AD15="Q",,IF('Survey Front'!D15="Shape",IF(AE$19&gt;2,ROUND($C$16+((AE$19-2)*$C$17),0.2),ROUND($C$16,0.2)),))</f>
        <v>0</v>
      </c>
      <c r="W137" s="57">
        <f>IF('Survey Front'!D15="French Door Cutout",ROUND(Matrix2!$F$4,0.2),)</f>
        <v>0</v>
      </c>
      <c r="X137" s="57" t="b">
        <f>IF('Survey Front'!AD15="Q",,IF(OR('Survey Front'!F15="Custom Colour",ISNUMBER(SEARCH("Classic Black (S/Chg)",'Survey Front'!F15)),ISNUMBER(SEARCH("Matte Black (S/Chg)",'Survey Front'!F15))),1))</f>
        <v>0</v>
      </c>
      <c r="Y137" s="57">
        <f>IF(OR(AND('Survey Front'!E15&lt;&gt;"Java",'Survey Front'!G17="Stainless Steel"),'Survey Front'!G17="Brushed Nickel Plated"),ROUND(Matrix2!$F$12*Matrix2!N137,0.2),)</f>
        <v>0</v>
      </c>
      <c r="Z137" s="57">
        <f t="shared" si="20"/>
        <v>0</v>
      </c>
      <c r="AA137" s="57">
        <f>IF('Survey Front'!AD15="Q","",IF('Survey Front'!AD17&lt;&gt; "",ROUND(CONVERT('Survey Front'!M15,"mm","m")*$F$14,0.2),))</f>
        <v>0</v>
      </c>
    </row>
    <row r="138" spans="11:27" x14ac:dyDescent="0.2">
      <c r="K138" t="s">
        <v>221</v>
      </c>
      <c r="L138" s="66">
        <f>IF('Survey Front'!AD18="Q",,COUNTIFS('Survey Front'!S18:AC18,"(CB)"))</f>
        <v>0</v>
      </c>
      <c r="M138" s="4">
        <f t="shared" si="21"/>
        <v>0</v>
      </c>
      <c r="N138" s="67">
        <f>IF('Survey Front'!AD18="Q",,IF('Survey Front'!E18="",,'Survey Front'!M18*'Survey Front'!N18/1000000))</f>
        <v>0</v>
      </c>
      <c r="O138" s="64">
        <f>IF('Survey Front'!AD18="Q",,IF(OR('Survey Front'!L18 = "Silent",'Survey Front'!L18 = "Split Tilt",'Survey Front'!L18="Silent Split Tilt"),ROUND(N138*$C$9,0.2),0))</f>
        <v>0</v>
      </c>
      <c r="P138" s="64">
        <f>IF('Survey Front'!AD18="Q",,IF('Survey Front'!D18="Tracked",ROUND($C$11+($F$2*Q138),0.2),))</f>
        <v>0</v>
      </c>
      <c r="Q138" s="68">
        <f>IF('Survey Front'!AD18="Quoted",,IF('Survey Front'!D18="Tracked",CONVERT('Survey Front'!M18,"mm","m"),))</f>
        <v>0</v>
      </c>
      <c r="R138" s="64">
        <f>IF('Survey Front'!D18="S/Shade",ROUND($F$3*N138,0.2),0)</f>
        <v>0</v>
      </c>
      <c r="T138" s="4">
        <f t="shared" si="22"/>
        <v>0</v>
      </c>
      <c r="U138" s="67">
        <f>IF('Survey Front'!AD18="Q",,IF(OR('Survey Front'!L18="Silent",('Survey Front'!L18="Split Tilt"),'Survey Front'!L18="Silent Split Tilt"),'Survey Front'!M18*'Survey Front'!N18/1000000,))</f>
        <v>0</v>
      </c>
      <c r="V138" s="57">
        <f>IF('Survey Front'!AD18="Q",,IF('Survey Front'!D18="Shape",IF(AF$19&gt;2,ROUND($C$16+((AF$19-2)*$C$17),0.2),ROUND($C$16,0.2)),))</f>
        <v>0</v>
      </c>
      <c r="W138" s="57">
        <f>IF('Survey Front'!D18="French Door Cutout",ROUND(Matrix2!$F$4,0.2),)</f>
        <v>0</v>
      </c>
      <c r="X138" s="57" t="b">
        <f>IF('Survey Front'!AD18="Q",,IF(OR('Survey Front'!F18="Custom Colour",ISNUMBER(SEARCH("Classic Black (S/Chg)",'Survey Front'!F18)),ISNUMBER(SEARCH("Matte Black (S/Chg)",'Survey Front'!F18))),1))</f>
        <v>0</v>
      </c>
      <c r="Y138" s="57">
        <f>IF(OR(AND('Survey Front'!E18&lt;&gt;"Java",'Survey Front'!G20="Stainless Steel"),'Survey Front'!G20="Brushed Nickel Plated"),ROUND(Matrix2!$F$12*Matrix2!N138,0.2),)</f>
        <v>0</v>
      </c>
      <c r="Z138" s="57">
        <f t="shared" si="20"/>
        <v>0</v>
      </c>
      <c r="AA138" s="57">
        <f>IF('Survey Front'!AD18="Q","",IF('Survey Front'!AD20&lt;&gt; "",ROUND(CONVERT('Survey Front'!M18,"mm","m")*$F$14,0.2),))</f>
        <v>0</v>
      </c>
    </row>
    <row r="139" spans="11:27" x14ac:dyDescent="0.2">
      <c r="K139" t="s">
        <v>222</v>
      </c>
      <c r="L139" s="66">
        <f>IF('Survey Front'!AD21="Q",,COUNTIFS('Survey Front'!S21:AC21,"(CB)"))</f>
        <v>0</v>
      </c>
      <c r="M139" s="4">
        <f t="shared" si="21"/>
        <v>0</v>
      </c>
      <c r="N139" s="67">
        <f>IF('Survey Front'!AD21="Q",,IF('Survey Front'!E21="",,'Survey Front'!M21*'Survey Front'!N21/1000000))</f>
        <v>0</v>
      </c>
      <c r="O139" s="64">
        <f>IF('Survey Front'!AD21="Q",,IF(OR('Survey Front'!L21 = "Silent",'Survey Front'!L21 = "Split Tilt",'Survey Front'!L21="Silent Split Tilt"),ROUND(N139*$C$9,0.2),0))</f>
        <v>0</v>
      </c>
      <c r="P139" s="64">
        <f>IF('Survey Front'!AD21="Q",,IF('Survey Front'!D21="Tracked",ROUND($C$11+($F$2*Q139),0.2),))</f>
        <v>0</v>
      </c>
      <c r="Q139" s="68">
        <f>IF('Survey Front'!AD21="Quoted",,IF('Survey Front'!D21="Tracked",CONVERT('Survey Front'!M21,"mm","m"),))</f>
        <v>0</v>
      </c>
      <c r="R139" s="64">
        <f>IF('Survey Front'!D21="S/Shade",ROUND($F$3*N139,0.2),0)</f>
        <v>0</v>
      </c>
      <c r="T139" s="4">
        <f t="shared" si="22"/>
        <v>0</v>
      </c>
      <c r="U139" s="67">
        <f>IF('Survey Front'!AD21="Q",,IF(OR('Survey Front'!L21="Silent",('Survey Front'!L21="Split Tilt"),'Survey Front'!L21="Silent Split Tilt"),'Survey Front'!M21*'Survey Front'!N21/1000000,))</f>
        <v>0</v>
      </c>
      <c r="V139" s="57">
        <f>IF('Survey Front'!AD21="Q",,IF('Survey Front'!D21="Shape",IF(AG$19&gt;2,ROUND($C$16+((AG$19-2)*$C$17),0.2),ROUND($C$16,0.2)),))</f>
        <v>0</v>
      </c>
      <c r="W139" s="57">
        <f>IF('Survey Front'!D21="French Door Cutout",ROUND(Matrix2!$F$4,0.2),)</f>
        <v>0</v>
      </c>
      <c r="X139" s="57" t="b">
        <f>IF('Survey Front'!AD21="Q",,IF(OR('Survey Front'!F21="Custom Colour",ISNUMBER(SEARCH("Classic Black (S/Chg)",'Survey Front'!F21)),ISNUMBER(SEARCH("Matte Black (S/Chg)",'Survey Front'!F21))),1))</f>
        <v>0</v>
      </c>
      <c r="Y139" s="57">
        <f>IF(OR(AND('Survey Front'!E21&lt;&gt;"Java",'Survey Front'!G23="Stainless Steel"),'Survey Front'!G23="Brushed Nickel Plated"),ROUND(Matrix2!$F$12*Matrix2!N139,0.2),)</f>
        <v>0</v>
      </c>
      <c r="Z139" s="57">
        <f t="shared" si="20"/>
        <v>0</v>
      </c>
      <c r="AA139" s="57">
        <f>IF('Survey Front'!AD21="Q","",IF('Survey Front'!AD23&lt;&gt; "",ROUND(CONVERT('Survey Front'!M21,"mm","m")*$F$14,0.2),))</f>
        <v>0</v>
      </c>
    </row>
    <row r="140" spans="11:27" x14ac:dyDescent="0.2">
      <c r="K140" t="s">
        <v>223</v>
      </c>
      <c r="L140" s="66">
        <f>IF('Survey Front'!AD24="Q",,COUNTIFS('Survey Front'!S24:AC24,"(CB)"))</f>
        <v>0</v>
      </c>
      <c r="M140" s="4">
        <f t="shared" si="21"/>
        <v>0</v>
      </c>
      <c r="N140" s="67">
        <f>IF('Survey Front'!AD24="Q",,IF('Survey Front'!E24="",,'Survey Front'!M24*'Survey Front'!N24/1000000))</f>
        <v>0</v>
      </c>
      <c r="O140" s="64">
        <f>IF('Survey Front'!AD24="Q",,IF(OR('Survey Front'!L24 = "Silent",'Survey Front'!L24 = "Split Tilt",'Survey Front'!L24="Silent Split Tilt"),ROUND(N140*$C$9,0.2),0))</f>
        <v>0</v>
      </c>
      <c r="P140" s="64">
        <f>IF('Survey Front'!AD24="Q",,IF('Survey Front'!D24="Tracked",ROUND($C$11+($F$2*Q140),0.2),))</f>
        <v>0</v>
      </c>
      <c r="Q140" s="68">
        <f>IF('Survey Front'!AD24="Quoted",,IF('Survey Front'!D24="Tracked",CONVERT('Survey Front'!M24,"mm","m"),))</f>
        <v>0</v>
      </c>
      <c r="R140" s="64">
        <f>IF('Survey Front'!D24="S/Shade",ROUND($F$3*N140,0.2),0)</f>
        <v>0</v>
      </c>
      <c r="T140" s="4">
        <f t="shared" si="22"/>
        <v>0</v>
      </c>
      <c r="U140" s="67">
        <f>IF('Survey Front'!AD24="Q",,IF(OR('Survey Front'!L24="Silent",('Survey Front'!L24="Split Tilt"),'Survey Front'!L24="Silent Split Tilt"),'Survey Front'!M24*'Survey Front'!N24/1000000,))</f>
        <v>0</v>
      </c>
      <c r="V140" s="57">
        <f>IF('Survey Front'!AD24="Q",,IF('Survey Front'!D24="Shape",IF(AH$19&gt;2,ROUND($C$16+((AH$19-2)*$C$17),0.2),ROUND($C$16,0.2)),))</f>
        <v>0</v>
      </c>
      <c r="W140" s="57">
        <f>IF('Survey Front'!D24="French Door Cutout",ROUND(Matrix2!$F$4,0.2),)</f>
        <v>0</v>
      </c>
      <c r="X140" s="57" t="b">
        <f>IF('Survey Front'!AD24="Q",,IF(OR('Survey Front'!F24="Custom Colour",ISNUMBER(SEARCH("Classic Black (S/Chg)",'Survey Front'!F24)),ISNUMBER(SEARCH("Matte Black (S/Chg)",'Survey Front'!F24))),1))</f>
        <v>0</v>
      </c>
      <c r="Y140" s="57">
        <f>IF(OR(AND('Survey Front'!E24&lt;&gt;"Java",'Survey Front'!G26="Stainless Steel"),'Survey Front'!G26="Brushed Nickel Plated"),ROUND(Matrix2!$F$12*Matrix2!N140,0.2),)</f>
        <v>0</v>
      </c>
      <c r="Z140" s="57">
        <f t="shared" si="20"/>
        <v>0</v>
      </c>
      <c r="AA140" s="57">
        <f>IF('Survey Front'!AD24="Q","",IF('Survey Front'!AD26&lt;&gt; "",ROUND(CONVERT('Survey Front'!M24,"mm","m")*$F$14,0.2),))</f>
        <v>0</v>
      </c>
    </row>
    <row r="141" spans="11:27" x14ac:dyDescent="0.2">
      <c r="K141" t="s">
        <v>224</v>
      </c>
      <c r="L141" s="66">
        <f>IF('Survey Front'!AD27="Q",,COUNTIFS('Survey Front'!S27:AC27,"(CB)"))</f>
        <v>0</v>
      </c>
      <c r="M141" s="4">
        <f t="shared" si="21"/>
        <v>0</v>
      </c>
      <c r="N141" s="67">
        <f>IF('Survey Front'!AD27="Q",,IF('Survey Front'!E27="",,'Survey Front'!M27*'Survey Front'!N27/1000000))</f>
        <v>0</v>
      </c>
      <c r="O141" s="64">
        <f>IF('Survey Front'!AD27="Q",,IF(OR('Survey Front'!L27 = "Silent",'Survey Front'!L27 = "Split Tilt",'Survey Front'!L27="Silent Split Tilt"),ROUND(N141*$C$9,0.2),0))</f>
        <v>0</v>
      </c>
      <c r="P141" s="64">
        <f>IF('Survey Front'!AD27="Q",,IF('Survey Front'!D27="Tracked",ROUND($C$11+($F$2*Q141),0.2),))</f>
        <v>0</v>
      </c>
      <c r="Q141" s="68">
        <f>IF('Survey Front'!AD27="Quoted",,IF('Survey Front'!D27="Tracked",CONVERT('Survey Front'!M27,"mm","m"),))</f>
        <v>0</v>
      </c>
      <c r="R141" s="64">
        <f>IF('Survey Front'!D27="S/Shade",ROUND($F$3*N141,0.2),0)</f>
        <v>0</v>
      </c>
      <c r="T141" s="4">
        <f t="shared" si="22"/>
        <v>0</v>
      </c>
      <c r="U141" s="67">
        <f>IF('Survey Front'!AD27="Q",,IF(OR('Survey Front'!L27="Silent",('Survey Front'!L27="Split Tilt"),'Survey Front'!L27="Silent Split Tilt"),'Survey Front'!M27*'Survey Front'!N27/1000000,))</f>
        <v>0</v>
      </c>
      <c r="V141" s="57">
        <f>IF('Survey Front'!AD27="Q",,IF('Survey Front'!D27="Shape",IF(AI$19&gt;2,ROUND($C$16+((AI$19-2)*$C$17),0.2),ROUND($C$16,0.2)),))</f>
        <v>0</v>
      </c>
      <c r="W141" s="57">
        <f>IF('Survey Front'!D27="French Door Cutout",ROUND(Matrix2!$F$4,0.2),)</f>
        <v>0</v>
      </c>
      <c r="X141" s="57" t="b">
        <f>IF('Survey Front'!AD27="Q",,IF(OR('Survey Front'!F27="Custom Colour",ISNUMBER(SEARCH("Classic Black (S/Chg)",'Survey Front'!F27)),ISNUMBER(SEARCH("Matte Black (S/Chg)",'Survey Front'!F27))),1))</f>
        <v>0</v>
      </c>
      <c r="Y141" s="57">
        <f>IF(OR(AND('Survey Front'!E27&lt;&gt;"Java",'Survey Front'!G29="Stainless Steel"),'Survey Front'!G29="Brushed Nickel Plated"),ROUND(Matrix2!$F$12*Matrix2!N141,0.2),)</f>
        <v>0</v>
      </c>
      <c r="Z141" s="57">
        <f>IF(AND(N141&lt;1,N141&gt;0),ROUND(1*$C$19,0.2),ROUND(N141*$C$19,0.2))</f>
        <v>0</v>
      </c>
      <c r="AA141" s="57">
        <f>IF('Survey Front'!AD27="Q","",IF('Survey Front'!AD29&lt;&gt; "",ROUND(CONVERT('Survey Front'!M27,"mm","m")*$F$14,0.2),))</f>
        <v>0</v>
      </c>
    </row>
    <row r="142" spans="11:27" x14ac:dyDescent="0.2">
      <c r="K142" t="s">
        <v>225</v>
      </c>
      <c r="L142" s="66">
        <f>IF('Survey Front'!AD30="Q",,COUNTIFS('Survey Front'!S30:AC30,"(CB)"))</f>
        <v>0</v>
      </c>
      <c r="M142" s="4">
        <f t="shared" si="21"/>
        <v>0</v>
      </c>
      <c r="N142" s="67">
        <f>IF('Survey Front'!AD30="Q",,IF('Survey Front'!E30="",,'Survey Front'!M30*'Survey Front'!N30/1000000))</f>
        <v>0</v>
      </c>
      <c r="O142" s="64">
        <f>IF('Survey Front'!AD30="Q",,IF(OR('Survey Front'!L30 = "Silent",'Survey Front'!L30 = "Split Tilt",'Survey Front'!L30="Silent Split Tilt"),ROUND(N142*$C$9,0.2),0))</f>
        <v>0</v>
      </c>
      <c r="P142" s="64">
        <f>IF('Survey Front'!AD30="Q",,IF('Survey Front'!D30="Tracked",ROUND($C$11+($F$2*Q142),0.2),))</f>
        <v>0</v>
      </c>
      <c r="Q142" s="68">
        <f>IF('Survey Front'!AD30="Quoted",,IF('Survey Front'!D30="Tracked",CONVERT('Survey Front'!M30,"mm","m"),))</f>
        <v>0</v>
      </c>
      <c r="R142" s="64">
        <f>IF('Survey Front'!D30="S/Shade",ROUND($F$3*N142,0.2),0)</f>
        <v>0</v>
      </c>
      <c r="T142" s="4">
        <f t="shared" si="22"/>
        <v>0</v>
      </c>
      <c r="U142" s="67">
        <f>IF('Survey Front'!AD30="Q",,IF(OR('Survey Front'!L30="Silent",('Survey Front'!L30="Split Tilt"),'Survey Front'!L30="Silent Split Tilt"),'Survey Front'!M30*'Survey Front'!N30/1000000,))</f>
        <v>0</v>
      </c>
      <c r="V142" s="57">
        <f>IF('Survey Front'!AD30="Q",,IF('Survey Front'!D30="Shape",IF(AJ$19&gt;2,ROUND($C$16+((AJ$19-2)*$C$17),0.2),ROUND($C$16,0.2)),))</f>
        <v>0</v>
      </c>
      <c r="W142" s="57">
        <f>IF('Survey Front'!D30="French Door Cutout",ROUND(Matrix2!$F$4,0.2),)</f>
        <v>0</v>
      </c>
      <c r="X142" s="57" t="b">
        <f>IF('Survey Front'!AD30="Q",,IF(OR('Survey Front'!F30="Custom Colour",ISNUMBER(SEARCH("Classic Black (S/Chg)",'Survey Front'!F30)),ISNUMBER(SEARCH("Matte Black (S/Chg)",'Survey Front'!F30))),1))</f>
        <v>0</v>
      </c>
      <c r="Y142" s="57">
        <f>IF(OR(AND('Survey Front'!E30&lt;&gt;"Java",'Survey Front'!G32="Stainless Steel"),'Survey Front'!G32="Brushed Nickel Plated"),ROUND(Matrix2!$F$12*Matrix2!N142,0.2),)</f>
        <v>0</v>
      </c>
      <c r="Z142" s="57">
        <f t="shared" si="20"/>
        <v>0</v>
      </c>
      <c r="AA142" s="57">
        <f>IF('Survey Front'!AD30="Q","",IF('Survey Front'!AD32&lt;&gt; "",ROUND(CONVERT('Survey Front'!M30,"mm","m")*$F$14,0.2),))</f>
        <v>0</v>
      </c>
    </row>
    <row r="143" spans="11:27" x14ac:dyDescent="0.2">
      <c r="K143" t="s">
        <v>226</v>
      </c>
      <c r="L143" s="66">
        <f>IF('Survey Front'!AD33="Q",,COUNTIFS('Survey Front'!S33:AC33,"(CB)"))</f>
        <v>0</v>
      </c>
      <c r="M143" s="4">
        <f t="shared" si="21"/>
        <v>0</v>
      </c>
      <c r="N143" s="67">
        <f>IF('Survey Front'!AD33="Q",,IF('Survey Front'!E33="",,'Survey Front'!M33*'Survey Front'!N33/1000000))</f>
        <v>0</v>
      </c>
      <c r="O143" s="64">
        <f>IF('Survey Front'!AD33="Q",,IF(OR('Survey Front'!L33 = "Silent",'Survey Front'!L33 = "Split Tilt",'Survey Front'!L33="Silent Split Tilt"),ROUND(N143*$C$9,0.2),0))</f>
        <v>0</v>
      </c>
      <c r="P143" s="64">
        <f>IF('Survey Front'!AD33="Q",,IF('Survey Front'!D33="Tracked",ROUND($C$11+($F$2*Q143),0.2),))</f>
        <v>0</v>
      </c>
      <c r="Q143" s="68">
        <f>IF('Survey Front'!AD33="Quoted",,IF('Survey Front'!D33="Tracked",CONVERT('Survey Front'!M33,"mm","m"),))</f>
        <v>0</v>
      </c>
      <c r="R143" s="64">
        <f>IF('Survey Front'!D33="S/Shade",ROUND($F$3*N143,0.2),0)</f>
        <v>0</v>
      </c>
      <c r="T143" s="4">
        <f t="shared" si="22"/>
        <v>0</v>
      </c>
      <c r="U143" s="67">
        <f>IF('Survey Front'!AD33="Q",,IF(OR('Survey Front'!L33="Silent",('Survey Front'!L33="Split Tilt"),'Survey Front'!L33="Silent Split Tilt"),'Survey Front'!M33*'Survey Front'!N33/1000000,))</f>
        <v>0</v>
      </c>
      <c r="V143" s="57">
        <f>IF('Survey Front'!AD33="Q",,IF('Survey Front'!D33="Shape",IF(AK$19&gt;2,ROUND($C$16+((AK$19-2)*$C$17),0.2),ROUND($C$16,0.2)),))</f>
        <v>0</v>
      </c>
      <c r="W143" s="57">
        <f>IF('Survey Front'!D33="French Door Cutout",ROUND(Matrix2!$F$4,0.2),)</f>
        <v>0</v>
      </c>
      <c r="X143" s="57" t="b">
        <f>IF('Survey Front'!AD33="Q",,IF(OR('Survey Front'!F33="Custom Colour",ISNUMBER(SEARCH("Classic Black (S/Chg)",'Survey Front'!F33)),ISNUMBER(SEARCH("Matte Black (S/Chg)",'Survey Front'!F33))),1))</f>
        <v>0</v>
      </c>
      <c r="Y143" s="57">
        <f>IF(OR(AND('Survey Front'!E33&lt;&gt;"Java",'Survey Front'!G35="Stainless Steel"),'Survey Front'!G35="Brushed Nickel Plated"),ROUND(Matrix2!$F$12*Matrix2!N143,0.2),)</f>
        <v>0</v>
      </c>
      <c r="Z143" s="57">
        <f t="shared" si="20"/>
        <v>0</v>
      </c>
      <c r="AA143" s="57">
        <f>IF('Survey Front'!AD33="Q","",IF('Survey Front'!AD35&lt;&gt; "",ROUND(CONVERT('Survey Front'!M33,"mm","m")*$F$14,0.2),))</f>
        <v>0</v>
      </c>
    </row>
    <row r="144" spans="11:27" x14ac:dyDescent="0.2">
      <c r="K144" t="s">
        <v>227</v>
      </c>
      <c r="L144" s="66">
        <f>IF('Survey Front'!AD36="Q",,COUNTIFS('Survey Front'!S36:AC36,"(CB)"))</f>
        <v>0</v>
      </c>
      <c r="M144" s="4">
        <f t="shared" si="21"/>
        <v>0</v>
      </c>
      <c r="N144" s="67">
        <f>IF('Survey Front'!AD36="Q",,IF('Survey Front'!E36="",,'Survey Front'!M36*'Survey Front'!N36/1000000))</f>
        <v>0</v>
      </c>
      <c r="O144" s="64">
        <f>IF('Survey Front'!AD36="Q",,IF(OR('Survey Front'!L36 = "Silent",'Survey Front'!L36 = "Split Tilt",'Survey Front'!L36="Silent Split Tilt"),ROUND(N144*$C$9,0.2),0))</f>
        <v>0</v>
      </c>
      <c r="P144" s="64">
        <f>IF('Survey Front'!AD36="Q",,IF('Survey Front'!D36="Tracked",ROUND($C$11+($F$2*Q144),0.2),))</f>
        <v>0</v>
      </c>
      <c r="Q144" s="68">
        <f>IF('Survey Front'!AD36="Quoted",,IF('Survey Front'!D36="Tracked",CONVERT('Survey Front'!M36,"mm","m"),))</f>
        <v>0</v>
      </c>
      <c r="R144" s="64">
        <f>IF('Survey Front'!D36="S/Shade",ROUND($F$3*N144,0.2),0)</f>
        <v>0</v>
      </c>
      <c r="T144" s="4">
        <f t="shared" si="22"/>
        <v>0</v>
      </c>
      <c r="U144" s="67">
        <f>IF('Survey Front'!AD36="Q",,IF(OR('Survey Front'!L36="Silent",('Survey Front'!L36="Split Tilt"),'Survey Front'!L36="Silent Split Tilt"),'Survey Front'!M36*'Survey Front'!N36/1000000,))</f>
        <v>0</v>
      </c>
      <c r="V144" s="57">
        <f>IF('Survey Front'!AD36="Q",,IF('Survey Front'!D36="Shape",IF(AL$19&gt;2,ROUND($C$16+((AL$19-2)*$C$17),0.2),ROUND($C$16,0.2)),))</f>
        <v>0</v>
      </c>
      <c r="W144" s="57">
        <f>IF('Survey Front'!D36="French Door Cutout",ROUND(Matrix2!$F$4,0.2),)</f>
        <v>0</v>
      </c>
      <c r="X144" s="57" t="b">
        <f>IF('Survey Front'!AD36="Q",,IF(OR('Survey Front'!F36="Custom Colour",ISNUMBER(SEARCH("Classic Black (S/Chg)",'Survey Front'!F36)),ISNUMBER(SEARCH("Matte Black (S/Chg)",'Survey Front'!F36))),1))</f>
        <v>0</v>
      </c>
      <c r="Y144" s="57">
        <f>IF(OR(AND('Survey Front'!E36&lt;&gt;"Java",'Survey Front'!G38="Stainless Steel"),'Survey Front'!G38="Brushed Nickel Plated"),ROUND(Matrix2!$F$12*Matrix2!N144,0.2),)</f>
        <v>0</v>
      </c>
      <c r="Z144" s="57">
        <f t="shared" si="20"/>
        <v>0</v>
      </c>
      <c r="AA144" s="57">
        <f>IF('Survey Front'!AD36="Q","",IF('Survey Front'!AD38&lt;&gt; "",ROUND(CONVERT('Survey Front'!M36,"mm","m")*$F$14,0.2),))</f>
        <v>0</v>
      </c>
    </row>
    <row r="145" spans="11:27" x14ac:dyDescent="0.2">
      <c r="K145" t="s">
        <v>228</v>
      </c>
      <c r="L145" s="66">
        <f>IF('Survey Front'!AD39="Q",,COUNTIFS('Survey Front'!S36:AC39,"(CB)"))</f>
        <v>0</v>
      </c>
      <c r="M145" s="4">
        <f t="shared" si="21"/>
        <v>0</v>
      </c>
      <c r="N145" s="67">
        <f>IF('Survey Front'!AD39="Q",,IF('Survey Front'!E39="",,'Survey Front'!M39*'Survey Front'!N39/1000000))</f>
        <v>0</v>
      </c>
      <c r="O145" s="64">
        <f>IF('Survey Front'!AD39="Q",,IF(OR('Survey Front'!L39 = "Silent",'Survey Front'!L39 = "Split Tilt",'Survey Front'!L39="Silent Split Tilt"),ROUND(N145*$C$9,0.2),0))</f>
        <v>0</v>
      </c>
      <c r="P145" s="64">
        <f>IF('Survey Front'!AD39="Q",,IF('Survey Front'!D39="Tracked",ROUND($C$11+($F$2*Q145),0.2),))</f>
        <v>0</v>
      </c>
      <c r="Q145" s="68">
        <f>IF('Survey Front'!AD39="Quoted",,IF('Survey Front'!D39="Tracked",CONVERT('Survey Front'!M39,"mm","m"),))</f>
        <v>0</v>
      </c>
      <c r="R145" s="64">
        <f>IF('Survey Front'!D39="S/Shade",ROUND($F$3*N145,0.2),0)</f>
        <v>0</v>
      </c>
      <c r="T145" s="4">
        <f t="shared" si="22"/>
        <v>0</v>
      </c>
      <c r="U145" s="67">
        <f>IF('Survey Front'!AD39="Q",,IF(OR('Survey Front'!L39="Silent",('Survey Front'!L39="Split Tilt"),'Survey Front'!L39="Silent Split Tilt"),'Survey Front'!M39*'Survey Front'!N39/1000000,))</f>
        <v>0</v>
      </c>
      <c r="V145" s="57">
        <f>IF('Survey Front'!AD39="Q",,IF('Survey Front'!D39="Shape",IF(AM$19&gt;2,ROUND($C$16+((AM$19-2)*$C$17),0.2),ROUND($C$16,0.2)),))</f>
        <v>0</v>
      </c>
      <c r="W145" s="57">
        <f>IF('Survey Front'!D39="French Door Cutout",ROUND(Matrix2!$F$4,0.2),)</f>
        <v>0</v>
      </c>
      <c r="X145" s="57" t="b">
        <f>IF('Survey Front'!AD39="Q",,IF(OR('Survey Front'!F39="Custom Colour",ISNUMBER(SEARCH("Classic Black (S/Chg)",'Survey Front'!F39)),ISNUMBER(SEARCH("Matte Black (S/Chg)",'Survey Front'!F39))),1))</f>
        <v>0</v>
      </c>
      <c r="Y145" s="57">
        <f>IF(OR(AND('Survey Front'!E39&lt;&gt;"Java",'Survey Front'!G41="Stainless Steel"),'Survey Front'!G41="Brushed Nickel Plated"),ROUND(Matrix2!$F$12*Matrix2!N145,0.2),)</f>
        <v>0</v>
      </c>
      <c r="Z145" s="57">
        <f t="shared" si="20"/>
        <v>0</v>
      </c>
      <c r="AA145" s="57">
        <f>IF('Survey Front'!AD39="Q","",IF('Survey Front'!AD41&lt;&gt; "",ROUND(CONVERT('Survey Front'!M39,"mm","m")*$F$14,0.2),))</f>
        <v>0</v>
      </c>
    </row>
    <row r="146" spans="11:27" x14ac:dyDescent="0.2">
      <c r="K146" t="s">
        <v>229</v>
      </c>
      <c r="L146" s="66">
        <f>IF('Survey Front'!AD42="Q",,COUNTIFS('Survey Front'!S42:AC42,"(CB)"))</f>
        <v>0</v>
      </c>
      <c r="M146" s="4">
        <f t="shared" si="21"/>
        <v>0</v>
      </c>
      <c r="N146" s="67">
        <f>IF('Survey Front'!AD42="Q",,IF('Survey Front'!E42="",,'Survey Front'!M42*'Survey Front'!N42/1000000))</f>
        <v>0</v>
      </c>
      <c r="O146" s="64">
        <f>IF('Survey Front'!AD42="Q",,IF(OR('Survey Front'!L42 = "Silent",'Survey Front'!L42 = "Split Tilt",'Survey Front'!L42="Silent Split Tilt"),ROUND(N146*$C$9,0.2),0))</f>
        <v>0</v>
      </c>
      <c r="P146" s="64">
        <f>IF('Survey Front'!AD42="Q",,IF('Survey Front'!D42="Tracked",ROUND($C$11+($F$2*Q146),0.2),))</f>
        <v>0</v>
      </c>
      <c r="Q146" s="68">
        <f>IF('Survey Front'!AD42="Quoted",,IF('Survey Front'!D42="Tracked",CONVERT('Survey Front'!M42,"mm","m"),))</f>
        <v>0</v>
      </c>
      <c r="R146" s="64">
        <f>IF('Survey Front'!D42="S/Shade",ROUND($F$3*N146,0.2),0)</f>
        <v>0</v>
      </c>
      <c r="T146" s="4">
        <f t="shared" si="22"/>
        <v>0</v>
      </c>
      <c r="U146" s="67">
        <f>IF('Survey Front'!AD42="Q",,IF(OR('Survey Front'!L42="Silent",('Survey Front'!L42="Split Tilt"),'Survey Front'!L42="Silent Split Tilt"),'Survey Front'!M42*'Survey Front'!N42/1000000,))</f>
        <v>0</v>
      </c>
      <c r="V146" s="57">
        <f>IF('Survey Front'!AD42="Q",,IF('Survey Front'!D42="Shape",IF(AN$19&gt;2,ROUND($C$16+((AN$19-2)*$C$17),0.2),ROUND($C$16,0.2)),))</f>
        <v>0</v>
      </c>
      <c r="W146" s="57">
        <f>IF('Survey Front'!D42="French Door Cutout",ROUND(Matrix2!$F$4,0.2),)</f>
        <v>0</v>
      </c>
      <c r="X146" s="57" t="b">
        <f>IF('Survey Front'!AD42="Q",,IF(OR('Survey Front'!F42="Custom Colour",ISNUMBER(SEARCH("Classic Black (S/Chg)",'Survey Front'!F42)),ISNUMBER(SEARCH("Matte Black (S/Chg)",'Survey Front'!F42))),1))</f>
        <v>0</v>
      </c>
      <c r="Y146" s="57">
        <f>IF(OR(AND('Survey Front'!E42&lt;&gt;"Java",'Survey Front'!G44="Stainless Steel"),'Survey Front'!G44="Brushed Nickel Plated"),ROUND(Matrix2!$F$12*Matrix2!N146,0.2),)</f>
        <v>0</v>
      </c>
      <c r="Z146" s="57">
        <f t="shared" si="20"/>
        <v>0</v>
      </c>
      <c r="AA146" s="57">
        <f>IF('Survey Front'!AD42="Q","",IF('Survey Front'!AD44&lt;&gt; "",ROUND(CONVERT('Survey Front'!M42,"mm","m")*$F$14,0.2),))</f>
        <v>0</v>
      </c>
    </row>
    <row r="147" spans="11:27" x14ac:dyDescent="0.2">
      <c r="K147" t="s">
        <v>230</v>
      </c>
      <c r="L147" s="66">
        <f>IF('Survey Front'!AD45="Q",,COUNTIFS('Survey Front'!S45:AC45,"(CB)"))</f>
        <v>0</v>
      </c>
      <c r="M147" s="4">
        <f t="shared" si="21"/>
        <v>0</v>
      </c>
      <c r="N147" s="67">
        <f>IF('Survey Front'!AD45="Q",,IF('Survey Front'!E45="",,'Survey Front'!M45*'Survey Front'!N45/1000000))</f>
        <v>0</v>
      </c>
      <c r="O147" s="64">
        <f>IF('Survey Front'!AD45="Q",,IF(OR('Survey Front'!L45 = "Silent",'Survey Front'!L45 = "Split Tilt",'Survey Front'!L45="Silent Split Tilt"),ROUND(N147*$C$9,0.2),0))</f>
        <v>0</v>
      </c>
      <c r="P147" s="64">
        <f>IF('Survey Front'!AD45="Q",,IF('Survey Front'!D45="Tracked",ROUND($C$11+($F$2*Q147),0.2),))</f>
        <v>0</v>
      </c>
      <c r="Q147" s="68">
        <f>IF('Survey Front'!AD45="Quoted",,IF('Survey Front'!D45="Tracked",CONVERT('Survey Front'!M45,"mm","m"),))</f>
        <v>0</v>
      </c>
      <c r="R147" s="64">
        <f>IF('Survey Front'!D45="S/Shade",ROUND($F$3*N147,0.2),0)</f>
        <v>0</v>
      </c>
      <c r="T147" s="4">
        <f t="shared" si="22"/>
        <v>0</v>
      </c>
      <c r="U147" s="67">
        <f>IF('Survey Front'!AD45="Q",,IF(OR('Survey Front'!L45="Silent",('Survey Front'!L45="Split Tilt"),'Survey Front'!L45="Silent Split Tilt"),'Survey Front'!M45*'Survey Front'!N45/1000000,))</f>
        <v>0</v>
      </c>
      <c r="V147" s="57">
        <f>IF('Survey Front'!AD45="Q",,IF('Survey Front'!D45="Shape",IF(AO$19&gt;2,ROUND($C$16+((AO$19-2)*$C$17),0.2),ROUND($C$16,0.2)),))</f>
        <v>0</v>
      </c>
      <c r="W147" s="57">
        <f>IF('Survey Front'!D45="French Door Cutout",ROUND(Matrix2!$F$4,0.2),)</f>
        <v>0</v>
      </c>
      <c r="X147" s="57" t="b">
        <f>IF('Survey Front'!AD45="Q",,IF(OR('Survey Front'!F45="Custom Colour",ISNUMBER(SEARCH("Classic Black (S/Chg)",'Survey Front'!F45)),ISNUMBER(SEARCH("Matte Black (S/Chg)",'Survey Front'!F45))),1))</f>
        <v>0</v>
      </c>
      <c r="Y147" s="57">
        <f>IF(OR(AND('Survey Front'!E45&lt;&gt;"Java",'Survey Front'!G47="Stainless Steel"),'Survey Front'!G47="Brushed Nickel Plated"),ROUND(Matrix2!$F$12*Matrix2!N147,0.2),)</f>
        <v>0</v>
      </c>
      <c r="Z147" s="57">
        <f t="shared" si="20"/>
        <v>0</v>
      </c>
      <c r="AA147" s="57">
        <f>IF('Survey Front'!AD45="Q","",IF('Survey Front'!AD47&lt;&gt; "",ROUND(CONVERT('Survey Front'!M45,"mm","m")*$F$14,0.2),))</f>
        <v>0</v>
      </c>
    </row>
    <row r="148" spans="11:27" x14ac:dyDescent="0.2">
      <c r="K148" t="s">
        <v>231</v>
      </c>
      <c r="L148" s="66">
        <f>IF('Survey Front'!AD48="Q",,COUNTIFS('Survey Front'!S48:AC48,"(CB)"))</f>
        <v>0</v>
      </c>
      <c r="M148" s="4">
        <f t="shared" si="21"/>
        <v>0</v>
      </c>
      <c r="N148" s="67">
        <f>IF('Survey Front'!AD48="Q",,IF('Survey Front'!E48="",,'Survey Front'!M48*'Survey Front'!N48/1000000))</f>
        <v>0</v>
      </c>
      <c r="O148" s="64">
        <f>IF('Survey Front'!AD48="Q",,IF(OR('Survey Front'!L48 = "Silent",'Survey Front'!L48 = "Split Tilt",'Survey Front'!L48="Silent Split Tilt"),ROUND(N148*$C$9,0.2),0))</f>
        <v>0</v>
      </c>
      <c r="P148" s="64">
        <f>IF('Survey Front'!AD48="Q",,IF('Survey Front'!D48="Tracked",ROUND($C$11+($F$2*Q148),0.2),))</f>
        <v>0</v>
      </c>
      <c r="Q148" s="68">
        <f>IF('Survey Front'!AD48="Quoted",,IF('Survey Front'!D48="Tracked",CONVERT('Survey Front'!M48,"mm","m"),))</f>
        <v>0</v>
      </c>
      <c r="R148" s="64">
        <f>IF('Survey Front'!D48="S/Shade",ROUND($F$3*N148,0.2),0)</f>
        <v>0</v>
      </c>
      <c r="T148" s="4">
        <f t="shared" si="22"/>
        <v>0</v>
      </c>
      <c r="U148" s="67">
        <f>IF('Survey Front'!AD48="Q",,IF(OR('Survey Front'!L48="Silent",('Survey Front'!L48="Split Tilt"),'Survey Front'!L48="Silent Split Tilt"),'Survey Front'!M48*'Survey Front'!N48/1000000,))</f>
        <v>0</v>
      </c>
      <c r="V148" s="57">
        <f>IF('Survey Front'!AD48="Q",,IF('Survey Front'!D48="Shape",IF(AP$19&gt;2,ROUND($C$16+((AP$19-2)*$C$17),0.2),ROUND($C$16,0.2)),))</f>
        <v>0</v>
      </c>
      <c r="W148" s="57">
        <f>IF('Survey Front'!D48="French Door Cutout",ROUND(Matrix2!$F$4,0.2),)</f>
        <v>0</v>
      </c>
      <c r="X148" s="57" t="b">
        <f>IF('Survey Front'!AD48="Q",,IF(OR('Survey Front'!F48="Custom Colour",ISNUMBER(SEARCH("Classic Black (S/Chg)",'Survey Front'!F48)),ISNUMBER(SEARCH("Matte Black (S/Chg)",'Survey Front'!F48))),1))</f>
        <v>0</v>
      </c>
      <c r="Y148" s="57">
        <f>IF(OR(AND('Survey Front'!E48&lt;&gt;"Java",'Survey Front'!G50="Stainless Steel"),'Survey Front'!G50="Brushed Nickel Plated"),ROUND(Matrix2!$F$12*Matrix2!N148,0.2),)</f>
        <v>0</v>
      </c>
      <c r="Z148" s="57">
        <f>IF(AND(N148&lt;1,N148&gt;0),ROUND(1*$C$19,0.2),ROUND(N148*$C$19,0.2))</f>
        <v>0</v>
      </c>
      <c r="AA148" s="57">
        <f>IF('Survey Front'!AD48="Q","",IF('Survey Front'!AD50&lt;&gt; "",ROUND(CONVERT('Survey Front'!M48,"mm","m")*$F$14,0.2),))</f>
        <v>0</v>
      </c>
    </row>
    <row r="149" spans="11:27" x14ac:dyDescent="0.2">
      <c r="K149" t="s">
        <v>232</v>
      </c>
      <c r="L149" s="66">
        <f>IF('Survey Front'!AD51="Q",,COUNTIFS('Survey Front'!S51:AC51,"(CB)"))</f>
        <v>0</v>
      </c>
      <c r="M149" s="4">
        <f t="shared" si="21"/>
        <v>0</v>
      </c>
      <c r="N149" s="67">
        <f>IF('Survey Front'!AD51="Q",,IF('Survey Front'!E51="",,'Survey Front'!M51*'Survey Front'!N51/1000000))</f>
        <v>0</v>
      </c>
      <c r="O149" s="64">
        <f>IF('Survey Front'!AD51="Q",,IF(OR('Survey Front'!L51 = "Silent",'Survey Front'!L51 = "Split Tilt",'Survey Front'!L51="Silent Split Tilt"),ROUND(N149*$C$9,0.2),0))</f>
        <v>0</v>
      </c>
      <c r="P149" s="64">
        <f>IF('Survey Front'!AD51="Q",,IF('Survey Front'!D51="Tracked",ROUND($C$11+($F$2*Q149),0.2),))</f>
        <v>0</v>
      </c>
      <c r="Q149" s="68">
        <f>IF('Survey Front'!AD51="Quoted",,IF('Survey Front'!D51="Tracked",CONVERT('Survey Front'!M51,"mm","m"),))</f>
        <v>0</v>
      </c>
      <c r="R149" s="64">
        <f>IF('Survey Front'!D51="S/Shade",ROUND($F$3*N149,0.2),0)</f>
        <v>0</v>
      </c>
      <c r="T149" s="4">
        <f t="shared" si="22"/>
        <v>0</v>
      </c>
      <c r="U149" s="67">
        <f>IF('Survey Front'!AD51="Q",,IF(OR('Survey Front'!L51="Silent",('Survey Front'!L51="Split Tilt"),'Survey Front'!L51="Silent Split Tilt"),'Survey Front'!M51*'Survey Front'!N51/1000000,))</f>
        <v>0</v>
      </c>
      <c r="V149" s="57">
        <f>IF('Survey Front'!AD51="Q",,IF('Survey Front'!D51="Shape",IF(AQ$19&gt;2,ROUND($C$16+((AQ$19-2)*$C$17),0.2),ROUND($C$16,0.2)),))</f>
        <v>0</v>
      </c>
      <c r="W149" s="57">
        <f>IF('Survey Front'!D51="French Door Cutout",ROUND(Matrix2!$F$4,0.2),)</f>
        <v>0</v>
      </c>
      <c r="X149" s="57" t="b">
        <f>IF('Survey Front'!AD51="Q",,IF(OR('Survey Front'!F51="Custom Colour",ISNUMBER(SEARCH("Classic Black (S/Chg)",'Survey Front'!F51)),ISNUMBER(SEARCH("Matte Black (S/Chg)",'Survey Front'!F51))),1))</f>
        <v>0</v>
      </c>
      <c r="Y149" s="57">
        <f>IF(OR(AND('Survey Front'!E51&lt;&gt;"Java",'Survey Front'!G53="Stainless Steel"),'Survey Front'!G53="Brushed Nickel Plated"),ROUND(Matrix2!$F$12*Matrix2!N149,0.2),)</f>
        <v>0</v>
      </c>
      <c r="Z149" s="57">
        <f>IF(AND(N149&lt;1,N149&gt;0),ROUND(1*$C$19,0.2),ROUND(N149*$C$19,0.2))</f>
        <v>0</v>
      </c>
      <c r="AA149" s="57">
        <f>IF('Survey Front'!AD51="Q","",IF('Survey Front'!AD53&lt;&gt; "",ROUND(CONVERT('Survey Front'!M51,"mm","m")*$F$14,0.2),))</f>
        <v>0</v>
      </c>
    </row>
    <row r="150" spans="11:27" x14ac:dyDescent="0.2">
      <c r="K150" t="s">
        <v>233</v>
      </c>
      <c r="L150" s="66">
        <f>IF('Survey Front'!AD54="Q",,COUNTIFS('Survey Front'!S54:AC54,"(CB)"))</f>
        <v>0</v>
      </c>
      <c r="M150" s="4">
        <f t="shared" si="21"/>
        <v>0</v>
      </c>
      <c r="N150" s="67">
        <f>IF('Survey Front'!AD54="Q",,IF('Survey Front'!E54="",,'Survey Front'!M54*'Survey Front'!N54/1000000))</f>
        <v>0</v>
      </c>
      <c r="O150" s="64">
        <f>IF('Survey Front'!AD54="Q",,IF(OR('Survey Front'!L54 = "Silent",'Survey Front'!L54 = "Split Tilt",'Survey Front'!L54="Silent Split Tilt"),ROUND(N150*$C$9,0.2),0))</f>
        <v>0</v>
      </c>
      <c r="P150" s="64">
        <f>IF('Survey Front'!AD54="Q",,IF('Survey Front'!D54="Tracked",ROUND($C$11+($F$2*Q150),0.2),))</f>
        <v>0</v>
      </c>
      <c r="Q150" s="68">
        <f>IF('Survey Front'!AD54="Quoted",,IF('Survey Front'!D54="Tracked",CONVERT('Survey Front'!M54,"mm","m"),))</f>
        <v>0</v>
      </c>
      <c r="R150" s="64">
        <f>IF('Survey Front'!D54="S/Shade",ROUND($F$3*N150,0.2),0)</f>
        <v>0</v>
      </c>
      <c r="T150" s="4">
        <f t="shared" si="22"/>
        <v>0</v>
      </c>
      <c r="U150" s="67">
        <f>IF('Survey Front'!AD54="Q",,IF(OR('Survey Front'!L54="Silent",('Survey Front'!L54="Split Tilt"),'Survey Front'!L54="Silent Split Tilt"),'Survey Front'!M54*'Survey Front'!N54/1000000,))</f>
        <v>0</v>
      </c>
      <c r="V150" s="57">
        <f>IF('Survey Front'!AD54="Q",,IF('Survey Front'!D54="Shape",IF(AR$19&gt;2,ROUND($C$16+((AR$19-2)*$C$17),0.2),ROUND($C$16,0.2)),))</f>
        <v>0</v>
      </c>
      <c r="W150" s="57">
        <f>IF('Survey Front'!D54="French Door Cutout",ROUND(Matrix2!$F$4,0.2),)</f>
        <v>0</v>
      </c>
      <c r="X150" s="57" t="b">
        <f>IF('Survey Front'!AD54="Q",,IF(OR('Survey Front'!F54="Custom Colour",ISNUMBER(SEARCH("Classic Black (S/Chg)",'Survey Front'!F54)),ISNUMBER(SEARCH("Matte Black (S/Chg)",'Survey Front'!F54))),1))</f>
        <v>0</v>
      </c>
      <c r="Y150" s="57">
        <f>IF(OR(AND('Survey Front'!E54&lt;&gt;"Java",'Survey Front'!G56="Stainless Steel"),'Survey Front'!G56="Brushed Nickel Plated"),ROUND(Matrix2!$F$12*Matrix2!N150,0.2),)</f>
        <v>0</v>
      </c>
      <c r="Z150" s="57">
        <f>IF(AND(N150&lt;1,N150&gt;0),ROUND(1*$C$19,0.2),ROUND(N150*$C$19,0.2))</f>
        <v>0</v>
      </c>
      <c r="AA150" s="57">
        <f>IF('Survey Front'!AD54="Q","",IF('Survey Front'!AD56&lt;&gt; "",ROUND(CONVERT('Survey Front'!M54,"mm","m")*$F$14,0.2),))</f>
        <v>0</v>
      </c>
    </row>
    <row r="156" spans="11:27" x14ac:dyDescent="0.2">
      <c r="K156" s="782" t="s">
        <v>807</v>
      </c>
      <c r="L156" s="782"/>
      <c r="M156" s="782"/>
      <c r="N156" s="782"/>
      <c r="O156" s="782"/>
      <c r="P156" s="782"/>
      <c r="Q156" s="782"/>
      <c r="R156" s="782"/>
      <c r="S156" s="782"/>
      <c r="T156" s="782"/>
      <c r="U156" s="782"/>
      <c r="V156" s="782"/>
      <c r="W156" s="782"/>
      <c r="X156" s="782"/>
      <c r="Y156" s="782"/>
      <c r="Z156" s="782"/>
      <c r="AA156" s="782"/>
    </row>
    <row r="157" spans="11:27" x14ac:dyDescent="0.2">
      <c r="L157" s="94" t="s">
        <v>219</v>
      </c>
      <c r="M157" s="94" t="s">
        <v>220</v>
      </c>
      <c r="N157" s="94" t="s">
        <v>221</v>
      </c>
      <c r="O157" s="94" t="s">
        <v>222</v>
      </c>
      <c r="P157" s="94" t="s">
        <v>223</v>
      </c>
      <c r="Q157" s="94" t="s">
        <v>224</v>
      </c>
      <c r="R157" s="94" t="s">
        <v>225</v>
      </c>
      <c r="S157" s="94" t="s">
        <v>226</v>
      </c>
      <c r="T157" s="94" t="s">
        <v>227</v>
      </c>
      <c r="U157" s="94" t="s">
        <v>228</v>
      </c>
      <c r="V157" s="94" t="s">
        <v>229</v>
      </c>
      <c r="W157" s="94" t="s">
        <v>230</v>
      </c>
      <c r="X157" s="94" t="s">
        <v>231</v>
      </c>
      <c r="Y157" s="94" t="s">
        <v>232</v>
      </c>
      <c r="Z157" s="94" t="s">
        <v>233</v>
      </c>
      <c r="AA157" s="94" t="s">
        <v>59</v>
      </c>
    </row>
    <row r="158" spans="11:27" x14ac:dyDescent="0.2">
      <c r="K158" s="382" t="s">
        <v>41</v>
      </c>
      <c r="L158" s="61">
        <f>((C2*N26)-((C2*N26)*$C$10))+W26+AA26</f>
        <v>0</v>
      </c>
      <c r="M158" s="61">
        <f>((C2*N27)-((C2*N27)*$C$10))+AA27+W27</f>
        <v>0</v>
      </c>
      <c r="N158" s="61">
        <f>((C2*N28)-((C2*N28)*$C$10))+AA28+W28</f>
        <v>0</v>
      </c>
      <c r="O158" s="61">
        <f>((C2*N29)-((C2*N29)*$C$10))+AA29+W29</f>
        <v>0</v>
      </c>
      <c r="P158" s="61">
        <f>((C2*N30)-((C2*N30)*$C$10))+AA30+W30</f>
        <v>0</v>
      </c>
      <c r="Q158" s="61">
        <f>((C2*N31)-((C2*N31)*$C$10))+AA31+W31</f>
        <v>0</v>
      </c>
      <c r="R158" s="61">
        <f>((C2*N32)-((C2*N32)*$C$10))+AA32+W32</f>
        <v>0</v>
      </c>
      <c r="S158" s="61">
        <f>((C2*N33)-((C2*N33)*$C$10))+AA33+W33</f>
        <v>0</v>
      </c>
      <c r="T158" s="61">
        <f>((C2*N34)-((C2*N34)*$C$10))+AA34+W34</f>
        <v>0</v>
      </c>
      <c r="U158" s="61">
        <f>((C2*N35)-((C2*N35)*$C$10))+AA35+W35</f>
        <v>0</v>
      </c>
      <c r="V158" s="61">
        <f>((C2*N36)-((C2*N36)*$C$10))+AA36+W36</f>
        <v>0</v>
      </c>
      <c r="W158" s="61">
        <f>((C2*N37)-((C2*N37)*$C$10))+AA37+W37</f>
        <v>0</v>
      </c>
      <c r="X158" s="61">
        <f>((C2*N38)-((C2*N38)*$C$10))+AA38+W38</f>
        <v>0</v>
      </c>
      <c r="Y158" s="61">
        <f>((C2*N39)-((C2*N39)*$C$10))+AA39+W39</f>
        <v>0</v>
      </c>
      <c r="Z158" s="61">
        <f>((C2*N40)-((C2*N40)*$C$10))+AA40+W40</f>
        <v>0</v>
      </c>
      <c r="AA158" s="383">
        <f t="shared" ref="AA158:AA165" si="23">SUM(L158:Z158)</f>
        <v>0</v>
      </c>
    </row>
    <row r="159" spans="11:27" x14ac:dyDescent="0.2">
      <c r="K159" s="382" t="s">
        <v>43</v>
      </c>
      <c r="L159" s="384">
        <f>$L$158+(C3*$N$26)</f>
        <v>0</v>
      </c>
      <c r="M159" s="384">
        <f>$M$158+(C3*$N$27)</f>
        <v>0</v>
      </c>
      <c r="N159" s="384">
        <f>$N$158+(C3*$N$28)</f>
        <v>0</v>
      </c>
      <c r="O159" s="384">
        <f>$O$158+(C3*$N$29)</f>
        <v>0</v>
      </c>
      <c r="P159" s="384">
        <f>$P$158+(C3*$N$30)</f>
        <v>0</v>
      </c>
      <c r="Q159" s="384">
        <f>$Q$158+(C3*$N$31)</f>
        <v>0</v>
      </c>
      <c r="R159" s="384">
        <f>$R$158+(C3*$N$32)</f>
        <v>0</v>
      </c>
      <c r="S159" s="384">
        <f>$S$158+(C3*$N$33)</f>
        <v>0</v>
      </c>
      <c r="T159" s="384">
        <f>$T$158+(C3*$N$34)</f>
        <v>0</v>
      </c>
      <c r="U159" s="384">
        <f>$U$158+(C3*$N$35)</f>
        <v>0</v>
      </c>
      <c r="V159" s="384">
        <f>$V$158+(C3*$N$36)</f>
        <v>0</v>
      </c>
      <c r="W159" s="384">
        <f>$W$158+(C3*$N$37)</f>
        <v>0</v>
      </c>
      <c r="X159" s="384">
        <f>$X$158+(C3*$N$38)</f>
        <v>0</v>
      </c>
      <c r="Y159" s="384">
        <f>$Y$158+(C3*$N$39)</f>
        <v>0</v>
      </c>
      <c r="Z159" s="384">
        <f>$Z$158+(C3*$N$40)</f>
        <v>0</v>
      </c>
      <c r="AA159" s="383">
        <f t="shared" si="23"/>
        <v>0</v>
      </c>
    </row>
    <row r="160" spans="11:27" x14ac:dyDescent="0.2">
      <c r="K160" s="382" t="s">
        <v>47</v>
      </c>
      <c r="L160" s="384">
        <f>$L$158+(C4*$N$26)</f>
        <v>0</v>
      </c>
      <c r="M160" s="384">
        <f>$M$158+(C4*$N$27)</f>
        <v>0</v>
      </c>
      <c r="N160" s="384">
        <f>$N$158+(C4*$N$28)</f>
        <v>0</v>
      </c>
      <c r="O160" s="384">
        <f>$O$158+(C4*$N$29)</f>
        <v>0</v>
      </c>
      <c r="P160" s="384">
        <f>$P$158+(C4*$N$30)</f>
        <v>0</v>
      </c>
      <c r="Q160" s="384">
        <f>$Q$158+(C4*$N$31)</f>
        <v>0</v>
      </c>
      <c r="R160" s="384">
        <f>$R$158+(C4*$N$32)</f>
        <v>0</v>
      </c>
      <c r="S160" s="384">
        <f>$S$158+(C4*$N$33)</f>
        <v>0</v>
      </c>
      <c r="T160" s="384">
        <f>$T$158+(C4*$N$34)</f>
        <v>0</v>
      </c>
      <c r="U160" s="384">
        <f>$U$158+(C4*$N$35)</f>
        <v>0</v>
      </c>
      <c r="V160" s="384">
        <f>$V$158+(C4*$N$36)</f>
        <v>0</v>
      </c>
      <c r="W160" s="384">
        <f>$W$158+(C4*$N$37)</f>
        <v>0</v>
      </c>
      <c r="X160" s="384">
        <f>$X$158+(C4*$N$38)</f>
        <v>0</v>
      </c>
      <c r="Y160" s="384">
        <f>$Y$158+(C4*$N$39)</f>
        <v>0</v>
      </c>
      <c r="Z160" s="384">
        <f>$Z$158+(C4*$N$40)</f>
        <v>0</v>
      </c>
      <c r="AA160" s="383">
        <f t="shared" si="23"/>
        <v>0</v>
      </c>
    </row>
    <row r="161" spans="11:27" x14ac:dyDescent="0.2">
      <c r="K161" s="382" t="s">
        <v>49</v>
      </c>
      <c r="L161" s="384">
        <f>$L$158+(C5*$N$26)</f>
        <v>0</v>
      </c>
      <c r="M161" s="384">
        <f>$M$158+(C5*$N$27)</f>
        <v>0</v>
      </c>
      <c r="N161" s="384">
        <f>$N$158+(C5*$N$28)</f>
        <v>0</v>
      </c>
      <c r="O161" s="384">
        <f>$O$158+(C5*$N$29)</f>
        <v>0</v>
      </c>
      <c r="P161" s="384">
        <f>$P$158+(C5*$N$30)</f>
        <v>0</v>
      </c>
      <c r="Q161" s="384">
        <f>$Q$158+(C5*$N$31)</f>
        <v>0</v>
      </c>
      <c r="R161" s="384">
        <f>$R$158+(C5*$N$32)</f>
        <v>0</v>
      </c>
      <c r="S161" s="384">
        <f>$S$158+(C5*$N$33)</f>
        <v>0</v>
      </c>
      <c r="T161" s="384">
        <f>$T$158+(C5*$N$34)</f>
        <v>0</v>
      </c>
      <c r="U161" s="384">
        <f>$U$158+(C5*$N$35)</f>
        <v>0</v>
      </c>
      <c r="V161" s="384">
        <f>$V$158+(C5*$N$36)</f>
        <v>0</v>
      </c>
      <c r="W161" s="384">
        <f>$W$158+(C5*$N$37)</f>
        <v>0</v>
      </c>
      <c r="X161" s="384">
        <f>$X$158+(C5*$N$38)</f>
        <v>0</v>
      </c>
      <c r="Y161" s="384">
        <f>$Y$158+(C5*$N$39)</f>
        <v>0</v>
      </c>
      <c r="Z161" s="384">
        <f>$Z$158+(C5*$N$40)</f>
        <v>0</v>
      </c>
      <c r="AA161" s="383">
        <f t="shared" si="23"/>
        <v>0</v>
      </c>
    </row>
    <row r="162" spans="11:27" x14ac:dyDescent="0.2">
      <c r="K162" s="382" t="s">
        <v>51</v>
      </c>
      <c r="L162" s="384">
        <f>$L$158+(C6*$N$26)</f>
        <v>0</v>
      </c>
      <c r="M162" s="384">
        <f>$M$158+(C6*$N$27)</f>
        <v>0</v>
      </c>
      <c r="N162" s="384">
        <f>$N$158+(C6*$N$28)</f>
        <v>0</v>
      </c>
      <c r="O162" s="384">
        <f>$O$158+(C6*$N$29)</f>
        <v>0</v>
      </c>
      <c r="P162" s="384">
        <f>$P$158+(C6*$N$30)</f>
        <v>0</v>
      </c>
      <c r="Q162" s="384">
        <f>$Q$158+(C6*$N$31)</f>
        <v>0</v>
      </c>
      <c r="R162" s="384">
        <f>$R$158+(C6*$N$32)</f>
        <v>0</v>
      </c>
      <c r="S162" s="384">
        <f>$S$158+(C6*$N$33)</f>
        <v>0</v>
      </c>
      <c r="T162" s="384">
        <f>$T$158+(C6*$N$34)</f>
        <v>0</v>
      </c>
      <c r="U162" s="384">
        <f>$U$158+(C6*$N$35)</f>
        <v>0</v>
      </c>
      <c r="V162" s="384">
        <f>$V$158+(C6*$N$36)</f>
        <v>0</v>
      </c>
      <c r="W162" s="384">
        <f>$W$158+(C6*$N$37)</f>
        <v>0</v>
      </c>
      <c r="X162" s="384">
        <f>$X$158+(C6*$N$38)</f>
        <v>0</v>
      </c>
      <c r="Y162" s="384">
        <f>$Y$158+(C6*$N$39)</f>
        <v>0</v>
      </c>
      <c r="Z162" s="384">
        <f>$Z$158+(C6*$N$40)</f>
        <v>0</v>
      </c>
      <c r="AA162" s="383">
        <f t="shared" si="23"/>
        <v>0</v>
      </c>
    </row>
    <row r="163" spans="11:27" x14ac:dyDescent="0.2">
      <c r="K163" s="351" t="s">
        <v>55</v>
      </c>
      <c r="L163" s="384">
        <f>$L$158+(C7*$N$26)</f>
        <v>0</v>
      </c>
      <c r="M163" s="384">
        <f>$M$158+(C7*$N$27)</f>
        <v>0</v>
      </c>
      <c r="N163" s="384">
        <f>$N$158+(C7*$N$28)</f>
        <v>0</v>
      </c>
      <c r="O163" s="384">
        <f>$O$158+(C7*$N$29)</f>
        <v>0</v>
      </c>
      <c r="P163" s="384">
        <f>$P$158+(C7*$N$30)</f>
        <v>0</v>
      </c>
      <c r="Q163" s="384">
        <f>$Q$158+(C7*$N$31)</f>
        <v>0</v>
      </c>
      <c r="R163" s="384">
        <f>$R$158+(C7*$N$32)</f>
        <v>0</v>
      </c>
      <c r="S163" s="384">
        <f>$S$158+(C7*$N$33)</f>
        <v>0</v>
      </c>
      <c r="T163" s="384">
        <f>$T$158+(C7*$N$34)</f>
        <v>0</v>
      </c>
      <c r="U163" s="384">
        <f>$U$158+(C7*$N$35)</f>
        <v>0</v>
      </c>
      <c r="V163" s="384">
        <f>$V$158+(C7*$N$36)</f>
        <v>0</v>
      </c>
      <c r="W163" s="384">
        <f>$W$158+(C7*$N$37)</f>
        <v>0</v>
      </c>
      <c r="X163" s="384">
        <f>$X$158+(C7*$N$38)</f>
        <v>0</v>
      </c>
      <c r="Y163" s="384">
        <f>$Y$158+(C7*$N$39)</f>
        <v>0</v>
      </c>
      <c r="Z163" s="384">
        <f>$Z$158+(C7*$N$40)</f>
        <v>0</v>
      </c>
      <c r="AA163" s="383">
        <f t="shared" si="23"/>
        <v>0</v>
      </c>
    </row>
    <row r="164" spans="11:27" x14ac:dyDescent="0.2">
      <c r="K164" s="382" t="s">
        <v>791</v>
      </c>
      <c r="L164" s="384">
        <f>$L$158+(F18*$N$26)</f>
        <v>0</v>
      </c>
      <c r="M164" s="384">
        <f>$M$158+(F18*$N$27)</f>
        <v>0</v>
      </c>
      <c r="N164" s="384">
        <f>$N$158+(F18*$N$28)</f>
        <v>0</v>
      </c>
      <c r="O164" s="384">
        <f>$O$158+(F18*$N$29)</f>
        <v>0</v>
      </c>
      <c r="P164" s="384">
        <f>$P$158+(F18*$N$30)</f>
        <v>0</v>
      </c>
      <c r="Q164" s="384">
        <f>$Q$158+(F18*$N$31)</f>
        <v>0</v>
      </c>
      <c r="R164" s="384">
        <f>$R$158+(F18*$N$32)</f>
        <v>0</v>
      </c>
      <c r="S164" s="384">
        <f>$S$158+(F18*$N$33)</f>
        <v>0</v>
      </c>
      <c r="T164" s="384">
        <f>$T$158+(F18*$N$34)</f>
        <v>0</v>
      </c>
      <c r="U164" s="384">
        <f>$U$158+(F18*$N$35)</f>
        <v>0</v>
      </c>
      <c r="V164" s="384">
        <f>$V$158+(F18*$N$36)</f>
        <v>0</v>
      </c>
      <c r="W164" s="384">
        <f>$W$158+(F18*$N$37)</f>
        <v>0</v>
      </c>
      <c r="X164" s="384">
        <f>$X$158+(F18*$N$38)</f>
        <v>0</v>
      </c>
      <c r="Y164" s="384">
        <f>$Y$158+(F18*$N$39)</f>
        <v>0</v>
      </c>
      <c r="Z164" s="384">
        <f>$Z$158+(F18*$N$40)</f>
        <v>0</v>
      </c>
      <c r="AA164" s="383">
        <f t="shared" si="23"/>
        <v>0</v>
      </c>
    </row>
    <row r="165" spans="11:27" x14ac:dyDescent="0.2">
      <c r="K165" s="382" t="s">
        <v>792</v>
      </c>
      <c r="L165" s="384">
        <f>$L$158+(F19*$N$26)</f>
        <v>0</v>
      </c>
      <c r="M165" s="384">
        <f>$M$158+(F19*$N$27)</f>
        <v>0</v>
      </c>
      <c r="N165" s="384">
        <f>$N$158+(F19*$N$28)</f>
        <v>0</v>
      </c>
      <c r="O165" s="384">
        <f>$O$158+(F19*$N$29)</f>
        <v>0</v>
      </c>
      <c r="P165" s="384">
        <f>$P$158+(F19*$N$30)</f>
        <v>0</v>
      </c>
      <c r="Q165" s="384">
        <f>$Q$158+(F19*$N$31)</f>
        <v>0</v>
      </c>
      <c r="R165" s="384">
        <f>$R$158+(F19*$N$32)</f>
        <v>0</v>
      </c>
      <c r="S165" s="384">
        <f>$S$158+(F19*$N$33)</f>
        <v>0</v>
      </c>
      <c r="T165" s="384">
        <f>$T$158+(F19*$N$34)</f>
        <v>0</v>
      </c>
      <c r="U165" s="384">
        <f>$U$158+(F19*$N$35)</f>
        <v>0</v>
      </c>
      <c r="V165" s="384">
        <f>$V$158+(F19*$N$36)</f>
        <v>0</v>
      </c>
      <c r="W165" s="384">
        <f>$W$158+(F19*$N$37)</f>
        <v>0</v>
      </c>
      <c r="X165" s="384">
        <f>$X$158+(F19*$N$38)</f>
        <v>0</v>
      </c>
      <c r="Y165" s="384">
        <f>$Y$158+(F19*$N$39)</f>
        <v>0</v>
      </c>
      <c r="Z165" s="384">
        <f>$Z$158+(F19*$N$40)</f>
        <v>0</v>
      </c>
      <c r="AA165" s="383">
        <f t="shared" si="23"/>
        <v>0</v>
      </c>
    </row>
    <row r="172" spans="11:27" x14ac:dyDescent="0.2">
      <c r="K172" s="782" t="s">
        <v>809</v>
      </c>
      <c r="L172" s="782"/>
      <c r="M172" s="782"/>
      <c r="N172" s="782"/>
      <c r="O172" s="782"/>
      <c r="P172" s="782"/>
      <c r="Q172" s="782"/>
      <c r="R172" s="782"/>
      <c r="S172" s="782"/>
      <c r="T172" s="782"/>
      <c r="U172" s="782"/>
      <c r="V172" s="782"/>
      <c r="W172" s="782"/>
      <c r="X172" s="782"/>
      <c r="Y172" s="782"/>
      <c r="Z172" s="782"/>
      <c r="AA172" s="782"/>
    </row>
    <row r="173" spans="11:27" x14ac:dyDescent="0.2">
      <c r="L173" s="94" t="s">
        <v>219</v>
      </c>
      <c r="M173" s="94" t="s">
        <v>220</v>
      </c>
      <c r="N173" s="94" t="s">
        <v>221</v>
      </c>
      <c r="O173" s="94" t="s">
        <v>222</v>
      </c>
      <c r="P173" s="94" t="s">
        <v>223</v>
      </c>
      <c r="Q173" s="94" t="s">
        <v>224</v>
      </c>
      <c r="R173" s="94" t="s">
        <v>225</v>
      </c>
      <c r="S173" s="94" t="s">
        <v>226</v>
      </c>
      <c r="T173" s="94" t="s">
        <v>227</v>
      </c>
      <c r="U173" s="94" t="s">
        <v>228</v>
      </c>
      <c r="V173" s="94" t="s">
        <v>229</v>
      </c>
      <c r="W173" s="94" t="s">
        <v>230</v>
      </c>
      <c r="X173" s="94" t="s">
        <v>231</v>
      </c>
      <c r="Y173" s="94" t="s">
        <v>232</v>
      </c>
      <c r="Z173" s="94" t="s">
        <v>233</v>
      </c>
      <c r="AA173" s="94" t="s">
        <v>59</v>
      </c>
    </row>
    <row r="174" spans="11:27" x14ac:dyDescent="0.2">
      <c r="K174" s="382" t="s">
        <v>41</v>
      </c>
      <c r="L174" s="61">
        <f>$N$26*$C$2</f>
        <v>0</v>
      </c>
      <c r="M174" s="61">
        <f>$N$27*$C$2</f>
        <v>0</v>
      </c>
      <c r="N174" s="61">
        <f>$N$28*$C$2</f>
        <v>0</v>
      </c>
      <c r="O174" s="61">
        <f>$N$29*$C$2</f>
        <v>0</v>
      </c>
      <c r="P174" s="61">
        <f>$N$30*$C$2</f>
        <v>0</v>
      </c>
      <c r="Q174" s="61">
        <f>$N$31*$C$2</f>
        <v>0</v>
      </c>
      <c r="R174" s="61">
        <f>$N$32*$C$2</f>
        <v>0</v>
      </c>
      <c r="S174" s="61">
        <f>$N$33*$C$2</f>
        <v>0</v>
      </c>
      <c r="T174" s="61">
        <f>$N$34*$C$2</f>
        <v>0</v>
      </c>
      <c r="U174" s="61">
        <f>$N$35*$C$2</f>
        <v>0</v>
      </c>
      <c r="V174" s="61">
        <f>$N$36*$C$2</f>
        <v>0</v>
      </c>
      <c r="W174" s="61">
        <f>$N$37*$C$2</f>
        <v>0</v>
      </c>
      <c r="X174" s="61">
        <f>$N$38*$C$2</f>
        <v>0</v>
      </c>
      <c r="Y174" s="61">
        <f>$N$39*$C$2</f>
        <v>0</v>
      </c>
      <c r="Z174" s="61">
        <f>$N$40*$C$2</f>
        <v>0</v>
      </c>
      <c r="AA174" s="61">
        <f t="shared" ref="AA174:AA181" si="24">SUM(L174:Z174)</f>
        <v>0</v>
      </c>
    </row>
    <row r="175" spans="11:27" x14ac:dyDescent="0.2">
      <c r="K175" s="382" t="s">
        <v>43</v>
      </c>
      <c r="L175" s="384">
        <f>$N26*$C$3</f>
        <v>0</v>
      </c>
      <c r="M175" s="384">
        <f>$N27*$C$3</f>
        <v>0</v>
      </c>
      <c r="N175" s="384">
        <f>$N28*$C$3</f>
        <v>0</v>
      </c>
      <c r="O175" s="384">
        <f>$N29*$C$3</f>
        <v>0</v>
      </c>
      <c r="P175" s="384">
        <f>$N30*$C$3</f>
        <v>0</v>
      </c>
      <c r="Q175" s="384">
        <f>$N31*$C$3</f>
        <v>0</v>
      </c>
      <c r="R175" s="384">
        <f>$N31*$C$3</f>
        <v>0</v>
      </c>
      <c r="S175" s="384">
        <f>$N33*$C$3</f>
        <v>0</v>
      </c>
      <c r="T175" s="384">
        <f>$N34*$C$3</f>
        <v>0</v>
      </c>
      <c r="U175" s="384">
        <f>$N35*$C$3</f>
        <v>0</v>
      </c>
      <c r="V175" s="384">
        <f>$N36*$C$3</f>
        <v>0</v>
      </c>
      <c r="W175" s="384">
        <f>$N37*$C$3</f>
        <v>0</v>
      </c>
      <c r="X175" s="384">
        <f>$N38*$C$3</f>
        <v>0</v>
      </c>
      <c r="Y175" s="384">
        <f>$N39*$C$3</f>
        <v>0</v>
      </c>
      <c r="Z175" s="384">
        <f>$N40*$C$3</f>
        <v>0</v>
      </c>
      <c r="AA175" s="384">
        <f t="shared" si="24"/>
        <v>0</v>
      </c>
    </row>
    <row r="176" spans="11:27" x14ac:dyDescent="0.2">
      <c r="K176" s="382" t="s">
        <v>47</v>
      </c>
      <c r="L176" s="384">
        <f>$C$4*$N$26</f>
        <v>0</v>
      </c>
      <c r="M176" s="384">
        <f>$C$4*$N$27</f>
        <v>0</v>
      </c>
      <c r="N176" s="384">
        <f>$C$4*$N$28</f>
        <v>0</v>
      </c>
      <c r="O176" s="384">
        <f>$C$4*$N$29</f>
        <v>0</v>
      </c>
      <c r="P176" s="384">
        <f>$C$4*$N$30</f>
        <v>0</v>
      </c>
      <c r="Q176" s="384">
        <f>$C$4*$N$31</f>
        <v>0</v>
      </c>
      <c r="R176" s="384">
        <f>$C$4*$N$32</f>
        <v>0</v>
      </c>
      <c r="S176" s="384">
        <f>$C$4*$N$33</f>
        <v>0</v>
      </c>
      <c r="T176" s="384">
        <f>$C$4*$N$34</f>
        <v>0</v>
      </c>
      <c r="U176" s="384">
        <f>$C$4*$N$35</f>
        <v>0</v>
      </c>
      <c r="V176" s="384">
        <f>$C$4*$N$36</f>
        <v>0</v>
      </c>
      <c r="W176" s="384">
        <f>$C$4*$N$37</f>
        <v>0</v>
      </c>
      <c r="X176" s="384">
        <f>$C$4*$N$38</f>
        <v>0</v>
      </c>
      <c r="Y176" s="384">
        <f>$C$4*$N$39</f>
        <v>0</v>
      </c>
      <c r="Z176" s="384">
        <f>$C$4*$N$40</f>
        <v>0</v>
      </c>
      <c r="AA176" s="384">
        <f t="shared" si="24"/>
        <v>0</v>
      </c>
    </row>
    <row r="177" spans="11:27" x14ac:dyDescent="0.2">
      <c r="K177" s="382" t="s">
        <v>49</v>
      </c>
      <c r="L177" s="384">
        <f>$C$5*$N$26</f>
        <v>0</v>
      </c>
      <c r="M177" s="384">
        <f>$C$5*$N$27</f>
        <v>0</v>
      </c>
      <c r="N177" s="384">
        <f>$C$5*$N$28</f>
        <v>0</v>
      </c>
      <c r="O177" s="384">
        <f>$C$5*$N$29</f>
        <v>0</v>
      </c>
      <c r="P177" s="384">
        <f>$C$5*$N$30</f>
        <v>0</v>
      </c>
      <c r="Q177" s="384">
        <f>$C$5*$N$31</f>
        <v>0</v>
      </c>
      <c r="R177" s="384">
        <f>$C$5*$N$32</f>
        <v>0</v>
      </c>
      <c r="S177" s="384">
        <f>$C$5*$N$33</f>
        <v>0</v>
      </c>
      <c r="T177" s="384">
        <f>$C$5*$N$34</f>
        <v>0</v>
      </c>
      <c r="U177" s="384">
        <f>$C$5*$N$35</f>
        <v>0</v>
      </c>
      <c r="V177" s="384">
        <f>$C$5*$N$36</f>
        <v>0</v>
      </c>
      <c r="W177" s="384">
        <f>$C$5*$N$37</f>
        <v>0</v>
      </c>
      <c r="X177" s="384">
        <f>$C$5*$N$38</f>
        <v>0</v>
      </c>
      <c r="Y177" s="384">
        <f>$C$5*$N$39</f>
        <v>0</v>
      </c>
      <c r="Z177" s="384">
        <f>$C$5*$N$40</f>
        <v>0</v>
      </c>
      <c r="AA177" s="384">
        <f t="shared" si="24"/>
        <v>0</v>
      </c>
    </row>
    <row r="178" spans="11:27" x14ac:dyDescent="0.2">
      <c r="K178" s="382" t="s">
        <v>51</v>
      </c>
      <c r="L178" s="384">
        <f>$C$6*$N$26</f>
        <v>0</v>
      </c>
      <c r="M178" s="384">
        <f>$C$6*$N$27</f>
        <v>0</v>
      </c>
      <c r="N178" s="384">
        <f>$C$6*$N$28</f>
        <v>0</v>
      </c>
      <c r="O178" s="384">
        <f>$C$6*$N$29</f>
        <v>0</v>
      </c>
      <c r="P178" s="384">
        <f>$C$6*$N$30</f>
        <v>0</v>
      </c>
      <c r="Q178" s="384">
        <f>$C$6*$N$31</f>
        <v>0</v>
      </c>
      <c r="R178" s="384">
        <f>$C$6*$N$32</f>
        <v>0</v>
      </c>
      <c r="S178" s="384">
        <f>$C$6*$N$33</f>
        <v>0</v>
      </c>
      <c r="T178" s="384">
        <f>$C$6*$N$34</f>
        <v>0</v>
      </c>
      <c r="U178" s="384">
        <f>$C$6*$N$35</f>
        <v>0</v>
      </c>
      <c r="V178" s="384">
        <f>$C$6*$N$36</f>
        <v>0</v>
      </c>
      <c r="W178" s="384">
        <f>$C$6*$N$37</f>
        <v>0</v>
      </c>
      <c r="X178" s="384">
        <f>$C$6*$N$38</f>
        <v>0</v>
      </c>
      <c r="Y178" s="384">
        <f>$C$6*$N$39</f>
        <v>0</v>
      </c>
      <c r="Z178" s="384">
        <f>$C$6*$N$40</f>
        <v>0</v>
      </c>
      <c r="AA178" s="384">
        <f t="shared" si="24"/>
        <v>0</v>
      </c>
    </row>
    <row r="179" spans="11:27" x14ac:dyDescent="0.2">
      <c r="K179" s="351" t="s">
        <v>55</v>
      </c>
      <c r="L179" s="384">
        <f>$C$7*$N$26</f>
        <v>0</v>
      </c>
      <c r="M179" s="384">
        <f>$C$7*$N$27</f>
        <v>0</v>
      </c>
      <c r="N179" s="384">
        <f>$C$7*$N$28</f>
        <v>0</v>
      </c>
      <c r="O179" s="384">
        <f>$C$7*$N$29</f>
        <v>0</v>
      </c>
      <c r="P179" s="384">
        <f>$C$7*$N$30</f>
        <v>0</v>
      </c>
      <c r="Q179" s="384">
        <f>$C$7*$N$31</f>
        <v>0</v>
      </c>
      <c r="R179" s="384">
        <f>$C$7*$N$32</f>
        <v>0</v>
      </c>
      <c r="S179" s="384">
        <f>$C$7*$N$33</f>
        <v>0</v>
      </c>
      <c r="T179" s="384">
        <f>$C$7*$N$34</f>
        <v>0</v>
      </c>
      <c r="U179" s="384">
        <f>$C$7*$N$35</f>
        <v>0</v>
      </c>
      <c r="V179" s="384">
        <f>$C$7*$N$36</f>
        <v>0</v>
      </c>
      <c r="W179" s="384">
        <f>$C$7*$N$37</f>
        <v>0</v>
      </c>
      <c r="X179" s="384">
        <f>$C$7*$N$38</f>
        <v>0</v>
      </c>
      <c r="Y179" s="384">
        <f>$C$7*$N$39</f>
        <v>0</v>
      </c>
      <c r="Z179" s="384">
        <f>$C$7*$N$40</f>
        <v>0</v>
      </c>
      <c r="AA179" s="384">
        <f t="shared" si="24"/>
        <v>0</v>
      </c>
    </row>
    <row r="180" spans="11:27" x14ac:dyDescent="0.2">
      <c r="K180" s="382" t="s">
        <v>791</v>
      </c>
      <c r="L180" s="384">
        <f>$F$18*$N$26</f>
        <v>0</v>
      </c>
      <c r="M180" s="384">
        <f>$F$18*$N$27</f>
        <v>0</v>
      </c>
      <c r="N180" s="384">
        <f>$F$18*$N$28</f>
        <v>0</v>
      </c>
      <c r="O180" s="384">
        <f>$F$18*$N$29</f>
        <v>0</v>
      </c>
      <c r="P180" s="384">
        <f>$F$18*$N$30</f>
        <v>0</v>
      </c>
      <c r="Q180" s="384">
        <f>$F$18*$N$31</f>
        <v>0</v>
      </c>
      <c r="R180" s="384">
        <f>$F$18*$N$32</f>
        <v>0</v>
      </c>
      <c r="S180" s="384">
        <f>$F$18*$N$33</f>
        <v>0</v>
      </c>
      <c r="T180" s="384">
        <f>$F$18*$N$34</f>
        <v>0</v>
      </c>
      <c r="U180" s="384">
        <f>$F$18*$N$35</f>
        <v>0</v>
      </c>
      <c r="V180" s="384">
        <f>$F$18*$N$36</f>
        <v>0</v>
      </c>
      <c r="W180" s="384">
        <f>$F$18*$N$37</f>
        <v>0</v>
      </c>
      <c r="X180" s="384">
        <f>$F$18*$N$38</f>
        <v>0</v>
      </c>
      <c r="Y180" s="384">
        <f>$F$18*$N$39</f>
        <v>0</v>
      </c>
      <c r="Z180" s="384">
        <f>$F$18*$N$40</f>
        <v>0</v>
      </c>
      <c r="AA180" s="384">
        <f t="shared" si="24"/>
        <v>0</v>
      </c>
    </row>
    <row r="181" spans="11:27" x14ac:dyDescent="0.2">
      <c r="K181" s="382" t="s">
        <v>792</v>
      </c>
      <c r="L181" s="384">
        <f>$F$19*$N$26</f>
        <v>0</v>
      </c>
      <c r="M181" s="384">
        <f>$F$19*$N$27</f>
        <v>0</v>
      </c>
      <c r="N181" s="384">
        <f>$F$19*$N$28</f>
        <v>0</v>
      </c>
      <c r="O181" s="384">
        <f>$F$19*$N$29</f>
        <v>0</v>
      </c>
      <c r="P181" s="384">
        <f>$F$19*$N$30</f>
        <v>0</v>
      </c>
      <c r="Q181" s="384">
        <f>$F$19*$N$31</f>
        <v>0</v>
      </c>
      <c r="R181" s="384">
        <f>$F$19*$N$32</f>
        <v>0</v>
      </c>
      <c r="S181" s="384">
        <f>$F$19*$N$33</f>
        <v>0</v>
      </c>
      <c r="T181" s="384">
        <f>$F$19*$N$34</f>
        <v>0</v>
      </c>
      <c r="U181" s="384">
        <f>$F$19*$N$35</f>
        <v>0</v>
      </c>
      <c r="V181" s="384">
        <f>$F$19*$N$36</f>
        <v>0</v>
      </c>
      <c r="W181" s="384">
        <f>$F$19*$N$37</f>
        <v>0</v>
      </c>
      <c r="X181" s="384">
        <f>$F$19*$N$38</f>
        <v>0</v>
      </c>
      <c r="Y181" s="384">
        <f>$F$19*$N$39</f>
        <v>0</v>
      </c>
      <c r="Z181" s="384">
        <f>$F$19*$N$30</f>
        <v>0</v>
      </c>
      <c r="AA181" s="384">
        <f t="shared" si="24"/>
        <v>0</v>
      </c>
    </row>
    <row r="185" spans="11:27" x14ac:dyDescent="0.2">
      <c r="K185" s="782" t="s">
        <v>811</v>
      </c>
      <c r="L185" s="782"/>
      <c r="M185" s="782"/>
      <c r="N185" s="782"/>
      <c r="O185" s="782"/>
      <c r="P185" s="782"/>
      <c r="Q185" s="782"/>
      <c r="R185" s="782"/>
      <c r="S185" s="782"/>
      <c r="T185" s="782"/>
      <c r="U185" s="782"/>
      <c r="V185" s="782"/>
      <c r="W185" s="782"/>
      <c r="X185" s="782"/>
      <c r="Y185" s="782"/>
      <c r="Z185" s="782"/>
      <c r="AA185" s="782"/>
    </row>
    <row r="186" spans="11:27" x14ac:dyDescent="0.2">
      <c r="L186" s="94" t="s">
        <v>219</v>
      </c>
      <c r="M186" s="94" t="s">
        <v>220</v>
      </c>
      <c r="N186" s="94" t="s">
        <v>221</v>
      </c>
      <c r="O186" s="94" t="s">
        <v>222</v>
      </c>
      <c r="P186" s="94" t="s">
        <v>223</v>
      </c>
      <c r="Q186" s="94" t="s">
        <v>224</v>
      </c>
      <c r="R186" s="94" t="s">
        <v>225</v>
      </c>
      <c r="S186" s="94" t="s">
        <v>226</v>
      </c>
      <c r="T186" s="94" t="s">
        <v>227</v>
      </c>
      <c r="U186" s="94" t="s">
        <v>228</v>
      </c>
      <c r="V186" s="94" t="s">
        <v>229</v>
      </c>
      <c r="W186" s="94" t="s">
        <v>230</v>
      </c>
      <c r="X186" s="94" t="s">
        <v>231</v>
      </c>
      <c r="Y186" s="94" t="s">
        <v>232</v>
      </c>
      <c r="Z186" s="94" t="s">
        <v>233</v>
      </c>
      <c r="AA186" s="94" t="s">
        <v>59</v>
      </c>
    </row>
    <row r="187" spans="11:27" x14ac:dyDescent="0.2">
      <c r="K187" s="382" t="s">
        <v>41</v>
      </c>
      <c r="L187" s="61">
        <f>IF($K$187=Pricing!E8,,((C2*N26)-((C2*N26)*$C$10))+AA26+W26)</f>
        <v>0</v>
      </c>
      <c r="M187" s="61">
        <f>IF($K$187=Pricing!E11,,((C2*N27)-((C2*N27)*$C$10))+AA27+W27)</f>
        <v>0</v>
      </c>
      <c r="N187" s="61">
        <f>IF($K$187=Pricing!E14,,((C2*N28)-((C2*N28)*$C$10))+AA28+W28)</f>
        <v>0</v>
      </c>
      <c r="O187" s="61">
        <f>IF($K$187=Pricing!E17,,((C2*N29)-((C2*N29)*$C$10))+AA29+W29)</f>
        <v>0</v>
      </c>
      <c r="P187" s="61">
        <f>IF($K$187=Pricing!E20,,((C2*N30)-((C2*N30)*$C$10))+AA30+W30)</f>
        <v>0</v>
      </c>
      <c r="Q187" s="61">
        <f>IF($K$187=Pricing!E23,,((C2*N31)-((C2*N31)*$C$10))+AA31+W31)</f>
        <v>0</v>
      </c>
      <c r="R187" s="61">
        <f>IF($K$187=Pricing!E23,,((C2*N32)-((C2*N32)*$C$10))+AA32+W32)</f>
        <v>0</v>
      </c>
      <c r="S187" s="61">
        <f>IF($K$187=Pricing!E23,,((C2*N33)-((C2*N33)*$C$10))+AA33+W33)</f>
        <v>0</v>
      </c>
      <c r="T187" s="61">
        <f>IF($K$187=Pricing!E23,,((C2*N34)-((C2*N34)*$C$10))+AA34+W34)</f>
        <v>0</v>
      </c>
      <c r="U187" s="61">
        <f>IF($K$187=Pricing!E23,,((C2*N35)-((C2*N35)*$C$10))+AA35+W35)</f>
        <v>0</v>
      </c>
      <c r="V187" s="61">
        <f>IF($K$187=Pricing!E23,,((C2*N36)-((C2*N36)*$C$10))+AA36+W36)</f>
        <v>0</v>
      </c>
      <c r="W187" s="61">
        <f>IF($K$187=Pricing!E23,,((C2*N37)-((C2*N37)*$C$10))+AA37+W37)</f>
        <v>0</v>
      </c>
      <c r="X187" s="61">
        <f>IF($K$187=Pricing!E23,,((C2*N38)-((C2*N38)*$C$10))+AA38+W38)</f>
        <v>0</v>
      </c>
      <c r="Y187" s="61">
        <f>IF($K$187=Pricing!E23,,((C2*N39)-((C2*N39)*$C$10))+AA39+W39)</f>
        <v>0</v>
      </c>
      <c r="Z187" s="61">
        <f>IF($K$187=Pricing!E23,,((C2*N40)-((C2*N40)*$C$10))+AA40+W40)</f>
        <v>0</v>
      </c>
      <c r="AA187" s="61">
        <f t="shared" ref="AA187:AA194" si="25">SUM(L187:Z187)</f>
        <v>0</v>
      </c>
    </row>
    <row r="188" spans="11:27" x14ac:dyDescent="0.2">
      <c r="K188" s="382" t="s">
        <v>43</v>
      </c>
      <c r="L188" s="384">
        <f>IF(Pricing!E8=Matrix2!K188,,Matrix2!L175)</f>
        <v>0</v>
      </c>
      <c r="M188" s="61">
        <f>IF(Pricing!E11=Matrix2!K188,,Matrix2!M175)</f>
        <v>0</v>
      </c>
      <c r="N188" s="384">
        <f>IF(Pricing!E14=Matrix2!K188,,Matrix2!N175)</f>
        <v>0</v>
      </c>
      <c r="O188" s="384">
        <f>IF(Pricing!E17=Matrix2!K188,,Matrix2!O175)</f>
        <v>0</v>
      </c>
      <c r="P188" s="384">
        <f>IF(Pricing!E20=Matrix2!K188,,Matrix2!P175)</f>
        <v>0</v>
      </c>
      <c r="Q188" s="384">
        <f>IF(Pricing!E23=Matrix2!K188,,Matrix2!Q175)</f>
        <v>0</v>
      </c>
      <c r="R188" s="384">
        <f>IF(Pricing!E26=Matrix2!K188,,Matrix2!R175)</f>
        <v>0</v>
      </c>
      <c r="S188" s="384">
        <f>IF(Pricing!E29=Matrix2!K188,,Matrix2!S175)</f>
        <v>0</v>
      </c>
      <c r="T188" s="384">
        <f>IF(Pricing!E32=Matrix2!K188,,Matrix2!T175)</f>
        <v>0</v>
      </c>
      <c r="U188" s="384">
        <f>IF(Pricing!E35=Matrix2!K188,,Matrix2!U175)</f>
        <v>0</v>
      </c>
      <c r="V188" s="384">
        <f>IF(Pricing!E38=Matrix2!K188,,Matrix2!V175)</f>
        <v>0</v>
      </c>
      <c r="W188" s="384">
        <f>IF(Pricing!E41=Matrix2!K188,,Matrix2!W175)</f>
        <v>0</v>
      </c>
      <c r="X188" s="384">
        <f>IF(Pricing!E44=Matrix2!K188,,Matrix2!X175)</f>
        <v>0</v>
      </c>
      <c r="Y188" s="384">
        <f>IF(Pricing!E47=Matrix2!K188,,Matrix2!Y175)</f>
        <v>0</v>
      </c>
      <c r="Z188" s="384">
        <f>IF(Pricing!E50=Matrix2!K188,,Matrix2!Z175)</f>
        <v>0</v>
      </c>
      <c r="AA188" s="384">
        <f t="shared" si="25"/>
        <v>0</v>
      </c>
    </row>
    <row r="189" spans="11:27" x14ac:dyDescent="0.2">
      <c r="K189" s="382" t="s">
        <v>47</v>
      </c>
      <c r="L189" s="384">
        <f>IF(Pricing!E8=Matrix2!K189,,Matrix2!L176)</f>
        <v>0</v>
      </c>
      <c r="M189" s="61">
        <f>IF(Pricing!E11=Matrix2!K189,,Matrix2!M176)</f>
        <v>0</v>
      </c>
      <c r="N189" s="384">
        <f>IF(Pricing!E14=Matrix2!K189,,Matrix2!N176)</f>
        <v>0</v>
      </c>
      <c r="O189" s="384">
        <f>IF(Pricing!E17=Matrix2!K189,,Matrix2!O176)</f>
        <v>0</v>
      </c>
      <c r="P189" s="384">
        <f>IF(Pricing!E20=Matrix2!K189,,Matrix2!P176)</f>
        <v>0</v>
      </c>
      <c r="Q189" s="384">
        <f>IF(Pricing!E23=Matrix2!K189,,Matrix2!Q176)</f>
        <v>0</v>
      </c>
      <c r="R189" s="384">
        <f>IF(Pricing!E26=Matrix2!K189,,Matrix2!R176)</f>
        <v>0</v>
      </c>
      <c r="S189" s="384">
        <f>IF(Pricing!E29=Matrix2!K189,,Matrix2!S176)</f>
        <v>0</v>
      </c>
      <c r="T189" s="384">
        <f>IF(Pricing!E32=Matrix2!K189,,Matrix2!T176)</f>
        <v>0</v>
      </c>
      <c r="U189" s="384">
        <f>IF(Pricing!E35=Matrix2!K189,,Matrix2!U176)</f>
        <v>0</v>
      </c>
      <c r="V189" s="384">
        <f>IF(Pricing!E38=Matrix2!K189,,Matrix2!V176)</f>
        <v>0</v>
      </c>
      <c r="W189" s="384">
        <f>IF(Pricing!E41=Matrix2!K189,,Matrix2!W176)</f>
        <v>0</v>
      </c>
      <c r="X189" s="384">
        <f>IF(Pricing!E44=Matrix2!K189,,Matrix2!X176)</f>
        <v>0</v>
      </c>
      <c r="Y189" s="384">
        <f>IF(Pricing!E47=Matrix2!K189,,Matrix2!Y176)</f>
        <v>0</v>
      </c>
      <c r="Z189" s="384">
        <f>IF(Pricing!E50=Matrix2!K189,,Matrix2!Z176)</f>
        <v>0</v>
      </c>
      <c r="AA189" s="384">
        <f t="shared" si="25"/>
        <v>0</v>
      </c>
    </row>
    <row r="190" spans="11:27" x14ac:dyDescent="0.2">
      <c r="K190" s="382" t="s">
        <v>49</v>
      </c>
      <c r="L190" s="384">
        <f>IF(Pricing!E8=Matrix2!K190,,Matrix2!L177)</f>
        <v>0</v>
      </c>
      <c r="M190" s="61">
        <f>IF(Pricing!E11=Matrix2!K190,,Matrix2!M177)</f>
        <v>0</v>
      </c>
      <c r="N190" s="384">
        <f>IF(Pricing!E14=Matrix2!K190,,Matrix2!N177)</f>
        <v>0</v>
      </c>
      <c r="O190" s="384">
        <f>IF(Pricing!E17=Matrix2!K190,,Matrix2!O177)</f>
        <v>0</v>
      </c>
      <c r="P190" s="384">
        <f>IF(Pricing!E20=Matrix2!K190,,Matrix2!P177)</f>
        <v>0</v>
      </c>
      <c r="Q190" s="384">
        <f>IF(Pricing!E23=Matrix2!K190,,Matrix2!Q177)</f>
        <v>0</v>
      </c>
      <c r="R190" s="384">
        <f>IF(Pricing!E26=Matrix2!K190,,Matrix2!R177)</f>
        <v>0</v>
      </c>
      <c r="S190" s="384">
        <f>IF(Pricing!E29=Matrix2!K190,,Matrix2!S177)</f>
        <v>0</v>
      </c>
      <c r="T190" s="384">
        <f>IF(Pricing!E32=Matrix2!K190,,Matrix2!T177)</f>
        <v>0</v>
      </c>
      <c r="U190" s="384">
        <f>IF(Pricing!E35=Matrix2!K190,,Matrix2!U177)</f>
        <v>0</v>
      </c>
      <c r="V190" s="384">
        <f>IF(Pricing!E38=Matrix2!K190,,Matrix2!V177)</f>
        <v>0</v>
      </c>
      <c r="W190" s="384">
        <f>IF(Pricing!E41=Matrix2!K190,,Matrix2!W177)</f>
        <v>0</v>
      </c>
      <c r="X190" s="384">
        <f>IF(Pricing!E44=Matrix2!K190,,Matrix2!X177)</f>
        <v>0</v>
      </c>
      <c r="Y190" s="384">
        <f>IF(Pricing!E47=Matrix2!K190,,Matrix2!Y177)</f>
        <v>0</v>
      </c>
      <c r="Z190" s="384">
        <f>IF(Pricing!E50=Matrix2!K190,,Matrix2!Z177)</f>
        <v>0</v>
      </c>
      <c r="AA190" s="384">
        <f t="shared" si="25"/>
        <v>0</v>
      </c>
    </row>
    <row r="191" spans="11:27" x14ac:dyDescent="0.2">
      <c r="K191" s="382" t="s">
        <v>51</v>
      </c>
      <c r="L191" s="384">
        <f>IF(Pricing!E8=Matrix2!K191,,Matrix2!L178)</f>
        <v>0</v>
      </c>
      <c r="M191" s="61">
        <f>IF(Pricing!E11=Matrix2!K191,,Matrix2!M178)</f>
        <v>0</v>
      </c>
      <c r="N191" s="384">
        <f>IF(Pricing!E14=Matrix2!K191,,Matrix2!N178)</f>
        <v>0</v>
      </c>
      <c r="O191" s="384">
        <f>IF(Pricing!E17=Matrix2!K191,,Matrix2!O178)</f>
        <v>0</v>
      </c>
      <c r="P191" s="384">
        <f>IF(Pricing!E20=Matrix2!K191,,Matrix2!P178)</f>
        <v>0</v>
      </c>
      <c r="Q191" s="384">
        <f>IF(Pricing!E23=Matrix2!K191,,Matrix2!Q178)</f>
        <v>0</v>
      </c>
      <c r="R191" s="384">
        <f>IF(Pricing!E26=Matrix2!K191,,Matrix2!R178)</f>
        <v>0</v>
      </c>
      <c r="S191" s="384">
        <f>IF(Pricing!E29=Matrix2!K191,,Matrix2!S178)</f>
        <v>0</v>
      </c>
      <c r="T191" s="384">
        <f>IF(Pricing!E32=Matrix2!K191,,Matrix2!T178)</f>
        <v>0</v>
      </c>
      <c r="U191" s="384">
        <f>IF(Pricing!E35=Matrix2!K191,,Matrix2!U178)</f>
        <v>0</v>
      </c>
      <c r="V191" s="384">
        <f>IF(Pricing!E38=Matrix2!K191,,Matrix2!V178)</f>
        <v>0</v>
      </c>
      <c r="W191" s="384">
        <f>IF(Pricing!E41=Matrix2!K191,,Matrix2!W178)</f>
        <v>0</v>
      </c>
      <c r="X191" s="384">
        <f>IF(Pricing!E44=Matrix2!K191,,Matrix2!X178)</f>
        <v>0</v>
      </c>
      <c r="Y191" s="384">
        <f>IF(Pricing!E47=Matrix2!K191,,Matrix2!Y178)</f>
        <v>0</v>
      </c>
      <c r="Z191" s="384">
        <f>IF(Pricing!E50=Matrix2!K191,,Matrix2!Z178)</f>
        <v>0</v>
      </c>
      <c r="AA191" s="384">
        <f t="shared" si="25"/>
        <v>0</v>
      </c>
    </row>
    <row r="192" spans="11:27" x14ac:dyDescent="0.2">
      <c r="K192" s="351" t="s">
        <v>55</v>
      </c>
      <c r="L192" s="384">
        <f>IF(Pricing!E8=Matrix2!K192,,Matrix2!L179)</f>
        <v>0</v>
      </c>
      <c r="M192" s="61">
        <f>IF(Pricing!E11=Matrix2!K192,,Matrix2!M179)</f>
        <v>0</v>
      </c>
      <c r="N192" s="384">
        <f>IF(Pricing!E14=Matrix2!K192,,Matrix2!N179)</f>
        <v>0</v>
      </c>
      <c r="O192" s="384">
        <f>IF(Pricing!E17=Matrix2!K192,,Matrix2!O179)</f>
        <v>0</v>
      </c>
      <c r="P192" s="384">
        <f>IF(Pricing!E20=Matrix2!K192,,Matrix2!P179)</f>
        <v>0</v>
      </c>
      <c r="Q192" s="384">
        <f>IF(Pricing!E23=Matrix2!K192,,Matrix2!Q179)</f>
        <v>0</v>
      </c>
      <c r="R192" s="384">
        <f>IF(Pricing!E26=Matrix2!K192,,Matrix2!R179)</f>
        <v>0</v>
      </c>
      <c r="S192" s="384">
        <f>IF(Pricing!E29=Matrix2!K192,,Matrix2!S179)</f>
        <v>0</v>
      </c>
      <c r="T192" s="384">
        <f>IF(Pricing!E32=Matrix2!K192,,Matrix2!T179)</f>
        <v>0</v>
      </c>
      <c r="U192" s="384">
        <f>IF(Pricing!E32=Matrix2!K192,,Matrix2!U179)</f>
        <v>0</v>
      </c>
      <c r="V192" s="384">
        <f>IF(Pricing!E38=Matrix2!K192,,Matrix2!V179)</f>
        <v>0</v>
      </c>
      <c r="W192" s="384">
        <f>IF(Pricing!E41=Matrix2!K192,,Matrix2!W179)</f>
        <v>0</v>
      </c>
      <c r="X192" s="384">
        <f>IF(Pricing!E44=Matrix2!K192,,Matrix2!X179)</f>
        <v>0</v>
      </c>
      <c r="Y192" s="384">
        <f>IF(Pricing!E47=Matrix2!K192,,Matrix2!Y179)</f>
        <v>0</v>
      </c>
      <c r="Z192" s="384">
        <f>IF(Pricing!E50=Matrix2!K192,,Matrix2!Z179)</f>
        <v>0</v>
      </c>
      <c r="AA192" s="384">
        <f t="shared" si="25"/>
        <v>0</v>
      </c>
    </row>
    <row r="193" spans="11:27" x14ac:dyDescent="0.2">
      <c r="K193" s="382" t="s">
        <v>791</v>
      </c>
      <c r="L193" s="384">
        <f>IF(Pricing!E8=Matrix2!K193,,Matrix2!L180)</f>
        <v>0</v>
      </c>
      <c r="M193" s="61">
        <f>IF(Pricing!E11=Matrix2!K193,,Matrix2!M180)</f>
        <v>0</v>
      </c>
      <c r="N193" s="384">
        <f>IF(Pricing!E14=Matrix2!K193,,Matrix2!N180)</f>
        <v>0</v>
      </c>
      <c r="O193" s="384">
        <f>IF(Pricing!E17=Matrix2!K193,,Matrix2!O180)</f>
        <v>0</v>
      </c>
      <c r="P193" s="384">
        <f>IF(Pricing!E20=Matrix2!K193,,Matrix2!P180)</f>
        <v>0</v>
      </c>
      <c r="Q193" s="384">
        <f>IF(Pricing!E23=Matrix2!K193,,Matrix2!Q180)</f>
        <v>0</v>
      </c>
      <c r="R193" s="384">
        <f>IF(Pricing!E26=Matrix2!K193,,Matrix2!R180)</f>
        <v>0</v>
      </c>
      <c r="S193" s="384">
        <f>IF(Pricing!E29=Matrix2!K193,,Matrix2!S180)</f>
        <v>0</v>
      </c>
      <c r="T193" s="384">
        <f>IF(Pricing!E32=Matrix2!K193,,Matrix2!T180)</f>
        <v>0</v>
      </c>
      <c r="U193" s="384">
        <f>IF(Pricing!E35=Matrix2!K193,,Matrix2!U180)</f>
        <v>0</v>
      </c>
      <c r="V193" s="384">
        <f>IF(Pricing!E38=Matrix2!K193,,Matrix2!V180)</f>
        <v>0</v>
      </c>
      <c r="W193" s="384">
        <f>IF(Pricing!E41=Matrix2!K193,,Matrix2!W180)</f>
        <v>0</v>
      </c>
      <c r="X193" s="384">
        <f>IF(Pricing!E44=Matrix2!K193,,Matrix2!X180)</f>
        <v>0</v>
      </c>
      <c r="Y193" s="384">
        <f>IF(Pricing!E47=Matrix2!K193,,Matrix2!Y180)</f>
        <v>0</v>
      </c>
      <c r="Z193" s="384">
        <f>IF(Pricing!E50=Matrix2!K193,,Matrix2!Z180)</f>
        <v>0</v>
      </c>
      <c r="AA193" s="384">
        <f t="shared" si="25"/>
        <v>0</v>
      </c>
    </row>
    <row r="194" spans="11:27" x14ac:dyDescent="0.2">
      <c r="K194" s="382" t="s">
        <v>792</v>
      </c>
      <c r="L194" s="384">
        <f>IF(Pricing!E8=Matrix2!K194,,Matrix2!L181)</f>
        <v>0</v>
      </c>
      <c r="M194" s="61">
        <f>IF(Pricing!E11=Matrix2!K194,,Matrix2!M181)</f>
        <v>0</v>
      </c>
      <c r="N194" s="384">
        <f>IF(Pricing!E14=Matrix2!K194,,Matrix2!N181)</f>
        <v>0</v>
      </c>
      <c r="O194" s="384">
        <f>IF(Pricing!E17=Matrix2!K194,,Matrix2!O181)</f>
        <v>0</v>
      </c>
      <c r="P194" s="384">
        <f>IF(Pricing!E20=Matrix2!K194,,Matrix2!P181)</f>
        <v>0</v>
      </c>
      <c r="Q194" s="384">
        <f>IF(Pricing!E23=Matrix2!K194,,Matrix2!Q181)</f>
        <v>0</v>
      </c>
      <c r="R194" s="384">
        <f>IF(Pricing!E26=Matrix2!K194,,Matrix2!R181)</f>
        <v>0</v>
      </c>
      <c r="S194" s="384">
        <f>IF(Pricing!E29=Matrix2!K194,,Matrix2!S181)</f>
        <v>0</v>
      </c>
      <c r="T194" s="384">
        <f>IF(Pricing!E32=Matrix2!K194,,Matrix2!T181)</f>
        <v>0</v>
      </c>
      <c r="U194" s="384">
        <f>IF(Pricing!E35=Matrix2!K194,,Matrix2!U181)</f>
        <v>0</v>
      </c>
      <c r="V194" s="384">
        <f>IF(Pricing!E38=Matrix2!K194,,Matrix2!V181)</f>
        <v>0</v>
      </c>
      <c r="W194" s="384">
        <f>IF(Pricing!E41=Matrix2!K194,,Matrix2!W181)</f>
        <v>0</v>
      </c>
      <c r="X194" s="384">
        <f>IF(Pricing!E44=Matrix2!K194,,Matrix2!X181)</f>
        <v>0</v>
      </c>
      <c r="Y194" s="384">
        <f>IF(Pricing!E47=Matrix2!K194,,Matrix2!Y181)</f>
        <v>0</v>
      </c>
      <c r="Z194" s="384">
        <f>IF(Pricing!E50=Matrix2!K194,,Matrix2!Z181)</f>
        <v>0</v>
      </c>
      <c r="AA194" s="384">
        <f t="shared" si="25"/>
        <v>0</v>
      </c>
    </row>
  </sheetData>
  <mergeCells count="79">
    <mergeCell ref="B30:C30"/>
    <mergeCell ref="K185:AA185"/>
    <mergeCell ref="AH27:AI27"/>
    <mergeCell ref="AH28:AI28"/>
    <mergeCell ref="AH31:AI31"/>
    <mergeCell ref="AH34:AI34"/>
    <mergeCell ref="AD32:AF32"/>
    <mergeCell ref="AD33:AF33"/>
    <mergeCell ref="AH29:AI29"/>
    <mergeCell ref="AH30:AI30"/>
    <mergeCell ref="AH32:AI32"/>
    <mergeCell ref="AH33:AI33"/>
    <mergeCell ref="AB32:AC32"/>
    <mergeCell ref="AB34:AC34"/>
    <mergeCell ref="AB30:AC30"/>
    <mergeCell ref="AD30:AF30"/>
    <mergeCell ref="AH24:AI24"/>
    <mergeCell ref="AH25:AI25"/>
    <mergeCell ref="AH26:AI26"/>
    <mergeCell ref="AD22:AG22"/>
    <mergeCell ref="AB24:AC24"/>
    <mergeCell ref="AD24:AF24"/>
    <mergeCell ref="AB23:AC23"/>
    <mergeCell ref="AB25:AC25"/>
    <mergeCell ref="AD25:AF25"/>
    <mergeCell ref="AB26:AC26"/>
    <mergeCell ref="AD26:AF26"/>
    <mergeCell ref="AJ28:AL28"/>
    <mergeCell ref="AB35:AC35"/>
    <mergeCell ref="AD35:AF35"/>
    <mergeCell ref="AB36:AC36"/>
    <mergeCell ref="AD36:AF36"/>
    <mergeCell ref="AB33:AC33"/>
    <mergeCell ref="AJ29:AL29"/>
    <mergeCell ref="AJ30:AL30"/>
    <mergeCell ref="AJ31:AL31"/>
    <mergeCell ref="AH35:AI35"/>
    <mergeCell ref="AJ35:AL35"/>
    <mergeCell ref="AH36:AI36"/>
    <mergeCell ref="AJ36:AL36"/>
    <mergeCell ref="AJ32:AL32"/>
    <mergeCell ref="AJ33:AL33"/>
    <mergeCell ref="AJ34:AL34"/>
    <mergeCell ref="AT1:BF1"/>
    <mergeCell ref="K1:Z1"/>
    <mergeCell ref="K13:Z13"/>
    <mergeCell ref="AB20:AF20"/>
    <mergeCell ref="AB27:AC27"/>
    <mergeCell ref="AD27:AF27"/>
    <mergeCell ref="AJ22:AL22"/>
    <mergeCell ref="AJ23:AL23"/>
    <mergeCell ref="AJ24:AL24"/>
    <mergeCell ref="AJ25:AL25"/>
    <mergeCell ref="AJ26:AL26"/>
    <mergeCell ref="AJ27:AL27"/>
    <mergeCell ref="AB22:AC22"/>
    <mergeCell ref="AD23:AF23"/>
    <mergeCell ref="AH22:AI22"/>
    <mergeCell ref="AH23:AI23"/>
    <mergeCell ref="AB31:AC31"/>
    <mergeCell ref="AD31:AF31"/>
    <mergeCell ref="K97:AA97"/>
    <mergeCell ref="K24:Z24"/>
    <mergeCell ref="AD34:AF34"/>
    <mergeCell ref="AB29:AC29"/>
    <mergeCell ref="AD29:AF29"/>
    <mergeCell ref="AB28:AC28"/>
    <mergeCell ref="AD28:AF28"/>
    <mergeCell ref="K43:Z43"/>
    <mergeCell ref="K55:Z55"/>
    <mergeCell ref="AD85:AF85"/>
    <mergeCell ref="K156:AA156"/>
    <mergeCell ref="K66:AA66"/>
    <mergeCell ref="K85:AA85"/>
    <mergeCell ref="K172:AA172"/>
    <mergeCell ref="K120:AA120"/>
    <mergeCell ref="K121:AA121"/>
    <mergeCell ref="K134:AA134"/>
    <mergeCell ref="K108:AA108"/>
  </mergeCells>
  <phoneticPr fontId="17" type="noConversion"/>
  <conditionalFormatting sqref="C31:C38">
    <cfRule type="expression" dxfId="37" priority="1">
      <formula>$C31&lt;&gt;$C$10</formula>
    </cfRule>
  </conditionalFormatting>
  <conditionalFormatting sqref="B31:B38">
    <cfRule type="expression" dxfId="36" priority="2">
      <formula>$C31&lt;&gt;$C$10</formula>
    </cfRule>
  </conditionalFormatting>
  <pageMargins left="0.7" right="0.7" top="0.75" bottom="0.75" header="0.3" footer="0.3"/>
  <pageSetup paperSize="9" orientation="portrait"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2757-8CE6-4CC2-9EE8-1C0A3688D5EC}">
  <sheetPr codeName="Sheet7"/>
  <dimension ref="A1:AX56"/>
  <sheetViews>
    <sheetView topLeftCell="AA1" workbookViewId="0">
      <selection activeCell="AI2" sqref="AI2:AI17"/>
    </sheetView>
  </sheetViews>
  <sheetFormatPr defaultRowHeight="15" x14ac:dyDescent="0.2"/>
  <cols>
    <col min="1" max="1" width="11.8359375" bestFit="1" customWidth="1"/>
    <col min="2" max="2" width="11.296875" bestFit="1" customWidth="1"/>
    <col min="3" max="3" width="17.3515625" bestFit="1" customWidth="1"/>
    <col min="5" max="5" width="16.6796875" bestFit="1" customWidth="1"/>
    <col min="6" max="10" width="15.6015625" bestFit="1" customWidth="1"/>
    <col min="11" max="11" width="11.1640625" bestFit="1" customWidth="1"/>
    <col min="14" max="14" width="9.4140625" customWidth="1"/>
    <col min="15" max="15" width="9.28125" customWidth="1"/>
    <col min="17" max="17" width="9.14453125" customWidth="1"/>
    <col min="18" max="18" width="9.28125" customWidth="1"/>
    <col min="19" max="19" width="10.0859375" bestFit="1" customWidth="1"/>
    <col min="21" max="21" width="14.9296875" customWidth="1"/>
    <col min="22" max="22" width="9.01171875" customWidth="1"/>
    <col min="24" max="24" width="11.97265625" bestFit="1" customWidth="1"/>
    <col min="25" max="25" width="11.296875" customWidth="1"/>
    <col min="27" max="27" width="18.0234375" bestFit="1" customWidth="1"/>
    <col min="28" max="28" width="11.703125" bestFit="1" customWidth="1"/>
    <col min="30" max="30" width="15.6015625" customWidth="1"/>
    <col min="32" max="33" width="18.96484375" bestFit="1" customWidth="1"/>
    <col min="35" max="35" width="18.96484375" bestFit="1" customWidth="1"/>
    <col min="36" max="37" width="18.6953125" bestFit="1" customWidth="1"/>
    <col min="38" max="39" width="18.6953125" customWidth="1"/>
    <col min="41" max="41" width="16.54296875" customWidth="1"/>
    <col min="42" max="42" width="13.046875" customWidth="1"/>
    <col min="43" max="43" width="14.390625" customWidth="1"/>
    <col min="44" max="44" width="15.33203125" customWidth="1"/>
    <col min="45" max="45" width="18.4296875" customWidth="1"/>
    <col min="46" max="46" width="17.3515625" customWidth="1"/>
    <col min="48" max="50" width="10.35546875" bestFit="1" customWidth="1"/>
  </cols>
  <sheetData>
    <row r="1" spans="1:50" x14ac:dyDescent="0.2">
      <c r="A1" t="s">
        <v>354</v>
      </c>
      <c r="B1" t="s">
        <v>355</v>
      </c>
      <c r="C1" t="s">
        <v>2</v>
      </c>
      <c r="D1" t="s">
        <v>3</v>
      </c>
      <c r="E1" t="s">
        <v>41</v>
      </c>
      <c r="F1" t="s">
        <v>47</v>
      </c>
      <c r="G1" t="s">
        <v>49</v>
      </c>
      <c r="H1" t="s">
        <v>51</v>
      </c>
      <c r="I1" t="s">
        <v>43</v>
      </c>
      <c r="J1" t="s">
        <v>55</v>
      </c>
      <c r="K1" t="s">
        <v>791</v>
      </c>
      <c r="L1" t="s">
        <v>792</v>
      </c>
      <c r="N1" t="s">
        <v>356</v>
      </c>
      <c r="O1" t="s">
        <v>357</v>
      </c>
      <c r="P1" t="s">
        <v>358</v>
      </c>
      <c r="Q1" t="s">
        <v>359</v>
      </c>
      <c r="R1" t="s">
        <v>360</v>
      </c>
      <c r="S1" t="s">
        <v>794</v>
      </c>
      <c r="T1" t="s">
        <v>793</v>
      </c>
      <c r="X1" t="s">
        <v>361</v>
      </c>
      <c r="Y1" t="s">
        <v>362</v>
      </c>
      <c r="Z1" t="s">
        <v>158</v>
      </c>
      <c r="AB1" t="s">
        <v>363</v>
      </c>
      <c r="AD1" t="s">
        <v>364</v>
      </c>
      <c r="AF1" s="1" t="s">
        <v>365</v>
      </c>
      <c r="AG1" s="2" t="s">
        <v>366</v>
      </c>
      <c r="AH1" s="2" t="s">
        <v>367</v>
      </c>
      <c r="AI1" s="2" t="s">
        <v>368</v>
      </c>
      <c r="AJ1" s="2" t="s">
        <v>369</v>
      </c>
      <c r="AK1" s="3" t="s">
        <v>370</v>
      </c>
      <c r="AL1" s="2" t="s">
        <v>922</v>
      </c>
      <c r="AM1" s="2" t="s">
        <v>923</v>
      </c>
      <c r="AO1" t="s">
        <v>371</v>
      </c>
      <c r="AP1" t="s">
        <v>372</v>
      </c>
      <c r="AQ1" t="s">
        <v>373</v>
      </c>
      <c r="AR1" t="s">
        <v>374</v>
      </c>
      <c r="AS1" t="s">
        <v>375</v>
      </c>
      <c r="AT1" t="s">
        <v>376</v>
      </c>
    </row>
    <row r="2" spans="1:50" x14ac:dyDescent="0.2">
      <c r="A2" t="s">
        <v>377</v>
      </c>
      <c r="B2" t="s">
        <v>378</v>
      </c>
      <c r="C2" t="s">
        <v>379</v>
      </c>
      <c r="D2" t="s">
        <v>41</v>
      </c>
      <c r="E2" t="s">
        <v>380</v>
      </c>
      <c r="F2" t="s">
        <v>380</v>
      </c>
      <c r="G2" t="s">
        <v>380</v>
      </c>
      <c r="H2" t="s">
        <v>380</v>
      </c>
      <c r="I2" t="s">
        <v>380</v>
      </c>
      <c r="J2" t="s">
        <v>380</v>
      </c>
      <c r="K2" t="s">
        <v>803</v>
      </c>
      <c r="L2" t="s">
        <v>457</v>
      </c>
      <c r="N2" t="s">
        <v>381</v>
      </c>
      <c r="O2" t="s">
        <v>381</v>
      </c>
      <c r="P2" t="s">
        <v>381</v>
      </c>
      <c r="Q2" t="s">
        <v>381</v>
      </c>
      <c r="R2" t="s">
        <v>381</v>
      </c>
      <c r="S2" t="s">
        <v>401</v>
      </c>
      <c r="T2" t="s">
        <v>392</v>
      </c>
      <c r="X2" t="s">
        <v>382</v>
      </c>
      <c r="Y2">
        <v>44</v>
      </c>
      <c r="Z2" t="s">
        <v>383</v>
      </c>
      <c r="AB2" t="s">
        <v>384</v>
      </c>
      <c r="AD2" t="s">
        <v>385</v>
      </c>
      <c r="AF2" t="s">
        <v>380</v>
      </c>
      <c r="AG2" t="s">
        <v>380</v>
      </c>
      <c r="AH2" t="s">
        <v>386</v>
      </c>
      <c r="AI2" t="s">
        <v>380</v>
      </c>
      <c r="AJ2" t="s">
        <v>380</v>
      </c>
      <c r="AK2" t="s">
        <v>380</v>
      </c>
      <c r="AM2" t="s">
        <v>380</v>
      </c>
      <c r="AO2" s="4">
        <v>4</v>
      </c>
      <c r="AP2" s="4">
        <v>4</v>
      </c>
      <c r="AQ2" s="4">
        <v>2</v>
      </c>
      <c r="AR2" s="4">
        <v>4</v>
      </c>
      <c r="AS2" s="4">
        <v>2</v>
      </c>
      <c r="AT2" s="4">
        <v>2</v>
      </c>
      <c r="AV2" s="5"/>
      <c r="AX2" s="6"/>
    </row>
    <row r="3" spans="1:50" x14ac:dyDescent="0.2">
      <c r="A3" t="s">
        <v>387</v>
      </c>
      <c r="B3" t="s">
        <v>388</v>
      </c>
      <c r="C3" t="s">
        <v>389</v>
      </c>
      <c r="D3" t="s">
        <v>43</v>
      </c>
      <c r="E3" t="s">
        <v>390</v>
      </c>
      <c r="F3" t="s">
        <v>391</v>
      </c>
      <c r="G3" t="s">
        <v>391</v>
      </c>
      <c r="H3" t="s">
        <v>391</v>
      </c>
      <c r="I3" t="s">
        <v>391</v>
      </c>
      <c r="J3" t="s">
        <v>391</v>
      </c>
      <c r="K3" t="s">
        <v>390</v>
      </c>
      <c r="L3" t="s">
        <v>396</v>
      </c>
      <c r="N3" t="s">
        <v>392</v>
      </c>
      <c r="O3" t="s">
        <v>392</v>
      </c>
      <c r="P3" t="s">
        <v>392</v>
      </c>
      <c r="Q3" t="s">
        <v>392</v>
      </c>
      <c r="R3" t="s">
        <v>392</v>
      </c>
      <c r="S3" t="s">
        <v>409</v>
      </c>
      <c r="T3" t="s">
        <v>401</v>
      </c>
      <c r="X3" t="s">
        <v>393</v>
      </c>
      <c r="Z3" t="s">
        <v>394</v>
      </c>
      <c r="AB3" t="s">
        <v>395</v>
      </c>
      <c r="AD3" t="s">
        <v>167</v>
      </c>
      <c r="AF3" t="s">
        <v>396</v>
      </c>
      <c r="AG3" t="s">
        <v>396</v>
      </c>
      <c r="AI3" t="s">
        <v>396</v>
      </c>
      <c r="AJ3" t="s">
        <v>396</v>
      </c>
      <c r="AK3" t="s">
        <v>396</v>
      </c>
      <c r="AM3" t="s">
        <v>396</v>
      </c>
    </row>
    <row r="4" spans="1:50" x14ac:dyDescent="0.2">
      <c r="A4" t="s">
        <v>397</v>
      </c>
      <c r="B4" t="s">
        <v>398</v>
      </c>
      <c r="C4" t="s">
        <v>399</v>
      </c>
      <c r="D4" t="s">
        <v>47</v>
      </c>
      <c r="E4" t="s">
        <v>391</v>
      </c>
      <c r="F4" t="s">
        <v>390</v>
      </c>
      <c r="G4" t="s">
        <v>390</v>
      </c>
      <c r="H4" t="s">
        <v>390</v>
      </c>
      <c r="I4" t="s">
        <v>390</v>
      </c>
      <c r="J4" t="s">
        <v>390</v>
      </c>
      <c r="L4" t="s">
        <v>803</v>
      </c>
      <c r="N4" t="s">
        <v>401</v>
      </c>
      <c r="O4" t="s">
        <v>401</v>
      </c>
      <c r="P4" t="s">
        <v>401</v>
      </c>
      <c r="Q4" t="s">
        <v>401</v>
      </c>
      <c r="R4" t="s">
        <v>401</v>
      </c>
      <c r="T4" t="s">
        <v>409</v>
      </c>
      <c r="X4" t="s">
        <v>966</v>
      </c>
      <c r="Z4" t="s">
        <v>402</v>
      </c>
      <c r="AB4" t="s">
        <v>403</v>
      </c>
      <c r="AF4" t="s">
        <v>400</v>
      </c>
      <c r="AG4" t="s">
        <v>400</v>
      </c>
      <c r="AI4" t="s">
        <v>400</v>
      </c>
      <c r="AJ4" t="s">
        <v>400</v>
      </c>
      <c r="AK4" t="s">
        <v>400</v>
      </c>
      <c r="AM4" t="s">
        <v>924</v>
      </c>
    </row>
    <row r="5" spans="1:50" x14ac:dyDescent="0.2">
      <c r="A5" t="s">
        <v>404</v>
      </c>
      <c r="B5" t="s">
        <v>405</v>
      </c>
      <c r="C5" t="s">
        <v>406</v>
      </c>
      <c r="D5" t="s">
        <v>49</v>
      </c>
      <c r="E5" t="s">
        <v>400</v>
      </c>
      <c r="F5" t="s">
        <v>408</v>
      </c>
      <c r="G5" t="s">
        <v>408</v>
      </c>
      <c r="H5" t="s">
        <v>408</v>
      </c>
      <c r="I5" t="s">
        <v>408</v>
      </c>
      <c r="J5" t="s">
        <v>408</v>
      </c>
      <c r="L5" t="s">
        <v>887</v>
      </c>
      <c r="N5" t="s">
        <v>409</v>
      </c>
      <c r="O5" t="s">
        <v>409</v>
      </c>
      <c r="P5" t="s">
        <v>409</v>
      </c>
      <c r="Q5" t="s">
        <v>409</v>
      </c>
      <c r="R5" t="s">
        <v>409</v>
      </c>
      <c r="T5" t="s">
        <v>795</v>
      </c>
      <c r="X5" t="s">
        <v>410</v>
      </c>
      <c r="AB5" t="s">
        <v>419</v>
      </c>
      <c r="AF5" t="s">
        <v>411</v>
      </c>
      <c r="AG5" t="s">
        <v>412</v>
      </c>
      <c r="AI5" t="s">
        <v>412</v>
      </c>
      <c r="AJ5" t="s">
        <v>412</v>
      </c>
      <c r="AK5" t="s">
        <v>412</v>
      </c>
      <c r="AM5" t="s">
        <v>925</v>
      </c>
      <c r="AO5" t="s">
        <v>413</v>
      </c>
    </row>
    <row r="6" spans="1:50" x14ac:dyDescent="0.2">
      <c r="A6" t="s">
        <v>414</v>
      </c>
      <c r="B6" t="s">
        <v>415</v>
      </c>
      <c r="C6" t="s">
        <v>63</v>
      </c>
      <c r="D6" t="s">
        <v>51</v>
      </c>
      <c r="E6" t="s">
        <v>423</v>
      </c>
      <c r="F6" t="s">
        <v>400</v>
      </c>
      <c r="G6" t="s">
        <v>400</v>
      </c>
      <c r="H6" t="s">
        <v>400</v>
      </c>
      <c r="I6" t="s">
        <v>400</v>
      </c>
      <c r="J6" t="s">
        <v>400</v>
      </c>
      <c r="L6" t="s">
        <v>888</v>
      </c>
      <c r="N6" t="s">
        <v>417</v>
      </c>
      <c r="P6" t="s">
        <v>417</v>
      </c>
      <c r="Q6" t="s">
        <v>417</v>
      </c>
      <c r="R6" t="s">
        <v>417</v>
      </c>
      <c r="X6" t="s">
        <v>418</v>
      </c>
      <c r="AB6" t="s">
        <v>424</v>
      </c>
      <c r="AF6" t="s">
        <v>412</v>
      </c>
      <c r="AG6" t="s">
        <v>407</v>
      </c>
      <c r="AI6" t="s">
        <v>407</v>
      </c>
      <c r="AJ6" t="s">
        <v>420</v>
      </c>
      <c r="AK6" t="s">
        <v>407</v>
      </c>
      <c r="AM6" t="s">
        <v>926</v>
      </c>
      <c r="AO6" t="s">
        <v>236</v>
      </c>
    </row>
    <row r="7" spans="1:50" x14ac:dyDescent="0.2">
      <c r="A7" t="s">
        <v>421</v>
      </c>
      <c r="B7" t="s">
        <v>422</v>
      </c>
      <c r="C7" t="s">
        <v>248</v>
      </c>
      <c r="D7" t="s">
        <v>791</v>
      </c>
      <c r="E7" t="s">
        <v>407</v>
      </c>
      <c r="F7" t="s">
        <v>429</v>
      </c>
      <c r="G7" t="s">
        <v>429</v>
      </c>
      <c r="H7" t="s">
        <v>423</v>
      </c>
      <c r="I7" t="s">
        <v>429</v>
      </c>
      <c r="J7" t="s">
        <v>423</v>
      </c>
      <c r="L7" t="s">
        <v>889</v>
      </c>
      <c r="U7" s="395" t="s">
        <v>796</v>
      </c>
      <c r="V7" t="s">
        <v>897</v>
      </c>
      <c r="AB7" t="s">
        <v>431</v>
      </c>
      <c r="AF7" t="s">
        <v>420</v>
      </c>
      <c r="AG7" t="s">
        <v>416</v>
      </c>
      <c r="AI7" t="s">
        <v>416</v>
      </c>
      <c r="AJ7" t="s">
        <v>425</v>
      </c>
      <c r="AK7" t="s">
        <v>416</v>
      </c>
      <c r="AM7" t="s">
        <v>927</v>
      </c>
      <c r="AO7" t="s">
        <v>250</v>
      </c>
    </row>
    <row r="8" spans="1:50" x14ac:dyDescent="0.2">
      <c r="A8" t="s">
        <v>426</v>
      </c>
      <c r="B8" t="s">
        <v>427</v>
      </c>
      <c r="C8" t="s">
        <v>72</v>
      </c>
      <c r="D8" t="s">
        <v>792</v>
      </c>
      <c r="E8" t="s">
        <v>416</v>
      </c>
      <c r="F8" t="s">
        <v>411</v>
      </c>
      <c r="G8" t="s">
        <v>411</v>
      </c>
      <c r="H8" t="s">
        <v>429</v>
      </c>
      <c r="I8" t="s">
        <v>411</v>
      </c>
      <c r="J8" t="s">
        <v>429</v>
      </c>
      <c r="L8" t="s">
        <v>890</v>
      </c>
      <c r="U8" s="396" t="s">
        <v>797</v>
      </c>
      <c r="V8" t="s">
        <v>898</v>
      </c>
      <c r="X8" t="s">
        <v>430</v>
      </c>
      <c r="Y8" t="s">
        <v>686</v>
      </c>
      <c r="AB8" t="s">
        <v>441</v>
      </c>
      <c r="AD8" t="s">
        <v>432</v>
      </c>
      <c r="AF8" t="s">
        <v>433</v>
      </c>
      <c r="AG8" t="s">
        <v>411</v>
      </c>
      <c r="AI8" t="s">
        <v>411</v>
      </c>
      <c r="AJ8" t="s">
        <v>386</v>
      </c>
      <c r="AK8" t="s">
        <v>411</v>
      </c>
      <c r="AM8" t="s">
        <v>928</v>
      </c>
      <c r="AO8" t="s">
        <v>253</v>
      </c>
    </row>
    <row r="9" spans="1:50" x14ac:dyDescent="0.2">
      <c r="A9" t="s">
        <v>434</v>
      </c>
      <c r="B9" t="s">
        <v>435</v>
      </c>
      <c r="C9" t="s">
        <v>436</v>
      </c>
      <c r="E9" t="s">
        <v>411</v>
      </c>
      <c r="F9" t="s">
        <v>428</v>
      </c>
      <c r="G9" t="s">
        <v>428</v>
      </c>
      <c r="H9" t="s">
        <v>407</v>
      </c>
      <c r="I9" t="s">
        <v>428</v>
      </c>
      <c r="J9" t="s">
        <v>438</v>
      </c>
      <c r="L9" t="s">
        <v>500</v>
      </c>
      <c r="R9" t="s">
        <v>3</v>
      </c>
      <c r="S9" t="s">
        <v>5</v>
      </c>
      <c r="T9" t="s">
        <v>382</v>
      </c>
      <c r="U9" s="381" t="s">
        <v>393</v>
      </c>
      <c r="V9" t="s">
        <v>899</v>
      </c>
      <c r="X9" t="s">
        <v>439</v>
      </c>
      <c r="AA9" t="s">
        <v>440</v>
      </c>
      <c r="AD9" t="s">
        <v>787</v>
      </c>
      <c r="AF9" t="s">
        <v>386</v>
      </c>
      <c r="AG9" t="s">
        <v>442</v>
      </c>
      <c r="AI9" t="s">
        <v>442</v>
      </c>
      <c r="AJ9" t="s">
        <v>443</v>
      </c>
      <c r="AK9" t="s">
        <v>442</v>
      </c>
      <c r="AM9" t="s">
        <v>929</v>
      </c>
      <c r="AO9" t="s">
        <v>256</v>
      </c>
    </row>
    <row r="10" spans="1:50" x14ac:dyDescent="0.2">
      <c r="A10" t="s">
        <v>444</v>
      </c>
      <c r="B10" t="s">
        <v>445</v>
      </c>
      <c r="E10" t="s">
        <v>971</v>
      </c>
      <c r="F10" t="s">
        <v>482</v>
      </c>
      <c r="G10" t="s">
        <v>482</v>
      </c>
      <c r="H10" t="s">
        <v>973</v>
      </c>
      <c r="I10" t="s">
        <v>482</v>
      </c>
      <c r="J10" t="s">
        <v>407</v>
      </c>
      <c r="L10" t="s">
        <v>891</v>
      </c>
      <c r="R10" t="s">
        <v>41</v>
      </c>
      <c r="S10" s="4" t="str">
        <f>N2</f>
        <v>47mm</v>
      </c>
      <c r="T10" s="4">
        <v>22.2</v>
      </c>
      <c r="U10" s="380" t="s">
        <v>798</v>
      </c>
      <c r="V10" s="4" t="s">
        <v>900</v>
      </c>
      <c r="W10" s="4"/>
      <c r="X10" t="s">
        <v>447</v>
      </c>
      <c r="AA10" t="s">
        <v>79</v>
      </c>
      <c r="AD10" t="s">
        <v>448</v>
      </c>
      <c r="AF10" t="s">
        <v>443</v>
      </c>
      <c r="AG10" t="s">
        <v>428</v>
      </c>
      <c r="AI10" t="s">
        <v>446</v>
      </c>
      <c r="AJ10" t="s">
        <v>993</v>
      </c>
      <c r="AK10" t="s">
        <v>428</v>
      </c>
      <c r="AM10" t="s">
        <v>930</v>
      </c>
    </row>
    <row r="11" spans="1:50" x14ac:dyDescent="0.2">
      <c r="A11" t="s">
        <v>449</v>
      </c>
      <c r="B11" t="s">
        <v>450</v>
      </c>
      <c r="F11" t="s">
        <v>971</v>
      </c>
      <c r="G11" t="s">
        <v>971</v>
      </c>
      <c r="H11" t="s">
        <v>416</v>
      </c>
      <c r="I11" t="s">
        <v>446</v>
      </c>
      <c r="J11" t="s">
        <v>412</v>
      </c>
      <c r="L11" t="s">
        <v>892</v>
      </c>
      <c r="N11" t="s">
        <v>157</v>
      </c>
      <c r="P11" t="s">
        <v>451</v>
      </c>
      <c r="R11" t="s">
        <v>41</v>
      </c>
      <c r="S11" s="4" t="str">
        <f>N3</f>
        <v>63mm</v>
      </c>
      <c r="T11" s="4">
        <v>22.2</v>
      </c>
      <c r="U11" s="381" t="s">
        <v>884</v>
      </c>
      <c r="V11" s="4" t="s">
        <v>901</v>
      </c>
      <c r="W11" s="4"/>
      <c r="X11" t="s">
        <v>452</v>
      </c>
      <c r="AA11" t="s">
        <v>947</v>
      </c>
      <c r="AD11" t="s">
        <v>460</v>
      </c>
      <c r="AF11" t="s">
        <v>442</v>
      </c>
      <c r="AG11" t="s">
        <v>437</v>
      </c>
      <c r="AI11" t="s">
        <v>428</v>
      </c>
      <c r="AJ11" t="s">
        <v>454</v>
      </c>
      <c r="AK11" t="s">
        <v>437</v>
      </c>
      <c r="AM11" t="s">
        <v>931</v>
      </c>
    </row>
    <row r="12" spans="1:50" x14ac:dyDescent="0.2">
      <c r="A12" t="s">
        <v>455</v>
      </c>
      <c r="B12" t="s">
        <v>456</v>
      </c>
      <c r="F12" t="s">
        <v>972</v>
      </c>
      <c r="G12" t="s">
        <v>972</v>
      </c>
      <c r="H12" t="s">
        <v>411</v>
      </c>
      <c r="I12" t="s">
        <v>70</v>
      </c>
      <c r="J12" t="s">
        <v>457</v>
      </c>
      <c r="L12" t="s">
        <v>893</v>
      </c>
      <c r="N12" t="s">
        <v>458</v>
      </c>
      <c r="P12" t="s">
        <v>25</v>
      </c>
      <c r="R12" t="s">
        <v>41</v>
      </c>
      <c r="S12" s="4" t="str">
        <f>N4</f>
        <v>76mm</v>
      </c>
      <c r="T12" s="4">
        <v>22.2</v>
      </c>
      <c r="U12" s="380"/>
      <c r="V12" s="4"/>
      <c r="W12" s="4"/>
      <c r="X12" t="s">
        <v>459</v>
      </c>
      <c r="AA12" t="s">
        <v>948</v>
      </c>
      <c r="AD12" t="s">
        <v>453</v>
      </c>
      <c r="AF12" t="s">
        <v>454</v>
      </c>
      <c r="AG12" t="s">
        <v>446</v>
      </c>
      <c r="AI12" t="s">
        <v>437</v>
      </c>
      <c r="AJ12" t="s">
        <v>437</v>
      </c>
      <c r="AK12" t="s">
        <v>446</v>
      </c>
    </row>
    <row r="13" spans="1:50" x14ac:dyDescent="0.2">
      <c r="A13" t="s">
        <v>461</v>
      </c>
      <c r="B13" t="s">
        <v>462</v>
      </c>
      <c r="F13" t="s">
        <v>446</v>
      </c>
      <c r="G13" t="s">
        <v>446</v>
      </c>
      <c r="H13" t="s">
        <v>428</v>
      </c>
      <c r="J13" t="s">
        <v>463</v>
      </c>
      <c r="L13" t="s">
        <v>894</v>
      </c>
      <c r="N13" t="s">
        <v>464</v>
      </c>
      <c r="P13" t="s">
        <v>465</v>
      </c>
      <c r="R13" t="s">
        <v>41</v>
      </c>
      <c r="S13" s="4" t="str">
        <f>N5</f>
        <v>89mm</v>
      </c>
      <c r="T13" s="4">
        <v>22.2</v>
      </c>
      <c r="U13" s="4"/>
      <c r="V13" s="4"/>
      <c r="W13" s="4"/>
      <c r="AA13" t="s">
        <v>949</v>
      </c>
      <c r="AD13" t="s">
        <v>788</v>
      </c>
      <c r="AF13" t="s">
        <v>437</v>
      </c>
      <c r="AG13" t="s">
        <v>443</v>
      </c>
      <c r="AI13" t="s">
        <v>443</v>
      </c>
      <c r="AJ13" t="s">
        <v>407</v>
      </c>
      <c r="AK13" t="s">
        <v>443</v>
      </c>
    </row>
    <row r="14" spans="1:50" x14ac:dyDescent="0.2">
      <c r="A14" t="s">
        <v>467</v>
      </c>
      <c r="B14" t="s">
        <v>468</v>
      </c>
      <c r="F14" t="s">
        <v>70</v>
      </c>
      <c r="G14" t="s">
        <v>70</v>
      </c>
      <c r="H14" t="s">
        <v>482</v>
      </c>
      <c r="J14" t="s">
        <v>416</v>
      </c>
      <c r="L14" t="s">
        <v>895</v>
      </c>
      <c r="N14" t="s">
        <v>469</v>
      </c>
      <c r="P14" t="s">
        <v>470</v>
      </c>
      <c r="R14" t="s">
        <v>41</v>
      </c>
      <c r="S14" s="4" t="str">
        <f>N6</f>
        <v>114mm</v>
      </c>
      <c r="T14" s="7">
        <v>22.2</v>
      </c>
      <c r="U14" s="7" t="s">
        <v>799</v>
      </c>
      <c r="V14" s="7"/>
      <c r="W14" s="7"/>
      <c r="AA14" t="s">
        <v>950</v>
      </c>
      <c r="AD14" t="s">
        <v>466</v>
      </c>
      <c r="AF14" t="s">
        <v>407</v>
      </c>
      <c r="AG14" t="s">
        <v>433</v>
      </c>
      <c r="AI14" t="s">
        <v>471</v>
      </c>
      <c r="AJ14" t="s">
        <v>411</v>
      </c>
      <c r="AO14" t="s">
        <v>279</v>
      </c>
      <c r="AP14" t="str">
        <f>IF(ISNUMBER(FIND(AutoClose,AQ14)),"",AQ14&amp;AutoClose &amp; ",")</f>
        <v/>
      </c>
      <c r="AQ14" t="s">
        <v>472</v>
      </c>
    </row>
    <row r="15" spans="1:50" x14ac:dyDescent="0.2">
      <c r="B15" t="s">
        <v>449</v>
      </c>
      <c r="H15" t="s">
        <v>971</v>
      </c>
      <c r="J15" t="s">
        <v>473</v>
      </c>
      <c r="L15" t="s">
        <v>517</v>
      </c>
      <c r="N15" t="s">
        <v>786</v>
      </c>
      <c r="P15" t="s">
        <v>474</v>
      </c>
      <c r="R15" t="s">
        <v>43</v>
      </c>
      <c r="S15" s="4" t="str">
        <f>R2</f>
        <v>47mm</v>
      </c>
      <c r="T15" s="7">
        <v>22.2</v>
      </c>
      <c r="U15" s="7" t="s">
        <v>394</v>
      </c>
      <c r="V15" s="7"/>
      <c r="W15" s="7"/>
      <c r="AA15" t="s">
        <v>951</v>
      </c>
      <c r="AD15" t="s">
        <v>475</v>
      </c>
      <c r="AF15" t="s">
        <v>428</v>
      </c>
      <c r="AG15" t="s">
        <v>420</v>
      </c>
      <c r="AI15" t="s">
        <v>425</v>
      </c>
      <c r="AJ15" t="s">
        <v>428</v>
      </c>
      <c r="AO15" t="s">
        <v>476</v>
      </c>
      <c r="AP15" t="str">
        <f>IF(ISNUMBER(FIND(ConcealedHinge,AQ14)),"",AQ14&amp;ConcealedHinge &amp; ",")</f>
        <v>Nickel Knob B,Nickel Knob A,Auto Close,Concealed Hinge,</v>
      </c>
    </row>
    <row r="16" spans="1:50" x14ac:dyDescent="0.2">
      <c r="B16">
        <v>1</v>
      </c>
      <c r="H16" t="s">
        <v>484</v>
      </c>
      <c r="J16" t="s">
        <v>411</v>
      </c>
      <c r="L16" t="s">
        <v>896</v>
      </c>
      <c r="N16" t="s">
        <v>783</v>
      </c>
      <c r="P16" t="s">
        <v>790</v>
      </c>
      <c r="R16" t="s">
        <v>43</v>
      </c>
      <c r="S16" s="4" t="str">
        <f>R3</f>
        <v>63mm</v>
      </c>
      <c r="T16" s="7">
        <v>22.2</v>
      </c>
      <c r="U16" s="7" t="s">
        <v>402</v>
      </c>
      <c r="V16" s="7"/>
      <c r="W16" s="7"/>
      <c r="AD16" t="s">
        <v>810</v>
      </c>
      <c r="AF16" t="s">
        <v>416</v>
      </c>
      <c r="AG16" t="s">
        <v>386</v>
      </c>
      <c r="AI16" t="s">
        <v>477</v>
      </c>
      <c r="AJ16" t="s">
        <v>416</v>
      </c>
      <c r="AO16" t="s">
        <v>478</v>
      </c>
      <c r="AP16" t="str">
        <f>IF(ISNUMBER(FIND(TelescopicWand,AQ14)),"",AQ14&amp;TelescopicWand &amp; ",")</f>
        <v>Nickel Knob B,Nickel Knob A,Auto Close,Telescopic Wand,</v>
      </c>
    </row>
    <row r="17" spans="2:42" x14ac:dyDescent="0.2">
      <c r="B17">
        <v>2</v>
      </c>
      <c r="H17" t="s">
        <v>972</v>
      </c>
      <c r="J17" t="s">
        <v>479</v>
      </c>
      <c r="N17" t="s">
        <v>784</v>
      </c>
      <c r="P17" t="s">
        <v>481</v>
      </c>
      <c r="R17" t="s">
        <v>43</v>
      </c>
      <c r="S17" s="4" t="str">
        <f>R4</f>
        <v>76mm</v>
      </c>
      <c r="T17" s="7">
        <v>22.2</v>
      </c>
      <c r="U17" s="7"/>
      <c r="V17" s="7"/>
      <c r="W17" s="7"/>
      <c r="AF17" t="s">
        <v>446</v>
      </c>
      <c r="AG17" t="s">
        <v>477</v>
      </c>
      <c r="AI17" t="s">
        <v>386</v>
      </c>
      <c r="AJ17" t="s">
        <v>446</v>
      </c>
      <c r="AO17" t="s">
        <v>480</v>
      </c>
      <c r="AP17" t="str">
        <f>IF(ISNUMBER(FIND(NoneStdShape,AQ14)),"",AQ14&amp;NoneStdShape &amp; ",")</f>
        <v>Nickel Knob B,Nickel Knob A,Auto Close,None Std Shape,</v>
      </c>
    </row>
    <row r="18" spans="2:42" x14ac:dyDescent="0.2">
      <c r="B18">
        <v>3</v>
      </c>
      <c r="H18" t="s">
        <v>446</v>
      </c>
      <c r="J18" t="s">
        <v>428</v>
      </c>
      <c r="N18" t="s">
        <v>785</v>
      </c>
      <c r="R18" t="s">
        <v>43</v>
      </c>
      <c r="S18" s="4" t="str">
        <f>R5</f>
        <v>89mm</v>
      </c>
      <c r="T18" s="7">
        <v>22.2</v>
      </c>
      <c r="U18" s="7" t="s">
        <v>800</v>
      </c>
      <c r="V18" s="7" t="s">
        <v>812</v>
      </c>
      <c r="W18" s="7"/>
      <c r="AO18" t="s">
        <v>255</v>
      </c>
      <c r="AP18" t="str">
        <f>IF(ISNUMBER(FIND(RingPull,AQ14)),"",AQ14&amp;RingPull &amp; ",")</f>
        <v>Nickel Knob B,Nickel Knob A,Auto Close,Ring Pull,</v>
      </c>
    </row>
    <row r="19" spans="2:42" x14ac:dyDescent="0.2">
      <c r="B19">
        <v>4</v>
      </c>
      <c r="H19" t="s">
        <v>974</v>
      </c>
      <c r="J19" t="s">
        <v>437</v>
      </c>
      <c r="R19" t="s">
        <v>43</v>
      </c>
      <c r="S19" s="4" t="str">
        <f>R6</f>
        <v>114mm</v>
      </c>
      <c r="T19" s="7">
        <v>22.2</v>
      </c>
      <c r="U19" s="7" t="s">
        <v>801</v>
      </c>
      <c r="V19" s="7" t="s">
        <v>395</v>
      </c>
      <c r="W19" s="7"/>
      <c r="AO19" t="s">
        <v>258</v>
      </c>
      <c r="AP19" t="str">
        <f>IF(ISNUMBER(FIND(Bolt,AQ14)),"",AQ14&amp;Bolt &amp; ",")</f>
        <v>Nickel Knob B,Nickel Knob A,Auto Close,Bolt,</v>
      </c>
    </row>
    <row r="20" spans="2:42" x14ac:dyDescent="0.2">
      <c r="B20">
        <v>5</v>
      </c>
      <c r="H20" t="s">
        <v>975</v>
      </c>
      <c r="J20" t="s">
        <v>482</v>
      </c>
      <c r="R20" t="s">
        <v>47</v>
      </c>
      <c r="S20" s="4" t="str">
        <f>O2</f>
        <v>47mm</v>
      </c>
      <c r="T20" s="7">
        <v>22.2</v>
      </c>
      <c r="U20" s="7" t="s">
        <v>384</v>
      </c>
      <c r="V20" s="7"/>
      <c r="W20" s="7"/>
      <c r="AO20" t="s">
        <v>260</v>
      </c>
      <c r="AP20" t="str">
        <f>IF(ISNUMBER(FIND(AdjustableHinge,AQ14)),"",AQ14&amp;AdjustableHinge &amp; ",")</f>
        <v>Nickel Knob B,Nickel Knob A,Auto Close,Adjustable Hinge (Samoa),</v>
      </c>
    </row>
    <row r="21" spans="2:42" x14ac:dyDescent="0.2">
      <c r="B21" t="s">
        <v>483</v>
      </c>
      <c r="H21" t="s">
        <v>976</v>
      </c>
      <c r="J21" t="s">
        <v>484</v>
      </c>
      <c r="R21" t="s">
        <v>47</v>
      </c>
      <c r="S21" s="4" t="str">
        <f>O3</f>
        <v>63mm</v>
      </c>
      <c r="T21" s="7">
        <v>22.2</v>
      </c>
      <c r="U21" s="7" t="s">
        <v>802</v>
      </c>
      <c r="V21" s="7"/>
      <c r="W21" s="7"/>
      <c r="Y21" t="s">
        <v>485</v>
      </c>
      <c r="Z21" t="s">
        <v>486</v>
      </c>
      <c r="AB21" s="429"/>
      <c r="AO21" t="s">
        <v>263</v>
      </c>
      <c r="AP21" t="str">
        <f>IF(ISNUMBER(FIND(PowerMotion,AQ14)),"",AQ14&amp;PowerMotion &amp; ",")</f>
        <v>Nickel Knob B,Nickel Knob A,Auto Close,Power Motion,</v>
      </c>
    </row>
    <row r="22" spans="2:42" x14ac:dyDescent="0.2">
      <c r="B22" t="s">
        <v>487</v>
      </c>
      <c r="H22" t="s">
        <v>983</v>
      </c>
      <c r="J22" t="s">
        <v>488</v>
      </c>
      <c r="R22" t="s">
        <v>47</v>
      </c>
      <c r="S22" s="4" t="str">
        <f>O4</f>
        <v>76mm</v>
      </c>
      <c r="T22" s="7">
        <v>22.2</v>
      </c>
      <c r="U22" s="7"/>
      <c r="V22" s="7"/>
      <c r="W22" s="7"/>
      <c r="Y22" t="s">
        <v>236</v>
      </c>
      <c r="Z22" t="s">
        <v>253</v>
      </c>
      <c r="AB22" s="430"/>
      <c r="AO22" t="s">
        <v>269</v>
      </c>
      <c r="AP22" t="str">
        <f>IF(ISNUMBER(FIND(PowerMotionRemote,AQ14)),"",AQ14&amp;PowerMotionRemote &amp; ",")</f>
        <v>Nickel Knob B,Nickel Knob A,Auto Close,Power Motion Remote,</v>
      </c>
    </row>
    <row r="23" spans="2:42" x14ac:dyDescent="0.2">
      <c r="B23" t="s">
        <v>489</v>
      </c>
      <c r="H23" t="s">
        <v>984</v>
      </c>
      <c r="J23" t="s">
        <v>446</v>
      </c>
      <c r="N23" t="s">
        <v>490</v>
      </c>
      <c r="R23" t="s">
        <v>47</v>
      </c>
      <c r="S23" s="4" t="str">
        <f>O5</f>
        <v>89mm</v>
      </c>
      <c r="T23" s="7">
        <v>22.2</v>
      </c>
      <c r="U23" s="7"/>
      <c r="V23" s="7"/>
      <c r="W23" s="7"/>
      <c r="Y23" t="s">
        <v>250</v>
      </c>
      <c r="Z23" t="s">
        <v>256</v>
      </c>
      <c r="AB23" s="431"/>
      <c r="AO23" t="s">
        <v>491</v>
      </c>
      <c r="AP23" t="str">
        <f>IF(ISNUMBER(FIND(NickelKnobA,AQ14)),"",AQ14&amp;NickelKnobA &amp; ",")</f>
        <v/>
      </c>
    </row>
    <row r="24" spans="2:42" x14ac:dyDescent="0.2">
      <c r="B24" t="s">
        <v>492</v>
      </c>
      <c r="H24" t="s">
        <v>985</v>
      </c>
      <c r="J24" t="s">
        <v>493</v>
      </c>
      <c r="N24" t="s">
        <v>494</v>
      </c>
      <c r="R24" t="s">
        <v>49</v>
      </c>
      <c r="S24" s="4" t="str">
        <f>P2</f>
        <v>47mm</v>
      </c>
      <c r="T24" s="7">
        <v>22.2</v>
      </c>
      <c r="U24" s="7"/>
      <c r="V24" s="7"/>
      <c r="W24" s="7"/>
      <c r="Y24" t="s">
        <v>261</v>
      </c>
      <c r="AB24" s="430"/>
      <c r="AO24" t="s">
        <v>495</v>
      </c>
      <c r="AP24" t="str">
        <f>IF(ISNUMBER(FIND(NickelKnobB,AQ14)),"",AQ14&amp;NickelKnobB &amp; ",")</f>
        <v/>
      </c>
    </row>
    <row r="25" spans="2:42" x14ac:dyDescent="0.2">
      <c r="H25" t="s">
        <v>977</v>
      </c>
      <c r="J25" t="s">
        <v>496</v>
      </c>
      <c r="R25" t="s">
        <v>49</v>
      </c>
      <c r="S25" s="4" t="str">
        <f>P3</f>
        <v>63mm</v>
      </c>
      <c r="T25" s="7">
        <v>22.2</v>
      </c>
      <c r="U25" s="7"/>
      <c r="V25" s="7"/>
      <c r="W25" s="7"/>
      <c r="Y25" t="s">
        <v>253</v>
      </c>
      <c r="AB25" s="431"/>
    </row>
    <row r="26" spans="2:42" x14ac:dyDescent="0.2">
      <c r="H26" t="s">
        <v>978</v>
      </c>
      <c r="J26" t="s">
        <v>497</v>
      </c>
      <c r="R26" t="s">
        <v>49</v>
      </c>
      <c r="S26" s="4" t="str">
        <f>P4</f>
        <v>76mm</v>
      </c>
      <c r="T26" s="7">
        <v>22.2</v>
      </c>
      <c r="U26" s="7"/>
      <c r="V26" s="7"/>
      <c r="W26" s="7"/>
      <c r="Y26" t="s">
        <v>256</v>
      </c>
      <c r="AB26" s="430"/>
    </row>
    <row r="27" spans="2:42" x14ac:dyDescent="0.2">
      <c r="H27" t="s">
        <v>979</v>
      </c>
      <c r="J27" t="s">
        <v>498</v>
      </c>
      <c r="R27" t="s">
        <v>49</v>
      </c>
      <c r="S27" s="4" t="str">
        <f>P5</f>
        <v>89mm</v>
      </c>
      <c r="T27" s="7">
        <v>22.2</v>
      </c>
      <c r="U27" s="7"/>
      <c r="V27" s="7"/>
      <c r="W27" s="7"/>
      <c r="Y27" t="s">
        <v>499</v>
      </c>
      <c r="AB27" s="428"/>
    </row>
    <row r="28" spans="2:42" x14ac:dyDescent="0.2">
      <c r="H28" t="s">
        <v>980</v>
      </c>
      <c r="J28" t="s">
        <v>500</v>
      </c>
      <c r="R28" t="s">
        <v>49</v>
      </c>
      <c r="S28" s="4" t="str">
        <f>P6</f>
        <v>114mm</v>
      </c>
      <c r="T28" s="7">
        <v>22.2</v>
      </c>
      <c r="U28" s="7"/>
      <c r="V28" s="7"/>
      <c r="W28" s="7"/>
      <c r="Y28" t="s">
        <v>501</v>
      </c>
      <c r="Z28" t="s">
        <v>502</v>
      </c>
    </row>
    <row r="29" spans="2:42" x14ac:dyDescent="0.2">
      <c r="H29" t="s">
        <v>981</v>
      </c>
      <c r="J29" t="s">
        <v>503</v>
      </c>
      <c r="R29" t="s">
        <v>51</v>
      </c>
      <c r="S29" s="4" t="str">
        <f>Q2</f>
        <v>47mm</v>
      </c>
      <c r="T29" s="7">
        <v>22.2</v>
      </c>
      <c r="U29" s="7"/>
      <c r="V29" s="7"/>
      <c r="W29" s="7"/>
      <c r="Y29" t="s">
        <v>504</v>
      </c>
      <c r="Z29" t="s">
        <v>505</v>
      </c>
    </row>
    <row r="30" spans="2:42" x14ac:dyDescent="0.2">
      <c r="H30" t="s">
        <v>982</v>
      </c>
      <c r="J30" t="s">
        <v>506</v>
      </c>
      <c r="R30" t="s">
        <v>51</v>
      </c>
      <c r="S30" s="4" t="str">
        <f>Q3</f>
        <v>63mm</v>
      </c>
      <c r="T30" s="7">
        <v>22.2</v>
      </c>
      <c r="U30" s="7"/>
      <c r="V30" s="7"/>
      <c r="W30" s="7"/>
      <c r="Y30" t="s">
        <v>507</v>
      </c>
    </row>
    <row r="31" spans="2:42" x14ac:dyDescent="0.2">
      <c r="H31" t="s">
        <v>493</v>
      </c>
      <c r="J31" t="s">
        <v>509</v>
      </c>
      <c r="R31" t="s">
        <v>51</v>
      </c>
      <c r="S31" s="4" t="str">
        <f>Q4</f>
        <v>76mm</v>
      </c>
      <c r="T31" s="7">
        <v>22.2</v>
      </c>
      <c r="U31" s="7"/>
      <c r="V31" s="7"/>
      <c r="W31" s="7"/>
      <c r="Y31" t="s">
        <v>510</v>
      </c>
    </row>
    <row r="32" spans="2:42" x14ac:dyDescent="0.2">
      <c r="H32" t="s">
        <v>496</v>
      </c>
      <c r="J32" t="s">
        <v>511</v>
      </c>
      <c r="R32" t="s">
        <v>51</v>
      </c>
      <c r="S32" s="4" t="str">
        <f>Q5</f>
        <v>89mm</v>
      </c>
      <c r="T32" s="7">
        <v>22.2</v>
      </c>
      <c r="U32" s="7"/>
      <c r="V32" s="7"/>
      <c r="W32" s="7"/>
      <c r="Y32" t="s">
        <v>259</v>
      </c>
    </row>
    <row r="33" spans="8:25" x14ac:dyDescent="0.2">
      <c r="H33" t="s">
        <v>497</v>
      </c>
      <c r="J33" t="s">
        <v>512</v>
      </c>
      <c r="R33" t="s">
        <v>51</v>
      </c>
      <c r="S33" s="4" t="str">
        <f>Q6</f>
        <v>114mm</v>
      </c>
      <c r="T33" s="7">
        <v>22.2</v>
      </c>
      <c r="U33" s="7"/>
      <c r="V33" s="7"/>
      <c r="W33" s="7"/>
      <c r="Y33" t="s">
        <v>265</v>
      </c>
    </row>
    <row r="34" spans="8:25" x14ac:dyDescent="0.2">
      <c r="H34" t="s">
        <v>498</v>
      </c>
      <c r="J34" t="s">
        <v>513</v>
      </c>
      <c r="R34" t="s">
        <v>55</v>
      </c>
      <c r="S34" s="4" t="str">
        <f>S2</f>
        <v>76mm</v>
      </c>
      <c r="T34" s="7">
        <v>27</v>
      </c>
      <c r="U34" s="7"/>
      <c r="V34" s="7"/>
      <c r="W34" s="7"/>
      <c r="Y34" t="s">
        <v>268</v>
      </c>
    </row>
    <row r="35" spans="8:25" x14ac:dyDescent="0.2">
      <c r="H35" t="s">
        <v>503</v>
      </c>
      <c r="J35" t="s">
        <v>514</v>
      </c>
      <c r="R35" t="s">
        <v>55</v>
      </c>
      <c r="S35" s="4" t="str">
        <f>S3</f>
        <v>89mm</v>
      </c>
      <c r="T35" s="7">
        <v>27</v>
      </c>
      <c r="U35" s="7"/>
      <c r="V35" s="7"/>
      <c r="W35" s="7"/>
      <c r="Y35" t="s">
        <v>270</v>
      </c>
    </row>
    <row r="36" spans="8:25" x14ac:dyDescent="0.2">
      <c r="H36" t="s">
        <v>508</v>
      </c>
      <c r="J36" t="s">
        <v>515</v>
      </c>
      <c r="R36" t="s">
        <v>55</v>
      </c>
      <c r="S36" s="4">
        <f>S4</f>
        <v>0</v>
      </c>
      <c r="T36" s="7">
        <v>27</v>
      </c>
      <c r="U36" s="7"/>
      <c r="V36" s="7"/>
      <c r="W36" s="7"/>
      <c r="Y36" t="s">
        <v>274</v>
      </c>
    </row>
    <row r="37" spans="8:25" x14ac:dyDescent="0.2">
      <c r="H37" t="s">
        <v>512</v>
      </c>
      <c r="J37" t="s">
        <v>516</v>
      </c>
      <c r="R37" t="s">
        <v>55</v>
      </c>
      <c r="S37" s="4">
        <f>S5</f>
        <v>0</v>
      </c>
      <c r="T37" s="7">
        <v>27</v>
      </c>
      <c r="U37" s="7"/>
      <c r="V37" s="7"/>
      <c r="W37" s="7"/>
      <c r="Y37" t="s">
        <v>278</v>
      </c>
    </row>
    <row r="38" spans="8:25" x14ac:dyDescent="0.2">
      <c r="H38" t="s">
        <v>513</v>
      </c>
      <c r="J38" t="s">
        <v>517</v>
      </c>
      <c r="R38" t="s">
        <v>55</v>
      </c>
      <c r="S38" s="4">
        <f>S6</f>
        <v>0</v>
      </c>
      <c r="T38" s="7">
        <v>27</v>
      </c>
      <c r="U38" s="7"/>
      <c r="V38" s="7"/>
      <c r="W38" s="7"/>
      <c r="Y38" t="s">
        <v>281</v>
      </c>
    </row>
    <row r="39" spans="8:25" x14ac:dyDescent="0.2">
      <c r="H39" t="s">
        <v>514</v>
      </c>
      <c r="J39" t="s">
        <v>518</v>
      </c>
      <c r="Y39" t="s">
        <v>285</v>
      </c>
    </row>
    <row r="40" spans="8:25" x14ac:dyDescent="0.2">
      <c r="H40" t="s">
        <v>515</v>
      </c>
      <c r="J40" t="s">
        <v>519</v>
      </c>
      <c r="Y40" t="s">
        <v>288</v>
      </c>
    </row>
    <row r="41" spans="8:25" x14ac:dyDescent="0.2">
      <c r="H41" t="s">
        <v>516</v>
      </c>
      <c r="J41" t="s">
        <v>520</v>
      </c>
      <c r="Y41" t="s">
        <v>292</v>
      </c>
    </row>
    <row r="42" spans="8:25" x14ac:dyDescent="0.2">
      <c r="H42" t="s">
        <v>517</v>
      </c>
      <c r="J42" t="s">
        <v>521</v>
      </c>
      <c r="Y42" t="s">
        <v>295</v>
      </c>
    </row>
    <row r="43" spans="8:25" x14ac:dyDescent="0.2">
      <c r="H43" t="s">
        <v>518</v>
      </c>
      <c r="J43" t="s">
        <v>522</v>
      </c>
      <c r="Y43" t="s">
        <v>297</v>
      </c>
    </row>
    <row r="44" spans="8:25" x14ac:dyDescent="0.2">
      <c r="H44" t="s">
        <v>519</v>
      </c>
      <c r="J44" t="s">
        <v>523</v>
      </c>
      <c r="Y44" t="s">
        <v>347</v>
      </c>
    </row>
    <row r="45" spans="8:25" x14ac:dyDescent="0.2">
      <c r="H45" t="s">
        <v>520</v>
      </c>
      <c r="J45" t="s">
        <v>524</v>
      </c>
      <c r="Y45" t="s">
        <v>349</v>
      </c>
    </row>
    <row r="46" spans="8:25" x14ac:dyDescent="0.2">
      <c r="H46" t="s">
        <v>522</v>
      </c>
      <c r="J46" t="s">
        <v>525</v>
      </c>
      <c r="Y46" t="s">
        <v>350</v>
      </c>
    </row>
    <row r="47" spans="8:25" x14ac:dyDescent="0.2">
      <c r="H47" t="s">
        <v>523</v>
      </c>
      <c r="J47" t="s">
        <v>526</v>
      </c>
      <c r="Y47" t="s">
        <v>351</v>
      </c>
    </row>
    <row r="48" spans="8:25" x14ac:dyDescent="0.2">
      <c r="H48" t="s">
        <v>986</v>
      </c>
      <c r="J48" t="s">
        <v>527</v>
      </c>
      <c r="Y48" t="s">
        <v>967</v>
      </c>
    </row>
    <row r="49" spans="8:25" x14ac:dyDescent="0.2">
      <c r="H49" t="s">
        <v>530</v>
      </c>
      <c r="J49" t="s">
        <v>528</v>
      </c>
      <c r="Y49" t="s">
        <v>968</v>
      </c>
    </row>
    <row r="50" spans="8:25" x14ac:dyDescent="0.2">
      <c r="H50" t="s">
        <v>987</v>
      </c>
      <c r="J50" t="s">
        <v>529</v>
      </c>
      <c r="Y50" t="s">
        <v>969</v>
      </c>
    </row>
    <row r="51" spans="8:25" x14ac:dyDescent="0.2">
      <c r="H51" t="s">
        <v>988</v>
      </c>
      <c r="J51" t="s">
        <v>530</v>
      </c>
      <c r="Y51" t="s">
        <v>970</v>
      </c>
    </row>
    <row r="52" spans="8:25" x14ac:dyDescent="0.2">
      <c r="H52" t="s">
        <v>989</v>
      </c>
      <c r="J52" t="s">
        <v>70</v>
      </c>
    </row>
    <row r="53" spans="8:25" x14ac:dyDescent="0.2">
      <c r="H53" t="s">
        <v>990</v>
      </c>
    </row>
    <row r="54" spans="8:25" x14ac:dyDescent="0.2">
      <c r="H54" t="s">
        <v>991</v>
      </c>
    </row>
    <row r="55" spans="8:25" x14ac:dyDescent="0.2">
      <c r="H55" t="s">
        <v>992</v>
      </c>
    </row>
    <row r="56" spans="8:25" x14ac:dyDescent="0.2">
      <c r="H56" t="s">
        <v>70</v>
      </c>
    </row>
  </sheetData>
  <dataValidations count="1">
    <dataValidation type="list" allowBlank="1" showInputMessage="1" showErrorMessage="1" sqref="AQ14" xr:uid="{4086FA99-968F-4936-8ECA-31804708CCFB}">
      <formula1>$AP$14:$AP$24</formula1>
    </dataValidation>
  </dataValidations>
  <pageMargins left="0.7" right="0.7" top="0.75" bottom="0.75" header="0.3" footer="0.3"/>
  <pageSetup paperSize="9" orientation="portrait" horizontalDpi="300" verticalDpi="300"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B7BF-E8E9-46F2-918D-517D86F99220}">
  <sheetPr codeName="Sheet8"/>
  <dimension ref="A1:AB41"/>
  <sheetViews>
    <sheetView zoomScaleNormal="100" workbookViewId="0">
      <selection activeCell="B42" sqref="B42"/>
    </sheetView>
  </sheetViews>
  <sheetFormatPr defaultColWidth="8.875" defaultRowHeight="15" x14ac:dyDescent="0.2"/>
  <cols>
    <col min="1" max="1" width="2.95703125" customWidth="1"/>
    <col min="3" max="3" width="7.26171875" customWidth="1"/>
    <col min="4" max="4" width="6.3203125" customWidth="1"/>
    <col min="5" max="5" width="2.28515625" customWidth="1"/>
    <col min="6" max="6" width="13.71875" customWidth="1"/>
    <col min="7" max="7" width="2.95703125" customWidth="1"/>
    <col min="8" max="8" width="5.6484375" customWidth="1"/>
    <col min="9" max="9" width="2.28515625" customWidth="1"/>
    <col min="10" max="11" width="5.51171875" customWidth="1"/>
    <col min="12" max="12" width="6.05078125" customWidth="1"/>
    <col min="13" max="13" width="3.359375" customWidth="1"/>
    <col min="14" max="14" width="3.62890625" customWidth="1"/>
    <col min="15" max="15" width="2.28515625" customWidth="1"/>
    <col min="16" max="16" width="9.28125" customWidth="1"/>
    <col min="17" max="17" width="4.3046875" customWidth="1"/>
    <col min="18" max="18" width="6.72265625" customWidth="1"/>
    <col min="19" max="19" width="2.6875" customWidth="1"/>
    <col min="20" max="20" width="1.61328125" customWidth="1"/>
    <col min="21" max="21" width="0.671875" customWidth="1"/>
    <col min="22" max="22" width="1.8828125" customWidth="1"/>
    <col min="23" max="23" width="7.3984375" customWidth="1"/>
    <col min="24" max="24" width="1.4765625" customWidth="1"/>
    <col min="25" max="25" width="4.83984375" customWidth="1"/>
    <col min="26" max="26" width="0.671875" customWidth="1"/>
    <col min="27" max="27" width="9.28125" customWidth="1"/>
    <col min="28" max="28" width="2.6875" customWidth="1"/>
  </cols>
  <sheetData>
    <row r="1" spans="1:28" x14ac:dyDescent="0.2">
      <c r="A1" s="16"/>
      <c r="B1" s="73" t="s">
        <v>531</v>
      </c>
      <c r="C1" s="16"/>
      <c r="D1" s="16"/>
      <c r="E1" s="16"/>
      <c r="F1" s="16"/>
      <c r="G1" s="16"/>
      <c r="H1" s="16"/>
      <c r="I1" s="16"/>
      <c r="J1" s="16"/>
      <c r="K1" s="16"/>
      <c r="L1" s="16"/>
      <c r="M1" s="16"/>
      <c r="N1" s="16"/>
      <c r="O1" s="16"/>
      <c r="P1" s="16"/>
      <c r="Q1" s="16"/>
      <c r="R1" s="16"/>
      <c r="S1" s="16"/>
      <c r="T1" s="16"/>
      <c r="U1" s="16"/>
      <c r="V1" s="16"/>
      <c r="W1" s="16"/>
      <c r="X1" s="16"/>
      <c r="Y1" s="16"/>
      <c r="Z1" s="16"/>
      <c r="AA1" s="16"/>
      <c r="AB1" s="16"/>
    </row>
    <row r="2" spans="1:28" x14ac:dyDescent="0.2">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row>
    <row r="3" spans="1:28" x14ac:dyDescent="0.2">
      <c r="A3" s="77"/>
      <c r="B3" t="s">
        <v>186</v>
      </c>
      <c r="D3" s="1193" t="str">
        <f>IF(Pricing!B59="","Enter Name",Pricing!B59)</f>
        <v>Enter Name</v>
      </c>
      <c r="E3" s="1193"/>
      <c r="F3" s="1193"/>
      <c r="G3" s="1193"/>
      <c r="H3" s="1193"/>
      <c r="I3" s="78"/>
      <c r="J3" s="79" t="s">
        <v>532</v>
      </c>
      <c r="K3" s="79"/>
      <c r="L3" s="1193">
        <f>Pricing!E59</f>
        <v>0</v>
      </c>
      <c r="M3" s="1193"/>
      <c r="N3" s="1193"/>
      <c r="O3" s="78"/>
      <c r="P3" s="79" t="s">
        <v>155</v>
      </c>
      <c r="Q3" s="1193">
        <f>IF(ISERROR('Survey Front'!W8),"",'Survey Front'!W8)</f>
        <v>0</v>
      </c>
      <c r="R3" s="1193"/>
      <c r="S3" s="1193"/>
      <c r="T3" s="1193"/>
      <c r="U3" s="1193"/>
      <c r="V3" s="1193"/>
      <c r="W3" s="1193"/>
      <c r="X3" s="1193"/>
      <c r="Y3" s="1193"/>
      <c r="Z3" s="1193"/>
      <c r="AA3" s="1193"/>
      <c r="AB3" s="80"/>
    </row>
    <row r="4" spans="1:28"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row>
    <row r="5" spans="1:28" x14ac:dyDescent="0.2">
      <c r="A5" s="77"/>
      <c r="B5" s="1194" t="s">
        <v>533</v>
      </c>
      <c r="C5" s="1194"/>
      <c r="D5" s="1194"/>
      <c r="E5" s="62"/>
      <c r="F5" s="1195" t="s">
        <v>534</v>
      </c>
      <c r="G5" s="1195"/>
      <c r="H5" s="1195"/>
      <c r="I5" s="62"/>
      <c r="J5" s="1195" t="s">
        <v>535</v>
      </c>
      <c r="K5" s="1195"/>
      <c r="L5" s="1195"/>
      <c r="M5" s="1195"/>
      <c r="N5" s="1195"/>
      <c r="O5" s="77"/>
      <c r="P5" s="1195" t="s">
        <v>536</v>
      </c>
      <c r="Q5" s="1195"/>
      <c r="R5" s="1195"/>
      <c r="S5" s="1195"/>
      <c r="T5" s="77"/>
      <c r="U5" s="77"/>
      <c r="V5" s="1195" t="s">
        <v>537</v>
      </c>
      <c r="W5" s="1195"/>
      <c r="X5" s="1195"/>
      <c r="Y5" s="1195"/>
      <c r="Z5" s="1195"/>
      <c r="AA5" s="1195"/>
      <c r="AB5" s="62"/>
    </row>
    <row r="6" spans="1:28" ht="21" x14ac:dyDescent="0.3">
      <c r="A6" s="77"/>
      <c r="B6" s="1196" t="str">
        <f>'Survey Front'!D12</f>
        <v/>
      </c>
      <c r="C6" s="1196"/>
      <c r="D6" s="1196"/>
      <c r="E6" s="77"/>
      <c r="F6" s="1196" t="str">
        <f>'Survey Front'!E12</f>
        <v/>
      </c>
      <c r="G6" s="1196"/>
      <c r="H6" s="1196"/>
      <c r="I6" s="82"/>
      <c r="J6" s="1196" t="str">
        <f>'Survey Front'!H12</f>
        <v/>
      </c>
      <c r="K6" s="1196"/>
      <c r="L6" s="1196"/>
      <c r="M6" s="1196"/>
      <c r="N6" s="1196"/>
      <c r="O6" s="77"/>
      <c r="P6" s="1196" t="str">
        <f>'Survey Front'!L12</f>
        <v/>
      </c>
      <c r="Q6" s="1196"/>
      <c r="R6" s="1196"/>
      <c r="S6" s="1196"/>
      <c r="T6" s="77"/>
      <c r="U6" s="77"/>
      <c r="V6" s="1196" t="str">
        <f>'Survey Front'!F12</f>
        <v/>
      </c>
      <c r="W6" s="1196"/>
      <c r="X6" s="1196"/>
      <c r="Y6" s="1196"/>
      <c r="Z6" s="1196"/>
      <c r="AA6" s="1196"/>
      <c r="AB6" s="77"/>
    </row>
    <row r="7" spans="1:28" ht="15.75" thickBot="1" x14ac:dyDescent="0.25">
      <c r="A7" s="77"/>
      <c r="B7" s="782"/>
      <c r="C7" s="782"/>
      <c r="D7" s="782"/>
      <c r="E7" s="77"/>
      <c r="F7" s="782"/>
      <c r="G7" s="782"/>
      <c r="H7" s="782"/>
      <c r="I7" s="77"/>
      <c r="J7" s="782"/>
      <c r="K7" s="782"/>
      <c r="L7" s="782"/>
      <c r="M7" s="782"/>
      <c r="N7" s="782"/>
      <c r="O7" s="77"/>
      <c r="P7" s="782"/>
      <c r="Q7" s="782"/>
      <c r="R7" s="782"/>
      <c r="S7" s="782"/>
      <c r="T7" s="77"/>
      <c r="U7" s="77"/>
      <c r="V7" s="782"/>
      <c r="W7" s="782"/>
      <c r="X7" s="782"/>
      <c r="Y7" s="782"/>
      <c r="Z7" s="782"/>
      <c r="AA7" s="782"/>
      <c r="AB7" s="77"/>
    </row>
    <row r="8" spans="1:28" x14ac:dyDescent="0.2">
      <c r="A8" s="77"/>
      <c r="B8" s="1197" t="s">
        <v>22</v>
      </c>
      <c r="C8" s="1197"/>
      <c r="D8" s="1197"/>
      <c r="E8" s="77"/>
      <c r="F8" s="1197" t="s">
        <v>22</v>
      </c>
      <c r="G8" s="1197"/>
      <c r="H8" s="1197"/>
      <c r="I8" s="77"/>
      <c r="J8" s="1197" t="s">
        <v>22</v>
      </c>
      <c r="K8" s="1197"/>
      <c r="L8" s="1197"/>
      <c r="M8" s="1197"/>
      <c r="N8" s="1197"/>
      <c r="O8" s="77"/>
      <c r="P8" s="1197" t="s">
        <v>22</v>
      </c>
      <c r="Q8" s="1197"/>
      <c r="R8" s="1197"/>
      <c r="S8" s="1197"/>
      <c r="T8" s="77"/>
      <c r="U8" s="77"/>
      <c r="V8" s="1197" t="s">
        <v>22</v>
      </c>
      <c r="W8" s="1197"/>
      <c r="X8" s="1197"/>
      <c r="Y8" s="1197"/>
      <c r="Z8" s="1197"/>
      <c r="AA8" s="1197"/>
      <c r="AB8" s="77"/>
    </row>
    <row r="9" spans="1:28" x14ac:dyDescent="0.2">
      <c r="A9" s="77"/>
      <c r="B9" s="782"/>
      <c r="C9" s="782"/>
      <c r="D9" s="782"/>
      <c r="E9" s="77"/>
      <c r="F9" s="782"/>
      <c r="G9" s="782"/>
      <c r="H9" s="782"/>
      <c r="I9" s="77"/>
      <c r="J9" s="782"/>
      <c r="K9" s="782"/>
      <c r="L9" s="782"/>
      <c r="M9" s="782"/>
      <c r="N9" s="782"/>
      <c r="O9" s="77"/>
      <c r="P9" s="782"/>
      <c r="Q9" s="782"/>
      <c r="R9" s="782"/>
      <c r="S9" s="782"/>
      <c r="T9" s="77"/>
      <c r="U9" s="77"/>
      <c r="V9" s="1198"/>
      <c r="W9" s="782"/>
      <c r="X9" s="782"/>
      <c r="Y9" s="782"/>
      <c r="Z9" s="782"/>
      <c r="AA9" s="782"/>
      <c r="AB9" s="77"/>
    </row>
    <row r="10" spans="1:28" x14ac:dyDescent="0.2">
      <c r="A10" s="77"/>
      <c r="B10" s="782"/>
      <c r="C10" s="782"/>
      <c r="D10" s="782"/>
      <c r="E10" s="77"/>
      <c r="F10" s="782"/>
      <c r="G10" s="782"/>
      <c r="H10" s="782"/>
      <c r="I10" s="77"/>
      <c r="J10" s="782"/>
      <c r="K10" s="782"/>
      <c r="L10" s="782"/>
      <c r="M10" s="782"/>
      <c r="N10" s="782"/>
      <c r="O10" s="77"/>
      <c r="P10" s="782"/>
      <c r="Q10" s="782"/>
      <c r="R10" s="782"/>
      <c r="S10" s="782"/>
      <c r="T10" s="77"/>
      <c r="U10" s="77"/>
      <c r="V10" s="782"/>
      <c r="W10" s="782"/>
      <c r="X10" s="782"/>
      <c r="Y10" s="782"/>
      <c r="Z10" s="782"/>
      <c r="AA10" s="782"/>
      <c r="AB10" s="77"/>
    </row>
    <row r="11" spans="1:28" x14ac:dyDescent="0.2">
      <c r="A11" s="77"/>
      <c r="B11" s="782"/>
      <c r="C11" s="782"/>
      <c r="D11" s="782"/>
      <c r="E11" s="77"/>
      <c r="F11" s="782"/>
      <c r="G11" s="782"/>
      <c r="H11" s="782"/>
      <c r="I11" s="77"/>
      <c r="J11" s="782"/>
      <c r="K11" s="782"/>
      <c r="L11" s="782"/>
      <c r="M11" s="782"/>
      <c r="N11" s="782"/>
      <c r="O11" s="77"/>
      <c r="P11" s="782"/>
      <c r="Q11" s="782"/>
      <c r="R11" s="782"/>
      <c r="S11" s="782"/>
      <c r="T11" s="77"/>
      <c r="U11" s="77"/>
      <c r="V11" s="782"/>
      <c r="W11" s="782"/>
      <c r="X11" s="782"/>
      <c r="Y11" s="782"/>
      <c r="Z11" s="782"/>
      <c r="AA11" s="782"/>
      <c r="AB11" s="77"/>
    </row>
    <row r="12" spans="1:28" x14ac:dyDescent="0.2">
      <c r="A12" s="77"/>
      <c r="B12" s="782"/>
      <c r="C12" s="782"/>
      <c r="D12" s="782"/>
      <c r="E12" s="77"/>
      <c r="F12" s="782"/>
      <c r="G12" s="782"/>
      <c r="H12" s="782"/>
      <c r="I12" s="77"/>
      <c r="J12" s="782"/>
      <c r="K12" s="782"/>
      <c r="L12" s="782"/>
      <c r="M12" s="782"/>
      <c r="N12" s="782"/>
      <c r="O12" s="77"/>
      <c r="P12" s="782"/>
      <c r="Q12" s="782"/>
      <c r="R12" s="782"/>
      <c r="S12" s="782"/>
      <c r="T12" s="77"/>
      <c r="U12" s="77"/>
      <c r="V12" s="782"/>
      <c r="W12" s="782"/>
      <c r="X12" s="782"/>
      <c r="Y12" s="782"/>
      <c r="Z12" s="782"/>
      <c r="AA12" s="782"/>
      <c r="AB12" s="77"/>
    </row>
    <row r="13" spans="1:28" x14ac:dyDescent="0.2">
      <c r="A13" s="77"/>
      <c r="B13" s="782"/>
      <c r="C13" s="782"/>
      <c r="D13" s="782"/>
      <c r="E13" s="77"/>
      <c r="F13" s="782"/>
      <c r="G13" s="782"/>
      <c r="H13" s="782"/>
      <c r="I13" s="77"/>
      <c r="J13" s="782"/>
      <c r="K13" s="782"/>
      <c r="L13" s="782"/>
      <c r="M13" s="782"/>
      <c r="N13" s="782"/>
      <c r="O13" s="77"/>
      <c r="P13" s="782"/>
      <c r="Q13" s="782"/>
      <c r="R13" s="782"/>
      <c r="S13" s="782"/>
      <c r="T13" s="77"/>
      <c r="U13" s="77"/>
      <c r="V13" s="782"/>
      <c r="W13" s="782"/>
      <c r="X13" s="782"/>
      <c r="Y13" s="782"/>
      <c r="Z13" s="782"/>
      <c r="AA13" s="782"/>
      <c r="AB13" s="77"/>
    </row>
    <row r="14" spans="1:28" ht="3.6" customHeight="1" x14ac:dyDescent="0.2">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row>
    <row r="15" spans="1:28" ht="6" customHeight="1" x14ac:dyDescent="0.2">
      <c r="A15" s="77"/>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77"/>
    </row>
    <row r="16" spans="1:28" ht="6" customHeight="1" x14ac:dyDescent="0.2">
      <c r="A16" s="77"/>
      <c r="B16" s="77"/>
      <c r="C16" s="77"/>
      <c r="D16" s="77"/>
      <c r="E16" s="77"/>
      <c r="F16" s="77"/>
      <c r="G16" s="77"/>
      <c r="H16" s="77"/>
      <c r="I16" s="77"/>
      <c r="J16" s="77"/>
      <c r="K16" s="77"/>
      <c r="L16" s="77"/>
      <c r="M16" s="77"/>
      <c r="N16" s="77"/>
      <c r="O16" s="16"/>
      <c r="P16" s="16"/>
      <c r="Q16" s="16"/>
      <c r="R16" s="16"/>
      <c r="S16" s="16"/>
      <c r="T16" s="16"/>
      <c r="U16" s="16"/>
      <c r="V16" s="16"/>
      <c r="W16" s="16"/>
      <c r="X16" s="16"/>
      <c r="Y16" s="16"/>
      <c r="Z16" s="16"/>
      <c r="AA16" s="16"/>
      <c r="AB16" s="77"/>
    </row>
    <row r="17" spans="1:28" ht="21" customHeight="1" thickBot="1" x14ac:dyDescent="0.25">
      <c r="A17" s="77"/>
      <c r="B17" s="40" t="s">
        <v>538</v>
      </c>
      <c r="C17" s="16"/>
      <c r="D17" s="1200"/>
      <c r="E17" s="1200"/>
      <c r="F17" s="1200"/>
      <c r="G17" s="1200"/>
      <c r="H17" s="1200"/>
      <c r="I17" s="1200"/>
      <c r="J17" s="1200"/>
      <c r="K17" s="1200"/>
      <c r="L17" s="1200"/>
      <c r="M17" s="1200"/>
      <c r="N17" s="77"/>
      <c r="O17" s="16"/>
      <c r="P17" s="76" t="s">
        <v>539</v>
      </c>
      <c r="Q17" s="83"/>
      <c r="R17" s="83"/>
      <c r="S17" s="83"/>
      <c r="T17" s="83"/>
      <c r="U17" s="83"/>
      <c r="V17" s="83"/>
      <c r="W17" s="83"/>
      <c r="X17" s="83"/>
      <c r="Y17" s="83"/>
      <c r="Z17" s="83"/>
      <c r="AA17" s="83"/>
      <c r="AB17" s="77"/>
    </row>
    <row r="18" spans="1:28" ht="15.75" thickTop="1" x14ac:dyDescent="0.2">
      <c r="A18" s="77"/>
      <c r="B18" s="16"/>
      <c r="C18" s="16"/>
      <c r="D18" s="1200"/>
      <c r="E18" s="1200"/>
      <c r="F18" s="1200"/>
      <c r="G18" s="1200"/>
      <c r="H18" s="1200"/>
      <c r="I18" s="1200"/>
      <c r="J18" s="1200"/>
      <c r="K18" s="1200"/>
      <c r="L18" s="1200"/>
      <c r="M18" s="1200"/>
      <c r="N18" s="77"/>
      <c r="O18" s="16"/>
      <c r="P18" s="77"/>
      <c r="Q18" s="77"/>
      <c r="R18" s="77"/>
      <c r="S18" s="77"/>
      <c r="T18" s="77"/>
      <c r="U18" s="77"/>
      <c r="V18" s="77"/>
      <c r="W18" s="77"/>
      <c r="X18" s="77"/>
      <c r="Y18" s="77"/>
      <c r="Z18" s="77"/>
      <c r="AA18" s="77"/>
      <c r="AB18" s="77"/>
    </row>
    <row r="19" spans="1:28" x14ac:dyDescent="0.2">
      <c r="A19" s="77"/>
      <c r="B19" s="16"/>
      <c r="C19" s="16"/>
      <c r="D19" s="1200"/>
      <c r="E19" s="1200"/>
      <c r="F19" s="1200"/>
      <c r="G19" s="1200"/>
      <c r="H19" s="1200"/>
      <c r="I19" s="1200"/>
      <c r="J19" s="1200"/>
      <c r="K19" s="1200"/>
      <c r="L19" s="1200"/>
      <c r="M19" s="1200"/>
      <c r="N19" s="77"/>
      <c r="O19" s="16"/>
      <c r="P19" s="77" t="s">
        <v>540</v>
      </c>
      <c r="Q19" s="77"/>
      <c r="R19" s="1167">
        <v>0</v>
      </c>
      <c r="S19" s="1167"/>
      <c r="T19" s="1167"/>
      <c r="U19" s="77"/>
      <c r="V19" s="77"/>
      <c r="W19" s="77" t="s">
        <v>541</v>
      </c>
      <c r="X19" s="77"/>
      <c r="Y19" s="77"/>
      <c r="Z19" s="77"/>
      <c r="AA19" s="18" t="s">
        <v>542</v>
      </c>
      <c r="AB19" s="77"/>
    </row>
    <row r="20" spans="1:28" ht="1.9" customHeight="1" x14ac:dyDescent="0.2">
      <c r="A20" s="77"/>
      <c r="B20" s="77"/>
      <c r="C20" s="77"/>
      <c r="D20" s="77"/>
      <c r="E20" s="77"/>
      <c r="F20" s="77"/>
      <c r="G20" s="77"/>
      <c r="H20" s="77"/>
      <c r="I20" s="77"/>
      <c r="J20" s="77"/>
      <c r="K20" s="77"/>
      <c r="L20" s="77"/>
      <c r="M20" s="77"/>
      <c r="N20" s="77"/>
      <c r="O20" s="16"/>
      <c r="P20" s="77"/>
      <c r="Q20" s="77"/>
      <c r="R20" s="77"/>
      <c r="S20" s="77"/>
      <c r="T20" s="77"/>
      <c r="U20" s="77"/>
      <c r="V20" s="77"/>
      <c r="W20" s="77"/>
      <c r="X20" s="77"/>
      <c r="Y20" s="77"/>
      <c r="Z20" s="77"/>
      <c r="AA20" s="62"/>
      <c r="AB20" s="77"/>
    </row>
    <row r="21" spans="1:28" x14ac:dyDescent="0.2">
      <c r="A21" s="77"/>
      <c r="B21" s="77"/>
      <c r="C21" s="77"/>
      <c r="D21" s="77"/>
      <c r="E21" s="77"/>
      <c r="F21" s="77"/>
      <c r="G21" s="77"/>
      <c r="H21" s="77"/>
      <c r="I21" s="77"/>
      <c r="J21" s="77"/>
      <c r="K21" s="77"/>
      <c r="L21" s="77"/>
      <c r="M21" s="77"/>
      <c r="N21" s="77"/>
      <c r="O21" s="16"/>
      <c r="P21" s="77" t="s">
        <v>543</v>
      </c>
      <c r="Q21" s="77"/>
      <c r="R21" s="1167" t="s">
        <v>542</v>
      </c>
      <c r="S21" s="1167"/>
      <c r="T21" s="1167"/>
      <c r="U21" s="77"/>
      <c r="V21" s="77"/>
      <c r="W21" s="77" t="s">
        <v>544</v>
      </c>
      <c r="X21" s="77"/>
      <c r="Y21" s="77"/>
      <c r="Z21" s="77"/>
      <c r="AA21" s="18" t="s">
        <v>542</v>
      </c>
      <c r="AB21" s="77"/>
    </row>
    <row r="22" spans="1:28" ht="1.9" customHeight="1" x14ac:dyDescent="0.2">
      <c r="A22" s="77"/>
      <c r="B22" s="77"/>
      <c r="C22" s="77"/>
      <c r="D22" s="77"/>
      <c r="E22" s="77"/>
      <c r="F22" s="77"/>
      <c r="G22" s="77"/>
      <c r="H22" s="77"/>
      <c r="I22" s="77"/>
      <c r="J22" s="77"/>
      <c r="K22" s="77"/>
      <c r="L22" s="77"/>
      <c r="M22" s="77"/>
      <c r="N22" s="77"/>
      <c r="O22" s="16"/>
      <c r="P22" s="77"/>
      <c r="Q22" s="77"/>
      <c r="R22" s="77"/>
      <c r="S22" s="77"/>
      <c r="T22" s="77"/>
      <c r="U22" s="77"/>
      <c r="V22" s="77"/>
      <c r="W22" s="77"/>
      <c r="X22" s="77"/>
      <c r="Y22" s="77"/>
      <c r="Z22" s="77"/>
      <c r="AA22" s="62"/>
      <c r="AB22" s="77"/>
    </row>
    <row r="23" spans="1:28" x14ac:dyDescent="0.2">
      <c r="A23" s="77"/>
      <c r="B23" s="16" t="s">
        <v>545</v>
      </c>
      <c r="C23" s="16"/>
      <c r="D23" s="16"/>
      <c r="E23" s="16"/>
      <c r="F23" s="16"/>
      <c r="G23" s="16"/>
      <c r="H23" s="16"/>
      <c r="I23" s="16"/>
      <c r="J23" s="16"/>
      <c r="K23" s="16"/>
      <c r="L23" s="16"/>
      <c r="M23" s="16"/>
      <c r="N23" s="77"/>
      <c r="O23" s="16"/>
      <c r="P23" s="77" t="s">
        <v>546</v>
      </c>
      <c r="Q23" s="77"/>
      <c r="R23" s="1167" t="s">
        <v>542</v>
      </c>
      <c r="S23" s="1167"/>
      <c r="T23" s="1167"/>
      <c r="U23" s="77"/>
      <c r="V23" s="77"/>
      <c r="W23" s="77" t="s">
        <v>547</v>
      </c>
      <c r="X23" s="77"/>
      <c r="Y23" s="77"/>
      <c r="Z23" s="77"/>
      <c r="AA23" s="18" t="s">
        <v>542</v>
      </c>
      <c r="AB23" s="77"/>
    </row>
    <row r="24" spans="1:28" ht="1.9" customHeight="1" x14ac:dyDescent="0.2">
      <c r="A24" s="77"/>
      <c r="B24" s="16"/>
      <c r="C24" s="16"/>
      <c r="D24" s="16"/>
      <c r="E24" s="16"/>
      <c r="F24" s="16"/>
      <c r="G24" s="16"/>
      <c r="H24" s="16"/>
      <c r="I24" s="16"/>
      <c r="J24" s="16"/>
      <c r="K24" s="16"/>
      <c r="L24" s="16"/>
      <c r="M24" s="16"/>
      <c r="N24" s="77"/>
      <c r="O24" s="16"/>
      <c r="P24" s="77"/>
      <c r="Q24" s="77"/>
      <c r="R24" s="77"/>
      <c r="S24" s="77"/>
      <c r="T24" s="77"/>
      <c r="U24" s="77"/>
      <c r="V24" s="77"/>
      <c r="W24" s="77"/>
      <c r="X24" s="77"/>
      <c r="Y24" s="77"/>
      <c r="Z24" s="77"/>
      <c r="AA24" s="62"/>
      <c r="AB24" s="77"/>
    </row>
    <row r="25" spans="1:28" x14ac:dyDescent="0.2">
      <c r="A25" s="77"/>
      <c r="B25" s="16"/>
      <c r="C25" s="16"/>
      <c r="D25" s="16"/>
      <c r="E25" s="16"/>
      <c r="F25" s="16"/>
      <c r="G25" s="16"/>
      <c r="H25" s="16"/>
      <c r="I25" s="16"/>
      <c r="J25" s="16"/>
      <c r="K25" s="16"/>
      <c r="L25" s="16"/>
      <c r="M25" s="16"/>
      <c r="N25" s="77"/>
      <c r="O25" s="16"/>
      <c r="P25" s="77" t="s">
        <v>548</v>
      </c>
      <c r="Q25" s="77"/>
      <c r="R25" s="1167" t="s">
        <v>542</v>
      </c>
      <c r="S25" s="1167"/>
      <c r="T25" s="1167"/>
      <c r="U25" s="77"/>
      <c r="V25" s="77"/>
      <c r="W25" s="77" t="s">
        <v>549</v>
      </c>
      <c r="X25" s="77"/>
      <c r="Y25" s="77"/>
      <c r="Z25" s="77"/>
      <c r="AA25" s="18" t="s">
        <v>542</v>
      </c>
      <c r="AB25" s="77"/>
    </row>
    <row r="26" spans="1:28" ht="15.75" thickBot="1" x14ac:dyDescent="0.25">
      <c r="A26" s="77"/>
      <c r="B26" s="16" t="s">
        <v>550</v>
      </c>
      <c r="C26" s="16"/>
      <c r="D26" s="16"/>
      <c r="E26" s="1199"/>
      <c r="F26" s="1199"/>
      <c r="G26" s="1199"/>
      <c r="H26" s="1199"/>
      <c r="I26" s="1199"/>
      <c r="J26" s="1199"/>
      <c r="K26" s="1199"/>
      <c r="L26" s="1199"/>
      <c r="M26" s="16"/>
      <c r="N26" s="77"/>
      <c r="O26" s="16"/>
      <c r="P26" s="77"/>
      <c r="Q26" s="77"/>
      <c r="R26" s="77"/>
      <c r="S26" s="77"/>
      <c r="T26" s="77"/>
      <c r="U26" s="77"/>
      <c r="V26" s="77"/>
      <c r="W26" s="77"/>
      <c r="X26" s="77"/>
      <c r="Y26" s="77"/>
      <c r="Z26" s="77"/>
      <c r="AA26" s="77"/>
      <c r="AB26" s="77"/>
    </row>
    <row r="27" spans="1:28" ht="6" customHeight="1" x14ac:dyDescent="0.2">
      <c r="A27" s="77"/>
      <c r="B27" s="16"/>
      <c r="C27" s="16"/>
      <c r="D27" s="16"/>
      <c r="E27" s="16"/>
      <c r="F27" s="16"/>
      <c r="G27" s="16"/>
      <c r="H27" s="16"/>
      <c r="I27" s="16"/>
      <c r="J27" s="16"/>
      <c r="K27" s="16"/>
      <c r="L27" s="16"/>
      <c r="M27" s="16"/>
      <c r="N27" s="77"/>
      <c r="O27" s="16"/>
      <c r="P27" s="16"/>
      <c r="Q27" s="16"/>
      <c r="R27" s="16"/>
      <c r="S27" s="16"/>
      <c r="T27" s="16"/>
      <c r="U27" s="16"/>
      <c r="V27" s="16"/>
      <c r="W27" s="16"/>
      <c r="X27" s="16"/>
      <c r="Y27" s="16"/>
      <c r="Z27" s="16"/>
      <c r="AA27" s="16"/>
      <c r="AB27" s="77"/>
    </row>
    <row r="28" spans="1:28" ht="1.9" customHeight="1" x14ac:dyDescent="0.2">
      <c r="A28" s="77"/>
      <c r="B28" s="77"/>
      <c r="C28" s="77"/>
      <c r="D28" s="77"/>
      <c r="E28" s="77"/>
      <c r="F28" s="77"/>
      <c r="G28" s="77"/>
      <c r="H28" s="77"/>
      <c r="I28" s="77"/>
      <c r="J28" s="77"/>
      <c r="K28" s="77"/>
      <c r="L28" s="77"/>
      <c r="M28" s="77"/>
      <c r="N28" s="77"/>
      <c r="O28" s="16"/>
      <c r="P28" s="16"/>
      <c r="Q28" s="16"/>
      <c r="R28" s="16"/>
      <c r="S28" s="16"/>
      <c r="T28" s="16"/>
      <c r="U28" s="16"/>
      <c r="V28" s="16"/>
      <c r="W28" s="16"/>
      <c r="X28" s="16"/>
      <c r="Y28" s="16"/>
      <c r="Z28" s="16"/>
      <c r="AA28" s="16"/>
      <c r="AB28" s="77"/>
    </row>
    <row r="29" spans="1:28" ht="1.9" customHeight="1" x14ac:dyDescent="0.2">
      <c r="A29" s="77"/>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77"/>
    </row>
    <row r="30" spans="1:28" ht="1.9" customHeight="1" x14ac:dyDescent="0.2">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row>
    <row r="31" spans="1:28" x14ac:dyDescent="0.2">
      <c r="A31" s="77"/>
      <c r="B31" s="84" t="s">
        <v>551</v>
      </c>
      <c r="C31" s="77"/>
      <c r="D31" s="77"/>
      <c r="E31" s="77"/>
      <c r="F31" s="77"/>
      <c r="G31" s="77"/>
      <c r="H31" s="18">
        <v>12</v>
      </c>
      <c r="I31" s="85" t="s">
        <v>552</v>
      </c>
      <c r="J31" s="18">
        <v>14</v>
      </c>
      <c r="K31" s="76" t="s">
        <v>553</v>
      </c>
      <c r="L31" s="77"/>
      <c r="M31" s="77"/>
      <c r="N31" s="77"/>
      <c r="O31" s="77"/>
      <c r="P31" s="1167" t="s">
        <v>554</v>
      </c>
      <c r="Q31" s="1167"/>
      <c r="R31" s="1167"/>
      <c r="S31" s="18"/>
      <c r="T31" s="77"/>
      <c r="U31" s="1167" t="s">
        <v>555</v>
      </c>
      <c r="V31" s="1167"/>
      <c r="W31" s="1167"/>
      <c r="X31" s="77"/>
      <c r="Y31" s="1167" t="s">
        <v>556</v>
      </c>
      <c r="Z31" s="1167"/>
      <c r="AA31" s="1167"/>
      <c r="AB31" s="77"/>
    </row>
    <row r="32" spans="1:28" x14ac:dyDescent="0.2">
      <c r="A32" s="77"/>
      <c r="B32" s="1201" t="s">
        <v>557</v>
      </c>
      <c r="C32" s="1201"/>
      <c r="D32" s="1201"/>
      <c r="E32" s="1201"/>
      <c r="F32" s="1201"/>
      <c r="G32" s="1201"/>
      <c r="H32" s="1201"/>
      <c r="I32" s="1201"/>
      <c r="J32" s="1201"/>
      <c r="K32" s="1201"/>
      <c r="L32" s="1201"/>
      <c r="M32" s="1201"/>
      <c r="N32" s="1201"/>
      <c r="O32" s="86"/>
      <c r="P32" s="1202" t="s">
        <v>558</v>
      </c>
      <c r="Q32" s="1202"/>
      <c r="R32" s="1202"/>
      <c r="S32" s="87"/>
      <c r="T32" s="77"/>
      <c r="U32" s="1203" t="s">
        <v>558</v>
      </c>
      <c r="V32" s="1203"/>
      <c r="W32" s="1203"/>
      <c r="X32" s="77"/>
      <c r="Y32" s="1203" t="s">
        <v>558</v>
      </c>
      <c r="Z32" s="1203"/>
      <c r="AA32" s="1203"/>
      <c r="AB32" s="77"/>
    </row>
    <row r="33" spans="1:28" x14ac:dyDescent="0.2">
      <c r="A33" s="77"/>
      <c r="B33" s="1201"/>
      <c r="C33" s="1201"/>
      <c r="D33" s="1201"/>
      <c r="E33" s="1201"/>
      <c r="F33" s="1201"/>
      <c r="G33" s="1201"/>
      <c r="H33" s="1201"/>
      <c r="I33" s="1201"/>
      <c r="J33" s="1201"/>
      <c r="K33" s="1201"/>
      <c r="L33" s="1201"/>
      <c r="M33" s="1201"/>
      <c r="N33" s="1201"/>
      <c r="O33" s="77"/>
      <c r="P33" s="77"/>
      <c r="Q33" s="77"/>
      <c r="R33" s="77"/>
      <c r="S33" s="77"/>
      <c r="T33" s="77"/>
      <c r="U33" s="77"/>
      <c r="V33" s="77"/>
      <c r="W33" s="77"/>
      <c r="X33" s="77"/>
      <c r="Y33" s="77"/>
      <c r="Z33" s="77"/>
      <c r="AA33" s="77"/>
      <c r="AB33" s="77"/>
    </row>
    <row r="34" spans="1:28" ht="1.9" customHeight="1" x14ac:dyDescent="0.2">
      <c r="A34" s="77"/>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77"/>
    </row>
    <row r="35" spans="1:28" ht="3" customHeight="1" x14ac:dyDescent="0.2">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row>
    <row r="36" spans="1:28" ht="14.45" customHeight="1" x14ac:dyDescent="0.2">
      <c r="A36" s="77"/>
      <c r="B36" s="1204" t="s">
        <v>559</v>
      </c>
      <c r="C36" s="1204"/>
      <c r="D36" s="1204"/>
      <c r="E36" s="1204"/>
      <c r="F36" s="1204"/>
      <c r="G36" s="1204"/>
      <c r="H36" s="1204"/>
      <c r="I36" s="1204"/>
      <c r="J36" s="1204"/>
      <c r="K36" s="1204"/>
      <c r="L36" s="1204"/>
      <c r="M36" s="1204"/>
      <c r="N36" s="1204"/>
      <c r="O36" s="1204"/>
      <c r="P36" s="1204"/>
      <c r="Q36" s="1204"/>
      <c r="R36" s="1204"/>
      <c r="S36" s="88"/>
      <c r="T36" s="16" t="s">
        <v>560</v>
      </c>
      <c r="U36" s="16"/>
      <c r="V36" s="16"/>
      <c r="W36" s="16"/>
      <c r="X36" s="16"/>
      <c r="Y36" s="16"/>
      <c r="Z36" s="16"/>
      <c r="AA36" s="16"/>
      <c r="AB36" s="77"/>
    </row>
    <row r="37" spans="1:28" ht="19.899999999999999" customHeight="1" x14ac:dyDescent="0.2">
      <c r="A37" s="77"/>
      <c r="B37" s="1204"/>
      <c r="C37" s="1204"/>
      <c r="D37" s="1204"/>
      <c r="E37" s="1204"/>
      <c r="F37" s="1204"/>
      <c r="G37" s="1204"/>
      <c r="H37" s="1204"/>
      <c r="I37" s="1204"/>
      <c r="J37" s="1204"/>
      <c r="K37" s="1204"/>
      <c r="L37" s="1204"/>
      <c r="M37" s="1204"/>
      <c r="N37" s="1204"/>
      <c r="O37" s="1204"/>
      <c r="P37" s="1204"/>
      <c r="Q37" s="1204"/>
      <c r="R37" s="1204"/>
      <c r="S37" s="88"/>
      <c r="T37" s="1167"/>
      <c r="U37" s="1167"/>
      <c r="V37" s="1167"/>
      <c r="W37" s="1167"/>
      <c r="X37" s="1167"/>
      <c r="Y37" s="1167"/>
      <c r="Z37" s="1167"/>
      <c r="AA37" s="1167"/>
      <c r="AB37" s="77"/>
    </row>
    <row r="38" spans="1:28" ht="5.45" customHeight="1" thickBot="1" x14ac:dyDescent="0.25">
      <c r="A38" s="77"/>
      <c r="B38" s="88"/>
      <c r="C38" s="88"/>
      <c r="D38" s="88"/>
      <c r="E38" s="88"/>
      <c r="F38" s="88"/>
      <c r="G38" s="88"/>
      <c r="H38" s="88"/>
      <c r="I38" s="88"/>
      <c r="J38" s="88"/>
      <c r="K38" s="88"/>
      <c r="L38" s="88"/>
      <c r="M38" s="88"/>
      <c r="N38" s="88"/>
      <c r="O38" s="88"/>
      <c r="P38" s="88"/>
      <c r="Q38" s="88"/>
      <c r="R38" s="88"/>
      <c r="S38" s="88"/>
      <c r="T38" s="1167"/>
      <c r="U38" s="1167"/>
      <c r="V38" s="1167"/>
      <c r="W38" s="1167"/>
      <c r="X38" s="1167"/>
      <c r="Y38" s="1167"/>
      <c r="Z38" s="1167"/>
      <c r="AA38" s="1167"/>
      <c r="AB38" s="77"/>
    </row>
    <row r="39" spans="1:28" ht="15" customHeight="1" thickBot="1" x14ac:dyDescent="0.25">
      <c r="A39" s="77"/>
      <c r="B39" s="1206" t="s">
        <v>561</v>
      </c>
      <c r="C39" s="1207"/>
      <c r="D39" s="1207"/>
      <c r="E39" s="1207"/>
      <c r="F39" s="1207"/>
      <c r="G39" s="1207"/>
      <c r="H39" s="1207"/>
      <c r="I39" s="1207"/>
      <c r="J39" s="1207"/>
      <c r="K39" s="1207"/>
      <c r="L39" s="1207"/>
      <c r="M39" s="1207"/>
      <c r="N39" s="1207"/>
      <c r="O39" s="1207"/>
      <c r="P39" s="1207"/>
      <c r="Q39" s="1207"/>
      <c r="R39" s="1208"/>
      <c r="S39" s="89"/>
      <c r="T39" s="1205"/>
      <c r="U39" s="1205"/>
      <c r="V39" s="1205"/>
      <c r="W39" s="1205"/>
      <c r="X39" s="1205"/>
      <c r="Y39" s="1205"/>
      <c r="Z39" s="1205"/>
      <c r="AA39" s="1205"/>
      <c r="AB39" s="77"/>
    </row>
    <row r="40" spans="1:28" ht="24" customHeight="1" x14ac:dyDescent="0.2">
      <c r="A40" s="77"/>
      <c r="B40" s="1209"/>
      <c r="C40" s="1210"/>
      <c r="D40" s="1210"/>
      <c r="E40" s="1210"/>
      <c r="F40" s="1210"/>
      <c r="G40" s="1210"/>
      <c r="H40" s="1210"/>
      <c r="I40" s="1210"/>
      <c r="J40" s="1210"/>
      <c r="K40" s="1210"/>
      <c r="L40" s="1210"/>
      <c r="M40" s="1210"/>
      <c r="N40" s="1210"/>
      <c r="O40" s="1210"/>
      <c r="P40" s="1210"/>
      <c r="Q40" s="1210"/>
      <c r="R40" s="1211"/>
      <c r="S40" s="89"/>
      <c r="T40" s="1215" t="s">
        <v>58</v>
      </c>
      <c r="U40" s="1215"/>
      <c r="V40" s="1215"/>
      <c r="W40" s="1216"/>
      <c r="X40" s="1216"/>
      <c r="Y40" s="1216"/>
      <c r="Z40" s="1216"/>
      <c r="AA40" s="1216"/>
      <c r="AB40" s="77"/>
    </row>
    <row r="41" spans="1:28" ht="41.45" customHeight="1" thickBot="1" x14ac:dyDescent="0.25">
      <c r="A41" s="77"/>
      <c r="B41" s="1212"/>
      <c r="C41" s="1213"/>
      <c r="D41" s="1213"/>
      <c r="E41" s="1213"/>
      <c r="F41" s="1213"/>
      <c r="G41" s="1213"/>
      <c r="H41" s="1213"/>
      <c r="I41" s="1213"/>
      <c r="J41" s="1213"/>
      <c r="K41" s="1213"/>
      <c r="L41" s="1213"/>
      <c r="M41" s="1213"/>
      <c r="N41" s="1213"/>
      <c r="O41" s="1213"/>
      <c r="P41" s="1213"/>
      <c r="Q41" s="1213"/>
      <c r="R41" s="1214"/>
      <c r="S41" s="89"/>
      <c r="T41" s="77"/>
      <c r="U41" s="77"/>
      <c r="V41" s="77"/>
      <c r="W41" s="77"/>
      <c r="X41" s="77"/>
      <c r="Y41" s="77"/>
      <c r="Z41" s="77"/>
      <c r="AA41" s="77"/>
      <c r="AB41" s="77"/>
    </row>
  </sheetData>
  <mergeCells count="46">
    <mergeCell ref="B36:R37"/>
    <mergeCell ref="T37:AA39"/>
    <mergeCell ref="B39:R41"/>
    <mergeCell ref="T40:V40"/>
    <mergeCell ref="W40:AA40"/>
    <mergeCell ref="P31:R31"/>
    <mergeCell ref="U31:W31"/>
    <mergeCell ref="Y31:AA31"/>
    <mergeCell ref="B32:N33"/>
    <mergeCell ref="P32:R32"/>
    <mergeCell ref="U32:W32"/>
    <mergeCell ref="Y32:AA32"/>
    <mergeCell ref="E26:L26"/>
    <mergeCell ref="B8:D8"/>
    <mergeCell ref="F8:H8"/>
    <mergeCell ref="J8:N8"/>
    <mergeCell ref="P8:S8"/>
    <mergeCell ref="D17:M19"/>
    <mergeCell ref="R19:T19"/>
    <mergeCell ref="R21:T21"/>
    <mergeCell ref="R23:T23"/>
    <mergeCell ref="R25:T25"/>
    <mergeCell ref="V8:AA8"/>
    <mergeCell ref="B9:D13"/>
    <mergeCell ref="F9:H13"/>
    <mergeCell ref="J9:N13"/>
    <mergeCell ref="P9:S13"/>
    <mergeCell ref="V9:AA13"/>
    <mergeCell ref="B6:D6"/>
    <mergeCell ref="F6:H6"/>
    <mergeCell ref="J6:N6"/>
    <mergeCell ref="P6:S6"/>
    <mergeCell ref="V6:AA6"/>
    <mergeCell ref="B7:D7"/>
    <mergeCell ref="F7:H7"/>
    <mergeCell ref="J7:N7"/>
    <mergeCell ref="P7:S7"/>
    <mergeCell ref="V7:AA7"/>
    <mergeCell ref="D3:H3"/>
    <mergeCell ref="L3:N3"/>
    <mergeCell ref="Q3:AA3"/>
    <mergeCell ref="B5:D5"/>
    <mergeCell ref="F5:H5"/>
    <mergeCell ref="J5:N5"/>
    <mergeCell ref="P5:S5"/>
    <mergeCell ref="V5:AA5"/>
  </mergeCells>
  <dataValidations count="10">
    <dataValidation type="list" allowBlank="1" showInputMessage="1" showErrorMessage="1" sqref="J31" xr:uid="{DEB24525-81AF-4C0D-9540-62461681B08F}">
      <formula1>"20,19,18,17,16,15,14,13,12,11,10,09,08,07,06,05,05,03,02,01"</formula1>
    </dataValidation>
    <dataValidation type="list" allowBlank="1" showInputMessage="1" sqref="Q3:AA3" xr:uid="{C2DB9A76-B736-4156-9A32-10CBA6BADA52}">
      <formula1>Surveyors</formula1>
    </dataValidation>
    <dataValidation type="list" allowBlank="1" showInputMessage="1" sqref="V6:AA6" xr:uid="{3A59C4E4-D53D-4915-9C92-76FEFE96F5AE}">
      <formula1>INDIRECT(F6)</formula1>
    </dataValidation>
    <dataValidation type="list" allowBlank="1" showInputMessage="1" sqref="P6:S6" xr:uid="{001381B3-84CA-4B68-8970-A4D7345DFABC}">
      <formula1>TiltRod</formula1>
    </dataValidation>
    <dataValidation type="list" allowBlank="1" showInputMessage="1" sqref="J6:N6" xr:uid="{9075AB82-0042-4403-8080-A85CC5B7515F}">
      <formula1>INDIRECT(F6 &amp; "L")</formula1>
    </dataValidation>
    <dataValidation type="list" allowBlank="1" showInputMessage="1" sqref="F6:H6" xr:uid="{4301FE04-2896-4C71-A5F1-7C63ED134F92}">
      <formula1>MMaterial</formula1>
    </dataValidation>
    <dataValidation type="list" allowBlank="1" showInputMessage="1" sqref="B6:D6" xr:uid="{13559131-522E-4704-94FE-A94E47100FF2}">
      <formula1>Type</formula1>
    </dataValidation>
    <dataValidation type="list" allowBlank="1" showInputMessage="1" showErrorMessage="1" sqref="H31" xr:uid="{2389AF4D-D5AD-4D85-B66C-CA372F5572FD}">
      <formula1>"01,02,03,04,05,06,07,08,09,10,11,12,13,14,15,16,17,18,19,20"</formula1>
    </dataValidation>
    <dataValidation type="list" allowBlank="1" showInputMessage="1" showErrorMessage="1" sqref="AA25 R21:T21 R23:T23 R25:T25 AA19 AA21 AA23" xr:uid="{368144FD-835F-4812-BE13-09073F30FDE8}">
      <formula1>"No, Yes"</formula1>
    </dataValidation>
    <dataValidation type="list" allowBlank="1" showInputMessage="1" showErrorMessage="1" sqref="R19:T19" xr:uid="{E69DDBE5-5418-499D-A0D0-C4A55B6A5332}">
      <formula1>"0,1,2,3,4,5,6,7,8,9,10,11,12,13,14,15"</formula1>
    </dataValidation>
  </dataValidations>
  <pageMargins left="0.7" right="0.35" top="0.75" bottom="0.75" header="0.3" footer="0.3"/>
  <pageSetup paperSize="9" orientation="landscape" horizontalDpi="300" verticalDpi="300" r:id="rId1"/>
  <headerFooter>
    <oddHeader>&amp;R&amp;G</oddHeader>
    <oddFooter>&amp;L&amp;12                 www.perfectshutters.co.uk/gallery/
&amp;C&amp;G&amp;R&amp;G</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34B0-65D1-474B-B7BD-ED73EDEEBEDC}">
  <sheetPr codeName="Sheet21"/>
  <dimension ref="A1:AC44"/>
  <sheetViews>
    <sheetView tabSelected="1" topLeftCell="A17" workbookViewId="0">
      <selection activeCell="D19" sqref="D19"/>
    </sheetView>
  </sheetViews>
  <sheetFormatPr defaultRowHeight="15" x14ac:dyDescent="0.2"/>
  <cols>
    <col min="2" max="2" width="9.68359375" customWidth="1"/>
    <col min="6" max="6" width="10.625" bestFit="1" customWidth="1"/>
    <col min="13" max="13" width="9.953125" bestFit="1" customWidth="1"/>
  </cols>
  <sheetData>
    <row r="1" spans="1:29"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row>
    <row r="2" spans="1:29" ht="15.75" thickBot="1" x14ac:dyDescent="0.25">
      <c r="A2" s="16"/>
      <c r="B2" s="16" t="s">
        <v>562</v>
      </c>
      <c r="C2" s="16"/>
      <c r="D2" s="16"/>
      <c r="E2" s="16"/>
      <c r="F2" s="16"/>
      <c r="G2" s="16"/>
      <c r="H2" s="16" t="s">
        <v>563</v>
      </c>
      <c r="I2" s="16"/>
      <c r="J2" s="16"/>
      <c r="K2" s="16"/>
      <c r="L2" s="16"/>
      <c r="M2" s="16"/>
      <c r="N2" s="16"/>
      <c r="O2" s="16"/>
      <c r="P2" s="16"/>
      <c r="Q2" s="16"/>
      <c r="R2" s="16"/>
      <c r="S2" s="16"/>
      <c r="T2" s="16"/>
      <c r="U2" s="16"/>
      <c r="V2" s="16"/>
      <c r="W2" s="16"/>
      <c r="X2" s="16"/>
      <c r="Y2" s="16"/>
      <c r="Z2" s="16"/>
      <c r="AA2" s="16"/>
      <c r="AB2" s="16"/>
      <c r="AC2" s="16"/>
    </row>
    <row r="3" spans="1:29" ht="15.75" thickTop="1" x14ac:dyDescent="0.2">
      <c r="A3" s="339"/>
      <c r="B3" s="918" t="s">
        <v>564</v>
      </c>
      <c r="C3" s="919"/>
      <c r="D3" s="919"/>
      <c r="E3" s="919"/>
      <c r="F3" s="340"/>
      <c r="G3" s="340"/>
      <c r="H3" s="340"/>
      <c r="I3" s="340"/>
      <c r="J3" s="340"/>
      <c r="K3" s="16"/>
      <c r="L3" s="16"/>
      <c r="M3" s="16"/>
      <c r="N3" s="16"/>
      <c r="O3" s="340"/>
      <c r="P3" s="341"/>
      <c r="Q3" s="16"/>
      <c r="R3" s="16"/>
      <c r="S3" s="16"/>
      <c r="T3" s="16"/>
      <c r="U3" s="16"/>
      <c r="V3" s="16"/>
      <c r="W3" s="16"/>
      <c r="X3" s="16"/>
      <c r="Y3" s="16"/>
      <c r="Z3" s="16"/>
      <c r="AA3" s="16"/>
      <c r="AB3" s="16"/>
      <c r="AC3" s="16"/>
    </row>
    <row r="4" spans="1:29" x14ac:dyDescent="0.2">
      <c r="A4" s="342"/>
      <c r="B4" s="920"/>
      <c r="C4" s="920"/>
      <c r="D4" s="920"/>
      <c r="E4" s="920"/>
      <c r="F4" s="16"/>
      <c r="G4" s="16"/>
      <c r="H4" s="16"/>
      <c r="I4" s="16"/>
      <c r="J4" s="16"/>
      <c r="K4" s="16"/>
      <c r="L4" s="16"/>
      <c r="M4" s="16"/>
      <c r="N4" s="16"/>
      <c r="O4" s="16"/>
      <c r="P4" s="343"/>
      <c r="Q4" s="16"/>
      <c r="R4" s="16"/>
      <c r="S4" s="16"/>
      <c r="T4" s="16"/>
      <c r="U4" s="16"/>
      <c r="V4" s="16"/>
      <c r="W4" s="16"/>
      <c r="X4" s="16"/>
      <c r="Y4" s="16"/>
      <c r="Z4" s="16"/>
      <c r="AA4" s="16"/>
      <c r="AB4" s="16"/>
      <c r="AC4" s="16"/>
    </row>
    <row r="5" spans="1:29" x14ac:dyDescent="0.2">
      <c r="A5" s="342"/>
      <c r="B5" s="16"/>
      <c r="C5" s="16"/>
      <c r="D5" s="16"/>
      <c r="E5" s="16"/>
      <c r="F5" s="16"/>
      <c r="G5" s="16"/>
      <c r="H5" s="16"/>
      <c r="I5" s="16"/>
      <c r="J5" s="16" t="s">
        <v>565</v>
      </c>
      <c r="K5" s="16"/>
      <c r="L5" s="921" t="s">
        <v>566</v>
      </c>
      <c r="M5" s="921"/>
      <c r="N5" s="921"/>
      <c r="O5" s="921"/>
      <c r="P5" s="922"/>
      <c r="Q5" s="16"/>
      <c r="R5" s="16"/>
      <c r="S5" s="16"/>
      <c r="T5" s="16"/>
      <c r="U5" s="16"/>
      <c r="V5" s="16"/>
      <c r="W5" s="16"/>
      <c r="X5" s="16"/>
      <c r="Y5" s="16"/>
      <c r="Z5" s="16"/>
      <c r="AA5" s="16"/>
      <c r="AB5" s="16"/>
      <c r="AC5" s="16"/>
    </row>
    <row r="6" spans="1:29" ht="15.75" thickBot="1" x14ac:dyDescent="0.25">
      <c r="A6" s="342"/>
      <c r="B6" s="16"/>
      <c r="C6" s="16"/>
      <c r="D6" s="16"/>
      <c r="E6" s="16"/>
      <c r="F6" s="16"/>
      <c r="G6" s="16"/>
      <c r="H6" s="16"/>
      <c r="I6" s="16"/>
      <c r="J6" s="16"/>
      <c r="K6" s="16"/>
      <c r="L6" s="16"/>
      <c r="M6" s="16"/>
      <c r="N6" s="16"/>
      <c r="O6" s="16"/>
      <c r="P6" s="343"/>
      <c r="Q6" s="16"/>
      <c r="R6" s="16"/>
      <c r="S6" s="16"/>
      <c r="T6" s="16"/>
      <c r="U6" s="16"/>
      <c r="V6" s="16"/>
      <c r="W6" s="16"/>
      <c r="X6" s="16"/>
      <c r="Y6" s="16"/>
      <c r="Z6" s="16"/>
      <c r="AA6" s="16"/>
      <c r="AB6" s="16"/>
      <c r="AC6" s="16"/>
    </row>
    <row r="7" spans="1:29" ht="15.75" thickTop="1" x14ac:dyDescent="0.2">
      <c r="A7" s="342"/>
      <c r="B7" s="344" t="s">
        <v>567</v>
      </c>
      <c r="C7" s="923">
        <f>Pricing!B59</f>
        <v>0</v>
      </c>
      <c r="D7" s="924"/>
      <c r="E7" s="924"/>
      <c r="F7" s="924"/>
      <c r="G7" s="924"/>
      <c r="H7" s="925"/>
      <c r="I7" s="16"/>
      <c r="J7" s="923" t="s">
        <v>568</v>
      </c>
      <c r="K7" s="925"/>
      <c r="L7" s="923">
        <f>Pricing!E59</f>
        <v>0</v>
      </c>
      <c r="M7" s="924"/>
      <c r="N7" s="924"/>
      <c r="O7" s="925"/>
      <c r="P7" s="343"/>
      <c r="Q7" s="16"/>
      <c r="R7" s="16"/>
      <c r="S7" s="16"/>
      <c r="T7" s="16"/>
      <c r="U7" s="16"/>
      <c r="V7" s="16"/>
      <c r="W7" s="16"/>
      <c r="X7" s="16"/>
      <c r="Y7" s="16"/>
      <c r="Z7" s="16"/>
      <c r="AA7" s="16"/>
      <c r="AB7" s="16"/>
      <c r="AC7" s="16"/>
    </row>
    <row r="8" spans="1:29" x14ac:dyDescent="0.2">
      <c r="A8" s="342"/>
      <c r="B8" s="345" t="s">
        <v>67</v>
      </c>
      <c r="C8" s="926">
        <f>Pricing!B69</f>
        <v>0</v>
      </c>
      <c r="D8" s="927"/>
      <c r="E8" s="927"/>
      <c r="F8" s="927"/>
      <c r="G8" s="927"/>
      <c r="H8" s="928"/>
      <c r="I8" s="16"/>
      <c r="J8" s="926" t="s">
        <v>569</v>
      </c>
      <c r="K8" s="928"/>
      <c r="L8" s="929" t="str">
        <f>'Survey Front'!U6</f>
        <v xml:space="preserve">Day: </v>
      </c>
      <c r="M8" s="927"/>
      <c r="N8" s="927"/>
      <c r="O8" s="928"/>
      <c r="P8" s="343"/>
      <c r="Q8" s="16"/>
      <c r="R8" s="16"/>
      <c r="S8" s="16"/>
      <c r="T8" s="16"/>
      <c r="U8" s="16"/>
      <c r="V8" s="16"/>
      <c r="W8" s="16"/>
      <c r="X8" s="16"/>
      <c r="Y8" s="16"/>
      <c r="Z8" s="16"/>
      <c r="AA8" s="16"/>
      <c r="AB8" s="16"/>
      <c r="AC8" s="16"/>
    </row>
    <row r="9" spans="1:29" ht="15.75" thickBot="1" x14ac:dyDescent="0.25">
      <c r="A9" s="342"/>
      <c r="B9" s="346" t="s">
        <v>570</v>
      </c>
      <c r="C9" s="930">
        <f>Pricing!B66</f>
        <v>0</v>
      </c>
      <c r="D9" s="931"/>
      <c r="E9" s="931"/>
      <c r="F9" s="931"/>
      <c r="G9" s="931"/>
      <c r="H9" s="932"/>
      <c r="I9" s="16"/>
      <c r="J9" s="930" t="s">
        <v>155</v>
      </c>
      <c r="K9" s="932"/>
      <c r="L9" s="930">
        <f>'Survey Front'!W8</f>
        <v>0</v>
      </c>
      <c r="M9" s="931"/>
      <c r="N9" s="931"/>
      <c r="O9" s="932"/>
      <c r="P9" s="343"/>
      <c r="Q9" s="16"/>
      <c r="R9" s="16"/>
      <c r="S9" s="16"/>
      <c r="T9" s="16"/>
      <c r="U9" s="16"/>
      <c r="V9" s="16"/>
      <c r="W9" s="16"/>
      <c r="X9" s="16"/>
      <c r="Y9" s="16"/>
      <c r="Z9" s="16"/>
      <c r="AA9" s="16"/>
      <c r="AB9" s="16"/>
      <c r="AC9" s="16"/>
    </row>
    <row r="10" spans="1:29" ht="16.5" thickTop="1" thickBot="1" x14ac:dyDescent="0.25">
      <c r="A10" s="342"/>
      <c r="B10" s="16"/>
      <c r="C10" s="16"/>
      <c r="D10" s="16"/>
      <c r="E10" s="16"/>
      <c r="F10" s="16"/>
      <c r="G10" s="16"/>
      <c r="H10" s="16"/>
      <c r="I10" s="16"/>
      <c r="J10" s="16"/>
      <c r="K10" s="16"/>
      <c r="L10" s="16"/>
      <c r="M10" s="16"/>
      <c r="N10" s="16"/>
      <c r="O10" s="16"/>
      <c r="P10" s="343"/>
      <c r="Q10" s="16"/>
      <c r="R10" s="16"/>
      <c r="S10" s="16"/>
      <c r="T10" s="16"/>
      <c r="U10" s="16"/>
      <c r="V10" s="16"/>
      <c r="W10" s="16"/>
      <c r="X10" s="16"/>
      <c r="Y10" s="16"/>
      <c r="Z10" s="16"/>
      <c r="AA10" s="16"/>
      <c r="AB10" s="16"/>
      <c r="AC10" s="16"/>
    </row>
    <row r="11" spans="1:29" ht="15.75" thickBot="1" x14ac:dyDescent="0.25">
      <c r="A11" s="342"/>
      <c r="B11" s="289" t="s">
        <v>571</v>
      </c>
      <c r="C11" s="290" t="s">
        <v>572</v>
      </c>
      <c r="D11" s="290" t="s">
        <v>2</v>
      </c>
      <c r="E11" s="290" t="s">
        <v>573</v>
      </c>
      <c r="F11" s="290" t="s">
        <v>96</v>
      </c>
      <c r="G11" s="290" t="s">
        <v>574</v>
      </c>
      <c r="H11" s="290" t="s">
        <v>9</v>
      </c>
      <c r="I11" s="290" t="s">
        <v>575</v>
      </c>
      <c r="J11" s="290" t="s">
        <v>576</v>
      </c>
      <c r="K11" s="290" t="s">
        <v>577</v>
      </c>
      <c r="L11" s="290" t="s">
        <v>578</v>
      </c>
      <c r="M11" s="290" t="s">
        <v>579</v>
      </c>
      <c r="N11" s="933"/>
      <c r="O11" s="934"/>
      <c r="P11" s="288"/>
    </row>
    <row r="12" spans="1:29" x14ac:dyDescent="0.2">
      <c r="A12" s="342"/>
      <c r="B12" s="291" t="str">
        <f>IF('Blind Pricing'!B12="","",'Blind Pricing'!B12)</f>
        <v/>
      </c>
      <c r="C12" s="292" t="s">
        <v>1020</v>
      </c>
      <c r="D12" s="292" t="s">
        <v>1021</v>
      </c>
      <c r="E12" s="292" t="str">
        <f>IF('Blind Pricing'!E12="","",'Blind Pricing'!E12)</f>
        <v/>
      </c>
      <c r="F12" s="292" t="str">
        <f>IF('Blind Pricing'!F12="","",'Blind Pricing'!F12)</f>
        <v/>
      </c>
      <c r="G12" s="292" t="str">
        <f>IF('Blind Pricing'!G12="","",'Blind Pricing'!G12)</f>
        <v/>
      </c>
      <c r="H12" s="292">
        <v>1670</v>
      </c>
      <c r="I12" s="292">
        <v>1250</v>
      </c>
      <c r="J12" s="292" t="s">
        <v>1022</v>
      </c>
      <c r="K12" s="292" t="s">
        <v>1023</v>
      </c>
      <c r="L12" s="292" t="str">
        <f>IF('Blind Pricing'!L12="","",'Blind Pricing'!L12)</f>
        <v/>
      </c>
      <c r="M12" s="292" t="str">
        <f>IF('Blind Pricing'!M12="","",'Blind Pricing'!M12)</f>
        <v/>
      </c>
      <c r="N12" s="935"/>
      <c r="O12" s="936"/>
      <c r="P12" s="343"/>
      <c r="Q12" s="16"/>
      <c r="R12" s="16"/>
      <c r="S12" s="16"/>
      <c r="T12" s="16"/>
      <c r="U12" s="16"/>
      <c r="V12" s="16"/>
      <c r="W12" s="16"/>
      <c r="X12" s="16"/>
      <c r="Y12" s="16"/>
      <c r="Z12" s="16"/>
      <c r="AA12" s="16"/>
      <c r="AB12" s="16"/>
      <c r="AC12" s="16"/>
    </row>
    <row r="13" spans="1:29" x14ac:dyDescent="0.2">
      <c r="A13" s="342"/>
      <c r="B13" s="293" t="str">
        <f>IF('Blind Pricing'!B13="","",'Blind Pricing'!B13)</f>
        <v/>
      </c>
      <c r="C13" s="294" t="s">
        <v>444</v>
      </c>
      <c r="D13" s="294" t="s">
        <v>1021</v>
      </c>
      <c r="E13" s="294" t="str">
        <f>IF('Blind Pricing'!E13="","",'Blind Pricing'!E13)</f>
        <v/>
      </c>
      <c r="F13" s="294" t="str">
        <f>IF('Blind Pricing'!F13="","",'Blind Pricing'!F13)</f>
        <v/>
      </c>
      <c r="G13" s="294" t="str">
        <f>IF('Blind Pricing'!G13="","",'Blind Pricing'!G13)</f>
        <v/>
      </c>
      <c r="H13" s="294">
        <v>1170</v>
      </c>
      <c r="I13" s="294">
        <v>750</v>
      </c>
      <c r="J13" s="294" t="s">
        <v>1024</v>
      </c>
      <c r="K13" s="294" t="s">
        <v>1023</v>
      </c>
      <c r="L13" s="294" t="str">
        <f>IF('Blind Pricing'!L13="","",'Blind Pricing'!L13)</f>
        <v/>
      </c>
      <c r="M13" s="294" t="str">
        <f>IF('Blind Pricing'!M13="","",'Blind Pricing'!M13)</f>
        <v/>
      </c>
      <c r="N13" s="916"/>
      <c r="O13" s="917"/>
      <c r="P13" s="343"/>
      <c r="Q13" s="16"/>
      <c r="R13" s="16"/>
      <c r="S13" s="16"/>
      <c r="T13" s="16"/>
      <c r="U13" s="16"/>
      <c r="V13" s="16"/>
      <c r="W13" s="16"/>
      <c r="X13" s="16"/>
      <c r="Y13" s="16"/>
      <c r="Z13" s="16"/>
      <c r="AA13" s="16"/>
      <c r="AB13" s="16"/>
      <c r="AC13" s="16"/>
    </row>
    <row r="14" spans="1:29" x14ac:dyDescent="0.2">
      <c r="A14" s="342"/>
      <c r="B14" s="295" t="str">
        <f>IF('Blind Pricing'!B14="","",'Blind Pricing'!B14)</f>
        <v/>
      </c>
      <c r="C14" s="296" t="str">
        <f>IF('Blind Pricing'!C14="","",'Blind Pricing'!C14)</f>
        <v/>
      </c>
      <c r="D14" s="296" t="str">
        <f>IF('Blind Pricing'!D14="","",'Blind Pricing'!D14)</f>
        <v/>
      </c>
      <c r="E14" s="296" t="str">
        <f>IF('Blind Pricing'!E14="","",'Blind Pricing'!E14)</f>
        <v/>
      </c>
      <c r="F14" s="296" t="str">
        <f>IF('Blind Pricing'!F14="","",'Blind Pricing'!F14)</f>
        <v/>
      </c>
      <c r="G14" s="296" t="str">
        <f>IF('Blind Pricing'!G14="","",'Blind Pricing'!G14)</f>
        <v/>
      </c>
      <c r="H14" s="296"/>
      <c r="I14" s="296"/>
      <c r="J14" s="296"/>
      <c r="K14" s="296" t="str">
        <f>IF('Blind Pricing'!K14="","",'Blind Pricing'!K14)</f>
        <v/>
      </c>
      <c r="L14" s="296" t="str">
        <f>IF('Blind Pricing'!L14="","",'Blind Pricing'!L14)</f>
        <v/>
      </c>
      <c r="M14" s="296" t="str">
        <f>IF('Blind Pricing'!M14="","",'Blind Pricing'!M14)</f>
        <v/>
      </c>
      <c r="N14" s="939"/>
      <c r="O14" s="940"/>
      <c r="P14" s="343"/>
      <c r="Q14" s="16"/>
      <c r="R14" s="16"/>
      <c r="S14" s="16"/>
      <c r="T14" s="16"/>
      <c r="U14" s="16"/>
      <c r="V14" s="16"/>
      <c r="W14" s="16"/>
      <c r="X14" s="16"/>
      <c r="Y14" s="16"/>
      <c r="Z14" s="16"/>
      <c r="AA14" s="16"/>
      <c r="AB14" s="16"/>
      <c r="AC14" s="16"/>
    </row>
    <row r="15" spans="1:29" x14ac:dyDescent="0.2">
      <c r="A15" s="342"/>
      <c r="B15" s="293" t="str">
        <f>IF('Blind Pricing'!B15="","",'Blind Pricing'!B15)</f>
        <v/>
      </c>
      <c r="C15" s="294"/>
      <c r="D15" s="294" t="str">
        <f>IF('Blind Pricing'!D15="","",'Blind Pricing'!D15)</f>
        <v/>
      </c>
      <c r="E15" s="294" t="str">
        <f>IF('Blind Pricing'!E15="","",'Blind Pricing'!E15)</f>
        <v/>
      </c>
      <c r="F15" s="294" t="str">
        <f>IF('Blind Pricing'!F15="","",'Blind Pricing'!F15)</f>
        <v/>
      </c>
      <c r="G15" s="294" t="str">
        <f>IF('Blind Pricing'!G15="","",'Blind Pricing'!G15)</f>
        <v/>
      </c>
      <c r="H15" s="294"/>
      <c r="I15" s="294"/>
      <c r="J15" s="294"/>
      <c r="K15" s="294" t="str">
        <f>IF('Blind Pricing'!K15="","",'Blind Pricing'!K15)</f>
        <v/>
      </c>
      <c r="L15" s="294" t="str">
        <f>IF('Blind Pricing'!L15="","",'Blind Pricing'!L15)</f>
        <v/>
      </c>
      <c r="M15" s="294" t="str">
        <f>IF('Blind Pricing'!M15="","",'Blind Pricing'!M15)</f>
        <v/>
      </c>
      <c r="N15" s="916"/>
      <c r="O15" s="917"/>
      <c r="P15" s="343"/>
      <c r="Q15" s="16"/>
      <c r="R15" s="16"/>
      <c r="S15" s="16"/>
      <c r="T15" s="16"/>
      <c r="U15" s="16"/>
      <c r="V15" s="16"/>
      <c r="W15" s="16"/>
      <c r="X15" s="16"/>
      <c r="Y15" s="16"/>
      <c r="Z15" s="16"/>
      <c r="AA15" s="16"/>
      <c r="AB15" s="16"/>
      <c r="AC15" s="16"/>
    </row>
    <row r="16" spans="1:29" x14ac:dyDescent="0.2">
      <c r="A16" s="342"/>
      <c r="B16" s="296" t="str">
        <f>IF('Blind Pricing'!B16="","",'Blind Pricing'!B16)</f>
        <v/>
      </c>
      <c r="C16" s="469" t="s">
        <v>1025</v>
      </c>
      <c r="D16" s="296" t="str">
        <f>IF('Blind Pricing'!D16="","",'Blind Pricing'!D16)</f>
        <v/>
      </c>
      <c r="E16" s="296" t="str">
        <f>IF('Blind Pricing'!E16="","",'Blind Pricing'!E16)</f>
        <v/>
      </c>
      <c r="F16" s="296" t="str">
        <f>IF('Blind Pricing'!F16="","",'Blind Pricing'!F16)</f>
        <v/>
      </c>
      <c r="G16" s="296" t="str">
        <f>IF('Blind Pricing'!G16="","",'Blind Pricing'!G16)</f>
        <v/>
      </c>
      <c r="H16" s="296"/>
      <c r="I16" s="296"/>
      <c r="J16" s="296"/>
      <c r="K16" s="296" t="str">
        <f>IF('Blind Pricing'!K16="","",'Blind Pricing'!K16)</f>
        <v/>
      </c>
      <c r="L16" s="296" t="str">
        <f>IF('Blind Pricing'!L16="","",'Blind Pricing'!L16)</f>
        <v/>
      </c>
      <c r="M16" s="296" t="str">
        <f>IF('Blind Pricing'!M16="","",'Blind Pricing'!M16)</f>
        <v/>
      </c>
      <c r="N16" s="939"/>
      <c r="O16" s="940"/>
      <c r="P16" s="343"/>
      <c r="Q16" s="16"/>
      <c r="R16" s="16"/>
      <c r="S16" s="16"/>
      <c r="T16" s="16"/>
      <c r="U16" s="16"/>
      <c r="V16" s="16"/>
      <c r="W16" s="16"/>
      <c r="X16" s="16"/>
      <c r="Y16" s="16"/>
      <c r="Z16" s="16"/>
      <c r="AA16" s="16"/>
      <c r="AB16" s="16"/>
      <c r="AC16" s="16"/>
    </row>
    <row r="17" spans="1:29" x14ac:dyDescent="0.2">
      <c r="A17" s="342"/>
      <c r="B17" s="294" t="str">
        <f>IF('Blind Pricing'!B17="","",'Blind Pricing'!B17)</f>
        <v/>
      </c>
      <c r="C17" s="294" t="str">
        <f>IF('Blind Pricing'!C17="","",'Blind Pricing'!C17)</f>
        <v/>
      </c>
      <c r="D17" s="294" t="str">
        <f>IF('Blind Pricing'!D17="","",'Blind Pricing'!D17)</f>
        <v/>
      </c>
      <c r="E17" s="294" t="str">
        <f>IF('Blind Pricing'!E17="","",'Blind Pricing'!E17)</f>
        <v/>
      </c>
      <c r="F17" s="294" t="str">
        <f>IF('Blind Pricing'!F17="","",'Blind Pricing'!F17)</f>
        <v/>
      </c>
      <c r="G17" s="294" t="str">
        <f>IF('Blind Pricing'!G17="","",'Blind Pricing'!G17)</f>
        <v/>
      </c>
      <c r="H17" s="294"/>
      <c r="I17" s="294"/>
      <c r="J17" s="294"/>
      <c r="K17" s="294" t="str">
        <f>IF('Blind Pricing'!K17="","",'Blind Pricing'!K17)</f>
        <v/>
      </c>
      <c r="L17" s="294" t="str">
        <f>IF('Blind Pricing'!L17="","",'Blind Pricing'!L17)</f>
        <v/>
      </c>
      <c r="M17" s="294" t="str">
        <f>IF('Blind Pricing'!M17="","",'Blind Pricing'!M17)</f>
        <v/>
      </c>
      <c r="N17" s="916"/>
      <c r="O17" s="917"/>
      <c r="P17" s="343"/>
      <c r="Q17" s="16"/>
      <c r="R17" s="16"/>
      <c r="S17" s="16"/>
      <c r="T17" s="16"/>
      <c r="U17" s="16"/>
      <c r="V17" s="16"/>
      <c r="W17" s="16"/>
      <c r="X17" s="16"/>
      <c r="Y17" s="16"/>
      <c r="Z17" s="16"/>
      <c r="AA17" s="16"/>
      <c r="AB17" s="16"/>
      <c r="AC17" s="16"/>
    </row>
    <row r="18" spans="1:29" x14ac:dyDescent="0.2">
      <c r="A18" s="342"/>
      <c r="B18" s="296" t="str">
        <f>IF('Blind Pricing'!B18="","",'Blind Pricing'!B18)</f>
        <v/>
      </c>
      <c r="C18" s="296" t="s">
        <v>1026</v>
      </c>
      <c r="D18" s="296" t="str">
        <f>IF('Blind Pricing'!D18="","",'Blind Pricing'!D18)</f>
        <v/>
      </c>
      <c r="E18" s="296" t="str">
        <f>IF('Blind Pricing'!E18="","",'Blind Pricing'!E18)</f>
        <v/>
      </c>
      <c r="F18" s="296" t="str">
        <f>IF('Blind Pricing'!F18="","",'Blind Pricing'!F18)</f>
        <v/>
      </c>
      <c r="G18" s="296" t="str">
        <f>IF('Blind Pricing'!G18="","",'Blind Pricing'!G18)</f>
        <v/>
      </c>
      <c r="H18" s="296"/>
      <c r="I18" s="296"/>
      <c r="J18" s="296"/>
      <c r="K18" s="296" t="str">
        <f>IF('Blind Pricing'!K18="","",'Blind Pricing'!K18)</f>
        <v/>
      </c>
      <c r="L18" s="296" t="str">
        <f>IF('Blind Pricing'!L18="","",'Blind Pricing'!L18)</f>
        <v/>
      </c>
      <c r="M18" s="296" t="str">
        <f>IF('Blind Pricing'!M18="","",'Blind Pricing'!M18)</f>
        <v/>
      </c>
      <c r="N18" s="939"/>
      <c r="O18" s="940"/>
      <c r="P18" s="343"/>
      <c r="Q18" s="16"/>
      <c r="R18" s="16"/>
      <c r="S18" s="16"/>
      <c r="T18" s="16"/>
      <c r="U18" s="16"/>
      <c r="V18" s="16"/>
      <c r="W18" s="16"/>
      <c r="X18" s="16"/>
      <c r="Y18" s="16"/>
      <c r="Z18" s="16"/>
      <c r="AA18" s="16"/>
      <c r="AB18" s="16"/>
      <c r="AC18" s="16"/>
    </row>
    <row r="19" spans="1:29" x14ac:dyDescent="0.2">
      <c r="A19" s="342"/>
      <c r="B19" s="294" t="str">
        <f>IF('Blind Pricing'!B19="","",'Blind Pricing'!B19)</f>
        <v/>
      </c>
      <c r="C19" s="294" t="s">
        <v>421</v>
      </c>
      <c r="D19" s="294" t="s">
        <v>1028</v>
      </c>
      <c r="E19" s="294" t="str">
        <f>IF('Blind Pricing'!E19="","",'Blind Pricing'!E19)</f>
        <v/>
      </c>
      <c r="F19" s="294" t="str">
        <f>IF('Blind Pricing'!F19="","",'Blind Pricing'!F19)</f>
        <v/>
      </c>
      <c r="G19" s="294" t="str">
        <f>IF('Blind Pricing'!G19="","",'Blind Pricing'!G19)</f>
        <v/>
      </c>
      <c r="H19" s="294"/>
      <c r="I19" s="294"/>
      <c r="J19" s="294"/>
      <c r="K19" s="294" t="str">
        <f>IF('Blind Pricing'!K19="","",'Blind Pricing'!K19)</f>
        <v/>
      </c>
      <c r="L19" s="294" t="str">
        <f>IF('Blind Pricing'!L19="","",'Blind Pricing'!L19)</f>
        <v/>
      </c>
      <c r="M19" s="294" t="str">
        <f>IF('Blind Pricing'!M19="","",'Blind Pricing'!M19)</f>
        <v/>
      </c>
      <c r="N19" s="916"/>
      <c r="O19" s="917"/>
      <c r="P19" s="343"/>
      <c r="Q19" s="16"/>
      <c r="R19" s="16"/>
      <c r="S19" s="16"/>
      <c r="T19" s="16"/>
      <c r="U19" s="16"/>
      <c r="V19" s="16"/>
      <c r="W19" s="16"/>
      <c r="X19" s="16"/>
      <c r="Y19" s="16"/>
      <c r="Z19" s="16"/>
      <c r="AA19" s="16"/>
      <c r="AB19" s="16"/>
      <c r="AC19" s="16"/>
    </row>
    <row r="20" spans="1:29" x14ac:dyDescent="0.2">
      <c r="A20" s="342"/>
      <c r="B20" s="296" t="str">
        <f>IF('Blind Pricing'!B20="","",'Blind Pricing'!B20)</f>
        <v/>
      </c>
      <c r="C20" s="296" t="s">
        <v>444</v>
      </c>
      <c r="D20" s="296" t="s">
        <v>1027</v>
      </c>
      <c r="E20" s="296" t="str">
        <f>IF('Blind Pricing'!E20="","",'Blind Pricing'!E20)</f>
        <v/>
      </c>
      <c r="F20" s="296" t="str">
        <f>IF('Blind Pricing'!F20="","",'Blind Pricing'!F20)</f>
        <v/>
      </c>
      <c r="G20" s="296" t="str">
        <f>IF('Blind Pricing'!G20="","",'Blind Pricing'!G20)</f>
        <v/>
      </c>
      <c r="H20" s="296"/>
      <c r="I20" s="296"/>
      <c r="J20" s="296"/>
      <c r="K20" s="296" t="str">
        <f>IF('Blind Pricing'!K20="","",'Blind Pricing'!K20)</f>
        <v/>
      </c>
      <c r="L20" s="296" t="str">
        <f>IF('Blind Pricing'!L20="","",'Blind Pricing'!L20)</f>
        <v/>
      </c>
      <c r="M20" s="296" t="str">
        <f>IF('Blind Pricing'!M20="","",'Blind Pricing'!M20)</f>
        <v/>
      </c>
      <c r="N20" s="939"/>
      <c r="O20" s="940"/>
      <c r="P20" s="343"/>
      <c r="Q20" s="16"/>
      <c r="R20" s="16"/>
      <c r="S20" s="16"/>
      <c r="T20" s="16"/>
      <c r="U20" s="16"/>
      <c r="V20" s="16"/>
      <c r="W20" s="16"/>
      <c r="X20" s="16"/>
      <c r="Y20" s="16"/>
      <c r="Z20" s="16"/>
      <c r="AA20" s="16"/>
      <c r="AB20" s="16"/>
      <c r="AC20" s="16"/>
    </row>
    <row r="21" spans="1:29" x14ac:dyDescent="0.2">
      <c r="A21" s="342"/>
      <c r="B21" s="294" t="str">
        <f>IF('Blind Pricing'!B21="","",'Blind Pricing'!B21)</f>
        <v/>
      </c>
      <c r="C21" s="294" t="str">
        <f>IF('Blind Pricing'!C21="","",'Blind Pricing'!C21)</f>
        <v/>
      </c>
      <c r="D21" s="294" t="str">
        <f>IF('Blind Pricing'!D21="","",'Blind Pricing'!D21)</f>
        <v/>
      </c>
      <c r="E21" s="294" t="str">
        <f>IF('Blind Pricing'!E21="","",'Blind Pricing'!E21)</f>
        <v/>
      </c>
      <c r="F21" s="294" t="str">
        <f>IF('Blind Pricing'!F21="","",'Blind Pricing'!F21)</f>
        <v/>
      </c>
      <c r="G21" s="294" t="str">
        <f>IF('Blind Pricing'!G21="","",'Blind Pricing'!G21)</f>
        <v/>
      </c>
      <c r="H21" s="294"/>
      <c r="I21" s="294"/>
      <c r="J21" s="294"/>
      <c r="K21" s="294" t="str">
        <f>IF('Blind Pricing'!K21="","",'Blind Pricing'!K21)</f>
        <v/>
      </c>
      <c r="L21" s="294" t="str">
        <f>IF('Blind Pricing'!L21="","",'Blind Pricing'!L21)</f>
        <v/>
      </c>
      <c r="M21" s="294" t="str">
        <f>IF('Blind Pricing'!M21="","",'Blind Pricing'!M21)</f>
        <v/>
      </c>
      <c r="N21" s="916"/>
      <c r="O21" s="917"/>
      <c r="P21" s="343"/>
      <c r="Q21" s="16"/>
      <c r="R21" s="16"/>
      <c r="S21" s="16"/>
      <c r="T21" s="16"/>
      <c r="U21" s="16"/>
      <c r="V21" s="16"/>
      <c r="W21" s="16"/>
      <c r="X21" s="16"/>
      <c r="Y21" s="16"/>
      <c r="Z21" s="16"/>
      <c r="AA21" s="16"/>
      <c r="AB21" s="16"/>
      <c r="AC21" s="16"/>
    </row>
    <row r="22" spans="1:29" x14ac:dyDescent="0.2">
      <c r="A22" s="342"/>
      <c r="B22" s="296" t="str">
        <f>IF('Blind Pricing'!B22="","",'Blind Pricing'!B22)</f>
        <v/>
      </c>
      <c r="C22" s="296" t="str">
        <f>IF('Blind Pricing'!C22="","",'Blind Pricing'!C22)</f>
        <v/>
      </c>
      <c r="D22" s="296" t="str">
        <f>IF('Blind Pricing'!D22="","",'Blind Pricing'!D22)</f>
        <v/>
      </c>
      <c r="E22" s="296" t="str">
        <f>IF('Blind Pricing'!E22="","",'Blind Pricing'!E22)</f>
        <v/>
      </c>
      <c r="F22" s="296" t="str">
        <f>IF('Blind Pricing'!F22="","",'Blind Pricing'!F22)</f>
        <v/>
      </c>
      <c r="G22" s="296" t="str">
        <f>IF('Blind Pricing'!G22="","",'Blind Pricing'!G22)</f>
        <v/>
      </c>
      <c r="H22" s="296"/>
      <c r="I22" s="296"/>
      <c r="J22" s="296"/>
      <c r="K22" s="296" t="str">
        <f>IF('Blind Pricing'!K22="","",'Blind Pricing'!K22)</f>
        <v/>
      </c>
      <c r="L22" s="296" t="str">
        <f>IF('Blind Pricing'!L22="","",'Blind Pricing'!L22)</f>
        <v/>
      </c>
      <c r="M22" s="296" t="str">
        <f>IF('Blind Pricing'!M22="","",'Blind Pricing'!M22)</f>
        <v/>
      </c>
      <c r="N22" s="939"/>
      <c r="O22" s="940"/>
      <c r="P22" s="343"/>
      <c r="Q22" s="16"/>
      <c r="R22" s="16"/>
      <c r="S22" s="16"/>
      <c r="T22" s="16"/>
      <c r="U22" s="16"/>
      <c r="V22" s="16"/>
      <c r="W22" s="16"/>
      <c r="X22" s="16"/>
      <c r="Y22" s="16"/>
      <c r="Z22" s="16"/>
      <c r="AA22" s="16"/>
      <c r="AB22" s="16"/>
      <c r="AC22" s="16"/>
    </row>
    <row r="23" spans="1:29" x14ac:dyDescent="0.2">
      <c r="A23" s="342"/>
      <c r="B23" s="294" t="str">
        <f>IF('Blind Pricing'!B23="","",'Blind Pricing'!B23)</f>
        <v/>
      </c>
      <c r="C23" s="294" t="str">
        <f>IF('Blind Pricing'!C23="","",'Blind Pricing'!C23)</f>
        <v/>
      </c>
      <c r="D23" s="294" t="str">
        <f>IF('Blind Pricing'!D23="","",'Blind Pricing'!D23)</f>
        <v/>
      </c>
      <c r="E23" s="294" t="str">
        <f>IF('Blind Pricing'!E23="","",'Blind Pricing'!E23)</f>
        <v/>
      </c>
      <c r="F23" s="294" t="str">
        <f>IF('Blind Pricing'!F23="","",'Blind Pricing'!F23)</f>
        <v/>
      </c>
      <c r="G23" s="294" t="str">
        <f>IF('Blind Pricing'!G23="","",'Blind Pricing'!G23)</f>
        <v/>
      </c>
      <c r="H23" s="294"/>
      <c r="I23" s="294"/>
      <c r="J23" s="294"/>
      <c r="K23" s="294" t="str">
        <f>IF('Blind Pricing'!K23="","",'Blind Pricing'!K23)</f>
        <v/>
      </c>
      <c r="L23" s="294" t="str">
        <f>IF('Blind Pricing'!L23="","",'Blind Pricing'!L23)</f>
        <v/>
      </c>
      <c r="M23" s="294" t="str">
        <f>IF('Blind Pricing'!M23="","",'Blind Pricing'!M23)</f>
        <v/>
      </c>
      <c r="N23" s="916"/>
      <c r="O23" s="917"/>
      <c r="P23" s="343"/>
      <c r="Q23" s="16"/>
      <c r="R23" s="16"/>
      <c r="S23" s="16"/>
      <c r="T23" s="16"/>
      <c r="U23" s="16"/>
      <c r="V23" s="16"/>
      <c r="W23" s="16"/>
      <c r="X23" s="16"/>
      <c r="Y23" s="16"/>
      <c r="Z23" s="16"/>
      <c r="AA23" s="16"/>
      <c r="AB23" s="16"/>
      <c r="AC23" s="16"/>
    </row>
    <row r="24" spans="1:29" x14ac:dyDescent="0.2">
      <c r="A24" s="342"/>
      <c r="B24" s="296" t="str">
        <f>IF('Blind Pricing'!B24="","",'Blind Pricing'!B24)</f>
        <v/>
      </c>
      <c r="C24" s="296" t="str">
        <f>IF('Blind Pricing'!C24="","",'Blind Pricing'!C24)</f>
        <v/>
      </c>
      <c r="D24" s="296" t="str">
        <f>IF('Blind Pricing'!D24="","",'Blind Pricing'!D24)</f>
        <v/>
      </c>
      <c r="E24" s="296" t="str">
        <f>IF('Blind Pricing'!E24="","",'Blind Pricing'!E24)</f>
        <v/>
      </c>
      <c r="F24" s="296" t="str">
        <f>IF('Blind Pricing'!F24="","",'Blind Pricing'!F24)</f>
        <v/>
      </c>
      <c r="G24" s="296" t="str">
        <f>IF('Blind Pricing'!G24="","",'Blind Pricing'!G24)</f>
        <v/>
      </c>
      <c r="H24" s="296"/>
      <c r="I24" s="296"/>
      <c r="J24" s="296"/>
      <c r="K24" s="296" t="str">
        <f>IF('Blind Pricing'!K24="","",'Blind Pricing'!K24)</f>
        <v/>
      </c>
      <c r="L24" s="296" t="str">
        <f>IF('Blind Pricing'!L24="","",'Blind Pricing'!L24)</f>
        <v/>
      </c>
      <c r="M24" s="296" t="str">
        <f>IF('Blind Pricing'!M24="","",'Blind Pricing'!M24)</f>
        <v/>
      </c>
      <c r="N24" s="939"/>
      <c r="O24" s="940"/>
      <c r="P24" s="343"/>
      <c r="Q24" s="16"/>
      <c r="R24" s="16"/>
      <c r="S24" s="16"/>
      <c r="T24" s="16"/>
      <c r="U24" s="16"/>
      <c r="V24" s="16"/>
      <c r="W24" s="16"/>
      <c r="X24" s="16"/>
      <c r="Y24" s="16"/>
      <c r="Z24" s="16"/>
      <c r="AA24" s="16"/>
      <c r="AB24" s="16"/>
      <c r="AC24" s="16"/>
    </row>
    <row r="25" spans="1:29" ht="15.75" thickBot="1" x14ac:dyDescent="0.25">
      <c r="A25" s="342"/>
      <c r="B25" s="298" t="str">
        <f>IF('Blind Pricing'!B25="","",'Blind Pricing'!B25)</f>
        <v/>
      </c>
      <c r="C25" s="298" t="str">
        <f>IF('Blind Pricing'!C25="","",'Blind Pricing'!C25)</f>
        <v/>
      </c>
      <c r="D25" s="298" t="str">
        <f>IF('Blind Pricing'!D25="","",'Blind Pricing'!D25)</f>
        <v/>
      </c>
      <c r="E25" s="298" t="str">
        <f>IF('Blind Pricing'!E25="","",'Blind Pricing'!E25)</f>
        <v/>
      </c>
      <c r="F25" s="298" t="str">
        <f>IF('Blind Pricing'!F25="","",'Blind Pricing'!F25)</f>
        <v/>
      </c>
      <c r="G25" s="298" t="str">
        <f>IF('Blind Pricing'!G25="","",'Blind Pricing'!G25)</f>
        <v/>
      </c>
      <c r="H25" s="298"/>
      <c r="I25" s="298"/>
      <c r="J25" s="298"/>
      <c r="K25" s="298" t="str">
        <f>IF('Blind Pricing'!K25="","",'Blind Pricing'!K25)</f>
        <v/>
      </c>
      <c r="L25" s="298" t="str">
        <f>IF('Blind Pricing'!L25="","",'Blind Pricing'!L25)</f>
        <v/>
      </c>
      <c r="M25" s="298" t="str">
        <f>IF('Blind Pricing'!M25="","",'Blind Pricing'!M25)</f>
        <v/>
      </c>
      <c r="N25" s="937"/>
      <c r="O25" s="938"/>
      <c r="P25" s="343"/>
      <c r="Q25" s="16"/>
      <c r="R25" s="16"/>
      <c r="S25" s="16"/>
      <c r="T25" s="16"/>
      <c r="U25" s="16"/>
      <c r="V25" s="16"/>
      <c r="W25" s="16"/>
      <c r="X25" s="16"/>
      <c r="Y25" s="16"/>
      <c r="Z25" s="16"/>
      <c r="AA25" s="16"/>
      <c r="AB25" s="16"/>
      <c r="AC25" s="16"/>
    </row>
    <row r="26" spans="1:29" ht="15.75" thickBot="1" x14ac:dyDescent="0.25">
      <c r="A26" s="342"/>
      <c r="P26" s="343"/>
      <c r="Q26" s="16"/>
      <c r="R26" s="16"/>
      <c r="S26" s="16"/>
      <c r="T26" s="16"/>
      <c r="U26" s="16"/>
      <c r="V26" s="16"/>
      <c r="W26" s="16"/>
      <c r="X26" s="16"/>
      <c r="Y26" s="16"/>
      <c r="Z26" s="16"/>
      <c r="AA26" s="16"/>
      <c r="AB26" s="16"/>
      <c r="AC26" s="16"/>
    </row>
    <row r="27" spans="1:29" ht="15.75" thickTop="1" x14ac:dyDescent="0.2">
      <c r="A27" s="342"/>
      <c r="B27" s="941" t="s">
        <v>580</v>
      </c>
      <c r="C27" s="942"/>
      <c r="D27" s="942"/>
      <c r="E27" s="942"/>
      <c r="F27" s="942"/>
      <c r="G27" s="943"/>
      <c r="H27" s="950" t="s">
        <v>581</v>
      </c>
      <c r="I27" s="942"/>
      <c r="J27" s="942"/>
      <c r="K27" s="943"/>
      <c r="L27" s="951" t="s">
        <v>582</v>
      </c>
      <c r="M27" s="951"/>
      <c r="N27" s="951"/>
      <c r="O27" s="299"/>
      <c r="P27" s="343"/>
      <c r="Q27" s="16"/>
      <c r="R27" s="16"/>
      <c r="S27" s="16"/>
      <c r="T27" s="16"/>
      <c r="U27" s="16"/>
      <c r="V27" s="16"/>
      <c r="W27" s="16"/>
      <c r="X27" s="16"/>
      <c r="Y27" s="16"/>
      <c r="Z27" s="16"/>
      <c r="AA27" s="16"/>
      <c r="AB27" s="16"/>
      <c r="AC27" s="16"/>
    </row>
    <row r="28" spans="1:29" x14ac:dyDescent="0.2">
      <c r="A28" s="342"/>
      <c r="B28" s="944"/>
      <c r="C28" s="945"/>
      <c r="D28" s="945"/>
      <c r="E28" s="945"/>
      <c r="F28" s="945"/>
      <c r="G28" s="946"/>
      <c r="H28" s="944"/>
      <c r="I28" s="945"/>
      <c r="J28" s="945"/>
      <c r="K28" s="946"/>
      <c r="L28" s="952"/>
      <c r="M28" s="952"/>
      <c r="N28" s="952"/>
      <c r="O28" s="119"/>
      <c r="P28" s="343"/>
      <c r="Q28" s="16"/>
      <c r="R28" s="16"/>
      <c r="S28" s="16"/>
      <c r="T28" s="16"/>
      <c r="U28" s="16"/>
      <c r="V28" s="16"/>
      <c r="W28" s="16"/>
      <c r="X28" s="16"/>
      <c r="Y28" s="16"/>
      <c r="Z28" s="16"/>
      <c r="AA28" s="16"/>
      <c r="AB28" s="16"/>
      <c r="AC28" s="16"/>
    </row>
    <row r="29" spans="1:29" x14ac:dyDescent="0.2">
      <c r="A29" s="342"/>
      <c r="B29" s="944"/>
      <c r="C29" s="945"/>
      <c r="D29" s="945"/>
      <c r="E29" s="945"/>
      <c r="F29" s="945"/>
      <c r="G29" s="946"/>
      <c r="H29" s="944"/>
      <c r="I29" s="945"/>
      <c r="J29" s="945"/>
      <c r="K29" s="946"/>
      <c r="L29" s="953" t="s">
        <v>583</v>
      </c>
      <c r="M29" s="953"/>
      <c r="N29" s="953"/>
      <c r="O29" s="300"/>
      <c r="P29" s="343"/>
      <c r="Q29" s="16"/>
      <c r="R29" s="16"/>
      <c r="S29" s="16"/>
      <c r="T29" s="16"/>
      <c r="U29" s="16"/>
      <c r="V29" s="16"/>
      <c r="W29" s="16"/>
      <c r="X29" s="16"/>
      <c r="Y29" s="16"/>
      <c r="Z29" s="16"/>
      <c r="AA29" s="16"/>
      <c r="AB29" s="16"/>
      <c r="AC29" s="16"/>
    </row>
    <row r="30" spans="1:29" x14ac:dyDescent="0.2">
      <c r="A30" s="342"/>
      <c r="B30" s="944"/>
      <c r="C30" s="945"/>
      <c r="D30" s="945"/>
      <c r="E30" s="945"/>
      <c r="F30" s="945"/>
      <c r="G30" s="946"/>
      <c r="H30" s="944"/>
      <c r="I30" s="945"/>
      <c r="J30" s="945"/>
      <c r="K30" s="946"/>
      <c r="L30" s="301" t="s">
        <v>584</v>
      </c>
      <c r="M30" s="304"/>
      <c r="N30" s="302" t="s">
        <v>275</v>
      </c>
      <c r="O30" s="300"/>
      <c r="P30" s="343"/>
      <c r="Q30" s="16"/>
      <c r="R30" s="16"/>
      <c r="S30" s="16"/>
      <c r="T30" s="16"/>
      <c r="U30" s="16"/>
      <c r="V30" s="16"/>
      <c r="W30" s="16"/>
      <c r="X30" s="16"/>
      <c r="Y30" s="16"/>
      <c r="Z30" s="16"/>
      <c r="AA30" s="16"/>
      <c r="AB30" s="16"/>
      <c r="AC30" s="16"/>
    </row>
    <row r="31" spans="1:29" ht="15.75" thickBot="1" x14ac:dyDescent="0.25">
      <c r="A31" s="342"/>
      <c r="B31" s="947"/>
      <c r="C31" s="948"/>
      <c r="D31" s="948"/>
      <c r="E31" s="948"/>
      <c r="F31" s="948"/>
      <c r="G31" s="949"/>
      <c r="H31" s="947"/>
      <c r="I31" s="948"/>
      <c r="J31" s="948"/>
      <c r="K31" s="949"/>
      <c r="L31" s="954" t="s">
        <v>78</v>
      </c>
      <c r="M31" s="954"/>
      <c r="N31" s="954"/>
      <c r="O31" s="303"/>
      <c r="P31" s="288"/>
    </row>
    <row r="32" spans="1:29" ht="16.5" thickTop="1" thickBot="1" x14ac:dyDescent="0.25">
      <c r="A32" s="347"/>
      <c r="B32" s="348"/>
      <c r="C32" s="348"/>
      <c r="D32" s="348"/>
      <c r="E32" s="348"/>
      <c r="F32" s="348"/>
      <c r="G32" s="348"/>
      <c r="H32" s="348"/>
      <c r="I32" s="348"/>
      <c r="J32" s="348"/>
      <c r="K32" s="348"/>
      <c r="L32" s="348"/>
      <c r="M32" s="348"/>
      <c r="N32" s="348"/>
      <c r="O32" s="348"/>
      <c r="P32" s="349"/>
      <c r="Q32" s="16"/>
      <c r="R32" s="16"/>
      <c r="S32" s="16"/>
      <c r="T32" s="16"/>
      <c r="U32" s="16"/>
      <c r="V32" s="16"/>
      <c r="W32" s="16"/>
      <c r="X32" s="16"/>
      <c r="Y32" s="16"/>
      <c r="Z32" s="16"/>
      <c r="AA32" s="16"/>
      <c r="AB32" s="16"/>
      <c r="AC32" s="16"/>
    </row>
    <row r="33" spans="1:29" ht="15.75" thickTop="1" x14ac:dyDescent="0.2">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29" x14ac:dyDescent="0.2">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29" x14ac:dyDescent="0.2">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x14ac:dyDescent="0.2">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x14ac:dyDescent="0.2">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x14ac:dyDescent="0.2">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x14ac:dyDescent="0.2">
      <c r="A39" s="16"/>
    </row>
    <row r="40" spans="1:29" x14ac:dyDescent="0.2">
      <c r="A40" s="16"/>
    </row>
    <row r="41" spans="1:29" x14ac:dyDescent="0.2">
      <c r="A41" s="16"/>
    </row>
    <row r="42" spans="1:29" x14ac:dyDescent="0.2">
      <c r="A42" s="16"/>
    </row>
    <row r="43" spans="1:29" x14ac:dyDescent="0.2">
      <c r="A43" s="16"/>
    </row>
    <row r="44" spans="1:29" x14ac:dyDescent="0.2">
      <c r="A44" s="16"/>
    </row>
  </sheetData>
  <mergeCells count="32">
    <mergeCell ref="B27:G31"/>
    <mergeCell ref="H27:K31"/>
    <mergeCell ref="L27:N27"/>
    <mergeCell ref="L28:N28"/>
    <mergeCell ref="L29:N29"/>
    <mergeCell ref="L31:N31"/>
    <mergeCell ref="N25:O25"/>
    <mergeCell ref="N14:O14"/>
    <mergeCell ref="N15:O15"/>
    <mergeCell ref="N16:O16"/>
    <mergeCell ref="N17:O17"/>
    <mergeCell ref="N18:O18"/>
    <mergeCell ref="N19:O19"/>
    <mergeCell ref="N20:O20"/>
    <mergeCell ref="N21:O21"/>
    <mergeCell ref="N22:O22"/>
    <mergeCell ref="N23:O23"/>
    <mergeCell ref="N24:O24"/>
    <mergeCell ref="N13:O13"/>
    <mergeCell ref="B3:E4"/>
    <mergeCell ref="L5:P5"/>
    <mergeCell ref="C7:H7"/>
    <mergeCell ref="J7:K7"/>
    <mergeCell ref="L7:O7"/>
    <mergeCell ref="C8:H8"/>
    <mergeCell ref="J8:K8"/>
    <mergeCell ref="L8:O8"/>
    <mergeCell ref="C9:H9"/>
    <mergeCell ref="J9:K9"/>
    <mergeCell ref="L9:O9"/>
    <mergeCell ref="N11:O11"/>
    <mergeCell ref="N12:O12"/>
  </mergeCells>
  <dataValidations count="1">
    <dataValidation type="list" allowBlank="1" showInputMessage="1" sqref="C12:C25" xr:uid="{D1D04C5A-6A49-487F-901B-F38ACF9E2585}">
      <formula1>rooms</formula1>
    </dataValidation>
  </dataValidations>
  <hyperlinks>
    <hyperlink ref="L5" r:id="rId1" xr:uid="{290BDC5F-D800-4F35-8DFA-546FA8C56FC2}"/>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B1E8-CF6C-43C6-83DC-C9FB8A252274}">
  <sheetPr codeName="Sheet22"/>
  <dimension ref="A1:AO41"/>
  <sheetViews>
    <sheetView showGridLines="0" zoomScaleNormal="100" workbookViewId="0">
      <selection activeCell="R19" sqref="R19:T19"/>
    </sheetView>
  </sheetViews>
  <sheetFormatPr defaultColWidth="8.875" defaultRowHeight="15" x14ac:dyDescent="0.2"/>
  <cols>
    <col min="1" max="1" width="2.95703125" customWidth="1"/>
    <col min="3" max="3" width="7.26171875" customWidth="1"/>
    <col min="4" max="4" width="6.3203125" customWidth="1"/>
    <col min="5" max="5" width="2.28515625" customWidth="1"/>
    <col min="6" max="6" width="13.71875" customWidth="1"/>
    <col min="7" max="7" width="2.95703125" customWidth="1"/>
    <col min="8" max="8" width="5.6484375" customWidth="1"/>
    <col min="9" max="9" width="2.28515625" customWidth="1"/>
    <col min="10" max="11" width="5.51171875" customWidth="1"/>
    <col min="12" max="12" width="6.05078125" customWidth="1"/>
    <col min="13" max="13" width="3.359375" customWidth="1"/>
    <col min="14" max="14" width="3.62890625" customWidth="1"/>
    <col min="15" max="15" width="2.28515625" customWidth="1"/>
    <col min="16" max="16" width="9.28125" customWidth="1"/>
    <col min="17" max="17" width="4.3046875" customWidth="1"/>
    <col min="18" max="18" width="6.72265625" customWidth="1"/>
    <col min="19" max="19" width="2.6875" customWidth="1"/>
    <col min="20" max="20" width="1.61328125" customWidth="1"/>
    <col min="21" max="21" width="0.671875" customWidth="1"/>
    <col min="22" max="22" width="1.8828125" customWidth="1"/>
    <col min="23" max="23" width="7.3984375" customWidth="1"/>
    <col min="24" max="24" width="1.4765625" customWidth="1"/>
    <col min="25" max="25" width="4.83984375" customWidth="1"/>
    <col min="26" max="26" width="0.671875" customWidth="1"/>
    <col min="27" max="27" width="9.28125" customWidth="1"/>
    <col min="28" max="28" width="2.6875" customWidth="1"/>
  </cols>
  <sheetData>
    <row r="1" spans="1:41" x14ac:dyDescent="0.2">
      <c r="A1" s="16"/>
      <c r="B1" s="73" t="s">
        <v>531</v>
      </c>
      <c r="C1" s="16"/>
      <c r="D1" s="16"/>
      <c r="E1" s="16"/>
      <c r="F1" s="16"/>
      <c r="G1" s="16"/>
      <c r="H1" s="16"/>
      <c r="I1" s="16"/>
      <c r="J1" s="16"/>
      <c r="K1" s="16"/>
      <c r="L1" s="16"/>
      <c r="M1" s="16"/>
      <c r="N1" s="16"/>
      <c r="O1" s="16"/>
      <c r="P1" s="16"/>
      <c r="Q1" s="16"/>
      <c r="R1" s="16"/>
      <c r="S1" s="16"/>
      <c r="T1" s="16"/>
      <c r="U1" s="16"/>
      <c r="V1" s="16"/>
      <c r="W1" s="16"/>
      <c r="X1" s="16"/>
      <c r="Y1" s="16"/>
      <c r="Z1" s="16"/>
      <c r="AA1" s="16"/>
      <c r="AB1" s="16"/>
    </row>
    <row r="2" spans="1:41" x14ac:dyDescent="0.2">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row>
    <row r="3" spans="1:41" x14ac:dyDescent="0.2">
      <c r="A3" s="77"/>
      <c r="B3" t="s">
        <v>186</v>
      </c>
      <c r="D3" s="1193" t="str">
        <f>IF(Pricing!B59="","Enter Name",Pricing!B59)</f>
        <v>Enter Name</v>
      </c>
      <c r="E3" s="1193"/>
      <c r="F3" s="1193"/>
      <c r="G3" s="1193"/>
      <c r="H3" s="1193"/>
      <c r="I3" s="78"/>
      <c r="J3" s="79" t="s">
        <v>532</v>
      </c>
      <c r="K3" s="79"/>
      <c r="L3" s="1193">
        <f>Pricing!E59</f>
        <v>0</v>
      </c>
      <c r="M3" s="1193"/>
      <c r="N3" s="1193"/>
      <c r="O3" s="78"/>
      <c r="P3" s="79" t="s">
        <v>155</v>
      </c>
      <c r="Q3" s="1193">
        <f>IF(ISERROR('Survey Front'!W8),"",'Survey Front'!W8)</f>
        <v>0</v>
      </c>
      <c r="R3" s="1193"/>
      <c r="S3" s="1193"/>
      <c r="T3" s="1193"/>
      <c r="U3" s="1193"/>
      <c r="V3" s="1193"/>
      <c r="W3" s="1193"/>
      <c r="X3" s="1193"/>
      <c r="Y3" s="1193"/>
      <c r="Z3" s="1193"/>
      <c r="AA3" s="1193"/>
      <c r="AB3" s="80"/>
    </row>
    <row r="4" spans="1:4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row>
    <row r="5" spans="1:41" x14ac:dyDescent="0.2">
      <c r="A5" s="77"/>
      <c r="B5" s="1194" t="s">
        <v>533</v>
      </c>
      <c r="C5" s="1194"/>
      <c r="D5" s="1194"/>
      <c r="E5" s="62"/>
      <c r="F5" s="1195" t="s">
        <v>534</v>
      </c>
      <c r="G5" s="1195"/>
      <c r="H5" s="1195"/>
      <c r="I5" s="62"/>
      <c r="J5" s="1195" t="s">
        <v>535</v>
      </c>
      <c r="K5" s="1195"/>
      <c r="L5" s="1195"/>
      <c r="M5" s="1195"/>
      <c r="N5" s="1195"/>
      <c r="O5" s="77"/>
      <c r="P5" s="1195" t="s">
        <v>536</v>
      </c>
      <c r="Q5" s="1195"/>
      <c r="R5" s="1195"/>
      <c r="S5" s="1195"/>
      <c r="T5" s="77"/>
      <c r="U5" s="77"/>
      <c r="V5" s="1195" t="s">
        <v>537</v>
      </c>
      <c r="W5" s="1195"/>
      <c r="X5" s="1195"/>
      <c r="Y5" s="1195"/>
      <c r="Z5" s="1195"/>
      <c r="AA5" s="1195"/>
      <c r="AB5" s="62"/>
    </row>
    <row r="6" spans="1:41" ht="21" x14ac:dyDescent="0.3">
      <c r="A6" s="77"/>
      <c r="B6" s="1196" t="str">
        <f>'Survey Front'!D12</f>
        <v/>
      </c>
      <c r="C6" s="1196"/>
      <c r="D6" s="1196"/>
      <c r="E6" s="77"/>
      <c r="F6" s="1196" t="str">
        <f>'Survey Front'!E12</f>
        <v/>
      </c>
      <c r="G6" s="1196"/>
      <c r="H6" s="1196"/>
      <c r="I6" s="82"/>
      <c r="J6" s="1196" t="str">
        <f>'Survey Front'!H12</f>
        <v/>
      </c>
      <c r="K6" s="1196"/>
      <c r="L6" s="1196"/>
      <c r="M6" s="1196"/>
      <c r="N6" s="1196"/>
      <c r="O6" s="77"/>
      <c r="P6" s="1196" t="str">
        <f>'Survey Front'!L12</f>
        <v/>
      </c>
      <c r="Q6" s="1196"/>
      <c r="R6" s="1196"/>
      <c r="S6" s="1196"/>
      <c r="T6" s="77"/>
      <c r="U6" s="77"/>
      <c r="V6" s="1196" t="str">
        <f>'Survey Front'!F12</f>
        <v/>
      </c>
      <c r="W6" s="1196"/>
      <c r="X6" s="1196"/>
      <c r="Y6" s="1196"/>
      <c r="Z6" s="1196"/>
      <c r="AA6" s="1196"/>
      <c r="AB6" s="77"/>
      <c r="AE6" s="16"/>
      <c r="AF6" s="16"/>
      <c r="AG6" s="16"/>
      <c r="AH6" s="16"/>
      <c r="AI6" s="16"/>
      <c r="AJ6" s="16"/>
      <c r="AK6" s="16"/>
      <c r="AL6" s="16"/>
      <c r="AM6" s="16"/>
      <c r="AN6" s="16"/>
      <c r="AO6" s="16"/>
    </row>
    <row r="7" spans="1:41" ht="15.75" thickBot="1" x14ac:dyDescent="0.25">
      <c r="A7" s="77"/>
      <c r="B7" s="782"/>
      <c r="C7" s="782"/>
      <c r="D7" s="782"/>
      <c r="E7" s="77"/>
      <c r="F7" s="782"/>
      <c r="G7" s="782"/>
      <c r="H7" s="782"/>
      <c r="I7" s="77"/>
      <c r="J7" s="782"/>
      <c r="K7" s="782"/>
      <c r="L7" s="782"/>
      <c r="M7" s="782"/>
      <c r="N7" s="782"/>
      <c r="O7" s="77"/>
      <c r="P7" s="782"/>
      <c r="Q7" s="782"/>
      <c r="R7" s="782"/>
      <c r="S7" s="782"/>
      <c r="T7" s="77"/>
      <c r="U7" s="77"/>
      <c r="V7" s="782"/>
      <c r="W7" s="782"/>
      <c r="X7" s="782"/>
      <c r="Y7" s="782"/>
      <c r="Z7" s="782"/>
      <c r="AA7" s="782"/>
      <c r="AB7" s="77"/>
      <c r="AE7" s="16"/>
      <c r="AF7" s="16"/>
      <c r="AG7" s="16"/>
      <c r="AH7" s="16"/>
      <c r="AI7" s="16"/>
      <c r="AJ7" s="16"/>
      <c r="AK7" s="16"/>
      <c r="AL7" s="16"/>
      <c r="AM7" s="16"/>
      <c r="AN7" s="16"/>
      <c r="AO7" s="16"/>
    </row>
    <row r="8" spans="1:41" x14ac:dyDescent="0.2">
      <c r="A8" s="77"/>
      <c r="B8" s="1197" t="s">
        <v>22</v>
      </c>
      <c r="C8" s="1197"/>
      <c r="D8" s="1197"/>
      <c r="E8" s="77"/>
      <c r="F8" s="1197" t="s">
        <v>22</v>
      </c>
      <c r="G8" s="1197"/>
      <c r="H8" s="1197"/>
      <c r="I8" s="77"/>
      <c r="J8" s="1197" t="s">
        <v>22</v>
      </c>
      <c r="K8" s="1197"/>
      <c r="L8" s="1197"/>
      <c r="M8" s="1197"/>
      <c r="N8" s="1197"/>
      <c r="O8" s="77"/>
      <c r="P8" s="1197" t="s">
        <v>22</v>
      </c>
      <c r="Q8" s="1197"/>
      <c r="R8" s="1197"/>
      <c r="S8" s="1197"/>
      <c r="T8" s="77"/>
      <c r="U8" s="77"/>
      <c r="V8" s="1197" t="s">
        <v>22</v>
      </c>
      <c r="W8" s="1197"/>
      <c r="X8" s="1197"/>
      <c r="Y8" s="1197"/>
      <c r="Z8" s="1197"/>
      <c r="AA8" s="1197"/>
      <c r="AB8" s="77"/>
      <c r="AE8" s="16"/>
      <c r="AF8" s="16"/>
      <c r="AG8" s="16"/>
      <c r="AH8" s="16"/>
      <c r="AI8" s="16"/>
      <c r="AJ8" s="16"/>
      <c r="AK8" s="16"/>
      <c r="AL8" s="16"/>
      <c r="AM8" s="16"/>
      <c r="AN8" s="16"/>
      <c r="AO8" s="16"/>
    </row>
    <row r="9" spans="1:41" x14ac:dyDescent="0.2">
      <c r="A9" s="77"/>
      <c r="B9" s="782"/>
      <c r="C9" s="782"/>
      <c r="D9" s="782"/>
      <c r="E9" s="77"/>
      <c r="F9" s="782"/>
      <c r="G9" s="782"/>
      <c r="H9" s="782"/>
      <c r="I9" s="77"/>
      <c r="J9" s="782"/>
      <c r="K9" s="782"/>
      <c r="L9" s="782"/>
      <c r="M9" s="782"/>
      <c r="N9" s="782"/>
      <c r="O9" s="77"/>
      <c r="P9" s="782"/>
      <c r="Q9" s="782"/>
      <c r="R9" s="782"/>
      <c r="S9" s="782"/>
      <c r="T9" s="77"/>
      <c r="U9" s="77"/>
      <c r="V9" s="1198"/>
      <c r="W9" s="782"/>
      <c r="X9" s="782"/>
      <c r="Y9" s="782"/>
      <c r="Z9" s="782"/>
      <c r="AA9" s="782"/>
      <c r="AB9" s="77"/>
      <c r="AE9" s="16"/>
      <c r="AF9" s="16"/>
      <c r="AG9" s="16"/>
      <c r="AH9" s="1167"/>
      <c r="AI9" s="1167"/>
      <c r="AJ9" s="1167"/>
      <c r="AK9" s="1167"/>
      <c r="AL9" s="1167"/>
      <c r="AM9" s="1167"/>
      <c r="AN9" s="1167"/>
      <c r="AO9" s="1167"/>
    </row>
    <row r="10" spans="1:41" x14ac:dyDescent="0.2">
      <c r="A10" s="77"/>
      <c r="B10" s="782"/>
      <c r="C10" s="782"/>
      <c r="D10" s="782"/>
      <c r="E10" s="77"/>
      <c r="F10" s="782"/>
      <c r="G10" s="782"/>
      <c r="H10" s="782"/>
      <c r="I10" s="77"/>
      <c r="J10" s="782"/>
      <c r="K10" s="782"/>
      <c r="L10" s="782"/>
      <c r="M10" s="782"/>
      <c r="N10" s="782"/>
      <c r="O10" s="77"/>
      <c r="P10" s="782"/>
      <c r="Q10" s="782"/>
      <c r="R10" s="782"/>
      <c r="S10" s="782"/>
      <c r="T10" s="77"/>
      <c r="U10" s="77"/>
      <c r="V10" s="782"/>
      <c r="W10" s="782"/>
      <c r="X10" s="782"/>
      <c r="Y10" s="782"/>
      <c r="Z10" s="782"/>
      <c r="AA10" s="782"/>
      <c r="AB10" s="77"/>
    </row>
    <row r="11" spans="1:41" x14ac:dyDescent="0.2">
      <c r="A11" s="77"/>
      <c r="B11" s="782"/>
      <c r="C11" s="782"/>
      <c r="D11" s="782"/>
      <c r="E11" s="77"/>
      <c r="F11" s="782"/>
      <c r="G11" s="782"/>
      <c r="H11" s="782"/>
      <c r="I11" s="77"/>
      <c r="J11" s="782"/>
      <c r="K11" s="782"/>
      <c r="L11" s="782"/>
      <c r="M11" s="782"/>
      <c r="N11" s="782"/>
      <c r="O11" s="77"/>
      <c r="P11" s="782"/>
      <c r="Q11" s="782"/>
      <c r="R11" s="782"/>
      <c r="S11" s="782"/>
      <c r="T11" s="77"/>
      <c r="U11" s="77"/>
      <c r="V11" s="782"/>
      <c r="W11" s="782"/>
      <c r="X11" s="782"/>
      <c r="Y11" s="782"/>
      <c r="Z11" s="782"/>
      <c r="AA11" s="782"/>
      <c r="AB11" s="77"/>
    </row>
    <row r="12" spans="1:41" x14ac:dyDescent="0.2">
      <c r="A12" s="77"/>
      <c r="B12" s="782"/>
      <c r="C12" s="782"/>
      <c r="D12" s="782"/>
      <c r="E12" s="77"/>
      <c r="F12" s="782"/>
      <c r="G12" s="782"/>
      <c r="H12" s="782"/>
      <c r="I12" s="77"/>
      <c r="J12" s="782"/>
      <c r="K12" s="782"/>
      <c r="L12" s="782"/>
      <c r="M12" s="782"/>
      <c r="N12" s="782"/>
      <c r="O12" s="77"/>
      <c r="P12" s="782"/>
      <c r="Q12" s="782"/>
      <c r="R12" s="782"/>
      <c r="S12" s="782"/>
      <c r="T12" s="77"/>
      <c r="U12" s="77"/>
      <c r="V12" s="782"/>
      <c r="W12" s="782"/>
      <c r="X12" s="782"/>
      <c r="Y12" s="782"/>
      <c r="Z12" s="782"/>
      <c r="AA12" s="782"/>
      <c r="AB12" s="77"/>
    </row>
    <row r="13" spans="1:41" x14ac:dyDescent="0.2">
      <c r="A13" s="77"/>
      <c r="B13" s="782"/>
      <c r="C13" s="782"/>
      <c r="D13" s="782"/>
      <c r="E13" s="77"/>
      <c r="F13" s="782"/>
      <c r="G13" s="782"/>
      <c r="H13" s="782"/>
      <c r="I13" s="77"/>
      <c r="J13" s="782"/>
      <c r="K13" s="782"/>
      <c r="L13" s="782"/>
      <c r="M13" s="782"/>
      <c r="N13" s="782"/>
      <c r="O13" s="77"/>
      <c r="P13" s="782"/>
      <c r="Q13" s="782"/>
      <c r="R13" s="782"/>
      <c r="S13" s="782"/>
      <c r="T13" s="77"/>
      <c r="U13" s="77"/>
      <c r="V13" s="782"/>
      <c r="W13" s="782"/>
      <c r="X13" s="782"/>
      <c r="Y13" s="782"/>
      <c r="Z13" s="782"/>
      <c r="AA13" s="782"/>
      <c r="AB13" s="77"/>
    </row>
    <row r="14" spans="1:41" ht="3.6" customHeight="1" x14ac:dyDescent="0.2">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row>
    <row r="15" spans="1:41" ht="6" customHeight="1" x14ac:dyDescent="0.2">
      <c r="A15" s="77"/>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77"/>
    </row>
    <row r="16" spans="1:41" ht="6" customHeight="1" x14ac:dyDescent="0.2">
      <c r="A16" s="77"/>
      <c r="B16" s="77"/>
      <c r="C16" s="77"/>
      <c r="D16" s="77"/>
      <c r="E16" s="77"/>
      <c r="F16" s="77"/>
      <c r="G16" s="77"/>
      <c r="H16" s="77"/>
      <c r="I16" s="77"/>
      <c r="J16" s="77"/>
      <c r="K16" s="77"/>
      <c r="L16" s="77"/>
      <c r="M16" s="77"/>
      <c r="N16" s="77"/>
      <c r="O16" s="16"/>
      <c r="P16" s="16"/>
      <c r="Q16" s="16"/>
      <c r="R16" s="16"/>
      <c r="S16" s="16"/>
      <c r="T16" s="16"/>
      <c r="U16" s="16"/>
      <c r="V16" s="16"/>
      <c r="W16" s="16"/>
      <c r="X16" s="16"/>
      <c r="Y16" s="16"/>
      <c r="Z16" s="16"/>
      <c r="AA16" s="16"/>
      <c r="AB16" s="77"/>
    </row>
    <row r="17" spans="1:28" ht="21" customHeight="1" thickBot="1" x14ac:dyDescent="0.25">
      <c r="A17" s="77"/>
      <c r="B17" s="40" t="s">
        <v>538</v>
      </c>
      <c r="C17" s="16"/>
      <c r="D17" s="1200"/>
      <c r="E17" s="1200"/>
      <c r="F17" s="1200"/>
      <c r="G17" s="1200"/>
      <c r="H17" s="1200"/>
      <c r="I17" s="1200"/>
      <c r="J17" s="1200"/>
      <c r="K17" s="1200"/>
      <c r="L17" s="1200"/>
      <c r="M17" s="1200"/>
      <c r="N17" s="77"/>
      <c r="O17" s="16"/>
      <c r="P17" s="76" t="s">
        <v>539</v>
      </c>
      <c r="Q17" s="83"/>
      <c r="R17" s="83"/>
      <c r="S17" s="83"/>
      <c r="T17" s="83"/>
      <c r="U17" s="83"/>
      <c r="V17" s="83"/>
      <c r="W17" s="83"/>
      <c r="X17" s="83"/>
      <c r="Y17" s="83"/>
      <c r="Z17" s="83"/>
      <c r="AA17" s="83"/>
      <c r="AB17" s="77"/>
    </row>
    <row r="18" spans="1:28" ht="15.75" thickTop="1" x14ac:dyDescent="0.2">
      <c r="A18" s="77"/>
      <c r="B18" s="16"/>
      <c r="C18" s="16"/>
      <c r="D18" s="1200"/>
      <c r="E18" s="1200"/>
      <c r="F18" s="1200"/>
      <c r="G18" s="1200"/>
      <c r="H18" s="1200"/>
      <c r="I18" s="1200"/>
      <c r="J18" s="1200"/>
      <c r="K18" s="1200"/>
      <c r="L18" s="1200"/>
      <c r="M18" s="1200"/>
      <c r="N18" s="77"/>
      <c r="O18" s="16"/>
      <c r="P18" s="77"/>
      <c r="Q18" s="77"/>
      <c r="R18" s="77"/>
      <c r="S18" s="77"/>
      <c r="T18" s="77"/>
      <c r="U18" s="77"/>
      <c r="V18" s="77"/>
      <c r="W18" s="77"/>
      <c r="X18" s="77"/>
      <c r="Y18" s="77"/>
      <c r="Z18" s="77"/>
      <c r="AA18" s="77"/>
      <c r="AB18" s="77"/>
    </row>
    <row r="19" spans="1:28" x14ac:dyDescent="0.2">
      <c r="A19" s="77"/>
      <c r="B19" s="16"/>
      <c r="C19" s="16"/>
      <c r="D19" s="1200"/>
      <c r="E19" s="1200"/>
      <c r="F19" s="1200"/>
      <c r="G19" s="1200"/>
      <c r="H19" s="1200"/>
      <c r="I19" s="1200"/>
      <c r="J19" s="1200"/>
      <c r="K19" s="1200"/>
      <c r="L19" s="1200"/>
      <c r="M19" s="1200"/>
      <c r="N19" s="77"/>
      <c r="O19" s="16"/>
      <c r="P19" s="77" t="s">
        <v>964</v>
      </c>
      <c r="Q19" s="77"/>
      <c r="R19" s="1167" t="s">
        <v>170</v>
      </c>
      <c r="S19" s="1167"/>
      <c r="T19" s="1167"/>
      <c r="U19" s="77"/>
      <c r="V19" s="77"/>
      <c r="W19" s="77" t="s">
        <v>541</v>
      </c>
      <c r="X19" s="77"/>
      <c r="Y19" s="77"/>
      <c r="Z19" s="77"/>
      <c r="AA19" s="18" t="s">
        <v>542</v>
      </c>
      <c r="AB19" s="77"/>
    </row>
    <row r="20" spans="1:28" ht="1.9" customHeight="1" x14ac:dyDescent="0.2">
      <c r="A20" s="77"/>
      <c r="B20" s="77"/>
      <c r="C20" s="77"/>
      <c r="D20" s="77"/>
      <c r="E20" s="77"/>
      <c r="F20" s="77"/>
      <c r="G20" s="77"/>
      <c r="H20" s="77"/>
      <c r="I20" s="77"/>
      <c r="J20" s="77"/>
      <c r="K20" s="77"/>
      <c r="L20" s="77"/>
      <c r="M20" s="77"/>
      <c r="N20" s="77"/>
      <c r="O20" s="16"/>
      <c r="P20" s="77"/>
      <c r="Q20" s="77"/>
      <c r="R20" s="77"/>
      <c r="S20" s="77"/>
      <c r="T20" s="77"/>
      <c r="U20" s="77"/>
      <c r="V20" s="77"/>
      <c r="W20" s="77"/>
      <c r="X20" s="77"/>
      <c r="Y20" s="77"/>
      <c r="Z20" s="77"/>
      <c r="AA20" s="62"/>
      <c r="AB20" s="77"/>
    </row>
    <row r="21" spans="1:28" x14ac:dyDescent="0.2">
      <c r="A21" s="77"/>
      <c r="B21" s="77"/>
      <c r="C21" s="77"/>
      <c r="D21" s="77"/>
      <c r="E21" s="77"/>
      <c r="F21" s="77"/>
      <c r="G21" s="77"/>
      <c r="H21" s="77"/>
      <c r="I21" s="77"/>
      <c r="J21" s="77"/>
      <c r="K21" s="77"/>
      <c r="L21" s="77"/>
      <c r="M21" s="77"/>
      <c r="N21" s="77"/>
      <c r="O21" s="16"/>
      <c r="P21" s="77" t="s">
        <v>543</v>
      </c>
      <c r="Q21" s="77"/>
      <c r="R21" s="1167" t="s">
        <v>542</v>
      </c>
      <c r="S21" s="1167"/>
      <c r="T21" s="1167"/>
      <c r="U21" s="77"/>
      <c r="V21" s="77"/>
      <c r="W21" s="77" t="s">
        <v>544</v>
      </c>
      <c r="X21" s="77"/>
      <c r="Y21" s="77"/>
      <c r="Z21" s="77"/>
      <c r="AA21" s="18" t="s">
        <v>542</v>
      </c>
      <c r="AB21" s="77"/>
    </row>
    <row r="22" spans="1:28" ht="1.9" customHeight="1" x14ac:dyDescent="0.2">
      <c r="A22" s="77"/>
      <c r="B22" s="77"/>
      <c r="C22" s="77"/>
      <c r="D22" s="77"/>
      <c r="E22" s="77"/>
      <c r="F22" s="77"/>
      <c r="G22" s="77"/>
      <c r="H22" s="77"/>
      <c r="I22" s="77"/>
      <c r="J22" s="77"/>
      <c r="K22" s="77"/>
      <c r="L22" s="77"/>
      <c r="M22" s="77"/>
      <c r="N22" s="77"/>
      <c r="O22" s="16"/>
      <c r="P22" s="77"/>
      <c r="Q22" s="77"/>
      <c r="R22" s="77"/>
      <c r="S22" s="77"/>
      <c r="T22" s="77"/>
      <c r="U22" s="77"/>
      <c r="V22" s="77"/>
      <c r="W22" s="77"/>
      <c r="X22" s="77"/>
      <c r="Y22" s="77"/>
      <c r="Z22" s="77"/>
      <c r="AA22" s="62"/>
      <c r="AB22" s="77"/>
    </row>
    <row r="23" spans="1:28" x14ac:dyDescent="0.2">
      <c r="A23" s="77"/>
      <c r="B23" s="84" t="s">
        <v>551</v>
      </c>
      <c r="C23" s="77"/>
      <c r="D23" s="77"/>
      <c r="E23" s="77"/>
      <c r="F23" s="77"/>
      <c r="G23" s="77"/>
      <c r="H23" s="18">
        <v>12</v>
      </c>
      <c r="I23" s="85" t="s">
        <v>552</v>
      </c>
      <c r="J23" s="18">
        <v>14</v>
      </c>
      <c r="K23" s="76" t="s">
        <v>553</v>
      </c>
      <c r="L23" s="77"/>
      <c r="M23" s="77"/>
      <c r="N23" s="77"/>
      <c r="O23" s="16"/>
      <c r="P23" s="77" t="s">
        <v>546</v>
      </c>
      <c r="Q23" s="77"/>
      <c r="R23" s="1167" t="s">
        <v>542</v>
      </c>
      <c r="S23" s="1167"/>
      <c r="T23" s="1167"/>
      <c r="U23" s="77"/>
      <c r="V23" s="77"/>
      <c r="W23" s="77" t="s">
        <v>547</v>
      </c>
      <c r="X23" s="77"/>
      <c r="Y23" s="77"/>
      <c r="Z23" s="77"/>
      <c r="AA23" s="18" t="s">
        <v>542</v>
      </c>
      <c r="AB23" s="77"/>
    </row>
    <row r="24" spans="1:28" ht="1.9" customHeight="1" x14ac:dyDescent="0.2">
      <c r="A24" s="77"/>
      <c r="B24" s="1201" t="s">
        <v>557</v>
      </c>
      <c r="C24" s="1201"/>
      <c r="D24" s="1201"/>
      <c r="E24" s="1201"/>
      <c r="F24" s="1201"/>
      <c r="G24" s="1201"/>
      <c r="H24" s="1201"/>
      <c r="I24" s="1201"/>
      <c r="J24" s="1201"/>
      <c r="K24" s="1201"/>
      <c r="L24" s="1201"/>
      <c r="M24" s="1201"/>
      <c r="N24" s="1201"/>
      <c r="O24" s="16"/>
      <c r="P24" s="77"/>
      <c r="Q24" s="77"/>
      <c r="R24" s="77"/>
      <c r="S24" s="77"/>
      <c r="T24" s="77"/>
      <c r="U24" s="77"/>
      <c r="V24" s="77"/>
      <c r="W24" s="77"/>
      <c r="X24" s="77"/>
      <c r="Y24" s="77"/>
      <c r="Z24" s="77"/>
      <c r="AA24" s="62"/>
      <c r="AB24" s="77"/>
    </row>
    <row r="25" spans="1:28" x14ac:dyDescent="0.2">
      <c r="A25" s="77"/>
      <c r="B25" s="1201"/>
      <c r="C25" s="1201"/>
      <c r="D25" s="1201"/>
      <c r="E25" s="1201"/>
      <c r="F25" s="1201"/>
      <c r="G25" s="1201"/>
      <c r="H25" s="1201"/>
      <c r="I25" s="1201"/>
      <c r="J25" s="1201"/>
      <c r="K25" s="1201"/>
      <c r="L25" s="1201"/>
      <c r="M25" s="1201"/>
      <c r="N25" s="1201"/>
      <c r="O25" s="16"/>
      <c r="P25" s="77" t="s">
        <v>548</v>
      </c>
      <c r="Q25" s="77"/>
      <c r="R25" s="1167" t="s">
        <v>542</v>
      </c>
      <c r="S25" s="1167"/>
      <c r="T25" s="1167"/>
      <c r="U25" s="77"/>
      <c r="V25" s="77"/>
      <c r="W25" s="77" t="s">
        <v>549</v>
      </c>
      <c r="X25" s="77"/>
      <c r="Y25" s="77"/>
      <c r="Z25" s="77"/>
      <c r="AA25" s="18" t="s">
        <v>542</v>
      </c>
      <c r="AB25" s="77"/>
    </row>
    <row r="26" spans="1:28" x14ac:dyDescent="0.2">
      <c r="A26" s="77"/>
      <c r="B26" s="77"/>
      <c r="C26" s="77"/>
      <c r="D26" s="77"/>
      <c r="E26" s="77"/>
      <c r="F26" s="77"/>
      <c r="G26" s="77"/>
      <c r="H26" s="77"/>
      <c r="I26" s="77"/>
      <c r="J26" s="77"/>
      <c r="K26" s="77"/>
      <c r="L26" s="77"/>
      <c r="M26" s="77"/>
      <c r="N26" s="77"/>
      <c r="O26" s="16"/>
      <c r="P26" s="77"/>
      <c r="Q26" s="77"/>
      <c r="R26" s="77"/>
      <c r="S26" s="77"/>
      <c r="T26" s="77"/>
      <c r="U26" s="77"/>
      <c r="V26" s="77"/>
      <c r="W26" s="77"/>
      <c r="X26" s="77"/>
      <c r="Y26" s="77"/>
      <c r="Z26" s="77"/>
      <c r="AA26" s="77"/>
      <c r="AB26" s="77"/>
    </row>
    <row r="27" spans="1:28" ht="6" customHeight="1" x14ac:dyDescent="0.2">
      <c r="A27" s="77"/>
      <c r="B27" s="77"/>
      <c r="C27" s="77"/>
      <c r="D27" s="77"/>
      <c r="E27" s="77"/>
      <c r="F27" s="77"/>
      <c r="G27" s="77"/>
      <c r="H27" s="77"/>
      <c r="I27" s="77"/>
      <c r="J27" s="77"/>
      <c r="K27" s="77"/>
      <c r="L27" s="77"/>
      <c r="M27" s="77"/>
      <c r="N27" s="77"/>
      <c r="O27" s="16"/>
      <c r="P27" s="16"/>
      <c r="Q27" s="16"/>
      <c r="R27" s="16"/>
      <c r="S27" s="16"/>
      <c r="T27" s="16"/>
      <c r="U27" s="16"/>
      <c r="V27" s="16"/>
      <c r="W27" s="16"/>
      <c r="X27" s="16"/>
      <c r="Y27" s="16"/>
      <c r="Z27" s="16"/>
      <c r="AA27" s="16"/>
      <c r="AB27" s="77"/>
    </row>
    <row r="28" spans="1:28" ht="1.9" customHeight="1" x14ac:dyDescent="0.2">
      <c r="A28" s="77"/>
      <c r="B28" s="77"/>
      <c r="C28" s="77"/>
      <c r="D28" s="77"/>
      <c r="E28" s="77"/>
      <c r="F28" s="77"/>
      <c r="G28" s="77"/>
      <c r="H28" s="77"/>
      <c r="I28" s="77"/>
      <c r="J28" s="77"/>
      <c r="K28" s="77"/>
      <c r="L28" s="77"/>
      <c r="M28" s="77"/>
      <c r="N28" s="77"/>
      <c r="O28" s="16"/>
      <c r="P28" s="16"/>
      <c r="Q28" s="16"/>
      <c r="R28" s="16"/>
      <c r="S28" s="16"/>
      <c r="T28" s="16"/>
      <c r="U28" s="16"/>
      <c r="V28" s="16"/>
      <c r="W28" s="16"/>
      <c r="X28" s="16"/>
      <c r="Y28" s="16"/>
      <c r="Z28" s="16"/>
      <c r="AA28" s="16"/>
      <c r="AB28" s="77"/>
    </row>
    <row r="29" spans="1:28" ht="1.9" customHeight="1" x14ac:dyDescent="0.2">
      <c r="A29" s="77"/>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77"/>
    </row>
    <row r="30" spans="1:28" ht="1.9" customHeight="1" x14ac:dyDescent="0.2">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row>
    <row r="31" spans="1:28" x14ac:dyDescent="0.2">
      <c r="A31" s="77"/>
      <c r="B31" s="1204" t="s">
        <v>559</v>
      </c>
      <c r="C31" s="1204"/>
      <c r="D31" s="1204"/>
      <c r="E31" s="1204"/>
      <c r="F31" s="1204"/>
      <c r="G31" s="1204"/>
      <c r="H31" s="1204"/>
      <c r="I31" s="1204"/>
      <c r="J31" s="1204"/>
      <c r="K31" s="1204"/>
      <c r="L31" s="1204"/>
      <c r="M31" s="1204"/>
      <c r="N31" s="1204"/>
      <c r="O31" s="1204"/>
      <c r="P31" s="1204"/>
      <c r="Q31" s="1204"/>
      <c r="R31" s="1204"/>
      <c r="S31" s="77"/>
      <c r="T31" s="77"/>
      <c r="U31" s="77"/>
      <c r="V31" s="77"/>
      <c r="W31" s="77"/>
      <c r="X31" s="77"/>
      <c r="Y31" s="77"/>
      <c r="Z31" s="77"/>
      <c r="AA31" s="77"/>
      <c r="AB31" s="77"/>
    </row>
    <row r="32" spans="1:28" x14ac:dyDescent="0.2">
      <c r="A32" s="77"/>
      <c r="B32" s="1204"/>
      <c r="C32" s="1204"/>
      <c r="D32" s="1204"/>
      <c r="E32" s="1204"/>
      <c r="F32" s="1204"/>
      <c r="G32" s="1204"/>
      <c r="H32" s="1204"/>
      <c r="I32" s="1204"/>
      <c r="J32" s="1204"/>
      <c r="K32" s="1204"/>
      <c r="L32" s="1204"/>
      <c r="M32" s="1204"/>
      <c r="N32" s="1204"/>
      <c r="O32" s="1204"/>
      <c r="P32" s="1204"/>
      <c r="Q32" s="1204"/>
      <c r="R32" s="1204"/>
      <c r="S32" s="77"/>
      <c r="T32" s="77"/>
      <c r="U32" s="77"/>
      <c r="V32" s="77"/>
      <c r="W32" s="77"/>
      <c r="X32" s="77"/>
      <c r="Y32" s="77"/>
      <c r="Z32" s="77"/>
      <c r="AA32" s="77"/>
      <c r="AB32" s="77"/>
    </row>
    <row r="33" spans="1:28" x14ac:dyDescent="0.2">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row>
    <row r="34" spans="1:28" ht="1.9" customHeight="1" x14ac:dyDescent="0.2">
      <c r="A34" s="77"/>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77"/>
    </row>
    <row r="35" spans="1:28" ht="3" customHeight="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row>
    <row r="36" spans="1:28" ht="14.45" customHeight="1" x14ac:dyDescent="0.2">
      <c r="A36" s="77"/>
      <c r="B36" s="372"/>
      <c r="C36" s="1217" t="s">
        <v>789</v>
      </c>
      <c r="D36" s="1217"/>
      <c r="E36" s="1217"/>
      <c r="F36" s="1217"/>
      <c r="G36" s="1217"/>
      <c r="H36" s="1217"/>
      <c r="I36" s="1217"/>
      <c r="J36" s="1217"/>
      <c r="K36" s="1217"/>
      <c r="L36" s="1217"/>
      <c r="M36" s="1217"/>
      <c r="N36" s="1217"/>
      <c r="O36" s="1217"/>
      <c r="P36" s="1217"/>
      <c r="Q36" s="1217"/>
      <c r="R36" s="1218"/>
      <c r="S36" s="88"/>
      <c r="T36" s="16" t="s">
        <v>560</v>
      </c>
      <c r="U36" s="16"/>
      <c r="V36" s="16"/>
      <c r="W36" s="16"/>
      <c r="X36" s="16"/>
      <c r="Y36" s="16"/>
      <c r="Z36" s="16"/>
      <c r="AA36" s="16"/>
      <c r="AB36" s="77"/>
    </row>
    <row r="37" spans="1:28" ht="19.899999999999999" customHeight="1" thickBot="1" x14ac:dyDescent="0.25">
      <c r="A37" s="77"/>
      <c r="B37" s="179"/>
      <c r="C37" s="1219"/>
      <c r="D37" s="1219"/>
      <c r="E37" s="1219"/>
      <c r="F37" s="1219"/>
      <c r="G37" s="1219"/>
      <c r="H37" s="1219"/>
      <c r="I37" s="1219"/>
      <c r="J37" s="1219"/>
      <c r="K37" s="1219"/>
      <c r="L37" s="1219"/>
      <c r="M37" s="1219"/>
      <c r="N37" s="1219"/>
      <c r="O37" s="1219"/>
      <c r="P37" s="1219"/>
      <c r="Q37" s="1219"/>
      <c r="R37" s="1220"/>
      <c r="S37" s="88"/>
      <c r="T37" s="1167"/>
      <c r="U37" s="1167"/>
      <c r="V37" s="1167"/>
      <c r="W37" s="1167"/>
      <c r="X37" s="1167"/>
      <c r="Y37" s="1167"/>
      <c r="Z37" s="1167"/>
      <c r="AA37" s="1167"/>
      <c r="AB37" s="77"/>
    </row>
    <row r="38" spans="1:28" ht="5.45" customHeight="1" thickBot="1" x14ac:dyDescent="0.25">
      <c r="A38" s="77"/>
      <c r="B38" s="88"/>
      <c r="C38" s="88"/>
      <c r="D38" s="88"/>
      <c r="E38" s="88"/>
      <c r="F38" s="88"/>
      <c r="G38" s="88"/>
      <c r="H38" s="88"/>
      <c r="I38" s="88"/>
      <c r="J38" s="88"/>
      <c r="K38" s="88"/>
      <c r="L38" s="88"/>
      <c r="M38" s="88"/>
      <c r="N38" s="88"/>
      <c r="O38" s="88"/>
      <c r="P38" s="88"/>
      <c r="Q38" s="88"/>
      <c r="R38" s="88"/>
      <c r="S38" s="88"/>
      <c r="T38" s="1167"/>
      <c r="U38" s="1167"/>
      <c r="V38" s="1167"/>
      <c r="W38" s="1167"/>
      <c r="X38" s="1167"/>
      <c r="Y38" s="1167"/>
      <c r="Z38" s="1167"/>
      <c r="AA38" s="1167"/>
      <c r="AB38" s="77"/>
    </row>
    <row r="39" spans="1:28" ht="15" customHeight="1" thickBot="1" x14ac:dyDescent="0.25">
      <c r="A39" s="77"/>
      <c r="B39" s="1206" t="s">
        <v>561</v>
      </c>
      <c r="C39" s="1207"/>
      <c r="D39" s="1207"/>
      <c r="E39" s="1207"/>
      <c r="F39" s="1207"/>
      <c r="G39" s="1207"/>
      <c r="H39" s="1207"/>
      <c r="I39" s="1207"/>
      <c r="J39" s="1207"/>
      <c r="K39" s="1207"/>
      <c r="L39" s="1207"/>
      <c r="M39" s="1207"/>
      <c r="N39" s="1207"/>
      <c r="O39" s="1207"/>
      <c r="P39" s="1207"/>
      <c r="Q39" s="1207"/>
      <c r="R39" s="1208"/>
      <c r="S39" s="89"/>
      <c r="T39" s="1205"/>
      <c r="U39" s="1205"/>
      <c r="V39" s="1205"/>
      <c r="W39" s="1205"/>
      <c r="X39" s="1205"/>
      <c r="Y39" s="1205"/>
      <c r="Z39" s="1205"/>
      <c r="AA39" s="1205"/>
      <c r="AB39" s="77"/>
    </row>
    <row r="40" spans="1:28" ht="24" customHeight="1" x14ac:dyDescent="0.2">
      <c r="A40" s="77"/>
      <c r="B40" s="1209"/>
      <c r="C40" s="1210"/>
      <c r="D40" s="1210"/>
      <c r="E40" s="1210"/>
      <c r="F40" s="1210"/>
      <c r="G40" s="1210"/>
      <c r="H40" s="1210"/>
      <c r="I40" s="1210"/>
      <c r="J40" s="1210"/>
      <c r="K40" s="1210"/>
      <c r="L40" s="1210"/>
      <c r="M40" s="1210"/>
      <c r="N40" s="1210"/>
      <c r="O40" s="1210"/>
      <c r="P40" s="1210"/>
      <c r="Q40" s="1210"/>
      <c r="R40" s="1211"/>
      <c r="S40" s="89"/>
      <c r="T40" s="1215" t="s">
        <v>58</v>
      </c>
      <c r="U40" s="1215"/>
      <c r="V40" s="1215"/>
      <c r="W40" s="1216"/>
      <c r="X40" s="1216"/>
      <c r="Y40" s="1216"/>
      <c r="Z40" s="1216"/>
      <c r="AA40" s="1216"/>
      <c r="AB40" s="77"/>
    </row>
    <row r="41" spans="1:28" ht="41.45" customHeight="1" thickBot="1" x14ac:dyDescent="0.25">
      <c r="A41" s="77"/>
      <c r="B41" s="1212"/>
      <c r="C41" s="1213"/>
      <c r="D41" s="1213"/>
      <c r="E41" s="1213"/>
      <c r="F41" s="1213"/>
      <c r="G41" s="1213"/>
      <c r="H41" s="1213"/>
      <c r="I41" s="1213"/>
      <c r="J41" s="1213"/>
      <c r="K41" s="1213"/>
      <c r="L41" s="1213"/>
      <c r="M41" s="1213"/>
      <c r="N41" s="1213"/>
      <c r="O41" s="1213"/>
      <c r="P41" s="1213"/>
      <c r="Q41" s="1213"/>
      <c r="R41" s="1214"/>
      <c r="S41" s="89"/>
      <c r="T41" s="77"/>
      <c r="U41" s="77"/>
      <c r="V41" s="77"/>
      <c r="W41" s="77"/>
      <c r="X41" s="77"/>
      <c r="Y41" s="77"/>
      <c r="Z41" s="77"/>
      <c r="AA41" s="77"/>
      <c r="AB41" s="77"/>
    </row>
  </sheetData>
  <mergeCells count="41">
    <mergeCell ref="D3:H3"/>
    <mergeCell ref="L3:N3"/>
    <mergeCell ref="Q3:AA3"/>
    <mergeCell ref="B5:D5"/>
    <mergeCell ref="F5:H5"/>
    <mergeCell ref="J5:N5"/>
    <mergeCell ref="P5:S5"/>
    <mergeCell ref="V5:AA5"/>
    <mergeCell ref="B7:D7"/>
    <mergeCell ref="F7:H7"/>
    <mergeCell ref="J7:N7"/>
    <mergeCell ref="P7:S7"/>
    <mergeCell ref="V7:AA7"/>
    <mergeCell ref="B6:D6"/>
    <mergeCell ref="F6:H6"/>
    <mergeCell ref="J6:N6"/>
    <mergeCell ref="P6:S6"/>
    <mergeCell ref="V6:AA6"/>
    <mergeCell ref="AH9:AO9"/>
    <mergeCell ref="B8:D8"/>
    <mergeCell ref="F8:H8"/>
    <mergeCell ref="J8:N8"/>
    <mergeCell ref="P8:S8"/>
    <mergeCell ref="V8:AA8"/>
    <mergeCell ref="B9:D13"/>
    <mergeCell ref="F9:H13"/>
    <mergeCell ref="J9:N13"/>
    <mergeCell ref="P9:S13"/>
    <mergeCell ref="V9:AA13"/>
    <mergeCell ref="B24:N25"/>
    <mergeCell ref="D17:M19"/>
    <mergeCell ref="R19:T19"/>
    <mergeCell ref="R21:T21"/>
    <mergeCell ref="R23:T23"/>
    <mergeCell ref="R25:T25"/>
    <mergeCell ref="B31:R32"/>
    <mergeCell ref="T37:AA39"/>
    <mergeCell ref="B39:R41"/>
    <mergeCell ref="T40:V40"/>
    <mergeCell ref="W40:AA40"/>
    <mergeCell ref="C36:R37"/>
  </mergeCells>
  <conditionalFormatting sqref="R19:T19">
    <cfRule type="containsText" dxfId="17" priority="1" operator="containsText" text="Yes">
      <formula>NOT(ISERROR(SEARCH("Yes",R19)))</formula>
    </cfRule>
    <cfRule type="containsText" dxfId="16" priority="2" operator="containsText" text="Select">
      <formula>NOT(ISERROR(SEARCH("Select",R19)))</formula>
    </cfRule>
  </conditionalFormatting>
  <dataValidations count="10">
    <dataValidation type="list" allowBlank="1" showInputMessage="1" showErrorMessage="1" sqref="R19:T19" xr:uid="{1B3E373B-C30B-4BEB-BF0E-7EE7B55CB8DF}">
      <formula1>"Select,No, Yes"</formula1>
    </dataValidation>
    <dataValidation type="list" allowBlank="1" showInputMessage="1" showErrorMessage="1" sqref="AA25 R21:T21 R23:T23 R25:T25 AA19 AA21 AA23" xr:uid="{18BDC283-3305-4B75-B9A8-540E88650238}">
      <formula1>"No, Yes"</formula1>
    </dataValidation>
    <dataValidation type="list" allowBlank="1" showInputMessage="1" showErrorMessage="1" sqref="H23" xr:uid="{65CBE9AA-3EF3-4151-AA76-8F7A618C1AD5}">
      <formula1>"01,02,03,04,05,06,07,08,09,10,11,12,13,14,15,16,17,18,19,20"</formula1>
    </dataValidation>
    <dataValidation type="list" allowBlank="1" showInputMessage="1" sqref="B6:D6" xr:uid="{638491DB-348F-4395-8CF1-C98ACBF2226F}">
      <formula1>Type</formula1>
    </dataValidation>
    <dataValidation type="list" allowBlank="1" showInputMessage="1" sqref="F6:H6" xr:uid="{911C764D-BC95-4B1B-89D8-D6A08F22901D}">
      <formula1>MMaterial</formula1>
    </dataValidation>
    <dataValidation type="list" allowBlank="1" showInputMessage="1" sqref="J6:N6" xr:uid="{9926F94E-0F44-4F27-B356-CF28F0C17424}">
      <formula1>INDIRECT(F6 &amp; "L")</formula1>
    </dataValidation>
    <dataValidation type="list" allowBlank="1" showInputMessage="1" sqref="P6:S6" xr:uid="{C3D0EF8F-DCB2-4D34-94E1-E52C27D8FBEF}">
      <formula1>TiltRod</formula1>
    </dataValidation>
    <dataValidation type="list" allowBlank="1" showInputMessage="1" sqref="V6:AA6" xr:uid="{263EFA65-993D-4E64-A534-14AB4D02DA75}">
      <formula1>INDIRECT(F6)</formula1>
    </dataValidation>
    <dataValidation type="list" allowBlank="1" showInputMessage="1" sqref="Q3:AA3" xr:uid="{968FCBFB-CA30-4C95-9751-9070B2BEBB56}">
      <formula1>Surveyors</formula1>
    </dataValidation>
    <dataValidation type="list" allowBlank="1" showInputMessage="1" showErrorMessage="1" sqref="J23" xr:uid="{12DB52C3-8564-4F04-B2AC-719902A883C8}">
      <formula1>"20,19,18,17,16,15,14,13,12,11,10,09,08,07,06,05,05,03,02,01"</formula1>
    </dataValidation>
  </dataValidations>
  <pageMargins left="0.7" right="0.35" top="0.75" bottom="0.75" header="0.3" footer="0.3"/>
  <pageSetup paperSize="9" scale="95" orientation="landscape" horizontalDpi="300" verticalDpi="300" r:id="rId1"/>
  <headerFooter>
    <oddHeader>&amp;R&amp;G</oddHeader>
    <oddFooter>&amp;L&amp;12                 www.perfectshutters.co.uk/gallery/
&amp;C&amp;G&amp;R&amp;G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ECF2-8232-4DFB-9224-0E8E5442299E}">
  <sheetPr codeName="Sheet20"/>
  <dimension ref="B2:AI51"/>
  <sheetViews>
    <sheetView showGridLines="0" zoomScaleNormal="100" workbookViewId="0">
      <selection activeCell="H6" sqref="H6:T7"/>
    </sheetView>
  </sheetViews>
  <sheetFormatPr defaultColWidth="2.5546875" defaultRowHeight="15" x14ac:dyDescent="0.2"/>
  <cols>
    <col min="28" max="28" width="2.5546875" customWidth="1"/>
  </cols>
  <sheetData>
    <row r="2" spans="2:35" x14ac:dyDescent="0.2">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row>
    <row r="3" spans="2:35" x14ac:dyDescent="0.2">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row>
    <row r="4" spans="2:35"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2:35" x14ac:dyDescent="0.2">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2:35" x14ac:dyDescent="0.2">
      <c r="B6" s="1221" t="s">
        <v>568</v>
      </c>
      <c r="C6" s="1221"/>
      <c r="D6" s="1221"/>
      <c r="E6" s="1221"/>
      <c r="F6" s="1221"/>
      <c r="G6" s="1221"/>
      <c r="H6" s="1221">
        <f>Pricing!E59</f>
        <v>0</v>
      </c>
      <c r="I6" s="1221"/>
      <c r="J6" s="1221"/>
      <c r="K6" s="1221"/>
      <c r="L6" s="1221"/>
      <c r="M6" s="1221"/>
      <c r="N6" s="1221"/>
      <c r="O6" s="1221"/>
      <c r="P6" s="1221"/>
      <c r="Q6" s="1221"/>
      <c r="R6" s="1221"/>
      <c r="S6" s="1221"/>
      <c r="T6" s="1236"/>
      <c r="U6" s="1221" t="s">
        <v>58</v>
      </c>
      <c r="V6" s="1221"/>
      <c r="W6" s="1221"/>
      <c r="X6" s="1221"/>
      <c r="Y6" s="1237">
        <f>Pricing!E66</f>
        <v>0</v>
      </c>
      <c r="Z6" s="1233"/>
      <c r="AA6" s="1233"/>
      <c r="AB6" s="1233"/>
      <c r="AC6" s="1233"/>
      <c r="AD6" s="1233"/>
      <c r="AE6" s="1233"/>
      <c r="AF6" s="1233"/>
      <c r="AG6" s="1233"/>
      <c r="AH6" s="1233"/>
      <c r="AI6" s="16"/>
    </row>
    <row r="7" spans="2:35" x14ac:dyDescent="0.2">
      <c r="B7" s="1221"/>
      <c r="C7" s="1221"/>
      <c r="D7" s="1221"/>
      <c r="E7" s="1221"/>
      <c r="F7" s="1221"/>
      <c r="G7" s="1221"/>
      <c r="H7" s="1221"/>
      <c r="I7" s="1221"/>
      <c r="J7" s="1221"/>
      <c r="K7" s="1221"/>
      <c r="L7" s="1221"/>
      <c r="M7" s="1221"/>
      <c r="N7" s="1221"/>
      <c r="O7" s="1221"/>
      <c r="P7" s="1221"/>
      <c r="Q7" s="1221"/>
      <c r="R7" s="1221"/>
      <c r="S7" s="1221"/>
      <c r="T7" s="1236"/>
      <c r="U7" s="1221"/>
      <c r="V7" s="1221"/>
      <c r="W7" s="1221"/>
      <c r="X7" s="1221"/>
      <c r="Y7" s="1233"/>
      <c r="Z7" s="1233"/>
      <c r="AA7" s="1233"/>
      <c r="AB7" s="1233"/>
      <c r="AC7" s="1233"/>
      <c r="AD7" s="1233"/>
      <c r="AE7" s="1233"/>
      <c r="AF7" s="1233"/>
      <c r="AG7" s="1233"/>
      <c r="AH7" s="1233"/>
      <c r="AI7" s="16"/>
    </row>
    <row r="8" spans="2:35" x14ac:dyDescent="0.2">
      <c r="B8" s="1221" t="s">
        <v>186</v>
      </c>
      <c r="C8" s="1221"/>
      <c r="D8" s="1221"/>
      <c r="E8" s="1221"/>
      <c r="F8" s="1221"/>
      <c r="G8" s="1221"/>
      <c r="H8" s="1221">
        <f>Pricing!B59</f>
        <v>0</v>
      </c>
      <c r="I8" s="1221"/>
      <c r="J8" s="1221"/>
      <c r="K8" s="1221"/>
      <c r="L8" s="1221"/>
      <c r="M8" s="1221"/>
      <c r="N8" s="1221"/>
      <c r="O8" s="1221"/>
      <c r="P8" s="1221"/>
      <c r="Q8" s="1221"/>
      <c r="R8" s="1221"/>
      <c r="S8" s="1221"/>
      <c r="T8" s="1221"/>
      <c r="U8" s="1221" t="s">
        <v>588</v>
      </c>
      <c r="V8" s="1221"/>
      <c r="W8" s="1221"/>
      <c r="X8" s="1221"/>
      <c r="Y8" s="1233"/>
      <c r="Z8" s="1233"/>
      <c r="AA8" s="1233"/>
      <c r="AB8" s="1233"/>
      <c r="AC8" s="1233"/>
      <c r="AD8" s="1233"/>
      <c r="AE8" s="1233"/>
      <c r="AF8" s="1233"/>
      <c r="AG8" s="1233"/>
      <c r="AH8" s="1233"/>
      <c r="AI8" s="16"/>
    </row>
    <row r="9" spans="2:35" x14ac:dyDescent="0.2">
      <c r="B9" s="1221"/>
      <c r="C9" s="1221"/>
      <c r="D9" s="1221"/>
      <c r="E9" s="1221"/>
      <c r="F9" s="1221"/>
      <c r="G9" s="1221"/>
      <c r="H9" s="1221"/>
      <c r="I9" s="1221"/>
      <c r="J9" s="1221"/>
      <c r="K9" s="1221"/>
      <c r="L9" s="1221"/>
      <c r="M9" s="1221"/>
      <c r="N9" s="1221"/>
      <c r="O9" s="1221"/>
      <c r="P9" s="1221"/>
      <c r="Q9" s="1221"/>
      <c r="R9" s="1221"/>
      <c r="S9" s="1221"/>
      <c r="T9" s="1221"/>
      <c r="U9" s="1221"/>
      <c r="V9" s="1221"/>
      <c r="W9" s="1221"/>
      <c r="X9" s="1221"/>
      <c r="Y9" s="1233"/>
      <c r="Z9" s="1233"/>
      <c r="AA9" s="1233"/>
      <c r="AB9" s="1233"/>
      <c r="AC9" s="1233"/>
      <c r="AD9" s="1233"/>
      <c r="AE9" s="1233"/>
      <c r="AF9" s="1233"/>
      <c r="AG9" s="1233"/>
      <c r="AH9" s="1233"/>
      <c r="AI9" s="16"/>
    </row>
    <row r="10" spans="2:35" x14ac:dyDescent="0.2">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row>
    <row r="11" spans="2:35" x14ac:dyDescent="0.2">
      <c r="B11" s="1227" t="s">
        <v>763</v>
      </c>
      <c r="C11" s="1227"/>
      <c r="D11" s="1227"/>
      <c r="E11" s="1227"/>
      <c r="F11" s="1227"/>
      <c r="G11" s="1227"/>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row>
    <row r="12" spans="2:35" x14ac:dyDescent="0.2">
      <c r="B12" s="1166" t="s">
        <v>764</v>
      </c>
      <c r="C12" s="1166"/>
      <c r="D12" s="1166"/>
      <c r="E12" s="1166"/>
      <c r="F12" s="1166"/>
      <c r="G12" s="1166"/>
      <c r="H12" s="116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row>
    <row r="13" spans="2:35" x14ac:dyDescent="0.2">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row>
    <row r="14" spans="2:35" x14ac:dyDescent="0.2">
      <c r="B14" s="1221" t="s">
        <v>765</v>
      </c>
      <c r="C14" s="1221"/>
      <c r="D14" s="1221"/>
      <c r="E14" s="1221"/>
      <c r="F14" s="1221"/>
      <c r="G14" s="1221"/>
      <c r="H14" s="1221"/>
      <c r="I14" s="1221"/>
      <c r="J14" s="1221"/>
      <c r="K14" s="1221"/>
      <c r="L14" s="365"/>
      <c r="M14" s="17"/>
      <c r="N14" s="1234" t="s">
        <v>766</v>
      </c>
      <c r="O14" s="1234"/>
      <c r="P14" s="1234"/>
      <c r="Q14" s="1234"/>
      <c r="R14" s="1234"/>
      <c r="S14" s="1234"/>
      <c r="T14" s="1234"/>
      <c r="U14" s="1234"/>
      <c r="V14" s="1234"/>
      <c r="W14" s="1234"/>
      <c r="X14" s="1234"/>
      <c r="Y14" s="1234"/>
      <c r="Z14" s="1234"/>
      <c r="AA14" s="1234"/>
      <c r="AB14" s="1234"/>
      <c r="AC14" s="1234"/>
      <c r="AD14" s="1234"/>
      <c r="AE14" s="1234"/>
      <c r="AF14" s="1234"/>
      <c r="AG14" s="1234"/>
      <c r="AH14" s="1235"/>
      <c r="AI14" s="16"/>
    </row>
    <row r="15" spans="2:35" x14ac:dyDescent="0.2">
      <c r="B15" s="16"/>
      <c r="C15" s="16"/>
      <c r="D15" s="16"/>
      <c r="E15" s="16"/>
      <c r="F15" s="16"/>
      <c r="G15" s="16"/>
      <c r="H15" s="16"/>
      <c r="I15" s="16"/>
      <c r="J15" s="16"/>
      <c r="K15" s="16"/>
      <c r="L15" s="16"/>
      <c r="M15" s="16"/>
      <c r="N15" s="1226" t="s">
        <v>767</v>
      </c>
      <c r="O15" s="1226"/>
      <c r="P15" s="1226"/>
      <c r="Q15" s="1226"/>
      <c r="R15" s="1226"/>
      <c r="S15" s="1226"/>
      <c r="T15" s="1226"/>
      <c r="U15" s="1226"/>
      <c r="V15" s="1226"/>
      <c r="W15" s="1226"/>
      <c r="X15" s="1226"/>
      <c r="Y15" s="1226"/>
      <c r="Z15" s="1226"/>
      <c r="AA15" s="1226"/>
      <c r="AB15" s="1226"/>
      <c r="AC15" s="1226"/>
      <c r="AD15" s="1226"/>
      <c r="AE15" s="1226"/>
      <c r="AF15" s="1226"/>
      <c r="AG15" s="1226"/>
      <c r="AH15" s="366"/>
      <c r="AI15" s="16"/>
    </row>
    <row r="16" spans="2:35" x14ac:dyDescent="0.2">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row>
    <row r="17" spans="2:35" x14ac:dyDescent="0.2">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row>
    <row r="18" spans="2:35" x14ac:dyDescent="0.2">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row>
    <row r="19" spans="2:35" x14ac:dyDescent="0.2">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row>
    <row r="20" spans="2:35" x14ac:dyDescent="0.2">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row>
    <row r="21" spans="2:35" x14ac:dyDescent="0.2">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row>
    <row r="22" spans="2:35" x14ac:dyDescent="0.2">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row>
    <row r="23" spans="2:35" x14ac:dyDescent="0.2">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row>
    <row r="24" spans="2:35" x14ac:dyDescent="0.2">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row>
    <row r="25" spans="2:35" x14ac:dyDescent="0.2">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row>
    <row r="26" spans="2:35" x14ac:dyDescent="0.2">
      <c r="B26" s="1229" t="s">
        <v>768</v>
      </c>
      <c r="C26" s="1230"/>
      <c r="D26" s="1230"/>
      <c r="E26" s="1230"/>
      <c r="F26" s="1230"/>
      <c r="G26" s="1230"/>
      <c r="H26" s="1230"/>
      <c r="I26" s="1231"/>
      <c r="J26" s="365"/>
      <c r="K26" s="1232" t="s">
        <v>769</v>
      </c>
      <c r="L26" s="1232"/>
      <c r="M26" s="1232"/>
      <c r="N26" s="1232"/>
      <c r="O26" s="1232"/>
      <c r="P26" s="1232"/>
      <c r="Q26" s="1232"/>
      <c r="R26" s="365"/>
      <c r="S26" s="1233" t="s">
        <v>770</v>
      </c>
      <c r="T26" s="1233"/>
      <c r="U26" s="1233"/>
      <c r="V26" s="1233"/>
      <c r="W26" s="1233"/>
      <c r="X26" s="1233"/>
      <c r="Y26" s="1233"/>
      <c r="Z26" s="365"/>
      <c r="AA26" s="1233" t="s">
        <v>771</v>
      </c>
      <c r="AB26" s="1233"/>
      <c r="AC26" s="1233"/>
      <c r="AD26" s="1233"/>
      <c r="AE26" s="1233"/>
      <c r="AF26" s="1233"/>
      <c r="AG26" s="1233"/>
      <c r="AH26" s="365"/>
      <c r="AI26" s="16"/>
    </row>
    <row r="27" spans="2:35" x14ac:dyDescent="0.2">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row>
    <row r="28" spans="2:35" x14ac:dyDescent="0.2">
      <c r="B28" s="1227" t="s">
        <v>772</v>
      </c>
      <c r="C28" s="1227"/>
      <c r="D28" s="1227"/>
      <c r="E28" s="1227"/>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row>
    <row r="29" spans="2:35" x14ac:dyDescent="0.2">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row>
    <row r="30" spans="2:35" ht="15.6" customHeight="1" x14ac:dyDescent="0.2">
      <c r="B30" s="1222" t="s">
        <v>773</v>
      </c>
      <c r="C30" s="1222"/>
      <c r="D30" s="1222"/>
      <c r="E30" s="1222"/>
      <c r="F30" s="1222"/>
      <c r="G30" s="1222"/>
      <c r="H30" s="1228"/>
      <c r="I30" s="1228"/>
      <c r="J30" s="1228"/>
      <c r="K30" s="1222" t="s">
        <v>774</v>
      </c>
      <c r="L30" s="1222"/>
      <c r="M30" s="1222"/>
      <c r="N30" s="1222"/>
      <c r="O30" s="1222"/>
      <c r="P30" s="1222"/>
      <c r="Q30" s="1222"/>
      <c r="R30" s="1225">
        <v>0</v>
      </c>
      <c r="S30" s="1225"/>
      <c r="T30" s="1225"/>
      <c r="U30" s="1225"/>
      <c r="V30" s="16"/>
      <c r="W30" s="1222" t="s">
        <v>775</v>
      </c>
      <c r="X30" s="1222"/>
      <c r="Y30" s="1222"/>
      <c r="Z30" s="1222"/>
      <c r="AA30" s="1222"/>
      <c r="AB30" s="1222"/>
      <c r="AC30" s="1221" t="s">
        <v>25</v>
      </c>
      <c r="AD30" s="1221"/>
      <c r="AE30" s="1221"/>
      <c r="AF30" s="1221"/>
      <c r="AG30" s="1221"/>
      <c r="AH30" s="1221"/>
      <c r="AI30" s="16"/>
    </row>
    <row r="31" spans="2:35" x14ac:dyDescent="0.2">
      <c r="B31" s="1222"/>
      <c r="C31" s="1222"/>
      <c r="D31" s="1222"/>
      <c r="E31" s="1222"/>
      <c r="F31" s="1222"/>
      <c r="G31" s="1222"/>
      <c r="H31" s="1228"/>
      <c r="I31" s="1228"/>
      <c r="J31" s="1228"/>
      <c r="K31" s="1222"/>
      <c r="L31" s="1222"/>
      <c r="M31" s="1222"/>
      <c r="N31" s="1222"/>
      <c r="O31" s="1222"/>
      <c r="P31" s="1222"/>
      <c r="Q31" s="1222"/>
      <c r="R31" s="1225"/>
      <c r="S31" s="1225"/>
      <c r="T31" s="1225"/>
      <c r="U31" s="1225"/>
      <c r="V31" s="16"/>
      <c r="W31" s="1222"/>
      <c r="X31" s="1222"/>
      <c r="Y31" s="1222"/>
      <c r="Z31" s="1222"/>
      <c r="AA31" s="1222"/>
      <c r="AB31" s="1222"/>
      <c r="AC31" s="1221"/>
      <c r="AD31" s="1221"/>
      <c r="AE31" s="1221"/>
      <c r="AF31" s="1221"/>
      <c r="AG31" s="1221"/>
      <c r="AH31" s="1221"/>
      <c r="AI31" s="16"/>
    </row>
    <row r="32" spans="2:35" x14ac:dyDescent="0.2">
      <c r="B32" s="1222" t="s">
        <v>776</v>
      </c>
      <c r="C32" s="1222"/>
      <c r="D32" s="1222"/>
      <c r="E32" s="1222"/>
      <c r="F32" s="1222"/>
      <c r="G32" s="1222"/>
      <c r="H32" s="1225">
        <v>0</v>
      </c>
      <c r="I32" s="1225"/>
      <c r="J32" s="1225"/>
      <c r="K32" s="1222" t="s">
        <v>777</v>
      </c>
      <c r="L32" s="1222"/>
      <c r="M32" s="1222"/>
      <c r="N32" s="1222"/>
      <c r="O32" s="1222"/>
      <c r="P32" s="1222"/>
      <c r="Q32" s="1222"/>
      <c r="R32" s="1225">
        <f>H32-R30</f>
        <v>0</v>
      </c>
      <c r="S32" s="1225"/>
      <c r="T32" s="1225"/>
      <c r="U32" s="1225"/>
      <c r="V32" s="16"/>
      <c r="W32" s="1222" t="s">
        <v>778</v>
      </c>
      <c r="X32" s="1222"/>
      <c r="Y32" s="1222"/>
      <c r="Z32" s="1222"/>
      <c r="AA32" s="1222"/>
      <c r="AB32" s="1222"/>
      <c r="AC32" s="1221"/>
      <c r="AD32" s="1221"/>
      <c r="AE32" s="1221"/>
      <c r="AF32" s="1221"/>
      <c r="AG32" s="1221"/>
      <c r="AH32" s="1221"/>
      <c r="AI32" s="16"/>
    </row>
    <row r="33" spans="2:35" x14ac:dyDescent="0.2">
      <c r="B33" s="1222"/>
      <c r="C33" s="1222"/>
      <c r="D33" s="1222"/>
      <c r="E33" s="1222"/>
      <c r="F33" s="1222"/>
      <c r="G33" s="1222"/>
      <c r="H33" s="1225"/>
      <c r="I33" s="1225"/>
      <c r="J33" s="1225"/>
      <c r="K33" s="1222"/>
      <c r="L33" s="1222"/>
      <c r="M33" s="1222"/>
      <c r="N33" s="1222"/>
      <c r="O33" s="1222"/>
      <c r="P33" s="1222"/>
      <c r="Q33" s="1222"/>
      <c r="R33" s="1225"/>
      <c r="S33" s="1225"/>
      <c r="T33" s="1225"/>
      <c r="U33" s="1225"/>
      <c r="V33" s="16"/>
      <c r="W33" s="1222"/>
      <c r="X33" s="1222"/>
      <c r="Y33" s="1222"/>
      <c r="Z33" s="1222"/>
      <c r="AA33" s="1222"/>
      <c r="AB33" s="1222"/>
      <c r="AC33" s="1221"/>
      <c r="AD33" s="1221"/>
      <c r="AE33" s="1221"/>
      <c r="AF33" s="1221"/>
      <c r="AG33" s="1221"/>
      <c r="AH33" s="1221"/>
      <c r="AI33" s="16"/>
    </row>
    <row r="34" spans="2:35" x14ac:dyDescent="0.2">
      <c r="B34" s="16" t="s">
        <v>779</v>
      </c>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row>
    <row r="35" spans="2:35" x14ac:dyDescent="0.2">
      <c r="B35" s="1223"/>
      <c r="C35" s="1223"/>
      <c r="D35" s="1223"/>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row>
    <row r="36" spans="2:35" x14ac:dyDescent="0.2">
      <c r="B36" s="1223"/>
      <c r="C36" s="1223"/>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row>
    <row r="37" spans="2:35" x14ac:dyDescent="0.2">
      <c r="B37" s="1223"/>
      <c r="C37" s="1223"/>
      <c r="D37" s="1223"/>
      <c r="E37" s="1223"/>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row>
    <row r="38" spans="2:35" x14ac:dyDescent="0.2">
      <c r="B38" s="1223"/>
      <c r="C38" s="1223"/>
      <c r="D38" s="1223"/>
      <c r="E38" s="1223"/>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row>
    <row r="39" spans="2:35" x14ac:dyDescent="0.2">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row>
    <row r="40" spans="2:35" x14ac:dyDescent="0.2">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row>
    <row r="41" spans="2:35" x14ac:dyDescent="0.2">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row>
    <row r="42" spans="2:35" x14ac:dyDescent="0.2">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row>
    <row r="43" spans="2:35" x14ac:dyDescent="0.2">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row>
    <row r="44" spans="2:35" x14ac:dyDescent="0.2">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row>
    <row r="45" spans="2:35" x14ac:dyDescent="0.2">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row>
    <row r="46" spans="2:35" ht="14.45" customHeight="1" x14ac:dyDescent="0.2">
      <c r="B46" s="1224" t="s">
        <v>780</v>
      </c>
      <c r="C46" s="1224"/>
      <c r="D46" s="1224"/>
      <c r="E46" s="1224"/>
      <c r="F46" s="1224"/>
      <c r="G46" s="1224"/>
      <c r="H46" s="1224"/>
      <c r="I46" s="1224"/>
      <c r="J46" s="1224"/>
      <c r="K46" s="1224"/>
      <c r="L46" s="1224"/>
      <c r="M46" s="1224"/>
      <c r="N46" s="1224"/>
      <c r="O46" s="1224"/>
      <c r="P46" s="1224"/>
      <c r="Q46" s="1224"/>
      <c r="R46" s="1224"/>
      <c r="S46" s="1224"/>
      <c r="T46" s="1224"/>
      <c r="U46" s="1224"/>
      <c r="V46" s="1224"/>
      <c r="W46" s="1224"/>
      <c r="X46" s="1224"/>
      <c r="Y46" s="1224"/>
      <c r="Z46" s="1224"/>
      <c r="AA46" s="1224"/>
      <c r="AB46" s="1224"/>
      <c r="AC46" s="1224"/>
      <c r="AD46" s="1224"/>
      <c r="AE46" s="1224"/>
      <c r="AF46" s="1224"/>
      <c r="AG46" s="1224"/>
      <c r="AH46" s="1224"/>
      <c r="AI46" s="1224"/>
    </row>
    <row r="47" spans="2:35" x14ac:dyDescent="0.2">
      <c r="B47" s="1224"/>
      <c r="C47" s="1224"/>
      <c r="D47" s="1224"/>
      <c r="E47" s="1224"/>
      <c r="F47" s="1224"/>
      <c r="G47" s="1224"/>
      <c r="H47" s="1224"/>
      <c r="I47" s="1224"/>
      <c r="J47" s="1224"/>
      <c r="K47" s="1224"/>
      <c r="L47" s="1224"/>
      <c r="M47" s="1224"/>
      <c r="N47" s="1224"/>
      <c r="O47" s="1224"/>
      <c r="P47" s="1224"/>
      <c r="Q47" s="1224"/>
      <c r="R47" s="1224"/>
      <c r="S47" s="1224"/>
      <c r="T47" s="1224"/>
      <c r="U47" s="1224"/>
      <c r="V47" s="1224"/>
      <c r="W47" s="1224"/>
      <c r="X47" s="1224"/>
      <c r="Y47" s="1224"/>
      <c r="Z47" s="1224"/>
      <c r="AA47" s="1224"/>
      <c r="AB47" s="1224"/>
      <c r="AC47" s="1224"/>
      <c r="AD47" s="1224"/>
      <c r="AE47" s="1224"/>
      <c r="AF47" s="1224"/>
      <c r="AG47" s="1224"/>
      <c r="AH47" s="1224"/>
      <c r="AI47" s="1224"/>
    </row>
    <row r="48" spans="2:35" x14ac:dyDescent="0.2">
      <c r="B48" s="1224"/>
      <c r="C48" s="1224"/>
      <c r="D48" s="1224"/>
      <c r="E48" s="1224"/>
      <c r="F48" s="1224"/>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row>
    <row r="49" spans="2:35" x14ac:dyDescent="0.2">
      <c r="B49" s="41"/>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row>
    <row r="50" spans="2:35" x14ac:dyDescent="0.2">
      <c r="B50" s="1167" t="s">
        <v>610</v>
      </c>
      <c r="C50" s="1167"/>
      <c r="D50" s="1167"/>
      <c r="E50" s="1167"/>
      <c r="F50" s="1104"/>
      <c r="G50" s="1104"/>
      <c r="H50" s="1104"/>
      <c r="I50" s="1104"/>
      <c r="J50" s="1104"/>
      <c r="K50" s="1104"/>
      <c r="L50" s="1104"/>
      <c r="M50" s="1104"/>
      <c r="N50" s="1104"/>
      <c r="O50" s="1104"/>
      <c r="P50" s="1104"/>
      <c r="Q50" s="16"/>
      <c r="R50" s="16"/>
      <c r="S50" s="16"/>
      <c r="T50" s="18" t="s">
        <v>58</v>
      </c>
      <c r="U50" s="16"/>
      <c r="V50" s="1104"/>
      <c r="W50" s="1104"/>
      <c r="X50" s="1104"/>
      <c r="Y50" s="1104"/>
      <c r="Z50" s="1104"/>
      <c r="AA50" s="1104"/>
      <c r="AB50" s="1104"/>
      <c r="AC50" s="16"/>
      <c r="AD50" s="16"/>
      <c r="AE50" s="16"/>
      <c r="AF50" s="16"/>
      <c r="AG50" s="16"/>
      <c r="AH50" s="16"/>
      <c r="AI50" s="16"/>
    </row>
    <row r="51" spans="2:35" x14ac:dyDescent="0.2">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row>
  </sheetData>
  <mergeCells count="35">
    <mergeCell ref="B11:G11"/>
    <mergeCell ref="B12:H12"/>
    <mergeCell ref="B14:K14"/>
    <mergeCell ref="N14:AH14"/>
    <mergeCell ref="B6:G7"/>
    <mergeCell ref="H6:T7"/>
    <mergeCell ref="U6:X7"/>
    <mergeCell ref="Y6:AH7"/>
    <mergeCell ref="B8:G9"/>
    <mergeCell ref="H8:T9"/>
    <mergeCell ref="U8:X9"/>
    <mergeCell ref="Y8:AH9"/>
    <mergeCell ref="N15:AG15"/>
    <mergeCell ref="B28:E28"/>
    <mergeCell ref="B30:G31"/>
    <mergeCell ref="H30:J31"/>
    <mergeCell ref="K30:Q31"/>
    <mergeCell ref="R30:U31"/>
    <mergeCell ref="AC30:AH31"/>
    <mergeCell ref="B26:I26"/>
    <mergeCell ref="K26:Q26"/>
    <mergeCell ref="S26:Y26"/>
    <mergeCell ref="AA26:AG26"/>
    <mergeCell ref="AC32:AH33"/>
    <mergeCell ref="W30:AB31"/>
    <mergeCell ref="B35:AI44"/>
    <mergeCell ref="B46:AI48"/>
    <mergeCell ref="B50:E50"/>
    <mergeCell ref="F50:P50"/>
    <mergeCell ref="V50:AB50"/>
    <mergeCell ref="B32:G33"/>
    <mergeCell ref="H32:J33"/>
    <mergeCell ref="K32:Q33"/>
    <mergeCell ref="R32:U33"/>
    <mergeCell ref="W32:AB33"/>
  </mergeCells>
  <dataValidations count="2">
    <dataValidation type="list" allowBlank="1" showInputMessage="1" showErrorMessage="1" sqref="AC30" xr:uid="{50EFC49C-6416-48E0-AB00-3C27F1E847BE}">
      <formula1>"Please Select,Card,BACS,Cash,IFC"</formula1>
    </dataValidation>
    <dataValidation type="list" allowBlank="1" showInputMessage="1" showErrorMessage="1" sqref="L14 AH15 J26 Z26 AH26 R26 H30" xr:uid="{06ACEC2C-AA19-4E21-B5CE-B228ACC71FB0}">
      <formula1>"✓,X"</formula1>
    </dataValidation>
  </dataValidation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08D27-2654-494B-9D21-825F20FCC7D0}">
  <sheetPr codeName="Sheet10"/>
  <dimension ref="A1:W57"/>
  <sheetViews>
    <sheetView topLeftCell="A9" zoomScaleNormal="100" workbookViewId="0">
      <selection activeCell="L25" sqref="L25"/>
    </sheetView>
  </sheetViews>
  <sheetFormatPr defaultColWidth="7.6640625" defaultRowHeight="15" x14ac:dyDescent="0.2"/>
  <cols>
    <col min="1" max="1" width="2.6875" customWidth="1"/>
    <col min="3" max="3" width="7.6640625" customWidth="1"/>
    <col min="5" max="5" width="3.09375" customWidth="1"/>
    <col min="6" max="6" width="8.47265625" customWidth="1"/>
    <col min="7" max="7" width="5.51171875" customWidth="1"/>
    <col min="8" max="8" width="6.3203125" customWidth="1"/>
    <col min="9" max="9" width="9.68359375" customWidth="1"/>
    <col min="10" max="10" width="11.296875" customWidth="1"/>
    <col min="11" max="11" width="4.4375" customWidth="1"/>
    <col min="12" max="12" width="33.08984375" customWidth="1"/>
    <col min="13" max="13" width="2.28515625" customWidth="1"/>
    <col min="19" max="19" width="33.08984375" customWidth="1"/>
    <col min="20" max="20" width="7.6640625" customWidth="1"/>
    <col min="21" max="21" width="9.28125" customWidth="1"/>
    <col min="22" max="22" width="6.3203125" customWidth="1"/>
    <col min="23" max="23" width="14.52734375" customWidth="1"/>
  </cols>
  <sheetData>
    <row r="1" spans="1:23" x14ac:dyDescent="0.2">
      <c r="N1" s="16"/>
      <c r="O1" s="16"/>
      <c r="P1" s="16"/>
      <c r="Q1" s="16"/>
      <c r="R1" s="16"/>
      <c r="S1" s="16"/>
      <c r="T1" s="16"/>
      <c r="U1" s="16"/>
      <c r="V1" s="16"/>
      <c r="W1" s="16"/>
    </row>
    <row r="2" spans="1:23" ht="21" x14ac:dyDescent="0.3">
      <c r="I2" s="1196" t="s">
        <v>585</v>
      </c>
      <c r="J2" s="1196"/>
      <c r="K2" s="1196"/>
      <c r="L2" s="1196"/>
      <c r="M2" s="81"/>
      <c r="N2" s="16"/>
      <c r="O2" s="16"/>
      <c r="P2" s="16"/>
      <c r="Q2" s="16"/>
      <c r="R2" s="16"/>
      <c r="S2" s="16"/>
      <c r="T2" s="16"/>
      <c r="U2" s="16"/>
      <c r="V2" s="16"/>
      <c r="W2" s="16"/>
    </row>
    <row r="3" spans="1:23" x14ac:dyDescent="0.2">
      <c r="N3" s="16"/>
      <c r="O3" s="16"/>
      <c r="P3" s="16"/>
      <c r="Q3" s="16"/>
      <c r="R3" s="16"/>
      <c r="S3" s="16"/>
      <c r="T3" s="16"/>
      <c r="U3" s="16"/>
      <c r="V3" s="16"/>
      <c r="W3" s="16"/>
    </row>
    <row r="4" spans="1:23" x14ac:dyDescent="0.2">
      <c r="N4" s="16"/>
      <c r="O4" s="16"/>
      <c r="P4" s="16"/>
      <c r="Q4" s="16"/>
      <c r="R4" s="16"/>
      <c r="S4" s="16"/>
      <c r="T4" s="16"/>
      <c r="U4" s="16"/>
      <c r="V4" s="16"/>
      <c r="W4" s="16"/>
    </row>
    <row r="5" spans="1:23" ht="25.5" x14ac:dyDescent="0.35">
      <c r="B5" s="1260" t="s">
        <v>586</v>
      </c>
      <c r="C5" s="1260"/>
      <c r="D5" s="1110"/>
      <c r="E5" s="1110"/>
      <c r="F5" s="1110"/>
      <c r="G5" s="1110"/>
      <c r="I5" s="48" t="s">
        <v>58</v>
      </c>
      <c r="J5" s="1261">
        <f ca="1">TODAY()</f>
        <v>44998</v>
      </c>
      <c r="K5" s="1261"/>
      <c r="L5" s="1175"/>
      <c r="M5" s="4"/>
      <c r="N5" s="1262" t="s">
        <v>587</v>
      </c>
      <c r="O5" s="1262"/>
      <c r="P5" s="1262"/>
      <c r="Q5" s="1262"/>
      <c r="R5" s="1262"/>
      <c r="S5" s="1262"/>
      <c r="T5" s="1262"/>
      <c r="U5" s="1262"/>
      <c r="V5" s="1262"/>
      <c r="W5" s="1262"/>
    </row>
    <row r="6" spans="1:23" x14ac:dyDescent="0.2">
      <c r="B6" s="1110" t="s">
        <v>186</v>
      </c>
      <c r="C6" s="1110"/>
      <c r="D6" s="1110"/>
      <c r="E6" s="1110"/>
      <c r="F6" s="1110"/>
      <c r="G6" s="1110"/>
      <c r="I6" s="1110" t="s">
        <v>588</v>
      </c>
      <c r="J6" s="1259"/>
      <c r="K6" s="1259"/>
      <c r="L6" s="1259"/>
      <c r="N6" s="16"/>
      <c r="O6" s="16"/>
      <c r="P6" s="16"/>
      <c r="Q6" s="16"/>
      <c r="R6" s="16"/>
      <c r="S6" s="16"/>
      <c r="T6" s="16"/>
      <c r="U6" s="16"/>
      <c r="V6" s="16"/>
      <c r="W6" s="16"/>
    </row>
    <row r="7" spans="1:23" x14ac:dyDescent="0.2">
      <c r="B7" s="1110"/>
      <c r="C7" s="1110"/>
      <c r="D7" s="1110"/>
      <c r="E7" s="1110"/>
      <c r="F7" s="1110"/>
      <c r="G7" s="1110"/>
      <c r="I7" s="1110"/>
      <c r="J7" s="1259"/>
      <c r="K7" s="1259"/>
      <c r="L7" s="1259"/>
      <c r="M7" s="129"/>
      <c r="N7" s="1233" t="s">
        <v>568</v>
      </c>
      <c r="O7" s="1233"/>
      <c r="P7" s="1235" t="str">
        <f>IF(D5="","",D5)</f>
        <v/>
      </c>
      <c r="Q7" s="1235"/>
      <c r="R7" s="16"/>
      <c r="S7" s="1233" t="s">
        <v>186</v>
      </c>
      <c r="T7" s="1233"/>
      <c r="U7" s="1235" t="str">
        <f>IF(D6="","",D6)</f>
        <v/>
      </c>
      <c r="V7" s="1235"/>
      <c r="W7" s="1235"/>
    </row>
    <row r="8" spans="1:23" x14ac:dyDescent="0.2">
      <c r="N8" s="16"/>
      <c r="O8" s="16"/>
      <c r="P8" s="16"/>
      <c r="Q8" s="16"/>
      <c r="R8" s="16"/>
      <c r="S8" s="16"/>
      <c r="T8" s="16"/>
      <c r="U8" s="16"/>
      <c r="V8" s="16"/>
      <c r="W8" s="16"/>
    </row>
    <row r="9" spans="1:23" ht="21" x14ac:dyDescent="0.3">
      <c r="B9" s="130" t="s">
        <v>589</v>
      </c>
      <c r="N9" s="1250" t="s">
        <v>590</v>
      </c>
      <c r="O9" s="1250"/>
      <c r="P9" s="1250"/>
      <c r="Q9" s="1250"/>
      <c r="R9" s="1250"/>
      <c r="S9" s="1250"/>
      <c r="T9" s="1250"/>
      <c r="U9" s="1250"/>
      <c r="V9" s="1250"/>
      <c r="W9" s="1250"/>
    </row>
    <row r="10" spans="1:23" x14ac:dyDescent="0.2">
      <c r="B10" s="131" t="s">
        <v>591</v>
      </c>
      <c r="N10" s="1250"/>
      <c r="O10" s="1250"/>
      <c r="P10" s="1250"/>
      <c r="Q10" s="1250"/>
      <c r="R10" s="1250"/>
      <c r="S10" s="1250"/>
      <c r="T10" s="1250"/>
      <c r="U10" s="1250"/>
      <c r="V10" s="1250"/>
      <c r="W10" s="1250"/>
    </row>
    <row r="11" spans="1:23" x14ac:dyDescent="0.2">
      <c r="N11" s="1250"/>
      <c r="O11" s="1250"/>
      <c r="P11" s="1250"/>
      <c r="Q11" s="1250"/>
      <c r="R11" s="1250"/>
      <c r="S11" s="1250"/>
      <c r="T11" s="1250"/>
      <c r="U11" s="1250"/>
      <c r="V11" s="1250"/>
      <c r="W11" s="1250"/>
    </row>
    <row r="12" spans="1:23" ht="15" customHeight="1" x14ac:dyDescent="0.2">
      <c r="B12" s="1153" t="s">
        <v>592</v>
      </c>
      <c r="C12" s="1154"/>
      <c r="D12" s="1154"/>
      <c r="E12" s="1154"/>
      <c r="F12" s="1256"/>
      <c r="G12" s="132"/>
      <c r="H12" s="1258" t="s">
        <v>593</v>
      </c>
      <c r="I12" s="1258"/>
      <c r="J12" s="1258"/>
      <c r="K12" s="1258"/>
      <c r="L12" s="1258"/>
      <c r="M12" s="133"/>
      <c r="N12" s="1250"/>
      <c r="O12" s="1250"/>
      <c r="P12" s="1250"/>
      <c r="Q12" s="1250"/>
      <c r="R12" s="1250"/>
      <c r="S12" s="1250"/>
      <c r="T12" s="1250"/>
      <c r="U12" s="1250"/>
      <c r="V12" s="1250"/>
      <c r="W12" s="1250"/>
    </row>
    <row r="13" spans="1:23" x14ac:dyDescent="0.2">
      <c r="B13" s="1156"/>
      <c r="C13" s="1157"/>
      <c r="D13" s="1157"/>
      <c r="E13" s="1157"/>
      <c r="F13" s="1257"/>
      <c r="G13" s="132"/>
      <c r="H13" s="1258"/>
      <c r="I13" s="1258"/>
      <c r="J13" s="1258"/>
      <c r="K13" s="1258"/>
      <c r="L13" s="1258"/>
      <c r="M13" s="133"/>
      <c r="N13" s="1250"/>
      <c r="O13" s="1250"/>
      <c r="P13" s="1250"/>
      <c r="Q13" s="1250"/>
      <c r="R13" s="1250"/>
      <c r="S13" s="1250"/>
      <c r="T13" s="1250"/>
      <c r="U13" s="1250"/>
      <c r="V13" s="1250"/>
      <c r="W13" s="1250"/>
    </row>
    <row r="14" spans="1:23" x14ac:dyDescent="0.2">
      <c r="N14" s="1250"/>
      <c r="O14" s="1250"/>
      <c r="P14" s="1250"/>
      <c r="Q14" s="1250"/>
      <c r="R14" s="1250"/>
      <c r="S14" s="1250"/>
      <c r="T14" s="1250"/>
      <c r="U14" s="1250"/>
      <c r="V14" s="1250"/>
      <c r="W14" s="1250"/>
    </row>
    <row r="15" spans="1:23" x14ac:dyDescent="0.2">
      <c r="A15" s="131" t="s">
        <v>594</v>
      </c>
      <c r="N15" s="1250"/>
      <c r="O15" s="1250"/>
      <c r="P15" s="1250"/>
      <c r="Q15" s="1250"/>
      <c r="R15" s="1250"/>
      <c r="S15" s="1250"/>
      <c r="T15" s="1250"/>
      <c r="U15" s="1250"/>
      <c r="V15" s="1250"/>
      <c r="W15" s="1250"/>
    </row>
    <row r="16" spans="1:23" x14ac:dyDescent="0.2">
      <c r="N16" s="1250"/>
      <c r="O16" s="1250"/>
      <c r="P16" s="1250"/>
      <c r="Q16" s="1250"/>
      <c r="R16" s="1250"/>
      <c r="S16" s="1250"/>
      <c r="T16" s="1250"/>
      <c r="U16" s="1250"/>
      <c r="V16" s="1250"/>
      <c r="W16" s="1250"/>
    </row>
    <row r="17" spans="1:23" x14ac:dyDescent="0.2">
      <c r="N17" s="1250"/>
      <c r="O17" s="1250"/>
      <c r="P17" s="1250"/>
      <c r="Q17" s="1250"/>
      <c r="R17" s="1250"/>
      <c r="S17" s="1250"/>
      <c r="T17" s="1250"/>
      <c r="U17" s="1250"/>
      <c r="V17" s="1250"/>
      <c r="W17" s="1250"/>
    </row>
    <row r="18" spans="1:23" x14ac:dyDescent="0.2">
      <c r="N18" s="1250"/>
      <c r="O18" s="1250"/>
      <c r="P18" s="1250"/>
      <c r="Q18" s="1250"/>
      <c r="R18" s="1250"/>
      <c r="S18" s="1250"/>
      <c r="T18" s="1250"/>
      <c r="U18" s="1250"/>
      <c r="V18" s="1250"/>
      <c r="W18" s="1250"/>
    </row>
    <row r="19" spans="1:23" x14ac:dyDescent="0.2">
      <c r="N19" s="1250"/>
      <c r="O19" s="1250"/>
      <c r="P19" s="1250"/>
      <c r="Q19" s="1250"/>
      <c r="R19" s="1250"/>
      <c r="S19" s="1250"/>
      <c r="T19" s="1250"/>
      <c r="U19" s="1250"/>
      <c r="V19" s="1250"/>
      <c r="W19" s="1250"/>
    </row>
    <row r="20" spans="1:23" x14ac:dyDescent="0.2">
      <c r="N20" s="1250"/>
      <c r="O20" s="1250"/>
      <c r="P20" s="1250"/>
      <c r="Q20" s="1250"/>
      <c r="R20" s="1250"/>
      <c r="S20" s="1250"/>
      <c r="T20" s="1250"/>
      <c r="U20" s="1250"/>
      <c r="V20" s="1250"/>
      <c r="W20" s="1250"/>
    </row>
    <row r="21" spans="1:23" x14ac:dyDescent="0.2">
      <c r="A21" s="134"/>
      <c r="N21" s="1250"/>
      <c r="O21" s="1250"/>
      <c r="P21" s="1250"/>
      <c r="Q21" s="1250"/>
      <c r="R21" s="1250"/>
      <c r="S21" s="1250"/>
      <c r="T21" s="1250"/>
      <c r="U21" s="1250"/>
      <c r="V21" s="1250"/>
      <c r="W21" s="1250"/>
    </row>
    <row r="22" spans="1:23" x14ac:dyDescent="0.2">
      <c r="N22" s="1250"/>
      <c r="O22" s="1250"/>
      <c r="P22" s="1250"/>
      <c r="Q22" s="1250"/>
      <c r="R22" s="1250"/>
      <c r="S22" s="1250"/>
      <c r="T22" s="1250"/>
      <c r="U22" s="1250"/>
      <c r="V22" s="1250"/>
      <c r="W22" s="1250"/>
    </row>
    <row r="23" spans="1:23" ht="15" customHeight="1" x14ac:dyDescent="0.2">
      <c r="N23" s="1250"/>
      <c r="O23" s="1250"/>
      <c r="P23" s="1250"/>
      <c r="Q23" s="1250"/>
      <c r="R23" s="1250"/>
      <c r="S23" s="1250"/>
      <c r="T23" s="1250"/>
      <c r="U23" s="1250"/>
      <c r="V23" s="1250"/>
      <c r="W23" s="1250"/>
    </row>
    <row r="24" spans="1:23" x14ac:dyDescent="0.2">
      <c r="N24" s="1250"/>
      <c r="O24" s="1250"/>
      <c r="P24" s="1250"/>
      <c r="Q24" s="1250"/>
      <c r="R24" s="1250"/>
      <c r="S24" s="1250"/>
      <c r="T24" s="1250"/>
      <c r="U24" s="1250"/>
      <c r="V24" s="1250"/>
      <c r="W24" s="1250"/>
    </row>
    <row r="25" spans="1:23" x14ac:dyDescent="0.2">
      <c r="N25" s="1250"/>
      <c r="O25" s="1250"/>
      <c r="P25" s="1250"/>
      <c r="Q25" s="1250"/>
      <c r="R25" s="1250"/>
      <c r="S25" s="1250"/>
      <c r="T25" s="1250"/>
      <c r="U25" s="1250"/>
      <c r="V25" s="1250"/>
      <c r="W25" s="1250"/>
    </row>
    <row r="26" spans="1:23" x14ac:dyDescent="0.2">
      <c r="A26" s="131" t="s">
        <v>595</v>
      </c>
      <c r="N26" s="1223" t="s">
        <v>596</v>
      </c>
      <c r="O26" s="1223"/>
      <c r="P26" s="1223"/>
      <c r="Q26" s="1223"/>
      <c r="R26" s="1223"/>
      <c r="S26" s="1223"/>
      <c r="T26" s="1223"/>
      <c r="U26" s="1223"/>
      <c r="V26" s="1223"/>
      <c r="W26" s="1223"/>
    </row>
    <row r="27" spans="1:23" x14ac:dyDescent="0.2">
      <c r="N27" s="1223"/>
      <c r="O27" s="1223"/>
      <c r="P27" s="1223"/>
      <c r="Q27" s="1223"/>
      <c r="R27" s="1223"/>
      <c r="S27" s="1223"/>
      <c r="T27" s="1223"/>
      <c r="U27" s="1223"/>
      <c r="V27" s="1223"/>
      <c r="W27" s="1223"/>
    </row>
    <row r="28" spans="1:23" x14ac:dyDescent="0.2">
      <c r="M28" s="4"/>
      <c r="N28" s="1223"/>
      <c r="O28" s="1223"/>
      <c r="P28" s="1223"/>
      <c r="Q28" s="1223"/>
      <c r="R28" s="1223"/>
      <c r="S28" s="1223"/>
      <c r="T28" s="1223"/>
      <c r="U28" s="1223"/>
      <c r="V28" s="1223"/>
      <c r="W28" s="1223"/>
    </row>
    <row r="29" spans="1:23" x14ac:dyDescent="0.2">
      <c r="N29" s="1223"/>
      <c r="O29" s="1223"/>
      <c r="P29" s="1223"/>
      <c r="Q29" s="1223"/>
      <c r="R29" s="1223"/>
      <c r="S29" s="1223"/>
      <c r="T29" s="1223"/>
      <c r="U29" s="1223"/>
      <c r="V29" s="1223"/>
      <c r="W29" s="1223"/>
    </row>
    <row r="30" spans="1:23" x14ac:dyDescent="0.2">
      <c r="N30" s="1223"/>
      <c r="O30" s="1223"/>
      <c r="P30" s="1223"/>
      <c r="Q30" s="1223"/>
      <c r="R30" s="1223"/>
      <c r="S30" s="1223"/>
      <c r="T30" s="1223"/>
      <c r="U30" s="1223"/>
      <c r="V30" s="1223"/>
      <c r="W30" s="1223"/>
    </row>
    <row r="31" spans="1:23" x14ac:dyDescent="0.2">
      <c r="N31" s="1223"/>
      <c r="O31" s="1223"/>
      <c r="P31" s="1223"/>
      <c r="Q31" s="1223"/>
      <c r="R31" s="1223"/>
      <c r="S31" s="1223"/>
      <c r="T31" s="1223"/>
      <c r="U31" s="1223"/>
      <c r="V31" s="1223"/>
      <c r="W31" s="1223"/>
    </row>
    <row r="32" spans="1:23" x14ac:dyDescent="0.2">
      <c r="N32" s="1223"/>
      <c r="O32" s="1223"/>
      <c r="P32" s="1223"/>
      <c r="Q32" s="1223"/>
      <c r="R32" s="1223"/>
      <c r="S32" s="1223"/>
      <c r="T32" s="1223"/>
      <c r="U32" s="1223"/>
      <c r="V32" s="1223"/>
      <c r="W32" s="1223"/>
    </row>
    <row r="33" spans="1:23" x14ac:dyDescent="0.2">
      <c r="N33" s="1223"/>
      <c r="O33" s="1223"/>
      <c r="P33" s="1223"/>
      <c r="Q33" s="1223"/>
      <c r="R33" s="1223"/>
      <c r="S33" s="1223"/>
      <c r="T33" s="1223"/>
      <c r="U33" s="1223"/>
      <c r="V33" s="1223"/>
      <c r="W33" s="1223"/>
    </row>
    <row r="34" spans="1:23" x14ac:dyDescent="0.2">
      <c r="N34" s="1223"/>
      <c r="O34" s="1223"/>
      <c r="P34" s="1223"/>
      <c r="Q34" s="1223"/>
      <c r="R34" s="1223"/>
      <c r="S34" s="1223"/>
      <c r="T34" s="1223"/>
      <c r="U34" s="1223"/>
      <c r="V34" s="1223"/>
      <c r="W34" s="1223"/>
    </row>
    <row r="35" spans="1:23" x14ac:dyDescent="0.2">
      <c r="A35" s="7"/>
      <c r="B35" s="7"/>
      <c r="C35" s="7"/>
      <c r="D35" s="7"/>
      <c r="E35" s="7"/>
      <c r="F35" s="7"/>
      <c r="G35" s="135"/>
      <c r="H35" s="135"/>
      <c r="I35" s="135"/>
      <c r="J35" s="30"/>
      <c r="K35" s="30"/>
      <c r="L35" s="4"/>
      <c r="M35" s="4"/>
      <c r="N35" s="1223"/>
      <c r="O35" s="1223"/>
      <c r="P35" s="1223"/>
      <c r="Q35" s="1223"/>
      <c r="R35" s="1223"/>
      <c r="S35" s="1223"/>
      <c r="T35" s="1223"/>
      <c r="U35" s="1223"/>
      <c r="V35" s="1223"/>
      <c r="W35" s="1223"/>
    </row>
    <row r="36" spans="1:23" x14ac:dyDescent="0.2">
      <c r="N36" s="1223"/>
      <c r="O36" s="1223"/>
      <c r="P36" s="1223"/>
      <c r="Q36" s="1223"/>
      <c r="R36" s="1223"/>
      <c r="S36" s="1223"/>
      <c r="T36" s="1223"/>
      <c r="U36" s="1223"/>
      <c r="V36" s="1223"/>
      <c r="W36" s="1223"/>
    </row>
    <row r="37" spans="1:23" x14ac:dyDescent="0.2">
      <c r="A37" s="782" t="s">
        <v>597</v>
      </c>
      <c r="B37" s="782"/>
      <c r="C37" s="782"/>
      <c r="D37" s="782"/>
      <c r="E37" s="782"/>
      <c r="F37" s="782"/>
      <c r="G37" s="782"/>
      <c r="H37" s="782"/>
      <c r="I37" s="782"/>
      <c r="J37" s="782"/>
      <c r="K37" s="782"/>
      <c r="L37" s="782"/>
      <c r="N37" s="1223"/>
      <c r="O37" s="1223"/>
      <c r="P37" s="1223"/>
      <c r="Q37" s="1223"/>
      <c r="R37" s="1223"/>
      <c r="S37" s="1223"/>
      <c r="T37" s="1223"/>
      <c r="U37" s="1223"/>
      <c r="V37" s="1223"/>
      <c r="W37" s="1223"/>
    </row>
    <row r="38" spans="1:23" x14ac:dyDescent="0.2">
      <c r="N38" s="1250" t="s">
        <v>598</v>
      </c>
      <c r="O38" s="1250"/>
      <c r="P38" s="1250"/>
      <c r="Q38" s="1250"/>
      <c r="R38" s="1250"/>
      <c r="S38" s="1250"/>
      <c r="T38" s="1250"/>
      <c r="U38" s="1250"/>
      <c r="V38" s="1250"/>
      <c r="W38" s="1250"/>
    </row>
    <row r="39" spans="1:23" x14ac:dyDescent="0.2">
      <c r="A39" s="818" t="s">
        <v>599</v>
      </c>
      <c r="B39" s="818"/>
      <c r="N39" s="1250"/>
      <c r="O39" s="1250"/>
      <c r="P39" s="1250"/>
      <c r="Q39" s="1250"/>
      <c r="R39" s="1250"/>
      <c r="S39" s="1250"/>
      <c r="T39" s="1250"/>
      <c r="U39" s="1250"/>
      <c r="V39" s="1250"/>
      <c r="W39" s="1250"/>
    </row>
    <row r="40" spans="1:23" ht="15" customHeight="1" x14ac:dyDescent="0.2">
      <c r="A40" s="136"/>
      <c r="B40" s="136"/>
      <c r="C40" s="136"/>
      <c r="D40" s="137"/>
      <c r="E40" s="137"/>
      <c r="F40" s="137"/>
      <c r="G40" s="137"/>
      <c r="H40" s="137"/>
      <c r="I40" s="137"/>
      <c r="J40" s="138"/>
      <c r="K40" s="138"/>
      <c r="M40" s="4"/>
      <c r="N40" s="1250"/>
      <c r="O40" s="1250"/>
      <c r="P40" s="1250"/>
      <c r="Q40" s="1250"/>
      <c r="R40" s="1250"/>
      <c r="S40" s="1250"/>
      <c r="T40" s="1250"/>
      <c r="U40" s="1250"/>
      <c r="V40" s="1250"/>
      <c r="W40" s="1250"/>
    </row>
    <row r="41" spans="1:23" x14ac:dyDescent="0.2">
      <c r="A41" s="136"/>
      <c r="B41" s="136"/>
      <c r="C41" s="136"/>
      <c r="D41" s="137"/>
      <c r="E41" s="137"/>
      <c r="F41" s="137"/>
      <c r="G41" s="137"/>
      <c r="H41" s="137"/>
      <c r="I41" s="137"/>
      <c r="J41" s="138"/>
      <c r="K41" s="138"/>
      <c r="M41" s="4"/>
      <c r="N41" s="1250"/>
      <c r="O41" s="1250"/>
      <c r="P41" s="1250"/>
      <c r="Q41" s="1250"/>
      <c r="R41" s="1250"/>
      <c r="S41" s="1250"/>
      <c r="T41" s="1250"/>
      <c r="U41" s="1250"/>
      <c r="V41" s="1250"/>
      <c r="W41" s="1250"/>
    </row>
    <row r="42" spans="1:23" ht="15" customHeight="1" x14ac:dyDescent="0.2">
      <c r="A42" s="137"/>
      <c r="B42" s="137"/>
      <c r="C42" s="137"/>
      <c r="D42" s="137"/>
      <c r="E42" s="137"/>
      <c r="F42" s="137"/>
      <c r="G42" s="137"/>
      <c r="H42" s="137"/>
      <c r="I42" s="137"/>
      <c r="J42" s="136"/>
      <c r="K42" s="136"/>
      <c r="M42" s="4"/>
      <c r="N42" s="1250"/>
      <c r="O42" s="1250"/>
      <c r="P42" s="1250"/>
      <c r="Q42" s="1250"/>
      <c r="R42" s="1250"/>
      <c r="S42" s="1250"/>
      <c r="T42" s="1250"/>
      <c r="U42" s="1250"/>
      <c r="V42" s="1250"/>
      <c r="W42" s="1250"/>
    </row>
    <row r="43" spans="1:23" x14ac:dyDescent="0.2">
      <c r="A43" s="137"/>
      <c r="B43" s="137"/>
      <c r="C43" s="137"/>
      <c r="D43" s="137"/>
      <c r="E43" s="137"/>
      <c r="F43" s="137"/>
      <c r="G43" s="137"/>
      <c r="H43" s="137"/>
      <c r="I43" s="137"/>
      <c r="J43" s="136"/>
      <c r="K43" s="136"/>
      <c r="M43" s="4"/>
      <c r="N43" s="1250"/>
      <c r="O43" s="1250"/>
      <c r="P43" s="1250"/>
      <c r="Q43" s="1250"/>
      <c r="R43" s="1250"/>
      <c r="S43" s="1250"/>
      <c r="T43" s="1250"/>
      <c r="U43" s="1250"/>
      <c r="V43" s="1250"/>
      <c r="W43" s="1250"/>
    </row>
    <row r="44" spans="1:23" x14ac:dyDescent="0.2">
      <c r="N44" s="1250"/>
      <c r="O44" s="1250"/>
      <c r="P44" s="1250"/>
      <c r="Q44" s="1250"/>
      <c r="R44" s="1250"/>
      <c r="S44" s="1250"/>
      <c r="T44" s="1250"/>
      <c r="U44" s="1250"/>
      <c r="V44" s="1250"/>
      <c r="W44" s="1250"/>
    </row>
    <row r="45" spans="1:23" x14ac:dyDescent="0.2">
      <c r="A45" s="134" t="s">
        <v>600</v>
      </c>
      <c r="N45" s="1250"/>
      <c r="O45" s="1250"/>
      <c r="P45" s="1250"/>
      <c r="Q45" s="1250"/>
      <c r="R45" s="1250"/>
      <c r="S45" s="1250"/>
      <c r="T45" s="1250"/>
      <c r="U45" s="1250"/>
      <c r="V45" s="1250"/>
      <c r="W45" s="1250"/>
    </row>
    <row r="46" spans="1:23" x14ac:dyDescent="0.2">
      <c r="A46" s="29"/>
      <c r="B46" s="1245" t="s">
        <v>572</v>
      </c>
      <c r="C46" s="1251"/>
      <c r="D46" s="1246"/>
      <c r="E46" s="763" t="s">
        <v>9</v>
      </c>
      <c r="F46" s="763"/>
      <c r="G46" s="763" t="s">
        <v>10</v>
      </c>
      <c r="H46" s="763"/>
      <c r="I46" s="763" t="s">
        <v>601</v>
      </c>
      <c r="J46" s="763"/>
      <c r="K46" s="763"/>
      <c r="L46" s="763"/>
      <c r="M46" s="4"/>
      <c r="N46" s="990" t="s">
        <v>602</v>
      </c>
      <c r="O46" s="1041"/>
      <c r="P46" s="1041"/>
      <c r="Q46" s="1041"/>
      <c r="R46" s="1041"/>
      <c r="S46" s="991"/>
      <c r="T46" s="1254" t="s">
        <v>603</v>
      </c>
      <c r="U46" s="1254"/>
      <c r="V46" s="1254"/>
      <c r="W46" s="1255"/>
    </row>
    <row r="47" spans="1:23" x14ac:dyDescent="0.2">
      <c r="A47" s="1239">
        <v>1</v>
      </c>
      <c r="B47" s="1241"/>
      <c r="C47" s="1242"/>
      <c r="D47" s="1243"/>
      <c r="E47" s="1241"/>
      <c r="F47" s="1243"/>
      <c r="G47" s="1241"/>
      <c r="H47" s="1243"/>
      <c r="I47" s="1175"/>
      <c r="J47" s="1175"/>
      <c r="K47" s="1175"/>
      <c r="L47" s="1175"/>
      <c r="M47" s="4"/>
      <c r="N47" s="1252"/>
      <c r="O47" s="1168"/>
      <c r="P47" s="1168"/>
      <c r="Q47" s="1168"/>
      <c r="R47" s="1168"/>
      <c r="S47" s="1253"/>
      <c r="T47" s="1238" t="s">
        <v>604</v>
      </c>
      <c r="U47" s="1247"/>
      <c r="V47" s="1245"/>
      <c r="W47" s="1246"/>
    </row>
    <row r="48" spans="1:23" x14ac:dyDescent="0.2">
      <c r="A48" s="1240"/>
      <c r="B48" s="1244"/>
      <c r="C48" s="1172"/>
      <c r="D48" s="1173"/>
      <c r="E48" s="1244"/>
      <c r="F48" s="1173"/>
      <c r="G48" s="1244"/>
      <c r="H48" s="1173"/>
      <c r="I48" s="1175"/>
      <c r="J48" s="1175"/>
      <c r="K48" s="1175"/>
      <c r="L48" s="1175"/>
      <c r="M48" s="4"/>
      <c r="N48" s="1252"/>
      <c r="O48" s="1168"/>
      <c r="P48" s="1168"/>
      <c r="Q48" s="1168"/>
      <c r="R48" s="1168"/>
      <c r="S48" s="1253"/>
      <c r="T48" s="1238" t="s">
        <v>605</v>
      </c>
      <c r="U48" s="1247"/>
      <c r="V48" s="1245"/>
      <c r="W48" s="1246"/>
    </row>
    <row r="49" spans="1:23" x14ac:dyDescent="0.2">
      <c r="A49" s="1239">
        <v>2</v>
      </c>
      <c r="B49" s="1241"/>
      <c r="C49" s="1242"/>
      <c r="D49" s="1243"/>
      <c r="E49" s="1241"/>
      <c r="F49" s="1243"/>
      <c r="G49" s="1241"/>
      <c r="H49" s="1243"/>
      <c r="I49" s="1175"/>
      <c r="J49" s="1175"/>
      <c r="K49" s="1175"/>
      <c r="L49" s="1175"/>
      <c r="M49" s="4"/>
      <c r="N49" s="1252"/>
      <c r="O49" s="1168"/>
      <c r="P49" s="1168"/>
      <c r="Q49" s="1168"/>
      <c r="R49" s="1168"/>
      <c r="S49" s="1253"/>
      <c r="T49" s="1238" t="s">
        <v>606</v>
      </c>
      <c r="U49" s="1247"/>
      <c r="V49" s="1248"/>
      <c r="W49" s="1249"/>
    </row>
    <row r="50" spans="1:23" x14ac:dyDescent="0.2">
      <c r="A50" s="1240"/>
      <c r="B50" s="1244"/>
      <c r="C50" s="1172"/>
      <c r="D50" s="1173"/>
      <c r="E50" s="1244"/>
      <c r="F50" s="1173"/>
      <c r="G50" s="1244"/>
      <c r="H50" s="1173"/>
      <c r="I50" s="1175"/>
      <c r="J50" s="1175"/>
      <c r="K50" s="1175"/>
      <c r="L50" s="1175"/>
      <c r="M50" s="4"/>
      <c r="N50" s="1252"/>
      <c r="O50" s="1168"/>
      <c r="P50" s="1168"/>
      <c r="Q50" s="1168"/>
      <c r="R50" s="1168"/>
      <c r="S50" s="1253"/>
      <c r="T50" s="1238" t="s">
        <v>188</v>
      </c>
      <c r="U50" s="1238"/>
      <c r="V50" s="763"/>
      <c r="W50" s="763"/>
    </row>
    <row r="51" spans="1:23" x14ac:dyDescent="0.2">
      <c r="A51" s="1239">
        <v>3</v>
      </c>
      <c r="B51" s="1241"/>
      <c r="C51" s="1242"/>
      <c r="D51" s="1243"/>
      <c r="E51" s="1241"/>
      <c r="F51" s="1243"/>
      <c r="G51" s="1241"/>
      <c r="H51" s="1243"/>
      <c r="I51" s="1175"/>
      <c r="J51" s="1175"/>
      <c r="K51" s="1175"/>
      <c r="L51" s="1175"/>
      <c r="M51" s="4"/>
      <c r="N51" s="1252"/>
      <c r="O51" s="1168"/>
      <c r="P51" s="1168"/>
      <c r="Q51" s="1168"/>
      <c r="R51" s="1168"/>
      <c r="S51" s="1253"/>
      <c r="T51" s="77" t="s">
        <v>607</v>
      </c>
      <c r="U51" s="77"/>
      <c r="V51" s="1245"/>
      <c r="W51" s="1246"/>
    </row>
    <row r="52" spans="1:23" x14ac:dyDescent="0.2">
      <c r="A52" s="1240"/>
      <c r="B52" s="1244"/>
      <c r="C52" s="1172"/>
      <c r="D52" s="1173"/>
      <c r="E52" s="1244"/>
      <c r="F52" s="1173"/>
      <c r="G52" s="1244"/>
      <c r="H52" s="1173"/>
      <c r="I52" s="1175"/>
      <c r="J52" s="1175"/>
      <c r="K52" s="1175"/>
      <c r="L52" s="1175"/>
      <c r="M52" s="4"/>
      <c r="N52" s="1252"/>
      <c r="O52" s="1168"/>
      <c r="P52" s="1168"/>
      <c r="Q52" s="1168"/>
      <c r="R52" s="1168"/>
      <c r="S52" s="1253"/>
      <c r="T52" s="77"/>
      <c r="U52" s="77"/>
      <c r="V52" s="77"/>
      <c r="W52" s="126"/>
    </row>
    <row r="53" spans="1:23" x14ac:dyDescent="0.2">
      <c r="N53" s="1252"/>
      <c r="O53" s="1168"/>
      <c r="P53" s="1168"/>
      <c r="Q53" s="1168"/>
      <c r="R53" s="1168"/>
      <c r="S53" s="1253"/>
      <c r="T53" s="77"/>
      <c r="U53" s="77"/>
      <c r="V53" s="77"/>
      <c r="W53" s="126"/>
    </row>
    <row r="54" spans="1:23" x14ac:dyDescent="0.2">
      <c r="A54" t="s">
        <v>608</v>
      </c>
      <c r="N54" s="1252"/>
      <c r="O54" s="1168"/>
      <c r="P54" s="1168"/>
      <c r="Q54" s="1168"/>
      <c r="R54" s="1168"/>
      <c r="S54" s="1253"/>
      <c r="T54" s="77"/>
      <c r="U54" s="77"/>
      <c r="V54" s="77"/>
      <c r="W54" s="126"/>
    </row>
    <row r="55" spans="1:23" x14ac:dyDescent="0.2">
      <c r="A55" t="s">
        <v>609</v>
      </c>
      <c r="N55" s="1252"/>
      <c r="O55" s="1168"/>
      <c r="P55" s="1168"/>
      <c r="Q55" s="1168"/>
      <c r="R55" s="1168"/>
      <c r="S55" s="1253"/>
      <c r="T55" s="77"/>
      <c r="U55" s="77"/>
      <c r="V55" s="77"/>
      <c r="W55" s="126"/>
    </row>
    <row r="56" spans="1:23" x14ac:dyDescent="0.2">
      <c r="N56" s="1034"/>
      <c r="O56" s="1037"/>
      <c r="P56" s="1037"/>
      <c r="Q56" s="1037"/>
      <c r="R56" s="1037"/>
      <c r="S56" s="1035"/>
      <c r="T56" s="139"/>
      <c r="U56" s="139"/>
      <c r="V56" s="139"/>
      <c r="W56" s="140"/>
    </row>
    <row r="57" spans="1:23" x14ac:dyDescent="0.2">
      <c r="A57" s="782" t="s">
        <v>610</v>
      </c>
      <c r="B57" s="782"/>
      <c r="C57" s="1172"/>
      <c r="D57" s="1172"/>
      <c r="E57" s="1172"/>
      <c r="F57" s="1172"/>
      <c r="G57" s="1172"/>
      <c r="J57" s="4" t="s">
        <v>58</v>
      </c>
      <c r="K57" s="141"/>
      <c r="L57" s="141"/>
    </row>
  </sheetData>
  <mergeCells count="52">
    <mergeCell ref="I2:L2"/>
    <mergeCell ref="B5:C5"/>
    <mergeCell ref="D5:G5"/>
    <mergeCell ref="J5:L5"/>
    <mergeCell ref="N5:W5"/>
    <mergeCell ref="P7:Q7"/>
    <mergeCell ref="S7:T7"/>
    <mergeCell ref="U7:W7"/>
    <mergeCell ref="N9:W25"/>
    <mergeCell ref="B12:F13"/>
    <mergeCell ref="H12:L13"/>
    <mergeCell ref="B6:C7"/>
    <mergeCell ref="D6:G7"/>
    <mergeCell ref="I6:I7"/>
    <mergeCell ref="J6:L7"/>
    <mergeCell ref="N7:O7"/>
    <mergeCell ref="T47:U47"/>
    <mergeCell ref="N26:W37"/>
    <mergeCell ref="A37:L37"/>
    <mergeCell ref="N38:W45"/>
    <mergeCell ref="A39:B39"/>
    <mergeCell ref="B46:D46"/>
    <mergeCell ref="E46:F46"/>
    <mergeCell ref="G46:H46"/>
    <mergeCell ref="I46:L46"/>
    <mergeCell ref="N46:S56"/>
    <mergeCell ref="T46:W46"/>
    <mergeCell ref="V47:W47"/>
    <mergeCell ref="T48:U48"/>
    <mergeCell ref="V48:W48"/>
    <mergeCell ref="A49:A50"/>
    <mergeCell ref="B49:D50"/>
    <mergeCell ref="A47:A48"/>
    <mergeCell ref="B47:D48"/>
    <mergeCell ref="E47:F48"/>
    <mergeCell ref="G47:H48"/>
    <mergeCell ref="I47:L48"/>
    <mergeCell ref="A57:B57"/>
    <mergeCell ref="C57:G57"/>
    <mergeCell ref="T50:U50"/>
    <mergeCell ref="V50:W50"/>
    <mergeCell ref="A51:A52"/>
    <mergeCell ref="B51:D52"/>
    <mergeCell ref="E51:F52"/>
    <mergeCell ref="G51:H52"/>
    <mergeCell ref="I51:L52"/>
    <mergeCell ref="V51:W51"/>
    <mergeCell ref="G49:H50"/>
    <mergeCell ref="I49:L50"/>
    <mergeCell ref="T49:U49"/>
    <mergeCell ref="V49:W49"/>
    <mergeCell ref="E49:F50"/>
  </mergeCells>
  <pageMargins left="0.47916666666666669" right="0.39583333333333331" top="0.75" bottom="0.75" header="0.3" footer="0.3"/>
  <pageSetup paperSize="9" scale="85" orientation="portrait" horizontalDpi="300" verticalDpi="300" r:id="rId1"/>
  <colBreaks count="1" manualBreakCount="1">
    <brk id="13" max="47"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BA89C-2C92-46D1-A5ED-6C9D27192F86}">
  <sheetPr codeName="Sheet9"/>
  <dimension ref="A2:BD100"/>
  <sheetViews>
    <sheetView topLeftCell="A13" zoomScaleNormal="100" workbookViewId="0">
      <selection activeCell="M18" sqref="M18"/>
    </sheetView>
  </sheetViews>
  <sheetFormatPr defaultRowHeight="15" x14ac:dyDescent="0.2"/>
  <cols>
    <col min="2" max="2" width="24.34765625" bestFit="1" customWidth="1"/>
    <col min="3" max="3" width="9.14453125" style="57"/>
    <col min="5" max="5" width="30.66796875" bestFit="1" customWidth="1"/>
    <col min="7" max="7" width="13.5859375" bestFit="1" customWidth="1"/>
    <col min="8" max="8" width="14.390625" bestFit="1" customWidth="1"/>
    <col min="11" max="11" width="12.9140625" bestFit="1" customWidth="1"/>
    <col min="12" max="12" width="9.14453125" bestFit="1" customWidth="1"/>
    <col min="16" max="16" width="9.14453125" bestFit="1" customWidth="1"/>
    <col min="17" max="17" width="10.0859375" bestFit="1" customWidth="1"/>
    <col min="18" max="18" width="9.14453125" bestFit="1" customWidth="1"/>
    <col min="19" max="19" width="10.35546875" bestFit="1" customWidth="1"/>
    <col min="27" max="27" width="12.64453125" bestFit="1" customWidth="1"/>
    <col min="28" max="28" width="10.35546875" bestFit="1" customWidth="1"/>
    <col min="30" max="30" width="13.71875" customWidth="1"/>
    <col min="31" max="31" width="12.64453125" customWidth="1"/>
    <col min="32" max="32" width="11.02734375" customWidth="1"/>
    <col min="41" max="41" width="15.46875" customWidth="1"/>
    <col min="45" max="45" width="10.89453125" bestFit="1" customWidth="1"/>
  </cols>
  <sheetData>
    <row r="2" spans="1:56" x14ac:dyDescent="0.2">
      <c r="B2" t="s">
        <v>41</v>
      </c>
      <c r="C2" s="57">
        <v>340</v>
      </c>
      <c r="D2" s="57"/>
      <c r="E2" s="7" t="s">
        <v>212</v>
      </c>
      <c r="F2" s="57">
        <v>125</v>
      </c>
      <c r="I2" s="1184" t="s">
        <v>611</v>
      </c>
      <c r="J2" s="1185"/>
      <c r="K2" s="1185"/>
      <c r="L2" s="1185"/>
      <c r="M2" s="1185"/>
      <c r="N2" s="1185"/>
      <c r="O2" s="1185"/>
      <c r="P2" s="1185"/>
      <c r="Q2" s="1185"/>
      <c r="R2" s="1185"/>
      <c r="S2" s="1185"/>
      <c r="T2" s="1185"/>
      <c r="U2" s="1185"/>
      <c r="V2" s="1185"/>
      <c r="W2" s="1185"/>
      <c r="X2" s="1185"/>
      <c r="AB2" s="56" t="s">
        <v>218</v>
      </c>
      <c r="AC2" s="56" t="s">
        <v>219</v>
      </c>
      <c r="AD2" s="56" t="s">
        <v>220</v>
      </c>
      <c r="AE2" s="56" t="s">
        <v>221</v>
      </c>
      <c r="AF2" s="56" t="s">
        <v>222</v>
      </c>
      <c r="AG2" s="56" t="s">
        <v>223</v>
      </c>
      <c r="AH2" s="56" t="s">
        <v>224</v>
      </c>
      <c r="AI2" s="56" t="s">
        <v>225</v>
      </c>
      <c r="AJ2" s="56" t="s">
        <v>226</v>
      </c>
      <c r="AK2" s="56"/>
      <c r="AL2" s="56"/>
    </row>
    <row r="3" spans="1:56" x14ac:dyDescent="0.2">
      <c r="B3" t="s">
        <v>43</v>
      </c>
      <c r="C3" s="57">
        <v>35</v>
      </c>
      <c r="D3" s="57"/>
      <c r="E3" s="4" t="s">
        <v>248</v>
      </c>
      <c r="F3" s="57">
        <v>195</v>
      </c>
      <c r="G3" t="s">
        <v>249</v>
      </c>
      <c r="I3" s="29"/>
      <c r="J3" s="58" t="s">
        <v>219</v>
      </c>
      <c r="K3" s="58" t="s">
        <v>220</v>
      </c>
      <c r="L3" s="58" t="s">
        <v>221</v>
      </c>
      <c r="M3" s="58" t="s">
        <v>222</v>
      </c>
      <c r="N3" s="58" t="s">
        <v>223</v>
      </c>
      <c r="O3" s="58" t="s">
        <v>224</v>
      </c>
      <c r="P3" s="58" t="s">
        <v>225</v>
      </c>
      <c r="Q3" s="58" t="s">
        <v>226</v>
      </c>
      <c r="R3" s="58" t="s">
        <v>227</v>
      </c>
      <c r="S3" s="58" t="s">
        <v>228</v>
      </c>
      <c r="T3" s="58" t="s">
        <v>229</v>
      </c>
      <c r="U3" s="58" t="s">
        <v>230</v>
      </c>
      <c r="V3" s="58" t="s">
        <v>231</v>
      </c>
      <c r="W3" s="58" t="s">
        <v>232</v>
      </c>
      <c r="X3" s="58" t="s">
        <v>233</v>
      </c>
      <c r="Y3" s="90" t="s">
        <v>59</v>
      </c>
      <c r="AB3" s="59" t="s">
        <v>236</v>
      </c>
      <c r="AC3" s="4">
        <f>COUNTIFS(Pricing!$Q$8:$AA$8,AB3)</f>
        <v>0</v>
      </c>
      <c r="AD3" s="4">
        <f>COUNTIFS(Pricing!$Q$11:$AA$11,AB3)</f>
        <v>0</v>
      </c>
      <c r="AE3" s="4">
        <f>COUNTIFS(Pricing!$Q$14:$AA$14,AB3)</f>
        <v>0</v>
      </c>
      <c r="AF3" s="4">
        <f>COUNTIFS(Pricing!$Q$17:$AA$17,AB3)</f>
        <v>0</v>
      </c>
      <c r="AG3" s="4">
        <f>COUNTIFS(Pricing!$Q$20:$AA$20,AB3)</f>
        <v>0</v>
      </c>
      <c r="AH3" s="4">
        <f>COUNTIFS(Pricing!$Q$23:$AA$23,AB3)</f>
        <v>0</v>
      </c>
      <c r="AI3" s="4">
        <f>COUNTIFS(Pricing!$Q$26:$AA$26,AB3)</f>
        <v>0</v>
      </c>
      <c r="AJ3" s="4">
        <f>COUNTIFS(Pricing!$Q$29:$AA$29,AB3)</f>
        <v>0</v>
      </c>
      <c r="AK3" s="4"/>
      <c r="AL3" s="4"/>
    </row>
    <row r="4" spans="1:56" x14ac:dyDescent="0.2">
      <c r="B4" t="s">
        <v>47</v>
      </c>
      <c r="C4" s="57">
        <v>65</v>
      </c>
      <c r="D4" s="57"/>
      <c r="E4" t="s">
        <v>251</v>
      </c>
      <c r="F4" s="57">
        <v>285</v>
      </c>
      <c r="H4" t="s">
        <v>612</v>
      </c>
      <c r="I4" s="60" t="s">
        <v>41</v>
      </c>
      <c r="J4" s="61">
        <f>$C$2</f>
        <v>340</v>
      </c>
      <c r="K4" s="61">
        <f>$C2</f>
        <v>340</v>
      </c>
      <c r="L4" s="61">
        <f>$C$2</f>
        <v>340</v>
      </c>
      <c r="M4" s="61">
        <f>$C$2</f>
        <v>340</v>
      </c>
      <c r="N4" s="61">
        <f>$C$2</f>
        <v>340</v>
      </c>
      <c r="O4" s="61">
        <f>$C$2</f>
        <v>340</v>
      </c>
      <c r="P4" s="61">
        <f>$C$2</f>
        <v>340</v>
      </c>
      <c r="Q4" s="61">
        <f t="shared" ref="Q4:X4" si="0">$C$2</f>
        <v>340</v>
      </c>
      <c r="R4" s="61">
        <f t="shared" si="0"/>
        <v>340</v>
      </c>
      <c r="S4" s="61">
        <f t="shared" si="0"/>
        <v>340</v>
      </c>
      <c r="T4" s="61">
        <f t="shared" si="0"/>
        <v>340</v>
      </c>
      <c r="U4" s="61">
        <f t="shared" si="0"/>
        <v>340</v>
      </c>
      <c r="V4" s="61">
        <f t="shared" si="0"/>
        <v>340</v>
      </c>
      <c r="W4" s="61">
        <f t="shared" si="0"/>
        <v>340</v>
      </c>
      <c r="X4" s="61">
        <f t="shared" si="0"/>
        <v>340</v>
      </c>
      <c r="Y4" s="57">
        <f t="shared" ref="Y4:Y9" si="1">SUM(J4:X4)</f>
        <v>5100</v>
      </c>
      <c r="AB4" s="4" t="s">
        <v>250</v>
      </c>
      <c r="AC4" s="4">
        <f>COUNTIFS(Pricing!$Q$8:$AA$8,AB4)</f>
        <v>0</v>
      </c>
      <c r="AD4" s="4">
        <f>COUNTIFS(Pricing!$Q$11:$AA$11,AB4)</f>
        <v>0</v>
      </c>
      <c r="AE4" s="4">
        <f>COUNTIFS(Pricing!$Q$14:$AA$14,AB4)</f>
        <v>0</v>
      </c>
      <c r="AF4" s="4">
        <f>COUNTIFS(Pricing!$Q$17:$AA$17,AB4)</f>
        <v>0</v>
      </c>
      <c r="AG4" s="4">
        <f>COUNTIFS(Pricing!$Q$20:$AA$20,AB4)</f>
        <v>0</v>
      </c>
      <c r="AH4" s="4">
        <f>COUNTIFS(Pricing!$Q$23:$AA$23,AB4)</f>
        <v>0</v>
      </c>
      <c r="AI4" s="4">
        <f>COUNTIFS(Pricing!$Q$26:$AA$26,AB4)</f>
        <v>0</v>
      </c>
      <c r="AJ4" s="4">
        <f>COUNTIFS(Pricing!$Q$29:$AA$29,AB4)</f>
        <v>0</v>
      </c>
      <c r="AK4" s="4"/>
      <c r="AL4" s="4"/>
    </row>
    <row r="5" spans="1:56" x14ac:dyDescent="0.2">
      <c r="B5" t="s">
        <v>51</v>
      </c>
      <c r="C5" s="57">
        <v>105</v>
      </c>
      <c r="D5" s="57"/>
      <c r="E5" t="s">
        <v>255</v>
      </c>
      <c r="F5" s="57">
        <v>29</v>
      </c>
      <c r="I5" s="60" t="s">
        <v>43</v>
      </c>
      <c r="J5" s="61">
        <f>$C3</f>
        <v>35</v>
      </c>
      <c r="K5" s="61">
        <f t="shared" ref="K5:X9" si="2">$C3</f>
        <v>35</v>
      </c>
      <c r="L5" s="61">
        <f t="shared" si="2"/>
        <v>35</v>
      </c>
      <c r="M5" s="61">
        <f t="shared" si="2"/>
        <v>35</v>
      </c>
      <c r="N5" s="61">
        <f t="shared" si="2"/>
        <v>35</v>
      </c>
      <c r="O5" s="61">
        <f t="shared" si="2"/>
        <v>35</v>
      </c>
      <c r="P5" s="61">
        <f t="shared" si="2"/>
        <v>35</v>
      </c>
      <c r="Q5" s="61">
        <f t="shared" si="2"/>
        <v>35</v>
      </c>
      <c r="R5" s="61">
        <f t="shared" si="2"/>
        <v>35</v>
      </c>
      <c r="S5" s="61">
        <f t="shared" si="2"/>
        <v>35</v>
      </c>
      <c r="T5" s="61">
        <f t="shared" si="2"/>
        <v>35</v>
      </c>
      <c r="U5" s="61">
        <f t="shared" si="2"/>
        <v>35</v>
      </c>
      <c r="V5" s="61">
        <f t="shared" si="2"/>
        <v>35</v>
      </c>
      <c r="W5" s="61">
        <f t="shared" si="2"/>
        <v>35</v>
      </c>
      <c r="X5" s="61">
        <f t="shared" si="2"/>
        <v>35</v>
      </c>
      <c r="Y5" s="57">
        <f t="shared" si="1"/>
        <v>525</v>
      </c>
      <c r="AB5" s="4" t="s">
        <v>253</v>
      </c>
      <c r="AC5" s="4">
        <f>COUNTIFS(Pricing!$Q$8:$AA$8,AB5)*2</f>
        <v>0</v>
      </c>
      <c r="AD5" s="4">
        <f>COUNTIFS(Pricing!$Q$11:$AA$11,AB5)*2</f>
        <v>0</v>
      </c>
      <c r="AE5" s="4">
        <f>COUNTIFS(Pricing!$Q$14:$AA$14,AB5)*2</f>
        <v>0</v>
      </c>
      <c r="AF5" s="4">
        <f>COUNTIFS(Pricing!$Q$17:$AA$17,AB5)*2</f>
        <v>0</v>
      </c>
      <c r="AG5" s="4">
        <f>COUNTIFS(Pricing!$Q$20:$AA$20,AB5)*2</f>
        <v>0</v>
      </c>
      <c r="AH5" s="4">
        <f>COUNTIFS(Pricing!$Q$23:$AA$23,AB5)*2</f>
        <v>0</v>
      </c>
      <c r="AI5" s="4">
        <f>COUNTIFS(Pricing!$Q$26:$AA$26,AB5)*2</f>
        <v>0</v>
      </c>
      <c r="AJ5" s="4">
        <f>COUNTIFS(Pricing!$Q$29:$AA$29,AB5)*2</f>
        <v>0</v>
      </c>
      <c r="AK5" s="4"/>
      <c r="AL5" s="4"/>
    </row>
    <row r="6" spans="1:56" x14ac:dyDescent="0.2">
      <c r="B6" t="s">
        <v>49</v>
      </c>
      <c r="C6" s="57">
        <v>145</v>
      </c>
      <c r="D6" s="57"/>
      <c r="E6" t="s">
        <v>258</v>
      </c>
      <c r="F6" s="57">
        <v>29</v>
      </c>
      <c r="I6" s="60" t="s">
        <v>47</v>
      </c>
      <c r="J6" s="61">
        <f>$C4</f>
        <v>65</v>
      </c>
      <c r="K6" s="61">
        <f t="shared" si="2"/>
        <v>65</v>
      </c>
      <c r="L6" s="61">
        <f t="shared" si="2"/>
        <v>65</v>
      </c>
      <c r="M6" s="61">
        <f t="shared" si="2"/>
        <v>65</v>
      </c>
      <c r="N6" s="61">
        <f t="shared" si="2"/>
        <v>65</v>
      </c>
      <c r="O6" s="61">
        <f t="shared" si="2"/>
        <v>65</v>
      </c>
      <c r="P6" s="61">
        <f t="shared" si="2"/>
        <v>65</v>
      </c>
      <c r="Q6" s="61">
        <f t="shared" si="2"/>
        <v>65</v>
      </c>
      <c r="R6" s="61">
        <f t="shared" si="2"/>
        <v>65</v>
      </c>
      <c r="S6" s="61">
        <f t="shared" si="2"/>
        <v>65</v>
      </c>
      <c r="T6" s="61">
        <f t="shared" si="2"/>
        <v>65</v>
      </c>
      <c r="U6" s="61">
        <f t="shared" si="2"/>
        <v>65</v>
      </c>
      <c r="V6" s="61">
        <f t="shared" si="2"/>
        <v>65</v>
      </c>
      <c r="W6" s="61">
        <f t="shared" si="2"/>
        <v>65</v>
      </c>
      <c r="X6" s="61">
        <f t="shared" si="2"/>
        <v>65</v>
      </c>
      <c r="Y6" s="57">
        <f t="shared" si="1"/>
        <v>975</v>
      </c>
      <c r="AB6" s="4" t="s">
        <v>256</v>
      </c>
      <c r="AC6" s="4">
        <f>COUNTIFS(Pricing!$Q$8:$AA$8,AB6)*2</f>
        <v>0</v>
      </c>
      <c r="AD6" s="4">
        <f>COUNTIFS(Pricing!$Q$11:$AA$11,AB6)*2</f>
        <v>0</v>
      </c>
      <c r="AE6" s="4">
        <f>COUNTIFS(Pricing!$Q$14:$AA$14,AB6)*2</f>
        <v>0</v>
      </c>
      <c r="AF6" s="4">
        <f>COUNTIFS(Pricing!$Q$17:$AA$17,AB6)*2</f>
        <v>0</v>
      </c>
      <c r="AG6" s="4">
        <f>COUNTIFS(Pricing!$Q$20:$AA$20,AB6)*2</f>
        <v>0</v>
      </c>
      <c r="AH6" s="4">
        <f>COUNTIFS(Pricing!$Q$23:$AA$23,AB6)*2</f>
        <v>0</v>
      </c>
      <c r="AI6" s="4">
        <f>COUNTIFS(Pricing!$Q$26:$AA$26,AB6)*2</f>
        <v>0</v>
      </c>
      <c r="AJ6" s="4">
        <f>COUNTIFS(Pricing!$Q$29:$AA$29,AB6)*2</f>
        <v>0</v>
      </c>
      <c r="AK6" s="4"/>
      <c r="AL6" s="4"/>
    </row>
    <row r="7" spans="1:56" x14ac:dyDescent="0.2">
      <c r="B7" t="s">
        <v>55</v>
      </c>
      <c r="C7" s="57">
        <v>195</v>
      </c>
      <c r="D7" s="57"/>
      <c r="E7" t="s">
        <v>260</v>
      </c>
      <c r="F7" s="57">
        <v>50</v>
      </c>
      <c r="I7" s="60" t="s">
        <v>51</v>
      </c>
      <c r="J7" s="61">
        <f>$C5</f>
        <v>105</v>
      </c>
      <c r="K7" s="61">
        <f t="shared" si="2"/>
        <v>105</v>
      </c>
      <c r="L7" s="61">
        <f t="shared" si="2"/>
        <v>105</v>
      </c>
      <c r="M7" s="61">
        <f t="shared" si="2"/>
        <v>105</v>
      </c>
      <c r="N7" s="61">
        <f t="shared" si="2"/>
        <v>105</v>
      </c>
      <c r="O7" s="61">
        <f t="shared" si="2"/>
        <v>105</v>
      </c>
      <c r="P7" s="61">
        <f t="shared" si="2"/>
        <v>105</v>
      </c>
      <c r="Q7" s="61">
        <f t="shared" si="2"/>
        <v>105</v>
      </c>
      <c r="R7" s="61">
        <f t="shared" si="2"/>
        <v>105</v>
      </c>
      <c r="S7" s="61">
        <f t="shared" si="2"/>
        <v>105</v>
      </c>
      <c r="T7" s="61">
        <f t="shared" si="2"/>
        <v>105</v>
      </c>
      <c r="U7" s="61">
        <f t="shared" si="2"/>
        <v>105</v>
      </c>
      <c r="V7" s="61">
        <f t="shared" si="2"/>
        <v>105</v>
      </c>
      <c r="W7" s="61">
        <f t="shared" si="2"/>
        <v>105</v>
      </c>
      <c r="X7" s="61">
        <f t="shared" si="2"/>
        <v>105</v>
      </c>
      <c r="Y7" s="57">
        <f t="shared" si="1"/>
        <v>1575</v>
      </c>
      <c r="AB7" s="4" t="s">
        <v>613</v>
      </c>
      <c r="AC7" s="4">
        <f>COUNTIFS(Pricing!$Q$8:$AA$8,AB7)</f>
        <v>0</v>
      </c>
      <c r="AD7" s="4">
        <f>COUNTIFS(Pricing!$Q$11:$AA$11,AB7)</f>
        <v>0</v>
      </c>
      <c r="AE7" s="4">
        <f>COUNTIFS(Pricing!$Q$14:$AA$14,AB7)</f>
        <v>0</v>
      </c>
      <c r="AF7" s="4">
        <f>COUNTIFS(Pricing!$Q$17:$AA$17,AB7)</f>
        <v>0</v>
      </c>
      <c r="AG7" s="4">
        <f>COUNTIFS(Pricing!$Q$20:$AA$20,AB7)</f>
        <v>0</v>
      </c>
      <c r="AH7" s="4">
        <f>COUNTIFS(Pricing!$Q$23:$AA$23,AB7)</f>
        <v>0</v>
      </c>
      <c r="AI7" s="4">
        <f>COUNTIFS(Pricing!$Q$26:$AA$26,AB7)</f>
        <v>0</v>
      </c>
      <c r="AJ7" s="4">
        <f>COUNTIFS(Pricing!$Q$29:$AA$29,AB7)</f>
        <v>0</v>
      </c>
      <c r="AK7" s="4"/>
      <c r="AL7" s="4"/>
    </row>
    <row r="8" spans="1:56" x14ac:dyDescent="0.2">
      <c r="B8" t="s">
        <v>262</v>
      </c>
      <c r="C8" s="57">
        <v>20</v>
      </c>
      <c r="E8" t="s">
        <v>263</v>
      </c>
      <c r="F8" s="57">
        <v>200</v>
      </c>
      <c r="I8" s="60" t="s">
        <v>49</v>
      </c>
      <c r="J8" s="61">
        <f>$C6</f>
        <v>145</v>
      </c>
      <c r="K8" s="61">
        <f t="shared" si="2"/>
        <v>145</v>
      </c>
      <c r="L8" s="61">
        <f t="shared" si="2"/>
        <v>145</v>
      </c>
      <c r="M8" s="61">
        <f t="shared" si="2"/>
        <v>145</v>
      </c>
      <c r="N8" s="61">
        <f t="shared" si="2"/>
        <v>145</v>
      </c>
      <c r="O8" s="61">
        <f t="shared" si="2"/>
        <v>145</v>
      </c>
      <c r="P8" s="61">
        <f t="shared" si="2"/>
        <v>145</v>
      </c>
      <c r="Q8" s="61">
        <f t="shared" si="2"/>
        <v>145</v>
      </c>
      <c r="R8" s="61">
        <f t="shared" si="2"/>
        <v>145</v>
      </c>
      <c r="S8" s="61">
        <f t="shared" si="2"/>
        <v>145</v>
      </c>
      <c r="T8" s="61">
        <f t="shared" si="2"/>
        <v>145</v>
      </c>
      <c r="U8" s="61">
        <f t="shared" si="2"/>
        <v>145</v>
      </c>
      <c r="V8" s="61">
        <f t="shared" si="2"/>
        <v>145</v>
      </c>
      <c r="W8" s="61">
        <f t="shared" si="2"/>
        <v>145</v>
      </c>
      <c r="X8" s="61">
        <f t="shared" si="2"/>
        <v>145</v>
      </c>
      <c r="Y8" s="57">
        <f t="shared" si="1"/>
        <v>2175</v>
      </c>
      <c r="AB8" s="4" t="s">
        <v>259</v>
      </c>
      <c r="AC8" s="4">
        <f>COUNTIFS(Pricing!$Q$8:$AA$8,AB8)*2</f>
        <v>0</v>
      </c>
      <c r="AD8" s="4">
        <f>COUNTIFS(Pricing!$Q$11:$AA$11,AB8)*2</f>
        <v>0</v>
      </c>
      <c r="AE8" s="4">
        <f>COUNTIFS(Pricing!$Q$14:$AA$14,AB8)*2</f>
        <v>0</v>
      </c>
      <c r="AF8" s="4">
        <f>COUNTIFS(Pricing!$Q$17:$AA$17,AB8)*2</f>
        <v>0</v>
      </c>
      <c r="AG8" s="4">
        <f>COUNTIFS(Pricing!$Q$20:$AA$20,AB8)*2</f>
        <v>0</v>
      </c>
      <c r="AH8" s="4">
        <f>COUNTIFS(Pricing!$Q$23:$AA$23,AB8)*2</f>
        <v>0</v>
      </c>
      <c r="AI8" s="4">
        <f>COUNTIFS(Pricing!$Q$26:$AA$26,AB8)*2</f>
        <v>0</v>
      </c>
      <c r="AJ8" s="4">
        <f>COUNTIFS(Pricing!$Q$29:$AA$29,AB8)*2</f>
        <v>0</v>
      </c>
      <c r="AK8" s="4"/>
      <c r="AL8" s="4"/>
    </row>
    <row r="9" spans="1:56" x14ac:dyDescent="0.2">
      <c r="B9" t="s">
        <v>266</v>
      </c>
      <c r="C9" s="57">
        <v>35</v>
      </c>
      <c r="D9" s="57"/>
      <c r="E9" t="s">
        <v>267</v>
      </c>
      <c r="F9" s="57">
        <v>75</v>
      </c>
      <c r="I9" s="60" t="s">
        <v>55</v>
      </c>
      <c r="J9" s="61">
        <f>$C7</f>
        <v>195</v>
      </c>
      <c r="K9" s="61">
        <f t="shared" si="2"/>
        <v>195</v>
      </c>
      <c r="L9" s="61">
        <f t="shared" si="2"/>
        <v>195</v>
      </c>
      <c r="M9" s="61">
        <f t="shared" si="2"/>
        <v>195</v>
      </c>
      <c r="N9" s="61">
        <f t="shared" si="2"/>
        <v>195</v>
      </c>
      <c r="O9" s="61">
        <f t="shared" si="2"/>
        <v>195</v>
      </c>
      <c r="P9" s="61">
        <f t="shared" si="2"/>
        <v>195</v>
      </c>
      <c r="Q9" s="61">
        <f t="shared" si="2"/>
        <v>195</v>
      </c>
      <c r="R9" s="61">
        <f t="shared" si="2"/>
        <v>195</v>
      </c>
      <c r="S9" s="61">
        <f t="shared" si="2"/>
        <v>195</v>
      </c>
      <c r="T9" s="61">
        <f t="shared" si="2"/>
        <v>195</v>
      </c>
      <c r="U9" s="61">
        <f t="shared" si="2"/>
        <v>195</v>
      </c>
      <c r="V9" s="61">
        <f t="shared" si="2"/>
        <v>195</v>
      </c>
      <c r="W9" s="61">
        <f t="shared" si="2"/>
        <v>195</v>
      </c>
      <c r="X9" s="61">
        <f t="shared" si="2"/>
        <v>195</v>
      </c>
      <c r="Y9" s="57">
        <f t="shared" si="1"/>
        <v>2925</v>
      </c>
      <c r="AB9" s="62" t="s">
        <v>59</v>
      </c>
      <c r="AC9" s="62">
        <f>SUM(AC3:AC8)</f>
        <v>0</v>
      </c>
      <c r="AD9" s="62">
        <f>SUM(AD3:AD8)</f>
        <v>0</v>
      </c>
      <c r="AE9" s="62">
        <f t="shared" ref="AE9:AJ9" si="3">SUM(AE3:AE8)</f>
        <v>0</v>
      </c>
      <c r="AF9" s="62">
        <f t="shared" si="3"/>
        <v>0</v>
      </c>
      <c r="AG9" s="62">
        <f t="shared" si="3"/>
        <v>0</v>
      </c>
      <c r="AH9" s="62">
        <f t="shared" si="3"/>
        <v>0</v>
      </c>
      <c r="AI9" s="62">
        <f t="shared" si="3"/>
        <v>0</v>
      </c>
      <c r="AJ9" s="62">
        <f t="shared" si="3"/>
        <v>0</v>
      </c>
      <c r="AK9" s="62"/>
      <c r="AL9" s="62"/>
    </row>
    <row r="10" spans="1:56" x14ac:dyDescent="0.2">
      <c r="B10" s="91" t="s">
        <v>614</v>
      </c>
      <c r="C10" s="92">
        <v>0.25</v>
      </c>
      <c r="E10" t="s">
        <v>269</v>
      </c>
      <c r="F10" s="57">
        <v>100</v>
      </c>
      <c r="AB10" s="4"/>
      <c r="AI10" s="4" t="s">
        <v>177</v>
      </c>
      <c r="AJ10" t="s">
        <v>615</v>
      </c>
      <c r="AK10" t="s">
        <v>616</v>
      </c>
      <c r="AS10" t="s">
        <v>617</v>
      </c>
    </row>
    <row r="11" spans="1:56" x14ac:dyDescent="0.2">
      <c r="B11" t="s">
        <v>271</v>
      </c>
      <c r="C11" s="57">
        <v>100</v>
      </c>
      <c r="D11" t="s">
        <v>235</v>
      </c>
      <c r="E11" t="s">
        <v>272</v>
      </c>
      <c r="F11" s="57">
        <v>266</v>
      </c>
      <c r="I11" s="1184" t="str">
        <f>C10 &amp; " % Discounted with Bay Posts"</f>
        <v>0.25 % Discounted with Bay Posts</v>
      </c>
      <c r="J11" s="1185"/>
      <c r="K11" s="1185"/>
      <c r="L11" s="1185"/>
      <c r="M11" s="1185"/>
      <c r="N11" s="1185"/>
      <c r="O11" s="1185"/>
      <c r="P11" s="1185"/>
      <c r="Q11" s="1185"/>
      <c r="R11" s="1185"/>
      <c r="S11" s="1185"/>
      <c r="T11" s="1185"/>
      <c r="U11" s="1185"/>
      <c r="V11" s="1185"/>
      <c r="W11" s="1185"/>
      <c r="X11" s="1185"/>
      <c r="AA11" s="1245" t="s">
        <v>618</v>
      </c>
      <c r="AB11" s="1246"/>
      <c r="AD11" s="763" t="s">
        <v>619</v>
      </c>
      <c r="AE11" s="763"/>
      <c r="AF11" s="1187" t="str">
        <f>TRIM('Survey Front'!S12 &amp; " " &amp; 'Survey Front'!T12 &amp; " " &amp; 'Survey Front'!U12 &amp; " " &amp; 'Survey Front'!V12 &amp; " " &amp; 'Survey Front'!W12 &amp; " " &amp; 'Survey Front'!AB12 &amp; " " &amp; 'Survey Front'!AC12)</f>
        <v/>
      </c>
      <c r="AG11" s="1187"/>
      <c r="AH11" s="1187"/>
      <c r="AI11" s="4">
        <f>SUMPRODUCT(LEN(AF11)-LEN(SUBSTITUTE(AF11,"L",""))+LEN(AF11)-LEN(SUBSTITUTE(AF11,"R",""))+LEN(AF11)-LEN(SUBSTITUTE(AF11,"FF","")))</f>
        <v>0</v>
      </c>
      <c r="AJ11" s="4">
        <f>SUMPRODUCT(LEN(AF11)-LEN(SUBSTITUTE(AF11,"(","")))</f>
        <v>0</v>
      </c>
      <c r="AK11" s="4" t="e">
        <f>OR(IF(AND('Survey Front'!E12="Antigua",('Survey Front'!M12/Matrix!AI11)&gt;750),IF(AJ11-(LEN(AF11)-LEN(SUBSTITUTE(AF11,"G","")))&gt;1,"False","True")),IF(AND('Survey Front'!E12="Bermuda",'Survey Front'!M12/Matrix!AI11&gt;610,AI11&gt;1),IF(AJ11-(LEN(AF11)-LEN(SUBSTITUTE(AF11,"G","")))&gt;=1,"False","True")))</f>
        <v>#VALUE!</v>
      </c>
      <c r="AN11" s="1263" t="s">
        <v>620</v>
      </c>
      <c r="AO11" s="1265"/>
      <c r="AP11" s="1263" t="b">
        <v>0</v>
      </c>
      <c r="AQ11" s="1264"/>
      <c r="AR11" s="1265"/>
      <c r="AS11" t="str">
        <f>TRIM(LEN(SUBSTITUTE(AP11," ","")))</f>
        <v>5</v>
      </c>
      <c r="AT11" s="4" t="b">
        <f>IF(AND(Drawing!B2=1,Drawing!F2=1),IF(LEN(Drawing!J17)&gt;1,MID(Matrix!AP11,1,LEN(Drawing!J17)),MID(AP11,1,1)))</f>
        <v>0</v>
      </c>
      <c r="AU11" s="4" t="str">
        <f>MID(AP11,LEN(AT11)+1,LEN(Drawing!K17))</f>
        <v/>
      </c>
      <c r="AV11" s="4" t="str">
        <f>MID(AP11,LEN(AT11)+(LEN(AU11)+1),LEN(Drawing!L17))</f>
        <v/>
      </c>
      <c r="AW11" s="4" t="str">
        <f>MID(AP11,LEN(AT11)+(LEN(AU11)+LEN(AV11)+1),LEN(Drawing!M17))</f>
        <v/>
      </c>
      <c r="AX11" s="4" t="str">
        <f>MID(AP11,LEN(AT11)+(LEN(AU11)+LEN(AV11)+LEN(AW11)+1),LEN(Drawing!N17))</f>
        <v/>
      </c>
      <c r="AY11" s="4" t="str">
        <f>MID(AP11,LEN(AT11)+(LEN(AU11)+LEN(AV11)+LEN(AW11)+LEN(AX11)+1),LEN(Drawing!O17))</f>
        <v/>
      </c>
      <c r="AZ11" s="4" t="str">
        <f>MID(AP11,LEN(AT11)+(LEN(AU11)+LEN(AV11)+LEN(AW11)+LEN(AX11)+LEN(AY11)+1),LEN(Drawing!P17))</f>
        <v/>
      </c>
      <c r="BA11" s="4" t="str">
        <f>MID(AP11,LEN(AT11)+(LEN(AU11)+LEN(AV11)+LEN(AW11)+LEN(AX11)+LEN(AY11)+LEN(AZ11)+1),LEN(Drawing!Q17))</f>
        <v/>
      </c>
      <c r="BB11" s="4" t="str">
        <f>MID(AP11,LEN(AT11)+(LEN(AU11)+LEN(AV11)+LEN(AW11)+LEN(AX11)+LEN(AY11)+LEN(AZ11)+LEN(BA11)+1),LEN(Drawing!R17))</f>
        <v/>
      </c>
      <c r="BC11" s="4" t="str">
        <f>MID(AP11,LEN(AT11)+(LEN(AU11)+LEN(AV11)+LEN(AW11)+LEN(AX11)+LEN(AY11)+LEN(AZ11)+LEN(BA11)+LEN(BB11)+1),LEN(Drawing!S17))</f>
        <v/>
      </c>
      <c r="BD11" s="4" t="str">
        <f>MID(AP11,LEN(AT11)+(LEN(AU11)+LEN(AV11)+LEN(AW11)+LEN(AX11)+LEN(AY11)+LEN(AZ11)+LEN(BA11)+LEN(BB11)+LEN(BC11)+1),LEN(Drawing!T17))</f>
        <v/>
      </c>
    </row>
    <row r="12" spans="1:56" x14ac:dyDescent="0.2">
      <c r="E12" t="s">
        <v>276</v>
      </c>
      <c r="F12" s="57">
        <v>20</v>
      </c>
      <c r="G12" t="s">
        <v>249</v>
      </c>
      <c r="I12" s="29"/>
      <c r="J12" s="58" t="s">
        <v>219</v>
      </c>
      <c r="K12" s="58" t="s">
        <v>220</v>
      </c>
      <c r="L12" s="58" t="s">
        <v>221</v>
      </c>
      <c r="M12" s="58" t="s">
        <v>222</v>
      </c>
      <c r="N12" s="58" t="s">
        <v>223</v>
      </c>
      <c r="O12" s="58" t="s">
        <v>224</v>
      </c>
      <c r="P12" s="58" t="s">
        <v>225</v>
      </c>
      <c r="Q12" s="58" t="s">
        <v>226</v>
      </c>
      <c r="R12" s="58" t="s">
        <v>227</v>
      </c>
      <c r="S12" s="58" t="s">
        <v>228</v>
      </c>
      <c r="T12" s="58" t="s">
        <v>229</v>
      </c>
      <c r="U12" s="58" t="s">
        <v>230</v>
      </c>
      <c r="V12" s="58" t="s">
        <v>231</v>
      </c>
      <c r="W12" s="58" t="s">
        <v>232</v>
      </c>
      <c r="X12" s="58" t="s">
        <v>233</v>
      </c>
      <c r="AA12" s="1266" t="s">
        <v>621</v>
      </c>
      <c r="AB12" s="1267"/>
      <c r="AD12" s="763" t="s">
        <v>622</v>
      </c>
      <c r="AE12" s="763"/>
      <c r="AF12" s="1187" t="str">
        <f>TRIM('Survey Front'!S15 &amp; " " &amp; 'Survey Front'!T15 &amp; " " &amp; 'Survey Front'!U15 &amp; " " &amp; 'Survey Front'!V15 &amp; " " &amp; 'Survey Front'!W15 &amp; " " &amp; 'Survey Front'!AB15 &amp; " " &amp; 'Survey Front'!AC15)</f>
        <v/>
      </c>
      <c r="AG12" s="1187"/>
      <c r="AH12" s="1187"/>
      <c r="AN12" s="1264" t="s">
        <v>623</v>
      </c>
      <c r="AO12" s="1264"/>
      <c r="AP12" s="1268" t="str">
        <f>IF(Drawing!F2=1,Drawing!J18 &amp; " " &amp; Drawing!K18 &amp; " " &amp; Drawing!L18 &amp; " " &amp; Drawing!M18 &amp; " " &amp; Drawing!N18 &amp; " " &amp; Drawing!O18 &amp; " " &amp; Drawing!P18 &amp; " " &amp; Drawing!Q18 &amp; " " &amp; Drawing!R18 &amp; " " &amp; Drawing!S18 &amp; " " &amp; Drawing!T18,IF(Drawing!Y2=1,Drawing!AC18 &amp; " " &amp; Drawing!AD18 &amp; " " &amp; Drawing!AE18 &amp; " " &amp; Drawing!AF18 &amp; " " &amp; Drawing!AG18 &amp; " " &amp; Drawing!AH18 &amp; " " &amp; Drawing!AI18 &amp; " " &amp; Drawing!AJ18 &amp; " " &amp; Drawing!AK18 &amp; " " &amp; Drawing!AL18 &amp; " " &amp; Drawing!AM18,IF(Drawing!F25=1,TRIM(Drawing!J41 &amp; " " &amp; Drawing!K41 &amp; " " &amp; Drawing!L41 &amp; " " &amp; Drawing!M41 &amp; " " &amp; Drawing!N41 &amp; " " &amp; Drawing!O41 &amp; " " &amp; Drawing!P41 &amp; " " &amp; Drawing!Q41 &amp; " " &amp; Drawing!R41 &amp; " " &amp; Drawing!S41 &amp; " " &amp; Drawing!T41),IF(Drawing!Y25=1,Drawing!AC41 &amp; " " &amp; Drawing!AD41 &amp; " " &amp; Drawing!AE41 &amp; " " &amp; Drawing!AF41 &amp; " " &amp; Drawing!AG41 &amp; " " &amp; Drawing!AH41 &amp; " " &amp; Drawing!AI41 &amp; " " &amp; Drawing!AJ41 &amp; " " &amp; Drawing!AK41 &amp; " " &amp; Drawing!AL41 &amp; " " &amp; Drawing!AM41,""))))</f>
        <v/>
      </c>
      <c r="AQ12" s="1268"/>
      <c r="AR12" s="1268"/>
      <c r="AT12" s="4"/>
      <c r="AU12" s="4"/>
      <c r="AV12" s="4"/>
      <c r="AW12" s="4"/>
      <c r="AX12" s="4"/>
      <c r="AY12" s="4"/>
      <c r="AZ12" s="4"/>
      <c r="BA12" s="4"/>
      <c r="BB12" s="4"/>
      <c r="BC12" s="4"/>
      <c r="BD12" s="4"/>
    </row>
    <row r="13" spans="1:56" x14ac:dyDescent="0.2">
      <c r="A13" t="s">
        <v>252</v>
      </c>
      <c r="B13" t="s">
        <v>279</v>
      </c>
      <c r="C13" s="57">
        <v>35</v>
      </c>
      <c r="E13" t="s">
        <v>280</v>
      </c>
      <c r="F13" s="57">
        <v>20</v>
      </c>
      <c r="G13" t="s">
        <v>249</v>
      </c>
      <c r="I13" s="29" t="s">
        <v>41</v>
      </c>
      <c r="J13" s="61">
        <f>($J$4*$E$21)-(($J$4*$E$21)*$C$10)+($D$21*$E$21)</f>
        <v>0</v>
      </c>
      <c r="K13" s="61">
        <f>($K$4*$E$22)-(($K$4*$E$22)*$C$10)+($D$22*$E$22)</f>
        <v>0</v>
      </c>
      <c r="L13" s="61">
        <f>($L$4*$E$23)-(($L$4*$E$23)*$C$10)+($D$23*$E$23)</f>
        <v>0</v>
      </c>
      <c r="M13" s="61">
        <f>($M$4*$E$24)-(($M$4*$E$24)*$C$10)+($D$24*$E$24)</f>
        <v>0</v>
      </c>
      <c r="N13" s="61">
        <f>($N$4*$E$25)-(($N$4*$E$25)*$C$10)+($D$25*$E$25)</f>
        <v>0</v>
      </c>
      <c r="O13" s="61">
        <f>($O$4*$E$26)-(($O$4*$E$26)*$C$10)+($D$26*$E$26)</f>
        <v>0</v>
      </c>
      <c r="P13" s="61">
        <f>($P$4*$E$27)-(($P$4*$E$27)*$C$10)+($D$27*$E$27)</f>
        <v>0</v>
      </c>
      <c r="Q13" s="61">
        <f>($Q$4*$E$28)-(($Q$4*$E$28)*$C$10)+($D$28*$E$28)</f>
        <v>0</v>
      </c>
      <c r="R13" s="61">
        <f>($R$4*$E$29)-(($R$4*$E$29)*$C$10)+($D$29*$E$29)</f>
        <v>0</v>
      </c>
      <c r="S13" s="61">
        <f>($S$4*$E$30)-(($S$4*$E$30)*$C$10)+($D$30*$E$30)</f>
        <v>0</v>
      </c>
      <c r="T13" s="61">
        <f>($T$4*$E$31)-(($T$4*$E$31)*$C$10)+($D$31*$E$31)</f>
        <v>0</v>
      </c>
      <c r="U13" s="61">
        <f>($U$4*$E$32)-(($U$4*$E$32)*$C$10)+($D$32*$E$32)</f>
        <v>0</v>
      </c>
      <c r="V13" s="61">
        <f>($V$4*$E$33)-(($V$4*$E$33)*$C$10)+($D$33*$E$33)</f>
        <v>0</v>
      </c>
      <c r="W13" s="61">
        <f>($W$4*$E$34)-(($W$4*$E$34)*$C$10)+($D$34*$E$34)</f>
        <v>0</v>
      </c>
      <c r="X13" s="61">
        <f>($X$4*$E$34)-(($X$4*$E$34)*$C$10)+($D$34*$E$34)</f>
        <v>0</v>
      </c>
      <c r="AA13" s="1269">
        <f>Pricing!Y58</f>
        <v>0</v>
      </c>
      <c r="AB13" s="1270"/>
      <c r="AD13" s="763" t="s">
        <v>624</v>
      </c>
      <c r="AE13" s="763"/>
      <c r="AF13" s="1187" t="str">
        <f>TRIM('Survey Front'!S18 &amp; " " &amp; 'Survey Front'!T18 &amp; " " &amp; 'Survey Front'!U18 &amp; " " &amp; 'Survey Front'!V18 &amp; " " &amp; 'Survey Front'!W18 &amp; " " &amp; 'Survey Front'!AB18 &amp; " " &amp; 'Survey Front'!AC18)</f>
        <v/>
      </c>
      <c r="AG13" s="1187"/>
      <c r="AH13" s="1187"/>
      <c r="AN13" s="1271" t="s">
        <v>625</v>
      </c>
      <c r="AO13" s="1272"/>
      <c r="AP13" s="1271" t="s">
        <v>626</v>
      </c>
      <c r="AQ13" s="1273"/>
      <c r="AR13" s="1272"/>
      <c r="AT13" s="93" t="str">
        <f>IF(LEN(Drawing!AC17)&gt;1,MID(Matrix!AP13,1,LEN(Drawing!AC17)),MID(AP13,1,1))</f>
        <v>(</v>
      </c>
      <c r="AU13" s="93" t="str">
        <f>MID(AP13,LEN(AT13)+1,LEN(Drawing!AD17))</f>
        <v/>
      </c>
      <c r="AV13" s="4" t="str">
        <f>MID(AP13,LEN(AT13)+(LEN(AU13)+1),LEN(Drawing!AE17))</f>
        <v/>
      </c>
      <c r="AW13" s="4" t="str">
        <f>MID(AP13,LEN(AT13)+(LEN(AU13)+LEN(AV13)+1),LEN(Drawing!AF17))</f>
        <v/>
      </c>
      <c r="AX13" s="4" t="str">
        <f>MID(AP13,LEN(AT13)+(LEN(AU13)+LEN(AV13)+LEN(AW13)+1),LEN(Drawing!AG17))</f>
        <v/>
      </c>
      <c r="AY13" s="4" t="str">
        <f>MID(AP13,LEN(AT13)+(LEN(AU13)+LEN(AV13)+LEN(AW13)+LEN(AX13)+1),LEN(Drawing!AH17))</f>
        <v/>
      </c>
      <c r="AZ13" s="4" t="str">
        <f>MID(AP13,LEN(AT13)+(LEN(AU13)+LEN(AV13)+LEN(AW13)+LEN(AX13)+LEN(AY13)+1),LEN(Drawing!AI17))</f>
        <v/>
      </c>
      <c r="BA13" s="4" t="str">
        <f>MID(AP13,LEN(AT13)+(LEN(AU13)+LEN(AV13)+LEN(AW13)+LEN(AX13)+LEN(AY13)+LEN(AZ13)+1),LEN(Drawing!AJ17))</f>
        <v/>
      </c>
      <c r="BB13" s="4" t="str">
        <f>MID(AP13,LEN(AT13)+(LEN(AU13)+LEN(AV13)+LEN(AW13)+LEN(AX13)+LEN(AY13)+LEN(AZ13)+LEN(BA13)+1),LEN(Drawing!AK17))</f>
        <v/>
      </c>
      <c r="BC13" s="4" t="str">
        <f>MID(AP13,LEN(AT13)+(LEN(AU13)+LEN(AV13)+LEN(AW13)+LEN(AX13)+LEN(AY13)+LEN(AZ13)+LEN(BA13)+LEN(BB13)+1),LEN(Drawing!AL17))</f>
        <v/>
      </c>
      <c r="BD13" s="4" t="str">
        <f>MID(AP13,LEN(AT13)+(LEN(AU13)+LEN(AV13)+LEN(AW13)+LEN(AX13)+LEN(AY13)+LEN(AZ13)+LEN(BA13)+LEN(BB13)+LEN(BC13)+1),LEN(Drawing!AM17))</f>
        <v/>
      </c>
    </row>
    <row r="14" spans="1:56" x14ac:dyDescent="0.2">
      <c r="B14" t="s">
        <v>476</v>
      </c>
      <c r="C14" s="63">
        <v>0.1</v>
      </c>
      <c r="E14" t="s">
        <v>283</v>
      </c>
      <c r="F14" s="57">
        <v>12.5</v>
      </c>
      <c r="G14" t="s">
        <v>249</v>
      </c>
      <c r="I14" s="29" t="s">
        <v>43</v>
      </c>
      <c r="J14" s="61">
        <f>($J$4*$E$21)-(($J$4*$E$21)*$C$10)+($D$21*$E$21)+(J5*E21)</f>
        <v>0</v>
      </c>
      <c r="K14" s="61">
        <f>($K$4*$E$22)-(($K$4*$E$22)*$C$10)+($D$22*$E$22)+(E22*K5)</f>
        <v>0</v>
      </c>
      <c r="L14" s="61">
        <f>($L$4*$E$23)-(($L$4*$E$23)*$C$10)+($D$23*$E$23)+(L5*E23)</f>
        <v>0</v>
      </c>
      <c r="M14" s="61">
        <f>($M$4*$E$24)-(($M$4*$E$24)*$C$10)+($D$24*$E$24)+($M5*$E$24)</f>
        <v>0</v>
      </c>
      <c r="N14" s="61">
        <f>($N$4*$E$25)-(($N$4*$E$25)*$C$10)+($D$25*$E$25)+(N5*E26)</f>
        <v>0</v>
      </c>
      <c r="O14" s="61">
        <f>($O$4*$E$26)-(($O$4*$E$26)*$C$10)+($D$26*$E$26)+(O5*E26)</f>
        <v>0</v>
      </c>
      <c r="P14" s="61">
        <f>($P$4*$E$27)-(($P$4*$E$27)*$C$10)+($D$27*$E$27)+(P5*E27)</f>
        <v>0</v>
      </c>
      <c r="Q14" s="61">
        <f>($Q$4*$E$28)-(($Q$4*$E$28)*$C$10)+($D$28*$E$28)+(Q5*E28)</f>
        <v>0</v>
      </c>
      <c r="R14" s="61">
        <f>($R$4*$E$29)-(($R$4*$E$29)*$C$10)+($D$29*$E$29)+(R5*E29)</f>
        <v>0</v>
      </c>
      <c r="S14" s="61">
        <f>($S$4*$E$30)-(($S$4*$E$30)*$C$10)+($D$30*$E$30)+(S5*E30)</f>
        <v>0</v>
      </c>
      <c r="T14" s="61">
        <f>($T$4*$E$31)-(($T$4*$E$31)*$C$10)+($D$31*$E$31)+(T5*E31)</f>
        <v>0</v>
      </c>
      <c r="U14" s="61">
        <f>($U$4*$E$32)-(($U$4*$E$32)*$C$10)+($D$32*$E$32)+(U5*E32)</f>
        <v>0</v>
      </c>
      <c r="V14" s="61">
        <f>($V$4*$E$33)-(($V$4*$E$33)*$C$10)+($D$33*$E$33)+(V5*E33)</f>
        <v>0</v>
      </c>
      <c r="W14" s="61">
        <f>($W$4*$E$34)-(($W$4*$E$34)*$C$10)+($D$34*$E$34)+(W5*E34)</f>
        <v>0</v>
      </c>
      <c r="X14" s="61">
        <f>($X$4*$E$35)-(($X$4*$E$35)*$C$10)+($D$35*$E$35)+(X5*E35)</f>
        <v>0</v>
      </c>
      <c r="AA14" s="1274" t="s">
        <v>627</v>
      </c>
      <c r="AB14" s="1275"/>
      <c r="AD14" s="763" t="s">
        <v>628</v>
      </c>
      <c r="AE14" s="763"/>
      <c r="AF14" s="1187" t="str">
        <f>TRIM('Survey Front'!S21 &amp; " " &amp; 'Survey Front'!T21 &amp; " " &amp; 'Survey Front'!U21 &amp; " " &amp; 'Survey Front'!V21 &amp; " " &amp; 'Survey Front'!W21 &amp; " " &amp; 'Survey Front'!AB21 &amp; " " &amp; 'Survey Front'!AC21)</f>
        <v/>
      </c>
      <c r="AG14" s="1187"/>
      <c r="AH14" s="1187"/>
      <c r="AN14" s="1273" t="s">
        <v>629</v>
      </c>
      <c r="AO14" s="1273"/>
      <c r="AP14" s="1276" t="str">
        <f>IF(Drawing!F2=2,Drawing!J18 &amp; " " &amp; Drawing!K18 &amp; " " &amp; Drawing!L18 &amp; " " &amp; Drawing!M18 &amp; " " &amp; Drawing!N18 &amp; " " &amp; Drawing!O18 &amp; " " &amp; Drawing!P18 &amp; " " &amp; Drawing!Q18 &amp; " " &amp; Drawing!R18 &amp; " " &amp; Drawing!S18 &amp; " " &amp; Drawing!T18,IF(Drawing!Y2=2,Drawing!AC18 &amp; " " &amp; Drawing!AD18 &amp; " " &amp; Drawing!AE18 &amp; " " &amp; Drawing!AF18 &amp; " " &amp; Drawing!AG18 &amp; " " &amp; Drawing!AH18 &amp; " " &amp; Drawing!AI18 &amp; " " &amp; Drawing!AJ18 &amp; " " &amp; Drawing!AK18 &amp; " " &amp; Drawing!AL18 &amp; " " &amp; Drawing!AM18,IF(Drawing!F25=2,TRIM(Drawing!J41 &amp; " " &amp; Drawing!K41 &amp; " " &amp; Drawing!L41 &amp; " " &amp; Drawing!M41 &amp; " " &amp; Drawing!N41 &amp; " " &amp; Drawing!O41 &amp; " " &amp; Drawing!P41 &amp; " " &amp; Drawing!Q41 &amp; " " &amp; Drawing!R41 &amp; " " &amp; Drawing!S41 &amp; " " &amp; Drawing!T41),IF(Drawing!Y25=2,Drawing!AC41 &amp; " " &amp; Drawing!AD41 &amp; " " &amp; Drawing!AE41 &amp; " " &amp; Drawing!AF41 &amp; " " &amp; Drawing!AG41 &amp; " " &amp; Drawing!AH41 &amp; " " &amp; Drawing!AI41 &amp; " " &amp; Drawing!AJ41 &amp; " " &amp; Drawing!AK41 &amp; " " &amp; Drawing!AL41 &amp; " " &amp; Drawing!AM41,""))))</f>
        <v/>
      </c>
      <c r="AQ14" s="1276"/>
      <c r="AR14" s="1276"/>
      <c r="AT14" s="4"/>
      <c r="AU14" s="4"/>
      <c r="AV14" s="4"/>
      <c r="AW14" s="4"/>
      <c r="AX14" s="4"/>
      <c r="AY14" s="4"/>
      <c r="AZ14" s="4"/>
      <c r="BA14" s="4"/>
      <c r="BB14" s="4"/>
      <c r="BC14" s="4"/>
      <c r="BD14" s="4"/>
    </row>
    <row r="15" spans="1:56" x14ac:dyDescent="0.2">
      <c r="B15" t="s">
        <v>286</v>
      </c>
      <c r="C15" s="57">
        <v>100</v>
      </c>
      <c r="E15" t="s">
        <v>287</v>
      </c>
      <c r="F15" s="57">
        <v>5</v>
      </c>
      <c r="I15" s="29" t="s">
        <v>47</v>
      </c>
      <c r="J15" s="61">
        <f>($J$4*$E$21)-(($J$4*$E$21)*$C$10)+($D$21*$E$21)+(J6*E21)</f>
        <v>0</v>
      </c>
      <c r="K15" s="61">
        <f>($K$4*$E$22)-(($K$4*$E$22)*$C$10)+($D$22*$E$22)+(E22*K6)</f>
        <v>0</v>
      </c>
      <c r="L15" s="61">
        <f>($L$4*$E$23)-(($L$4*$E$23)*$C$10)+($D$23*$E$23)+(L6*E23)</f>
        <v>0</v>
      </c>
      <c r="M15" s="61">
        <f>($M$4*$E$24)-(($M$4*$E$24)*$C$10)+($D$24*$E$24)+($M6*$E$24)</f>
        <v>0</v>
      </c>
      <c r="N15" s="61">
        <f>($N$4*$E$25)-(($N$4*$E$25)*$C$10)+($D$25*$E$25)+(N6*E25)</f>
        <v>0</v>
      </c>
      <c r="O15" s="61">
        <f>($O$4*$E$26)-(($O$4*$E$26)*$C$10)+($D$26*$E$26)+(O6*E26)</f>
        <v>0</v>
      </c>
      <c r="P15" s="61">
        <f>($P$4*$E$27)-(($P$4*$E$27)*$C$10)+($D$27*$E$27)+(P6*E27)</f>
        <v>0</v>
      </c>
      <c r="Q15" s="61">
        <f>($Q$4*$E$28)-(($Q$4*$E$28)*$C$10)+($D$28*$E$28)+(Q6*E28)</f>
        <v>0</v>
      </c>
      <c r="R15" s="61">
        <f>($R$4*$E$29)-(($R$4*$E$29)*$C$10)+($D$29*$E$29)+(R6*E29)</f>
        <v>0</v>
      </c>
      <c r="S15" s="61">
        <f>($S$4*$E$30)-(($S$4*$E$30)*$C$10)+($D$30*$E$30)+(S6*E30)</f>
        <v>0</v>
      </c>
      <c r="T15" s="61">
        <f>($T$4*$E$31)-(($T$4*$E$31)*$C$10)+($D$31*$E$31)+(T6*E31)</f>
        <v>0</v>
      </c>
      <c r="U15" s="61">
        <f>($U$4*$E$32)-(($U$4*$E$32)*$C$10)+($D$32*$E$32)+(U6*E32)</f>
        <v>0</v>
      </c>
      <c r="V15" s="61">
        <f>($V$4*$E$33)-(($V$4*$E$33)*$C$10)+($D$33*$E$33)+(V6*E33)</f>
        <v>0</v>
      </c>
      <c r="W15" s="61">
        <f>($W$4*$E$34)-(($W$4*$E$34)*$C$10)+($D$34*$E$34)+(W6*E34)</f>
        <v>0</v>
      </c>
      <c r="X15" s="61">
        <f>($X$4*$E$35)-(($X$4*$E$35)*$C$10)+($D$35*$E$35)+(X6*E35)</f>
        <v>0</v>
      </c>
      <c r="AA15" s="1269">
        <f>AA13-Pricing!AD58</f>
        <v>0</v>
      </c>
      <c r="AB15" s="1277"/>
      <c r="AD15" s="763" t="s">
        <v>630</v>
      </c>
      <c r="AE15" s="763"/>
      <c r="AF15" s="1187" t="str">
        <f>TRIM('Survey Front'!S24 &amp; " " &amp; 'Survey Front'!T24 &amp; " " &amp; 'Survey Front'!U24 &amp; " " &amp; 'Survey Front'!V24 &amp; " " &amp; 'Survey Front'!W24 &amp; " " &amp; 'Survey Front'!AB24 &amp; " " &amp; 'Survey Front'!AC24)</f>
        <v/>
      </c>
      <c r="AG15" s="1187"/>
      <c r="AH15" s="1187"/>
      <c r="AN15" s="1278" t="s">
        <v>631</v>
      </c>
      <c r="AO15" s="1279"/>
      <c r="AP15" s="1278" t="s">
        <v>632</v>
      </c>
      <c r="AQ15" s="1280"/>
      <c r="AR15" s="1280"/>
      <c r="AT15" s="4" t="str">
        <f>IF(LEN(Drawing!J40)&gt;1,MID(Matrix!AP15,1,LEN(Drawing!J40)),MID(AP15,1,1))</f>
        <v>(</v>
      </c>
      <c r="AU15" s="4" t="str">
        <f>MID(AP15,LEN(AT15)+1,LEN(Drawing!K40))</f>
        <v/>
      </c>
      <c r="AV15" s="4" t="str">
        <f>MID(AP15,LEN(AT15)+(LEN(AU15)+1),LEN(Drawing!L40))</f>
        <v/>
      </c>
      <c r="AW15" s="4" t="str">
        <f>MID(AP15,LEN(AT15)+(LEN(AU15)+LEN(AV15)+1),LEN(Drawing!M40))</f>
        <v/>
      </c>
      <c r="AX15" s="4" t="str">
        <f>MID(AP15,LEN(AT15)+(LEN(AU15)+LEN(AV15)+LEN(AW15)+1),LEN(Drawing!N40))</f>
        <v/>
      </c>
      <c r="AY15" s="4" t="str">
        <f>MID(AP15,LEN(AT15)+(LEN(AU15)+LEN(AV15)+LEN(AW15)+LEN(AX15)+1),LEN(Drawing!O40))</f>
        <v/>
      </c>
      <c r="AZ15" s="4" t="str">
        <f>MID(AP15,LEN(AT15)+(LEN(AU15)+LEN(AV15)+LEN(AW15)+LEN(AX15)+LEN(AY15)+1),LEN(Drawing!P40))</f>
        <v/>
      </c>
      <c r="BA15" s="4" t="str">
        <f>MID(AP15,LEN(AT15)+(LEN(AU15)+LEN(AV15)+LEN(AW15)+LEN(AX15)+LEN(AY15)+LEN(AZ15)+1),LEN(Drawing!Q40))</f>
        <v/>
      </c>
      <c r="BB15" s="4" t="str">
        <f>MID(AP15,LEN(AT15)+(LEN(AU15)+LEN(AV15)+LEN(AW15)+LEN(AX15)+LEN(AY15)+LEN(AZ15)+LEN(BA15)+1),LEN(Drawing!R40))</f>
        <v/>
      </c>
      <c r="BC15" s="4" t="str">
        <f>MID(AP15,LEN(AT15)+(LEN(AU15)+LEN(AV15)+LEN(AW15)+LEN(AX15)+LEN(AY15)+LEN(AZ15)+LEN(BA15)+LEN(BB15)+1),LEN(Drawing!S40))</f>
        <v/>
      </c>
      <c r="BD15" s="4" t="str">
        <f>MID(AP15,LEN(AT15)+(LEN(AU15)+LEN(AV15)+LEN(AW15)+LEN(AX15)+LEN(AY15)+LEN(AZ15)+LEN(BA15)+LEN(BB15)+LEN(BC15)+1),LEN(Drawing!T40))</f>
        <v/>
      </c>
    </row>
    <row r="16" spans="1:56" x14ac:dyDescent="0.2">
      <c r="A16" t="s">
        <v>289</v>
      </c>
      <c r="B16" t="s">
        <v>290</v>
      </c>
      <c r="C16" s="57">
        <v>330</v>
      </c>
      <c r="E16" t="s">
        <v>291</v>
      </c>
      <c r="F16" s="57">
        <v>5</v>
      </c>
      <c r="I16" s="29" t="s">
        <v>51</v>
      </c>
      <c r="J16" s="61">
        <f>($J$4*$E$21)-(($J$4*$E$21)*$C$10)+($D$21*$E$21)+(J7*E21)</f>
        <v>0</v>
      </c>
      <c r="K16" s="61">
        <f>($K$4*$E$22)-(($K$4*$E$22)*$C$10)+($D$22*$E$22)+(K7*E22)</f>
        <v>0</v>
      </c>
      <c r="L16" s="61">
        <f>($L$4*$E$23)-(($L$4*$E$23)*$C$10)+($D$23*$E$23)+(L7*E23)</f>
        <v>0</v>
      </c>
      <c r="M16" s="61">
        <f>($M$4*$E$24)-(($M$4*$E$24)*$C$10)+($D$24*$E$24)+($M7*$E$24)</f>
        <v>0</v>
      </c>
      <c r="N16" s="61">
        <f>($N$4*$E$25)-(($N$4*$E$25)*$C$10)+($D$25*$E$25)+(N7*E25)</f>
        <v>0</v>
      </c>
      <c r="O16" s="61">
        <f>($O$4*$E$26)-(($O$4*$E$26)*$C$10)+($D$26*$E$26)+(O7*E26)</f>
        <v>0</v>
      </c>
      <c r="P16" s="61">
        <f>($P$4*$E$27)-(($P$4*$E$27)*$C$10)+($D$27*$E$27)+(P7*E27)</f>
        <v>0</v>
      </c>
      <c r="Q16" s="61">
        <f>($Q$4*$E$28)-(($Q$4*$E$28)*$C$10)+($D$28*$E$28)+(Q7*E28)</f>
        <v>0</v>
      </c>
      <c r="R16" s="61">
        <f>($R$4*$E$29)-(($R$4*$E$29)*$C$10)+($D$29*$E$29)+(R7*E29)</f>
        <v>0</v>
      </c>
      <c r="S16" s="61">
        <f>($S$4*$E$30)-(($S$4*$E$30)*$C$10)+($D$30*$E$30)+(S7*E30)</f>
        <v>0</v>
      </c>
      <c r="T16" s="61">
        <f>($T$4*$E$31)-(($T$4*$E$31)*$C$10)+($D$31*$E$31)+(T7*E31)</f>
        <v>0</v>
      </c>
      <c r="U16" s="61">
        <f>($U$4*$E$32)-(($U$4*$E$32)*$C$10)+($D$32*$E$32)+(U7*E32)</f>
        <v>0</v>
      </c>
      <c r="V16" s="61">
        <f>($V$4*$E$33)-(($V$4*$E$33)*$C$10)+($D$33*$E$33)+(V7*E33)</f>
        <v>0</v>
      </c>
      <c r="W16" s="61">
        <f>($W$4*$E$34)-(($W$4*$E$34)*$C$10)+($D$34*$E$34)+(W7*E34)</f>
        <v>0</v>
      </c>
      <c r="X16" s="61">
        <f>($X$4*$E$35)-(($X$4*$E$35)*$C$10)+($D$35*$E$35)+(X7*E35)</f>
        <v>0</v>
      </c>
      <c r="AA16" s="1274" t="s">
        <v>633</v>
      </c>
      <c r="AB16" s="1275"/>
      <c r="AD16" s="763" t="s">
        <v>634</v>
      </c>
      <c r="AE16" s="763"/>
      <c r="AF16" s="1187" t="str">
        <f>TRIM('Survey Front'!S27 &amp; " " &amp; 'Survey Front'!T27 &amp; " " &amp; 'Survey Front'!U27 &amp; " " &amp; 'Survey Front'!V27 &amp; " " &amp; 'Survey Front'!W27 &amp; " " &amp; 'Survey Front'!AB27 &amp; " " &amp; 'Survey Front'!AC27)</f>
        <v/>
      </c>
      <c r="AG16" s="1187"/>
      <c r="AH16" s="1187"/>
      <c r="AN16" s="1280" t="s">
        <v>635</v>
      </c>
      <c r="AO16" s="1280"/>
      <c r="AP16" s="1281" t="str">
        <f>IF(Drawing!F2=3,Drawing!J18 &amp; " " &amp; Drawing!K18 &amp; " " &amp; Drawing!L18 &amp; " " &amp; Drawing!M18 &amp; " " &amp; Drawing!N18 &amp; " " &amp; Drawing!O18 &amp; " " &amp; Drawing!P18 &amp; " " &amp; Drawing!Q18 &amp; " " &amp; Drawing!R18 &amp; " " &amp; Drawing!S18 &amp; " " &amp; Drawing!T18,IF(Drawing!Y2=3,Drawing!AC18 &amp; " " &amp; Drawing!AD18 &amp; " " &amp; Drawing!AE18 &amp; " " &amp; Drawing!AF18 &amp; " " &amp; Drawing!AG18 &amp; " " &amp; Drawing!AH18 &amp; " " &amp; Drawing!AI18 &amp; " " &amp; Drawing!AJ18 &amp; " " &amp; Drawing!AK18 &amp; " " &amp; Drawing!AL18 &amp; " " &amp; Drawing!AM18,IF(Drawing!F25=3,TRIM(Drawing!J41 &amp; " " &amp; Drawing!K41 &amp; " " &amp; Drawing!L41 &amp; " " &amp; Drawing!M41 &amp; " " &amp; Drawing!N41 &amp; " " &amp; Drawing!O41 &amp; " " &amp; Drawing!P41 &amp; " " &amp; Drawing!Q41 &amp; " " &amp; Drawing!R41 &amp; " " &amp; Drawing!S41 &amp; " " &amp; Drawing!T41),IF(Drawing!Y25=3,Drawing!AC41 &amp; " " &amp; Drawing!AD41 &amp; " " &amp; Drawing!AE41 &amp; " " &amp; Drawing!AF41 &amp; " " &amp; Drawing!AG41 &amp; " " &amp; Drawing!AH41 &amp; " " &amp; Drawing!AI41 &amp; " " &amp; Drawing!AJ41 &amp; " " &amp; Drawing!AK41 &amp; " " &amp; Drawing!AL41 &amp; " " &amp; Drawing!AM41,""))))</f>
        <v/>
      </c>
      <c r="AQ16" s="1281"/>
      <c r="AR16" s="1281"/>
      <c r="AT16" s="4"/>
      <c r="AU16" s="4"/>
      <c r="AV16" s="4"/>
      <c r="AW16" s="4"/>
      <c r="AX16" s="4"/>
      <c r="AY16" s="4"/>
      <c r="AZ16" s="4"/>
      <c r="BA16" s="4"/>
      <c r="BB16" s="4"/>
      <c r="BC16" s="4"/>
      <c r="BD16" s="4"/>
    </row>
    <row r="17" spans="1:56" x14ac:dyDescent="0.2">
      <c r="A17" t="s">
        <v>252</v>
      </c>
      <c r="B17" t="s">
        <v>293</v>
      </c>
      <c r="C17" s="57">
        <v>115</v>
      </c>
      <c r="E17" t="s">
        <v>294</v>
      </c>
      <c r="F17" s="57">
        <v>20</v>
      </c>
      <c r="I17" s="29" t="s">
        <v>49</v>
      </c>
      <c r="J17" s="61">
        <f>($J$4*$E$21)-(($J$4*$E$21)*$C$10)+($D$21*$E$21)+(J8*E21)</f>
        <v>0</v>
      </c>
      <c r="K17" s="61">
        <f>($K$4*$E$22)-(($K$4*$E$22)*$C$10)+($D$22*$E$22)+(K8*E22)</f>
        <v>0</v>
      </c>
      <c r="L17" s="61">
        <f>($L$4*$E$23)-(($L$4*$E$23)*$C$10)+($D$23*$E$23)+(L8*E23)</f>
        <v>0</v>
      </c>
      <c r="M17" s="61">
        <f>($M$4*$E$24)-(($M$4*$E$24)*$C$10)+($D$24*$E$24)+($M8*$E$24)</f>
        <v>0</v>
      </c>
      <c r="N17" s="61">
        <f>($N$4*$E$25)-(($N$4*$E$25)*$C$10)+($D$25*$E$25)+(N8*E25)</f>
        <v>0</v>
      </c>
      <c r="O17" s="61">
        <f>($O$4*$E$26)-(($O$4*$E$26)*$C$10)+($D$26*$E$26)+(O8*E26)</f>
        <v>0</v>
      </c>
      <c r="P17" s="61">
        <f>($P$4*$E$27)-(($P$4*$E$27)*$C$10)+($D$27*$E$27)+(P8*E27)</f>
        <v>0</v>
      </c>
      <c r="Q17" s="61">
        <f>($Q$4*$E$28)-(($Q$4*$E$28)*$C$10)+($D$28*$E$28)+(Q8*E28)</f>
        <v>0</v>
      </c>
      <c r="R17" s="61">
        <f>($R$4*$E$29)-(($R$4*$E$29)*$C$10)+($D$29*$E$29)+(R8*E29)</f>
        <v>0</v>
      </c>
      <c r="S17" s="61">
        <f>($S$4*$E$30)-(($S$4*$E$30)*$C$10)+($D$30*$E$30)+(S8*E30)</f>
        <v>0</v>
      </c>
      <c r="T17" s="61">
        <f>($T$4*$E$31)-(($T$4*$E$31)*$C$10)+($D$31*$E$31)+(T8*E31)</f>
        <v>0</v>
      </c>
      <c r="U17" s="61">
        <f>($U$4*$E$32)-(($U$4*$E$31)*$C$10)+($D$32*$E$31)+(U8*E31)</f>
        <v>0</v>
      </c>
      <c r="V17" s="61">
        <f>($V$4*$E$33)-(($V$4*$E$33)*$C$10)+($D$33*$E$33)+(V8*E33)</f>
        <v>0</v>
      </c>
      <c r="W17" s="61">
        <f>($W$4*$E$34)-(($W$4*$E$34)*$C$10)+($D$34*$E$34)+(W8*E34)</f>
        <v>0</v>
      </c>
      <c r="X17" s="61">
        <f>($X$4*$E$35)-(($W$4*$E$35)*$C$10)+($D$35*$E$35)+(X8*E35)</f>
        <v>0</v>
      </c>
      <c r="AA17" s="1282" t="e">
        <f>(Pricing!Y58-Pricing!AD58)/Pricing!Y58</f>
        <v>#DIV/0!</v>
      </c>
      <c r="AB17" s="1283"/>
      <c r="AD17" s="763" t="s">
        <v>636</v>
      </c>
      <c r="AE17" s="763"/>
      <c r="AF17" s="1187" t="str">
        <f>TRIM('Survey Front'!S30 &amp; " " &amp; 'Survey Front'!T30 &amp; " " &amp; 'Survey Front'!U30 &amp; " " &amp; 'Survey Front'!V30 &amp; " " &amp; 'Survey Front'!W30 &amp; " " &amp; 'Survey Front'!AB30 &amp; " " &amp; 'Survey Front'!AC30)</f>
        <v/>
      </c>
      <c r="AG17" s="1187"/>
      <c r="AH17" s="1187"/>
      <c r="AN17" s="1284" t="s">
        <v>637</v>
      </c>
      <c r="AO17" s="1285"/>
      <c r="AP17" s="1284" t="s">
        <v>638</v>
      </c>
      <c r="AQ17" s="1286"/>
      <c r="AR17" s="1286"/>
      <c r="AT17" s="4" t="str">
        <f>IF(LEN(Drawing!AC40)&gt;1,MID(Matrix!AP17,1,LEN(Drawing!AC40)),MID(AP17,1,1))</f>
        <v>(</v>
      </c>
      <c r="AU17" s="4" t="str">
        <f>MID(AP17,LEN(AT17)+1,LEN(Drawing!AD40))</f>
        <v/>
      </c>
      <c r="AV17" s="4" t="str">
        <f>MID(AP17,LEN(AT17)+(LEN(AU17)+1),LEN(Drawing!AE40))</f>
        <v/>
      </c>
      <c r="AW17" s="4" t="str">
        <f>MID(AP17,LEN(AT17)+(LEN(AU17)+LEN(AV17)+1),LEN(Drawing!AF40))</f>
        <v/>
      </c>
      <c r="AX17" s="4" t="str">
        <f>MID(AP17,LEN(AT17)+(LEN(AU17)+LEN(AV17)+LEN(AW17)+1),LEN(Drawing!AG40))</f>
        <v/>
      </c>
      <c r="AY17" s="4" t="str">
        <f>MID(AP17,LEN(AT17)+(LEN(AU17)+LEN(AV17)+LEN(AW17)+LEN(AX17)+1),LEN(Drawing!AH40))</f>
        <v/>
      </c>
      <c r="AZ17" s="4" t="str">
        <f>MID(AP17,LEN(AT17)+(LEN(AU17)+LEN(AV17)+LEN(AW17)+LEN(AX17)+LEN(AY17)+1),LEN(Drawing!AI40))</f>
        <v/>
      </c>
      <c r="BA17" s="4" t="str">
        <f>MID(AP17,LEN(AT17)+(LEN(AU17)+LEN(AV17)+LEN(AW17)+LEN(AX17)+LEN(AY17)+LEN(AZ17)+1),LEN(Drawing!AJ40))</f>
        <v/>
      </c>
      <c r="BB17" s="4" t="str">
        <f>MID(AP17,LEN(AT17)+(LEN(AU17)+LEN(AV17)+LEN(AW17)+LEN(AX17)+LEN(AY17)+LEN(AZ17)+LEN(BA17)+1),LEN(Drawing!AK40))</f>
        <v/>
      </c>
      <c r="BC17" s="4" t="str">
        <f>MID(AP17,LEN(AT17)+(LEN(AU17)+LEN(AV17)+LEN(AW17)+LEN(AX17)+LEN(AY17)+LEN(AZ17)+LEN(BA17)+LEN(BB17)+1),LEN(Drawing!AL40))</f>
        <v/>
      </c>
      <c r="BD17" s="4" t="str">
        <f>MID(AP17,LEN(AT17)+(LEN(AU17)+LEN(AV17)+LEN(AW17)+LEN(AX17)+LEN(AY17)+LEN(AZ17)+LEN(BA17)+LEN(BB17)+LEN(BC17)+1),LEN(Drawing!AM40))</f>
        <v/>
      </c>
    </row>
    <row r="18" spans="1:56" x14ac:dyDescent="0.2">
      <c r="B18" t="s">
        <v>296</v>
      </c>
      <c r="C18" s="57">
        <v>400</v>
      </c>
      <c r="I18" s="29" t="s">
        <v>55</v>
      </c>
      <c r="J18" s="61">
        <f>($J$4*$E$21)-(($J$4*$E$21)*$C$10)+($D$21*$E$21)+(J9*E21)</f>
        <v>0</v>
      </c>
      <c r="K18" s="61">
        <f>($K$4*$E$22)-(($K$4*$E$22)*$C$10)+($D$22*$E$22)+(K9*E22)</f>
        <v>0</v>
      </c>
      <c r="L18" s="61">
        <f>($L$4*$E$23)-(($L$4*$E$23)*$C$10)+($D$23*$E$23)+(L9*E23)</f>
        <v>0</v>
      </c>
      <c r="M18" s="61">
        <f>($M$4*$E$24)-(($M$4*$E$24)*$C$10)+($D$24*$E$24)+($M9*$E$24)</f>
        <v>0</v>
      </c>
      <c r="N18" s="61">
        <f>($N$4*$E$25)-(($N$4*$E$25)*$C$10)+($D$25*$E$25)+(N9*E25)</f>
        <v>0</v>
      </c>
      <c r="O18" s="61">
        <f>($O$4*$E$26)-(($O$4*$E$26)*$C$10)+($D$26*$E$26)+(O9*E26)</f>
        <v>0</v>
      </c>
      <c r="P18" s="61">
        <f>($P$4*$E$27)-(($P$4*$E$27)*$C$10)+($D$27*$E$27)+(P9*E27)</f>
        <v>0</v>
      </c>
      <c r="Q18" s="61">
        <f>($Q$4*$E$28)-(($Q$4*$E$28)*$C$10)+($D$28*$E$28)+(Q9*E28)</f>
        <v>0</v>
      </c>
      <c r="R18" s="61">
        <f>($R$4*$E$29)-(($R$4*$E$29)*$C$10)+($D$29*$E$29)+(R9*E29)</f>
        <v>0</v>
      </c>
      <c r="S18" s="61">
        <f>($S$4*$E$30)-(($S$4*$E$30)*$C$10)+($D$30*$E$30)+(S9*E30)</f>
        <v>0</v>
      </c>
      <c r="T18" s="61">
        <f>($T$4*$E$31)-(($T$4*$E$31)*$C$10)+($D$31*$E$31)+(T9*E31)</f>
        <v>0</v>
      </c>
      <c r="U18" s="61">
        <f>($U$4*$E$32)-(($U$4*$E$32)*$C$10)+($D$32*$E$32)+(U9*E32)</f>
        <v>0</v>
      </c>
      <c r="V18" s="61">
        <f>($V$4*$E$33)-(($V$4*$E$33)*$C$10)+($D$33*$E$33)+(V9*E33)</f>
        <v>0</v>
      </c>
      <c r="W18" s="61">
        <f>($W$4*$E$34)-(($W$4*$E$34)*$C$10)+($D$34*$E$34)+(W9*E34)</f>
        <v>0</v>
      </c>
      <c r="X18" s="61">
        <f>($X$4*$E$35)-(($X$4*$E$35)*$C$10)+($D$35*$E$35)+(X9*E35)</f>
        <v>0</v>
      </c>
      <c r="AA18" s="29"/>
      <c r="AB18" s="94"/>
      <c r="AD18" s="763" t="s">
        <v>639</v>
      </c>
      <c r="AE18" s="763"/>
      <c r="AF18" s="1187" t="str">
        <f>TRIM('Survey Front'!S33 &amp; " " &amp; 'Survey Front'!T33 &amp; " " &amp; 'Survey Front'!U33 &amp; " " &amp; 'Survey Front'!V33 &amp; " " &amp; 'Survey Front'!W33 &amp; " " &amp; 'Survey Front'!AB33 &amp; " " &amp; 'Survey Front'!AC33)</f>
        <v/>
      </c>
      <c r="AG18" s="1187"/>
      <c r="AH18" s="1187"/>
      <c r="AN18" s="1286" t="s">
        <v>640</v>
      </c>
      <c r="AO18" s="1286"/>
      <c r="AP18" s="1287" t="str">
        <f>IF(Drawing!F2=4,Drawing!J18 &amp; " " &amp; Drawing!K18 &amp; " " &amp; Drawing!L18 &amp; " " &amp; Drawing!M18 &amp; " " &amp; Drawing!N18 &amp; " " &amp; Drawing!O18 &amp; " " &amp; Drawing!P18 &amp; " " &amp; Drawing!Q18 &amp; " " &amp; Drawing!R18 &amp; " " &amp; Drawing!S18 &amp; " " &amp; Drawing!T18,IF(Drawing!Y2=4,Drawing!AC18 &amp; " " &amp; Drawing!AD18 &amp; " " &amp; Drawing!AE18 &amp; " " &amp; Drawing!AF18 &amp; " " &amp; Drawing!AG18 &amp; " " &amp; Drawing!AH18 &amp; " " &amp; Drawing!AI18 &amp; " " &amp; Drawing!AJ18 &amp; " " &amp; Drawing!AK18 &amp; " " &amp; Drawing!AL18 &amp; " " &amp; Drawing!AM18,IF(Drawing!F25=4,TRIM(Drawing!J41 &amp; " " &amp; Drawing!K41 &amp; " " &amp; Drawing!L41 &amp; " " &amp; Drawing!M41 &amp; " " &amp; Drawing!N41 &amp; " " &amp; Drawing!O41 &amp; " " &amp; Drawing!P41 &amp; " " &amp; Drawing!Q41 &amp; " " &amp; Drawing!R41 &amp; " " &amp; Drawing!S41 &amp; " " &amp; Drawing!T41),IF(Drawing!Y25=4,Drawing!AC41 &amp; " " &amp; Drawing!AD41 &amp; " " &amp; Drawing!AE41 &amp; " " &amp; Drawing!AF41 &amp; " " &amp; Drawing!AG41 &amp; " " &amp; Drawing!AH41 &amp; " " &amp; Drawing!AI41 &amp; " " &amp; Drawing!AJ41 &amp; " " &amp; Drawing!AK41 &amp; " " &amp; Drawing!AL41 &amp; " " &amp; Drawing!AM41,""))))</f>
        <v/>
      </c>
      <c r="AQ18" s="1287"/>
      <c r="AR18" s="1287"/>
      <c r="AT18" s="95"/>
    </row>
    <row r="19" spans="1:56" x14ac:dyDescent="0.2">
      <c r="J19" s="65"/>
      <c r="K19" s="65"/>
      <c r="L19" s="65"/>
      <c r="M19" s="65"/>
      <c r="N19" s="65"/>
      <c r="O19" s="65"/>
      <c r="P19" s="7"/>
      <c r="Q19" s="7"/>
      <c r="AD19" s="763" t="s">
        <v>641</v>
      </c>
      <c r="AE19" s="763"/>
      <c r="AF19" s="1187" t="str">
        <f>TRIM('Survey Front'!S57 &amp; " " &amp; 'Survey Front'!T57 &amp; " " &amp; 'Survey Front'!U57 &amp; " " &amp; 'Survey Front'!V57 &amp; " " &amp; 'Survey Front'!W57 &amp; " " &amp; 'Survey Front'!AB57 &amp; " " &amp; 'Survey Front'!AC57)</f>
        <v/>
      </c>
      <c r="AG19" s="1187"/>
      <c r="AH19" s="1187"/>
      <c r="AN19" s="1292" t="s">
        <v>642</v>
      </c>
      <c r="AO19" s="1293"/>
      <c r="AP19" s="1292" t="s">
        <v>643</v>
      </c>
      <c r="AQ19" s="1294"/>
      <c r="AR19" s="1294"/>
      <c r="AT19" s="4" t="str">
        <f>IF(LEN(Drawing!J44)&gt;1,MID(Matrix!AP19,1,LEN(Drawing!J44)),MID(AP19,1,1))</f>
        <v>L</v>
      </c>
      <c r="AU19" s="4" t="str">
        <f>MID(AP19,LEN(AT19)+1,LEN(Drawing!K63))</f>
        <v/>
      </c>
      <c r="AV19" s="4" t="str">
        <f>MID(AP19,LEN(AT19)+(LEN(AU19)+1),LEN(Drawing!L63))</f>
        <v/>
      </c>
      <c r="AW19" s="4" t="str">
        <f>MID(AP19,LEN(AT19)+(LEN(AU19)+LEN(AV19)+1),LEN(Drawing!M63))</f>
        <v/>
      </c>
      <c r="AX19" s="4" t="str">
        <f>MID(AP19,LEN(AT19)+(LEN(AU19)+LEN(AV19)+LEN(AW19)+1),LEN(Drawing!N63))</f>
        <v/>
      </c>
      <c r="AY19" s="4" t="str">
        <f>MID(AP19,LEN(AT19)+(LEN(AU19)+LEN(AV19)+LEN(AW19)+LEN(AX19)+1),LEN(Drawing!O63))</f>
        <v/>
      </c>
      <c r="AZ19" s="4" t="str">
        <f>MID(AP19,LEN(AT19)+(LEN(AU19)+LEN(AV19)+LEN(AW19)+LEN(AX19)+LEN(AY19)+1),LEN(Drawing!P63))</f>
        <v/>
      </c>
      <c r="BA19" s="4" t="str">
        <f>MID(AP19,LEN(AT19)+(LEN(AU19)+LEN(AV19)+LEN(AW19)+LEN(AX19)+LEN(AY19)+LEN(AZ19)+1),LEN(Drawing!Q63))</f>
        <v/>
      </c>
      <c r="BB19" s="4" t="str">
        <f>MID(AP19,LEN(AT19)+(LEN(AU19)+LEN(AV19)+LEN(AW19)+LEN(AX19)+LEN(AY19)+LEN(AZ19)+LEN(BA19)+1),LEN(Drawing!R63))</f>
        <v/>
      </c>
      <c r="BC19" s="4" t="str">
        <f>MID(AP19,LEN(AT19)+(LEN(AU19)+LEN(AV19)+LEN(AW19)+LEN(AX19)+LEN(AY19)+LEN(AZ19)+LEN(BA19)+LEN(BB19)+1),LEN(Drawing!S63))</f>
        <v/>
      </c>
      <c r="BD19" s="4" t="str">
        <f>MID(AP19,LEN(AT19)+(LEN(AU19)+LEN(AV19)+LEN(AW19)+LEN(AX19)+LEN(AY19)+LEN(AZ19)+LEN(BA19)+LEN(BB19)+LEN(BC19)+1),LEN(Drawing!T63))</f>
        <v/>
      </c>
    </row>
    <row r="20" spans="1:56" x14ac:dyDescent="0.2">
      <c r="C20" s="64" t="s">
        <v>303</v>
      </c>
      <c r="D20" s="4" t="s">
        <v>304</v>
      </c>
      <c r="E20" s="4" t="s">
        <v>14</v>
      </c>
      <c r="F20" s="4" t="s">
        <v>266</v>
      </c>
      <c r="G20" s="4" t="s">
        <v>305</v>
      </c>
      <c r="H20" s="4" t="s">
        <v>306</v>
      </c>
      <c r="I20" s="4" t="s">
        <v>248</v>
      </c>
      <c r="J20" s="65" t="s">
        <v>279</v>
      </c>
      <c r="K20" s="65" t="s">
        <v>307</v>
      </c>
      <c r="L20" s="65"/>
      <c r="M20" s="65"/>
      <c r="N20" s="65"/>
      <c r="O20" s="65"/>
      <c r="P20" s="7"/>
      <c r="Q20" s="7"/>
      <c r="AD20" s="763" t="s">
        <v>644</v>
      </c>
      <c r="AE20" s="763"/>
      <c r="AF20" s="1187" t="str">
        <f>TRIM('Survey Front'!S60 &amp; " " &amp; 'Survey Front'!T60 &amp; " " &amp; 'Survey Front'!U60 &amp; " " &amp; 'Survey Front'!V60 &amp; " " &amp; 'Survey Front'!W60 &amp; " " &amp; 'Survey Front'!AB60 &amp; " " &amp; 'Survey Front'!AC60)</f>
        <v/>
      </c>
      <c r="AG20" s="1187"/>
      <c r="AH20" s="1187"/>
      <c r="AN20" s="1294" t="s">
        <v>645</v>
      </c>
      <c r="AO20" s="1294"/>
      <c r="AP20" s="1295" t="str">
        <f>IF(Drawing!F2=5,Drawing!J18 &amp; " " &amp; Drawing!K18 &amp; " " &amp; Drawing!L18 &amp; " " &amp; Drawing!M18 &amp; " " &amp; Drawing!N18 &amp; " " &amp; Drawing!O18 &amp; " " &amp; Drawing!P18 &amp; " " &amp; Drawing!Q18 &amp; " " &amp; Drawing!R18 &amp; " " &amp; Drawing!S18 &amp; " " &amp; Drawing!T18,IF(Drawing!Y2=5,Drawing!AC18 &amp; " " &amp; Drawing!AD18 &amp; " " &amp; Drawing!AE18 &amp; " " &amp; Drawing!AF18 &amp; " " &amp; Drawing!AG18 &amp; " " &amp; Drawing!AH18 &amp; " " &amp; Drawing!AI18 &amp; " " &amp; Drawing!AJ18 &amp; " " &amp; Drawing!AK18 &amp; " " &amp; Drawing!AL18 &amp; " " &amp; Drawing!AM18,IF(Drawing!F25=5,TRIM(Drawing!J41 &amp; " " &amp; Drawing!K41 &amp; " " &amp; Drawing!L41 &amp; " " &amp; Drawing!M41 &amp; " " &amp; Drawing!N41 &amp; " " &amp; Drawing!O41 &amp; " " &amp; Drawing!P41 &amp; " " &amp; Drawing!Q41 &amp; " " &amp; Drawing!R41 &amp; " " &amp; Drawing!S41 &amp; " " &amp; Drawing!T41),IF(Drawing!Y48=6,Drawing!AC41 &amp; " " &amp; Drawing!AD41 &amp; " " &amp; Drawing!AE41 &amp; " " &amp; Drawing!AF41 &amp; " " &amp; Drawing!AG41 &amp; " " &amp; Drawing!AH41 &amp; " " &amp; Drawing!AI41 &amp; " " &amp; Drawing!AJ41 &amp; " " &amp; Drawing!AK41 &amp; " " &amp; Drawing!AL41 &amp; " " &amp; Drawing!AM41,""))))</f>
        <v/>
      </c>
      <c r="AQ20" s="1295"/>
      <c r="AR20" s="1295"/>
    </row>
    <row r="21" spans="1:56" x14ac:dyDescent="0.2">
      <c r="B21" t="s">
        <v>219</v>
      </c>
      <c r="C21" s="66">
        <f>COUNTIFS(Pricing!Q8:AA8,"(CB)")</f>
        <v>0</v>
      </c>
      <c r="D21" s="4">
        <f>IF(C21&gt;0,20,)</f>
        <v>0</v>
      </c>
      <c r="E21" s="67">
        <f>IF(Pricing!AD8="Quoted",,IF(Pricing!E8="",,Pricing!L8*Pricing!M8/1000000))</f>
        <v>0</v>
      </c>
      <c r="F21" s="64">
        <f>IF(Pricing!AD8="Quoted",IF(Pricing!J8 = "Silent",$E$21*$C$9,0),)</f>
        <v>0</v>
      </c>
      <c r="G21" s="64">
        <f>IF(Pricing!AD8="Quoted",IF(Pricing!D8="Tracked",$F$2*H21+$C$11,0),)</f>
        <v>0</v>
      </c>
      <c r="H21" s="68">
        <f>CONVERT(Pricing!L8,"mm","m")</f>
        <v>0</v>
      </c>
      <c r="I21" s="64">
        <f>IF(Pricing!D8="S/Shade",$F$3*E21,0)</f>
        <v>0</v>
      </c>
      <c r="J21" s="57">
        <f>AC9*C13</f>
        <v>0</v>
      </c>
      <c r="K21" s="4">
        <f>IF(I21&gt;0,E21,)</f>
        <v>0</v>
      </c>
      <c r="AD21" s="763" t="s">
        <v>646</v>
      </c>
      <c r="AE21" s="763"/>
      <c r="AF21" s="1187" t="str">
        <f>TRIM('Survey Front'!S63 &amp; " " &amp; 'Survey Front'!T63 &amp; " " &amp; 'Survey Front'!U63 &amp; " " &amp; 'Survey Front'!V63 &amp; " " &amp; 'Survey Front'!W63 &amp; " " &amp; 'Survey Front'!AB63 &amp; " " &amp; 'Survey Front'!AC63)</f>
        <v/>
      </c>
      <c r="AG21" s="1187"/>
      <c r="AH21" s="1187"/>
      <c r="AN21" s="1288" t="s">
        <v>634</v>
      </c>
      <c r="AO21" s="1289"/>
      <c r="AP21" s="1288" t="s">
        <v>647</v>
      </c>
      <c r="AQ21" s="1290"/>
      <c r="AR21" s="1290"/>
      <c r="AT21" s="4" t="str">
        <f>IF(LEN(Drawing!AC63)&gt;1,MID(Matrix!AP21,1,LEN(Drawing!AC63)),MID(AP21,1,1))</f>
        <v>(</v>
      </c>
      <c r="AU21" s="4" t="str">
        <f>MID(AP21,LEN(AT21)+1,LEN(Drawing!AD63))</f>
        <v/>
      </c>
      <c r="AV21" s="4" t="str">
        <f>MID(AP21,LEN(AT21)+(LEN(AU21)+1),LEN(Drawing!AE63))</f>
        <v/>
      </c>
      <c r="AW21" s="4" t="str">
        <f>MID(AP21,LEN(AT21)+(LEN(AU21)+LEN(AV21)+1),LEN(Drawing!AF63))</f>
        <v/>
      </c>
      <c r="AX21" s="4" t="str">
        <f>MID(AP21,LEN(AT21)+(LEN(AU21)+LEN(AV21)+LEN(AW21)+1),LEN(Drawing!AG63))</f>
        <v/>
      </c>
      <c r="AY21" s="4" t="str">
        <f>MID(AP21,LEN(AT21)+(LEN(AU21)+LEN(AV21)+LEN(AW21)+LEN(AX21)+1),LEN(Drawing!AH63))</f>
        <v/>
      </c>
      <c r="AZ21" s="4" t="str">
        <f>MID(AP21,LEN(AT21)+(LEN(AU21)+LEN(AV21)+LEN(AW21)+LEN(AX21)+LEN(AY21)+1),LEN(Drawing!AI63))</f>
        <v/>
      </c>
      <c r="BA21" s="4" t="str">
        <f>MID(AP21,LEN(AT21)+(LEN(AU21)+LEN(AV21)+LEN(AW21)+LEN(AX21)+LEN(AY21)+LEN(AZ21)+1),LEN(Drawing!AJ63))</f>
        <v/>
      </c>
      <c r="BB21" s="4" t="str">
        <f>MID(AP21,LEN(AT21)+(LEN(AU21)+LEN(AV21)+LEN(AW21)+LEN(AX21)+LEN(AY21)+LEN(AZ21)+LEN(BA21)+1),LEN(Drawing!AK63))</f>
        <v/>
      </c>
      <c r="BC21" s="4" t="str">
        <f>MID(AP21,LEN(AT21)+(LEN(AU21)+LEN(AV21)+LEN(AW21)+LEN(AX21)+LEN(AY21)+LEN(AZ21)+LEN(BA21)+LEN(BB21)+1),LEN(Drawing!AL63))</f>
        <v/>
      </c>
      <c r="BD21" s="4" t="str">
        <f>MID(AP21,LEN(AT21)+(LEN(AU21)+LEN(AV21)+LEN(AW21)+LEN(AX21)+LEN(AY21)+LEN(AZ21)+LEN(BA21)+LEN(BB21)+LEN(BC21)+1),LEN(Drawing!AM63))</f>
        <v/>
      </c>
    </row>
    <row r="22" spans="1:56" x14ac:dyDescent="0.2">
      <c r="B22" t="s">
        <v>220</v>
      </c>
      <c r="C22" s="66">
        <f>COUNTIFS(Pricing!Q11:AA11,"(CB)")</f>
        <v>0</v>
      </c>
      <c r="D22" s="4">
        <f t="shared" ref="D22:D35" si="4">IF(C22&gt;0,20,)</f>
        <v>0</v>
      </c>
      <c r="E22" s="67">
        <f>IF(Pricing!AD11="Quoted",,IF(Pricing!E11="",,Pricing!L11*Pricing!M11/1000000))</f>
        <v>0</v>
      </c>
      <c r="F22" s="64">
        <f>IF(Pricing!AD11="Quoted",IF(Pricing!J11 = "Silent",$E$22*$C$9,0),)</f>
        <v>0</v>
      </c>
      <c r="G22" s="64">
        <f>IF(Pricing!AD11="Quoted",IF(Pricing!D11="Tracked",$F$2*H22+$C$11,0),)</f>
        <v>0</v>
      </c>
      <c r="H22" s="68">
        <f>IF(Pricing!D11="Tracked",CONVERT(Pricing!L11,"mm","m"),)</f>
        <v>0</v>
      </c>
      <c r="I22" s="64">
        <f>IF(Pricing!D11="S/Shade",$F$3*E22,0)</f>
        <v>0</v>
      </c>
      <c r="K22" s="4">
        <f t="shared" ref="K22:K35" si="5">IF(I22&gt;0,E22,)</f>
        <v>0</v>
      </c>
      <c r="AD22" s="763" t="s">
        <v>648</v>
      </c>
      <c r="AE22" s="763"/>
      <c r="AF22" s="1187" t="str">
        <f>TRIM('Survey Front'!S66 &amp; " " &amp; 'Survey Front'!T66 &amp; " " &amp; 'Survey Front'!U66 &amp; " " &amp; 'Survey Front'!V66 &amp; " " &amp; 'Survey Front'!W66 &amp; " " &amp; 'Survey Front'!AB66 &amp; " " &amp; 'Survey Front'!AC66)</f>
        <v/>
      </c>
      <c r="AG22" s="1187"/>
      <c r="AH22" s="1187"/>
      <c r="AN22" s="1290" t="s">
        <v>649</v>
      </c>
      <c r="AO22" s="1290"/>
      <c r="AP22" s="1291" t="str">
        <f>IF(Drawing!F2=6,Drawing!J18 &amp; " " &amp; Drawing!K18 &amp; " " &amp; Drawing!L18 &amp; " " &amp; Drawing!M18 &amp; " " &amp; Drawing!N18 &amp; " " &amp; Drawing!O18 &amp; " " &amp; Drawing!P18 &amp; " " &amp; Drawing!Q18 &amp; " " &amp; Drawing!R18 &amp; " " &amp; Drawing!S18 &amp; " " &amp; Drawing!T18,IF(Drawing!Y2=6,Drawing!AC18 &amp; " " &amp; Drawing!AD18 &amp; " " &amp; Drawing!AE18 &amp; " " &amp; Drawing!AF18 &amp; " " &amp; Drawing!AG18 &amp; " " &amp; Drawing!AH18 &amp; " " &amp; Drawing!AI18 &amp; " " &amp; Drawing!AJ18 &amp; " " &amp; Drawing!AK18 &amp; " " &amp; Drawing!AL18 &amp; " " &amp; Drawing!AM18,IF(Drawing!F25=6,TRIM(Drawing!J41 &amp; " " &amp; Drawing!K41 &amp; " " &amp; Drawing!L41 &amp; " " &amp; Drawing!M41 &amp; " " &amp; Drawing!N41 &amp; " " &amp; Drawing!O41 &amp; " " &amp; Drawing!P41 &amp; " " &amp; Drawing!Q41 &amp; " " &amp; Drawing!R41 &amp; " " &amp; Drawing!S41 &amp; " " &amp; Drawing!T41),IF(Drawing!Y25=6,Drawing!AC41 &amp; " " &amp; Drawing!AD41 &amp; " " &amp; Drawing!AE41 &amp; " " &amp; Drawing!AF41 &amp; " " &amp; Drawing!AG41 &amp; " " &amp; Drawing!AH41 &amp; " " &amp; Drawing!AI41 &amp; " " &amp; Drawing!AJ41 &amp; " " &amp; Drawing!AK41 &amp; " " &amp; Drawing!AL41 &amp; " " &amp; Drawing!AM41,""))))</f>
        <v/>
      </c>
      <c r="AQ22" s="1291"/>
      <c r="AR22" s="1291"/>
    </row>
    <row r="23" spans="1:56" x14ac:dyDescent="0.2">
      <c r="B23" t="s">
        <v>221</v>
      </c>
      <c r="C23" s="66">
        <f>COUNTIFS(Pricing!Q14:AA14,"(CB)")</f>
        <v>0</v>
      </c>
      <c r="D23" s="4">
        <f t="shared" si="4"/>
        <v>0</v>
      </c>
      <c r="E23" s="67">
        <f>IF(Pricing!AD14="Quoted",,IF(Pricing!E14="",,Pricing!L14*Pricing!M14/1000000))</f>
        <v>0</v>
      </c>
      <c r="F23" s="64">
        <f>IF(Pricing!AD14="Quoted",IF(Pricing!J14 = "Silent",$E$23*$C$9,0),)</f>
        <v>0</v>
      </c>
      <c r="G23" s="64">
        <f>IF(Pricing!AD14="Quoted",IF(Pricing!D14="Tracked",$F$2*H23+$C$11,0),)</f>
        <v>0</v>
      </c>
      <c r="H23" s="68">
        <f>IF(Pricing!D14="Tracked",CONVERT(Pricing!L14,"mm","m"),)</f>
        <v>0</v>
      </c>
      <c r="I23" s="64">
        <f>IF(Pricing!D14="S/Shade",$F$3*E23,0)</f>
        <v>0</v>
      </c>
      <c r="K23" s="4">
        <f t="shared" si="5"/>
        <v>0</v>
      </c>
      <c r="AD23" s="763" t="s">
        <v>650</v>
      </c>
      <c r="AE23" s="763"/>
      <c r="AF23" s="1187" t="str">
        <f>TRIM('Survey Front'!S69 &amp; " " &amp; 'Survey Front'!T69 &amp; " " &amp; 'Survey Front'!U69 &amp; " " &amp; 'Survey Front'!V69 &amp; " " &amp; 'Survey Front'!W69 &amp; " " &amp; 'Survey Front'!AB69 &amp; " " &amp; 'Survey Front'!AC69)</f>
        <v/>
      </c>
      <c r="AG23" s="1187"/>
      <c r="AH23" s="1187"/>
      <c r="AN23" s="1300" t="s">
        <v>636</v>
      </c>
      <c r="AO23" s="1301"/>
      <c r="AP23" s="1300" t="s">
        <v>651</v>
      </c>
      <c r="AQ23" s="1302"/>
      <c r="AR23" s="1302"/>
      <c r="AT23" s="4" t="b">
        <f>IF(AND(Drawing!B2=1,Drawing!F2=7),IF(LEN(Drawing!J17)&gt;1,MID(Matrix!AP23,1,LEN(Drawing!J17)),MID(AP23,1,1)))</f>
        <v>0</v>
      </c>
      <c r="AU23" s="4" t="str">
        <f>MID(AP23,LEN(AT23)+1,LEN(Drawing!K67))</f>
        <v/>
      </c>
      <c r="AV23" s="4" t="str">
        <f>MID(AP23,LEN(AT23)+(LEN(AU23)+1),LEN(Drawing!L67))</f>
        <v/>
      </c>
      <c r="AW23" s="4" t="str">
        <f>MID(AP23,LEN(AT23)+(LEN(AU23)+LEN(AV23)+1),LEN(Drawing!M67))</f>
        <v/>
      </c>
      <c r="AX23" s="4" t="str">
        <f>MID(AP23,LEN(AT23)+(LEN(AU23)+LEN(AV23)+LEN(AW23)+1),LEN(Drawing!N67))</f>
        <v/>
      </c>
      <c r="AY23" s="4" t="str">
        <f>MID(AP23,LEN(AT23)+(LEN(AU23)+LEN(AV23)+LEN(AW23)+LEN(AX23)+1),LEN(Drawing!O67))</f>
        <v/>
      </c>
      <c r="AZ23" s="4" t="str">
        <f>MID(AP23,LEN(AT23)+(LEN(AU23)+LEN(AV23)+LEN(AW23)+LEN(AX23)+LEN(AY23)+1),LEN(Drawing!P67))</f>
        <v/>
      </c>
      <c r="BA23" s="4" t="str">
        <f>MID(AP23,LEN(AT23)+(LEN(AU23)+LEN(AV23)+LEN(AW23)+LEN(AX23)+LEN(AY23)+LEN(AZ23)+1),LEN(Drawing!Q67))</f>
        <v/>
      </c>
      <c r="BB23" s="4" t="str">
        <f>MID(AP23,LEN(AT23)+(LEN(AU23)+LEN(AV23)+LEN(AW23)+LEN(AX23)+LEN(AY23)+LEN(AZ23)+LEN(BA23)+1),LEN(Drawing!R67))</f>
        <v/>
      </c>
      <c r="BC23" s="4" t="str">
        <f>MID(AP23,LEN(AT23)+(LEN(AU23)+LEN(AV23)+LEN(AW23)+LEN(AX23)+LEN(AY23)+LEN(AZ23)+LEN(BA23)+LEN(BB23)+1),LEN(Drawing!S67))</f>
        <v/>
      </c>
      <c r="BD23" s="4" t="str">
        <f>MID(AP23,LEN(AT23)+(LEN(AU23)+LEN(AV23)+LEN(AW23)+LEN(AX23)+LEN(AY23)+LEN(AZ23)+LEN(BA23)+LEN(BB23)+LEN(BC23)+1),LEN(Drawing!T67))</f>
        <v/>
      </c>
    </row>
    <row r="24" spans="1:56" x14ac:dyDescent="0.2">
      <c r="B24" t="s">
        <v>222</v>
      </c>
      <c r="C24" s="66">
        <f>COUNTIFS(Pricing!Q17:AA17,"(CB)")</f>
        <v>0</v>
      </c>
      <c r="D24" s="4">
        <f t="shared" si="4"/>
        <v>0</v>
      </c>
      <c r="E24" s="67">
        <f>IF(Pricing!AD7="Quoted",,IF(Pricing!E17="",,Pricing!L17*Pricing!M17/1000000))</f>
        <v>0</v>
      </c>
      <c r="F24" s="64">
        <f>IF(Pricing!AD17="Quoted",IF(Pricing!J17 = "Silent",$E$24*$C$9,0),)</f>
        <v>0</v>
      </c>
      <c r="G24" s="64">
        <f>IF(Pricing!AD17="Quoted",IF(Pricing!D17="Tracked",$F$2*H24+$C$11,0),)</f>
        <v>0</v>
      </c>
      <c r="H24" s="68">
        <f>IF(Pricing!D17="Tracked",CONVERT(Pricing!L17,"mm","m"),)</f>
        <v>0</v>
      </c>
      <c r="I24" s="64">
        <f>IF(Pricing!D17="S/Shade",$F$3*E24,0)</f>
        <v>0</v>
      </c>
      <c r="K24" s="4">
        <f t="shared" si="5"/>
        <v>0</v>
      </c>
      <c r="AD24" s="763" t="s">
        <v>652</v>
      </c>
      <c r="AE24" s="763"/>
      <c r="AF24" s="1187" t="str">
        <f>TRIM('Survey Front'!S72 &amp; " " &amp; 'Survey Front'!T72 &amp; " " &amp; 'Survey Front'!U72 &amp; " " &amp; 'Survey Front'!V72 &amp; " " &amp; 'Survey Front'!W72 &amp; " " &amp; 'Survey Front'!AB72 &amp; " " &amp; 'Survey Front'!AC72)</f>
        <v/>
      </c>
      <c r="AG24" s="1187"/>
      <c r="AH24" s="1187"/>
      <c r="AN24" s="1302" t="s">
        <v>653</v>
      </c>
      <c r="AO24" s="1302"/>
      <c r="AP24" s="1303" t="str">
        <f>IF(Drawing!F4=6,Drawing!J20 &amp; " " &amp; Drawing!K20 &amp; " " &amp; Drawing!L20 &amp; " " &amp; Drawing!M20 &amp; " " &amp; Drawing!N20 &amp; " " &amp; Drawing!O20 &amp; " " &amp; Drawing!P20 &amp; " " &amp; Drawing!Q20 &amp; " " &amp; Drawing!R20 &amp; " " &amp; Drawing!S20 &amp; " " &amp; Drawing!T20,IF(Drawing!Y4=6,Drawing!AC20 &amp; " " &amp; Drawing!AD20 &amp; " " &amp; Drawing!AE20 &amp; " " &amp; Drawing!AF20 &amp; " " &amp; Drawing!AG20 &amp; " " &amp; Drawing!AH20 &amp; " " &amp; Drawing!AI20 &amp; " " &amp; Drawing!AJ20 &amp; " " &amp; Drawing!AK20 &amp; " " &amp; Drawing!AL20 &amp; " " &amp; Drawing!AM20,IF(Drawing!F27=6,TRIM(Drawing!J43 &amp; " " &amp; Drawing!K43 &amp; " " &amp; Drawing!L43 &amp; " " &amp; Drawing!M43 &amp; " " &amp; Drawing!N43 &amp; " " &amp; Drawing!O43 &amp; " " &amp; Drawing!P43 &amp; " " &amp; Drawing!Q43 &amp; " " &amp; Drawing!R43 &amp; " " &amp; Drawing!S43 &amp; " " &amp; Drawing!T43),IF(Drawing!Y27=6,Drawing!AC43 &amp; " " &amp; Drawing!AD43 &amp; " " &amp; Drawing!AE43 &amp; " " &amp; Drawing!AF43 &amp; " " &amp; Drawing!AG43 &amp; " " &amp; Drawing!AH43 &amp; " " &amp; Drawing!AI43 &amp; " " &amp; Drawing!AJ43 &amp; " " &amp; Drawing!AK43 &amp; " " &amp; Drawing!AL43 &amp; " " &amp; Drawing!AM43,""))))</f>
        <v/>
      </c>
      <c r="AQ24" s="1303"/>
      <c r="AR24" s="1303"/>
    </row>
    <row r="25" spans="1:56" x14ac:dyDescent="0.2">
      <c r="B25" t="s">
        <v>223</v>
      </c>
      <c r="C25" s="66">
        <f>COUNTIFS(Pricing!Q20:AA20,"(CB)")</f>
        <v>0</v>
      </c>
      <c r="D25" s="4">
        <f t="shared" si="4"/>
        <v>0</v>
      </c>
      <c r="E25" s="67">
        <f>IF(Pricing!AD20="Quoted",,IF(Pricing!E20="",,Pricing!L20*Pricing!M20/1000000))</f>
        <v>0</v>
      </c>
      <c r="F25" s="64">
        <f>IF(Pricing!AD20="Quoted",IF(Pricing!J20 = "Silent",$E$25*$C$9,0),)</f>
        <v>0</v>
      </c>
      <c r="G25" s="64">
        <f>IF(Pricing!AD20="Quoted",IF(Pricing!D20="Tracked",$F$2*H25+$C$11,0),)</f>
        <v>0</v>
      </c>
      <c r="H25" s="68">
        <f>IF(Pricing!D20="Tracked",CONVERT(Pricing!L20,"mm","m"),)</f>
        <v>0</v>
      </c>
      <c r="I25" s="64">
        <f>IF(Pricing!D20="S/Shade",$F$3*E25,0)</f>
        <v>0</v>
      </c>
      <c r="K25" s="4">
        <f t="shared" si="5"/>
        <v>0</v>
      </c>
      <c r="AD25" s="763" t="s">
        <v>654</v>
      </c>
      <c r="AE25" s="763"/>
      <c r="AF25" s="1187" t="str">
        <f>TRIM('Survey Front'!S75 &amp; " " &amp; 'Survey Front'!T75 &amp; " " &amp; 'Survey Front'!U75 &amp; " " &amp; 'Survey Front'!V75 &amp; " " &amp; 'Survey Front'!W75 &amp; " " &amp; 'Survey Front'!AB75 &amp; " " &amp; 'Survey Front'!AC75)</f>
        <v/>
      </c>
      <c r="AG25" s="1187"/>
      <c r="AH25" s="1187"/>
      <c r="AN25" s="1296" t="s">
        <v>639</v>
      </c>
      <c r="AO25" s="1297"/>
      <c r="AP25" s="1296" t="b">
        <v>0</v>
      </c>
      <c r="AQ25" s="1298"/>
      <c r="AR25" s="1298"/>
    </row>
    <row r="26" spans="1:56" x14ac:dyDescent="0.2">
      <c r="B26" t="s">
        <v>224</v>
      </c>
      <c r="C26" s="66">
        <f>COUNTIFS(Pricing!Q23:AA23,"(CB)")</f>
        <v>0</v>
      </c>
      <c r="D26" s="4">
        <f t="shared" si="4"/>
        <v>0</v>
      </c>
      <c r="E26" s="67">
        <f>IF(Pricing!AD23="Quoted",,IF(Pricing!E23="",,Pricing!L23*Pricing!M23/1000000))</f>
        <v>0</v>
      </c>
      <c r="F26" s="64">
        <f>IF(Pricing!AD23="Quoted",IF(Pricing!J23 = "Silent",$E$26*$C$9,0),)</f>
        <v>0</v>
      </c>
      <c r="G26" s="64">
        <f>IF(Pricing!AD23="Quoted",IF(Pricing!D23="Tracked",$F$2*H26+$C$11,0),)</f>
        <v>0</v>
      </c>
      <c r="H26" s="68">
        <f>IF(Pricing!D23="Tracked",CONVERT(Pricing!L23,"mm","m"),)</f>
        <v>0</v>
      </c>
      <c r="I26" s="64">
        <f>IF(Pricing!D23="S/Shade",$F$3*E26,0)</f>
        <v>0</v>
      </c>
      <c r="K26" s="4">
        <f t="shared" si="5"/>
        <v>0</v>
      </c>
      <c r="AN26" s="1298" t="s">
        <v>655</v>
      </c>
      <c r="AO26" s="1298"/>
      <c r="AP26" s="1299"/>
      <c r="AQ26" s="1299"/>
      <c r="AR26" s="1299"/>
    </row>
    <row r="27" spans="1:56" x14ac:dyDescent="0.2">
      <c r="B27" t="s">
        <v>225</v>
      </c>
      <c r="C27" s="66">
        <f>COUNTIFS(Pricing!Q26:AA26,"(CB)")</f>
        <v>0</v>
      </c>
      <c r="D27" s="4">
        <f t="shared" si="4"/>
        <v>0</v>
      </c>
      <c r="E27" s="67">
        <f>IF(Pricing!AD26="Quoted",,IF(Pricing!E26="",,Pricing!L26*Pricing!M26/1000000))</f>
        <v>0</v>
      </c>
      <c r="F27" s="64">
        <f>IF(Pricing!AD26="Quoted",IF(Pricing!J26 = "Silent",$E$27*$C$9,0),)</f>
        <v>0</v>
      </c>
      <c r="G27" s="64">
        <f>IF(Pricing!AD26="Quoted",IF(Pricing!D26="Tracked",$F$2*H27+$C$11,0),)</f>
        <v>0</v>
      </c>
      <c r="H27" s="68">
        <f>IF(Pricing!D26="Tracked",CONVERT(Pricing!L26,"mm","m"),)</f>
        <v>0</v>
      </c>
      <c r="I27" s="64">
        <f>IF(Pricing!D26="S/Shade",$F$3*E27,0)</f>
        <v>0</v>
      </c>
      <c r="K27" s="4">
        <f t="shared" si="5"/>
        <v>0</v>
      </c>
      <c r="AN27" s="1307" t="s">
        <v>641</v>
      </c>
      <c r="AO27" s="1308"/>
      <c r="AP27" s="1307" t="b">
        <v>0</v>
      </c>
      <c r="AQ27" s="1309"/>
      <c r="AR27" s="1309"/>
    </row>
    <row r="28" spans="1:56" x14ac:dyDescent="0.2">
      <c r="B28" t="s">
        <v>226</v>
      </c>
      <c r="C28" s="66">
        <f>COUNTIFS(Pricing!Q29:AA29,"(CB)")</f>
        <v>0</v>
      </c>
      <c r="D28" s="4">
        <f t="shared" si="4"/>
        <v>0</v>
      </c>
      <c r="E28" s="67">
        <f>IF(Pricing!AD29="Quoted",,IF(Pricing!E29="",,Pricing!L29*Pricing!M29/1000000))</f>
        <v>0</v>
      </c>
      <c r="F28" s="64">
        <f>IF(Pricing!AD29="Quoted",IF(Pricing!J29 = "Silent",$E28*$C$9,0),)</f>
        <v>0</v>
      </c>
      <c r="G28" s="64">
        <f>IF(Pricing!AD29="Quoted",IF(Pricing!D29="Tracked",$F$2*H28+$C$11,0),)</f>
        <v>0</v>
      </c>
      <c r="H28" s="68">
        <f>IF(Pricing!D29="Tracked",CONVERT(Pricing!L29,"mm","m"),)</f>
        <v>0</v>
      </c>
      <c r="I28" s="64">
        <f>IF(Pricing!D29="S/Shade",$F$3*E28,0)</f>
        <v>0</v>
      </c>
      <c r="K28" s="4">
        <f t="shared" si="5"/>
        <v>0</v>
      </c>
      <c r="AN28" s="1309" t="s">
        <v>656</v>
      </c>
      <c r="AO28" s="1309"/>
      <c r="AP28" s="96"/>
      <c r="AQ28" s="96"/>
      <c r="AR28" s="96"/>
    </row>
    <row r="29" spans="1:56" x14ac:dyDescent="0.2">
      <c r="B29" t="s">
        <v>227</v>
      </c>
      <c r="C29" s="66">
        <f>COUNTIFS(Pricing!Q30:AA30,"(CB)")</f>
        <v>0</v>
      </c>
      <c r="D29" s="4">
        <f t="shared" si="4"/>
        <v>0</v>
      </c>
      <c r="E29" s="67">
        <f>IF(Pricing!AD32="Quoted",,IF(Pricing!E32="",,Pricing!L32*Pricing!M32/1000000))</f>
        <v>0</v>
      </c>
      <c r="F29" s="64">
        <f>IF(Pricing!AD32="Quoted",IF(Pricing!J32 = "Silent",$E29*$C$9,0),)</f>
        <v>0</v>
      </c>
      <c r="G29" s="64">
        <f>IF(Pricing!AD32="Quoted",IF(Pricing!D32="Tracked",$F$2*H29+$C$11,0),)</f>
        <v>0</v>
      </c>
      <c r="H29" s="68">
        <f>IF(Pricing!D32="Tracked",CONVERT(Pricing!L32,"mm","m"),)</f>
        <v>0</v>
      </c>
      <c r="I29" s="64">
        <f>IF(Pricing!D32="S/Shade",$F$3*E29,0)</f>
        <v>0</v>
      </c>
      <c r="K29" s="4">
        <f t="shared" si="5"/>
        <v>0</v>
      </c>
      <c r="AN29" s="1310" t="s">
        <v>644</v>
      </c>
      <c r="AO29" s="1311"/>
      <c r="AP29" s="1310" t="b">
        <v>0</v>
      </c>
      <c r="AQ29" s="1312"/>
      <c r="AR29" s="1312"/>
    </row>
    <row r="30" spans="1:56" x14ac:dyDescent="0.2">
      <c r="B30" t="s">
        <v>228</v>
      </c>
      <c r="C30" s="66">
        <f>COUNTIFS(Pricing!Q35:AA35,"(CB)")</f>
        <v>0</v>
      </c>
      <c r="D30" s="4">
        <f t="shared" si="4"/>
        <v>0</v>
      </c>
      <c r="E30" s="67">
        <f>IF(Pricing!AD35="Quoted",,IF(Pricing!E35="",,Pricing!L35*Pricing!M35/1000000))</f>
        <v>0</v>
      </c>
      <c r="F30" s="64">
        <f>IF(Pricing!AD35="Quoted",IF(Pricing!J35 = "Silent",$E30*$C$9,0),)</f>
        <v>0</v>
      </c>
      <c r="G30" s="64">
        <f>IF(Pricing!AD35="Quoted",IF(Pricing!D35="Tracked",$F$2*H30+$C$11,0),)</f>
        <v>0</v>
      </c>
      <c r="H30" s="68">
        <f>IF(Pricing!D35="Tracked",CONVERT(Pricing!L35,"mm","m"),)</f>
        <v>0</v>
      </c>
      <c r="I30" s="64">
        <f>IF(Pricing!D35="S/Shade",$F$3*E30,0)</f>
        <v>0</v>
      </c>
      <c r="K30" s="4">
        <f t="shared" si="5"/>
        <v>0</v>
      </c>
      <c r="AD30" s="1186" t="s">
        <v>313</v>
      </c>
      <c r="AE30" s="1186"/>
      <c r="AF30" s="1187" t="str">
        <f xml:space="preserve"> TRIM(Pricing!Q8 &amp; " " &amp; Pricing!R8 &amp; " " &amp; Pricing!S8 &amp; " " &amp; Pricing!T8 &amp; " " &amp; Pricing!U8 &amp; " " &amp; Pricing!V8 &amp; " " &amp; Pricing!W8 &amp; " " &amp; Pricing!X8 &amp; " " &amp; Pricing!Y8 &amp; " " &amp; Pricing!Z8 &amp; " " &amp; Pricing!AA8)</f>
        <v/>
      </c>
      <c r="AG30" s="1187"/>
      <c r="AH30" s="1187"/>
      <c r="AN30" s="1312" t="s">
        <v>657</v>
      </c>
      <c r="AO30" s="1312"/>
      <c r="AP30" s="97"/>
      <c r="AQ30" s="97"/>
      <c r="AR30" s="97"/>
    </row>
    <row r="31" spans="1:56" x14ac:dyDescent="0.2">
      <c r="B31" t="s">
        <v>229</v>
      </c>
      <c r="C31" s="66">
        <f>COUNTIFS(Pricing!Q38:AA38,"(CB)")</f>
        <v>0</v>
      </c>
      <c r="D31" s="4">
        <f t="shared" si="4"/>
        <v>0</v>
      </c>
      <c r="E31" s="67">
        <f>IF(Pricing!AD38="Quoted",,IF(Pricing!E38="",,Pricing!L38*Pricing!M38/1000000))</f>
        <v>0</v>
      </c>
      <c r="F31" s="64">
        <f>IF(Pricing!AD38="Quoted",IF(Pricing!J38 = "Silent",$E31*$C$9,0),)</f>
        <v>0</v>
      </c>
      <c r="G31" s="64">
        <f>IF(Pricing!AD38="Quoted",IF(Pricing!D38="Tracked",$F$2*H31+$C$11,0),)</f>
        <v>0</v>
      </c>
      <c r="H31" s="68">
        <f>IF(Pricing!D38="Tracked",CONVERT(Pricing!L38,"mm","m"),)</f>
        <v>0</v>
      </c>
      <c r="I31" s="64">
        <f>IF(Pricing!D38="S/Shade",$F$3*E31,0)</f>
        <v>0</v>
      </c>
      <c r="K31" s="4">
        <f t="shared" si="5"/>
        <v>0</v>
      </c>
      <c r="AD31" s="1186" t="s">
        <v>315</v>
      </c>
      <c r="AE31" s="1186"/>
      <c r="AF31" s="1187" t="str">
        <f xml:space="preserve"> TRIM(Pricing!Q11 &amp; " " &amp; Pricing!R11 &amp; " " &amp; Pricing!S11 &amp; " " &amp; Pricing!T11 &amp; " " &amp; Pricing!U11 &amp; " " &amp; Pricing!V11 &amp; " " &amp; Pricing!W11 &amp; " " &amp; Pricing!X11 &amp; " " &amp; Pricing!Y11 &amp; " " &amp; Pricing!Z11 &amp; " " &amp; Pricing!AA11)</f>
        <v/>
      </c>
      <c r="AG31" s="1187"/>
      <c r="AH31" s="1187"/>
      <c r="AN31" s="1304" t="s">
        <v>646</v>
      </c>
      <c r="AO31" s="1305"/>
      <c r="AP31" s="1304" t="b">
        <v>0</v>
      </c>
      <c r="AQ31" s="1306"/>
      <c r="AR31" s="1306"/>
    </row>
    <row r="32" spans="1:56" x14ac:dyDescent="0.2">
      <c r="B32" t="s">
        <v>230</v>
      </c>
      <c r="C32" s="66">
        <f>COUNTIFS(Pricing!Q41:AA41,"(CB)")</f>
        <v>0</v>
      </c>
      <c r="D32" s="4">
        <f t="shared" si="4"/>
        <v>0</v>
      </c>
      <c r="E32" s="67">
        <f>IF(Pricing!AD41="Quoted",,IF(Pricing!E41="",,Pricing!L41*Pricing!M41/1000000))</f>
        <v>0</v>
      </c>
      <c r="F32" s="64">
        <f>IF(Pricing!AD41="Quoted",IF(Pricing!J41 = "Silent",$E32*$C$9,0),)</f>
        <v>0</v>
      </c>
      <c r="G32" s="64">
        <f>IF(Pricing!AD41="Quoted",IF(Pricing!D41="Tracked",$F$2*H32+$C$11,0),)</f>
        <v>0</v>
      </c>
      <c r="H32" s="68">
        <f>IF(Pricing!D41="Tracked",CONVERT(Pricing!L41,"mm","m"),)</f>
        <v>0</v>
      </c>
      <c r="I32" s="64">
        <f>IF(Pricing!D41="S/Shade",$F$3*E32,0)</f>
        <v>0</v>
      </c>
      <c r="K32" s="4">
        <f t="shared" si="5"/>
        <v>0</v>
      </c>
      <c r="AD32" s="1186" t="s">
        <v>317</v>
      </c>
      <c r="AE32" s="1186"/>
      <c r="AF32" s="1187" t="str">
        <f xml:space="preserve"> TRIM(Pricing!Q14 &amp; " " &amp; Pricing!R14 &amp; " " &amp; Pricing!S8 &amp; " " &amp; Pricing!T8 &amp; " " &amp; Pricing!U8 &amp; " " &amp; Pricing!V8 &amp; " " &amp; Pricing!W8 &amp; " " &amp; Pricing!X8 &amp; " " &amp; Pricing!Y8 &amp; " " &amp; Pricing!Z8 &amp; " " &amp; Pricing!AA8)</f>
        <v/>
      </c>
      <c r="AG32" s="1187"/>
      <c r="AH32" s="1187"/>
      <c r="AN32" s="1306" t="s">
        <v>658</v>
      </c>
      <c r="AO32" s="1306"/>
      <c r="AP32" s="98"/>
      <c r="AQ32" s="98"/>
      <c r="AR32" s="98"/>
    </row>
    <row r="33" spans="2:44" x14ac:dyDescent="0.2">
      <c r="B33" t="s">
        <v>231</v>
      </c>
      <c r="C33" s="66">
        <f>COUNTIFS(Pricing!Q44:AA44,"(CB)")</f>
        <v>0</v>
      </c>
      <c r="D33" s="4">
        <f t="shared" si="4"/>
        <v>0</v>
      </c>
      <c r="E33" s="67">
        <f>IF(Pricing!AD44="Quoted",,IF(Pricing!E44="",,Pricing!L44*Pricing!M44/1000000))</f>
        <v>0</v>
      </c>
      <c r="F33" s="64">
        <f>IF(Pricing!AD44="Quoted",IF(Pricing!J44 = "Silent",$E33*$C$9,0),)</f>
        <v>0</v>
      </c>
      <c r="G33" s="64">
        <f>IF(Pricing!AD44="Quoted",IF(Pricing!D44="Tracked",$F$2*H33+$C$11,0),)</f>
        <v>0</v>
      </c>
      <c r="H33" s="68">
        <f>IF(Pricing!D44="Tracked",CONVERT(Pricing!L44,"mm","m"),)</f>
        <v>0</v>
      </c>
      <c r="I33" s="64">
        <f>IF(Pricing!D44="S/Shade",$F$3*E33,0)</f>
        <v>0</v>
      </c>
      <c r="K33" s="4">
        <f t="shared" si="5"/>
        <v>0</v>
      </c>
      <c r="AD33" s="1186" t="s">
        <v>319</v>
      </c>
      <c r="AE33" s="1186"/>
      <c r="AF33" s="1187" t="str">
        <f xml:space="preserve"> TRIM(Pricing!Q17 &amp; " " &amp; Pricing!R17 &amp; " " &amp; Pricing!S17 &amp; " " &amp; Pricing!T17 &amp; " " &amp; Pricing!U17 &amp; " " &amp; Pricing!V17 &amp; " " &amp; Pricing!W17 &amp; " " &amp; Pricing!X17 &amp; " " &amp; Pricing!Y17 &amp; " " &amp; Pricing!Z17 &amp; " " &amp; Pricing!AA17)</f>
        <v/>
      </c>
      <c r="AG33" s="1187"/>
      <c r="AH33" s="1187"/>
      <c r="AN33" s="1316" t="s">
        <v>648</v>
      </c>
      <c r="AO33" s="1317"/>
      <c r="AP33" s="1316" t="b">
        <v>0</v>
      </c>
      <c r="AQ33" s="1318"/>
      <c r="AR33" s="1318"/>
    </row>
    <row r="34" spans="2:44" x14ac:dyDescent="0.2">
      <c r="B34" t="s">
        <v>232</v>
      </c>
      <c r="C34" s="66">
        <f>COUNTIFS(Pricing!Q47:AA47,"(CB)")</f>
        <v>0</v>
      </c>
      <c r="D34" s="4">
        <f t="shared" si="4"/>
        <v>0</v>
      </c>
      <c r="E34" s="67">
        <f>IF(Pricing!AD47="Quoted",,IF(Pricing!E47="",,Pricing!L47*Pricing!M47/1000000))</f>
        <v>0</v>
      </c>
      <c r="F34" s="64">
        <f>IF(Pricing!AD47="Quoted",IF(Pricing!J47 = "Silent",$E34*$C$9,0),)</f>
        <v>0</v>
      </c>
      <c r="G34" s="64">
        <f>IF(Pricing!AD47="Quoted",IF(Pricing!D47="Tracked",$F$2*H34+$C$11,0),)</f>
        <v>0</v>
      </c>
      <c r="H34" s="68">
        <f>IF(Pricing!D47="Tracked",CONVERT(Pricing!L47,"mm","m"),)</f>
        <v>0</v>
      </c>
      <c r="I34" s="64">
        <f>IF(Pricing!D47="S/Shade",$F$3*E34,0)</f>
        <v>0</v>
      </c>
      <c r="K34" s="4">
        <f t="shared" si="5"/>
        <v>0</v>
      </c>
      <c r="AD34" s="1186" t="s">
        <v>321</v>
      </c>
      <c r="AE34" s="1186"/>
      <c r="AF34" s="1187" t="str">
        <f xml:space="preserve"> TRIM(Pricing!Q20 &amp; " " &amp; Pricing!R20 &amp; " " &amp; Pricing!S20 &amp; " " &amp; Pricing!T20 &amp; " " &amp; Pricing!U20 &amp; " " &amp; Pricing!V20 &amp; " " &amp; Pricing!W20 &amp; " " &amp; Pricing!X20 &amp; " " &amp; Pricing!Y20 &amp; " " &amp; Pricing!Z20 &amp; " " &amp; Pricing!AA20)</f>
        <v/>
      </c>
      <c r="AG34" s="1187"/>
      <c r="AH34" s="1187"/>
      <c r="AN34" s="1318" t="s">
        <v>659</v>
      </c>
      <c r="AO34" s="1318"/>
      <c r="AP34" s="99"/>
      <c r="AQ34" s="99"/>
      <c r="AR34" s="99"/>
    </row>
    <row r="35" spans="2:44" x14ac:dyDescent="0.2">
      <c r="B35" t="s">
        <v>233</v>
      </c>
      <c r="C35" s="66">
        <f>COUNTIFS(Pricing!Q50:AA50,"(CB)")</f>
        <v>0</v>
      </c>
      <c r="D35" s="4">
        <f t="shared" si="4"/>
        <v>0</v>
      </c>
      <c r="E35" s="67">
        <f>IF(Pricing!AD50="Quoted",,IF(Pricing!E50="",,Pricing!L50*Pricing!M50/1000000))</f>
        <v>0</v>
      </c>
      <c r="F35" s="64">
        <f>IF(Pricing!AD50="Quoted",IF(Pricing!J50 = "Silent",$E35*$C$9,0),)</f>
        <v>0</v>
      </c>
      <c r="G35" s="64">
        <f>IF(Pricing!AD50="Quoted",IF(Pricing!D50="Tracked",$F$2*H35+$C$11,0),)</f>
        <v>0</v>
      </c>
      <c r="H35" s="68">
        <f>IF(Pricing!D50="Tracked",CONVERT(Pricing!L50,"mm","m"),)</f>
        <v>0</v>
      </c>
      <c r="I35" s="64">
        <f>IF(Pricing!D50="S/Shade",$F$3*E35,0)</f>
        <v>0</v>
      </c>
      <c r="K35" s="4">
        <f t="shared" si="5"/>
        <v>0</v>
      </c>
      <c r="AD35" s="1186" t="s">
        <v>323</v>
      </c>
      <c r="AE35" s="1186"/>
      <c r="AF35" s="1187" t="str">
        <f xml:space="preserve"> TRIM(Pricing!Q23 &amp; " " &amp; Pricing!R23 &amp; " " &amp; Pricing!S23 &amp; " " &amp; Pricing!T23 &amp; " " &amp; Pricing!U23 &amp; " " &amp; Pricing!V23 &amp; " " &amp; Pricing!W23 &amp; " " &amp; Pricing!X23 &amp; " " &amp; Pricing!Y23 &amp; " " &amp; Pricing!Z23 &amp; " " &amp; Pricing!AA23)</f>
        <v/>
      </c>
      <c r="AG35" s="1187"/>
      <c r="AH35" s="1187"/>
      <c r="AN35" s="1313" t="s">
        <v>650</v>
      </c>
      <c r="AO35" s="1314"/>
      <c r="AP35" s="1313" t="b">
        <v>0</v>
      </c>
      <c r="AQ35" s="1315"/>
      <c r="AR35" s="1315"/>
    </row>
    <row r="36" spans="2:44" x14ac:dyDescent="0.2">
      <c r="AD36" s="1186" t="s">
        <v>326</v>
      </c>
      <c r="AE36" s="1186"/>
      <c r="AF36" s="1187" t="str">
        <f xml:space="preserve"> TRIM(Pricing!Q26 &amp; " " &amp; Pricing!R26 &amp; " " &amp; Pricing!S26 &amp; " " &amp; Pricing!T26 &amp; " " &amp; Pricing!U26 &amp; " " &amp; Pricing!V26 &amp; " " &amp; Pricing!W26 &amp; " " &amp; Pricing!X26 &amp; " " &amp; Pricing!Y26 &amp; " " &amp; Pricing!Z26 &amp; " " &amp; Pricing!AA26)</f>
        <v/>
      </c>
      <c r="AG36" s="1187"/>
      <c r="AH36" s="1187"/>
      <c r="AN36" s="1315" t="s">
        <v>660</v>
      </c>
      <c r="AO36" s="1315"/>
      <c r="AP36" s="100"/>
      <c r="AQ36" s="100"/>
      <c r="AR36" s="100"/>
    </row>
    <row r="37" spans="2:44" x14ac:dyDescent="0.2">
      <c r="C37" s="1322" t="str">
        <f>"Survey Price with " &amp; C10 &amp; " % Discount"</f>
        <v>Survey Price with 0.25 % Discount</v>
      </c>
      <c r="D37" s="855"/>
      <c r="E37" s="855"/>
      <c r="F37" s="855"/>
      <c r="G37" s="855"/>
      <c r="H37" s="855"/>
      <c r="I37" s="855"/>
      <c r="J37" s="855"/>
      <c r="K37" s="855"/>
      <c r="L37" s="855"/>
      <c r="M37" s="855"/>
      <c r="N37" s="855"/>
      <c r="O37" s="855"/>
      <c r="P37" s="855"/>
      <c r="Q37" s="855"/>
      <c r="R37" s="855"/>
      <c r="S37" s="855"/>
      <c r="T37" s="855"/>
      <c r="U37" s="855"/>
      <c r="V37" s="855"/>
      <c r="W37" s="855"/>
      <c r="X37" s="855"/>
      <c r="Y37" s="855"/>
      <c r="Z37" s="855"/>
      <c r="AD37" s="1186" t="s">
        <v>328</v>
      </c>
      <c r="AE37" s="1186"/>
      <c r="AF37" s="1187" t="str">
        <f xml:space="preserve"> TRIM(Pricing!Q29 &amp; " " &amp; Pricing!R29 &amp; " " &amp; Pricing!S29 &amp; " " &amp; Pricing!T29 &amp; " " &amp; Pricing!U29 &amp; " " &amp; Pricing!V29 &amp; " " &amp; Pricing!W29 &amp; " " &amp; Pricing!X29 &amp; " " &amp; Pricing!Y29 &amp; " " &amp; Pricing!Z29 &amp; " " &amp; Pricing!AA29)</f>
        <v/>
      </c>
      <c r="AG37" s="1187"/>
      <c r="AH37" s="1187"/>
      <c r="AN37" s="1323" t="s">
        <v>652</v>
      </c>
      <c r="AO37" s="1324"/>
      <c r="AP37" s="1323" t="b">
        <v>0</v>
      </c>
      <c r="AQ37" s="1325"/>
      <c r="AR37" s="1325"/>
    </row>
    <row r="38" spans="2:44" x14ac:dyDescent="0.2">
      <c r="C38" s="101" t="s">
        <v>303</v>
      </c>
      <c r="D38" s="102" t="s">
        <v>304</v>
      </c>
      <c r="E38" s="102" t="s">
        <v>14</v>
      </c>
      <c r="F38" s="102" t="s">
        <v>266</v>
      </c>
      <c r="G38" s="102" t="s">
        <v>305</v>
      </c>
      <c r="H38" s="102" t="s">
        <v>306</v>
      </c>
      <c r="I38" s="102" t="s">
        <v>248</v>
      </c>
      <c r="J38" s="103" t="s">
        <v>279</v>
      </c>
      <c r="K38" s="104"/>
      <c r="L38" s="69" t="s">
        <v>219</v>
      </c>
      <c r="M38" s="69" t="s">
        <v>220</v>
      </c>
      <c r="N38" s="69" t="s">
        <v>221</v>
      </c>
      <c r="O38" s="69" t="s">
        <v>222</v>
      </c>
      <c r="P38" s="69" t="s">
        <v>223</v>
      </c>
      <c r="Q38" s="69" t="s">
        <v>224</v>
      </c>
      <c r="R38" s="69" t="s">
        <v>225</v>
      </c>
      <c r="S38" s="69" t="s">
        <v>226</v>
      </c>
      <c r="T38" s="69" t="s">
        <v>227</v>
      </c>
      <c r="U38" s="69" t="s">
        <v>228</v>
      </c>
      <c r="V38" s="69" t="s">
        <v>229</v>
      </c>
      <c r="W38" s="69" t="s">
        <v>230</v>
      </c>
      <c r="X38" s="69" t="s">
        <v>231</v>
      </c>
      <c r="Y38" s="69" t="s">
        <v>232</v>
      </c>
      <c r="Z38" s="69" t="s">
        <v>233</v>
      </c>
      <c r="AD38" s="1186" t="s">
        <v>330</v>
      </c>
      <c r="AE38" s="1186"/>
      <c r="AF38" s="1187" t="str">
        <f xml:space="preserve"> TRIM(Pricing!Q31 &amp; " " &amp; Pricing!R31 &amp; " " &amp; Pricing!S31 &amp; " " &amp; Pricing!T31 &amp; " " &amp; Pricing!U31 &amp; " " &amp; Pricing!V31 &amp; " " &amp; Pricing!W31 &amp; " " &amp; Pricing!X31 &amp; " " &amp; Pricing!Y31 &amp; " " &amp; Pricing!Z31 &amp; " " &amp; Pricing!AA31)</f>
        <v/>
      </c>
      <c r="AG38" s="1187"/>
      <c r="AH38" s="1187"/>
      <c r="AN38" s="1325" t="s">
        <v>661</v>
      </c>
      <c r="AO38" s="1325"/>
      <c r="AP38" s="105"/>
      <c r="AQ38" s="105"/>
      <c r="AR38" s="105"/>
    </row>
    <row r="39" spans="2:44" x14ac:dyDescent="0.2">
      <c r="B39" t="s">
        <v>219</v>
      </c>
      <c r="C39" s="66">
        <f t="shared" ref="C39:C47" si="6">IF(ISERROR(FIND("(CB)",AF11,1)),0)</f>
        <v>0</v>
      </c>
      <c r="D39" s="4">
        <f>IF(C39=FALSE,20,0)</f>
        <v>0</v>
      </c>
      <c r="E39" s="67">
        <f>IF(ISERROR('Survey Front'!M12*'Survey Front'!N12/1000000),,'Survey Front'!M12*'Survey Front'!N12/1000000)</f>
        <v>0</v>
      </c>
      <c r="F39" s="64">
        <f>IF('Survey Front'!L12 = "Silent",$E$39*$C$9,0)</f>
        <v>0</v>
      </c>
      <c r="G39" s="64">
        <f>IF('Survey Front'!D12="Tracked",$F$2*H39+$C$11,0)</f>
        <v>0</v>
      </c>
      <c r="H39" s="106">
        <f>IF(ISERROR(CONVERT('Survey Front'!M12,"mm","m")),,CONVERT('Survey Front'!M12,"mm","m"))</f>
        <v>0</v>
      </c>
      <c r="I39" s="64">
        <f>IF('Survey Front'!D12="S/Shade",$F$3*E39,0)</f>
        <v>0</v>
      </c>
      <c r="J39" s="57"/>
      <c r="K39" s="29" t="s">
        <v>41</v>
      </c>
      <c r="L39" s="61">
        <f>IF(E39=0,,($C$2*$E$39)-(($C$2*$E$39)*$C$10)+($F$39*E39)+($D$39*$E$39)+$G$39+I39)</f>
        <v>0</v>
      </c>
      <c r="M39" s="61">
        <f>IF(E40=0,,($C$2*$E$40)-(($C$2*$E$40)*$C$10)+($D$40*$E$40)+I40)</f>
        <v>0</v>
      </c>
      <c r="N39" s="61">
        <f>IF(E41=0,,($C$2*$E$41)-(($C$2*$E$41)*$C$10))+($D$41*$E$41)+I41</f>
        <v>0</v>
      </c>
      <c r="O39" s="61">
        <f>IF(E42=0,,($C$2*$E$42)-(($C$2*$E$42)*$C$10)+($D$42*$E$42)+I42)</f>
        <v>0</v>
      </c>
      <c r="P39" s="61">
        <f>IF(E43=0,,($C$2*$E$43)-(($C$2*$E$43)*$C$10)+($D$43*$E$43)+I43)</f>
        <v>0</v>
      </c>
      <c r="Q39" s="61">
        <f>IF(E44=0,,($C$2*$E$44)-(($C$2*$E$44)*$C$10)+($D$44*$E$44))</f>
        <v>0</v>
      </c>
      <c r="R39" s="61">
        <f>IF(E45=0,,($C$2*$E$45)-(($C$2*$E$45)*$C$10)+($D$45*$E$45)+I45)</f>
        <v>0</v>
      </c>
      <c r="S39" s="61">
        <f>IF(E46=0,,($C$2*$E$46)-(($C$2*$E$46)*$C$10)+($D$46*$E$46)+I46)</f>
        <v>0</v>
      </c>
      <c r="T39" s="61">
        <f>IF(E47=0,,($C$2*$E$47)-(($C$2*$E$47)*$C$10)+($D$47*$E$47)+I47)</f>
        <v>0</v>
      </c>
      <c r="U39" s="61">
        <f>IF(E48=0,,($C$2*$E$48)-(($C$2*$E$48)*$C$10)+($D$48*$E$48)+I48)</f>
        <v>0</v>
      </c>
      <c r="V39" s="61">
        <f>IF(E49=0,,($C$2*$E$49)-(($C$2*$E$49)*$C$10)+($D$49*$E$49)+I49)</f>
        <v>0</v>
      </c>
      <c r="W39" s="61">
        <f>IF(E50=0,,($C$2*$E$50)-(($C$2*$E$50)*$C$10)+($D$50*$E$50)+I50)</f>
        <v>0</v>
      </c>
      <c r="X39" s="61">
        <f>IF(E51=0,,($C$2*$E$51)-(($C$2*$E$51)*$C$10)+($D$51*$E$51)+I51)</f>
        <v>0</v>
      </c>
      <c r="Y39" s="61">
        <f>IF(E52=0,,($C$2*$E$52)-(($C$2*$E$52)*$C$10)+($D$52*$E$52)+I52)</f>
        <v>0</v>
      </c>
      <c r="Z39" s="61">
        <f>IF(E53=0,,($C$2*$E$53)-(($C$2*$E$53)*$C$10)+($D$53*$E$53)+I53)</f>
        <v>0</v>
      </c>
      <c r="AD39" s="1186" t="s">
        <v>332</v>
      </c>
      <c r="AE39" s="1186"/>
      <c r="AF39" s="1187" t="str">
        <f xml:space="preserve"> TRIM(Pricing!Q34 &amp; " " &amp; Pricing!R34 &amp; " " &amp; Pricing!S34 &amp; " " &amp; Pricing!T34 &amp; " " &amp; Pricing!U34 &amp; " " &amp; Pricing!V34 &amp; " " &amp; Pricing!W34 &amp; " " &amp; Pricing!X34 &amp; " " &amp; Pricing!Y34 &amp; " " &amp; Pricing!Z34 &amp; " " &amp; Pricing!AA34)</f>
        <v/>
      </c>
      <c r="AG39" s="1187"/>
      <c r="AH39" s="1187"/>
      <c r="AN39" s="1319" t="s">
        <v>654</v>
      </c>
      <c r="AO39" s="1320"/>
      <c r="AP39" s="1319" t="b">
        <v>0</v>
      </c>
      <c r="AQ39" s="1321"/>
      <c r="AR39" s="1321"/>
    </row>
    <row r="40" spans="2:44" x14ac:dyDescent="0.2">
      <c r="B40" t="s">
        <v>220</v>
      </c>
      <c r="C40" s="66">
        <f>IF(ISERROR(FIND("(CB)",AF12,1)),0)</f>
        <v>0</v>
      </c>
      <c r="D40" s="4">
        <f t="shared" ref="D40:D53" si="7">IF(C40=FALSE,20,0)</f>
        <v>0</v>
      </c>
      <c r="E40" s="67">
        <f>IF(ISERROR('Survey Front'!M15*'Survey Front'!N15/1000000),,'Survey Front'!M15*'Survey Front'!N15/1000000)</f>
        <v>0</v>
      </c>
      <c r="F40" s="64">
        <f>IF('Survey Front'!L15 = "Silent",$E40*$C$9,0)</f>
        <v>0</v>
      </c>
      <c r="G40" s="64">
        <f>IF('Survey Front'!D15="Tracked",$F$2*H40+$C$11,0)</f>
        <v>0</v>
      </c>
      <c r="H40" s="106">
        <f>IF(ISERROR(CONVERT('Survey Front'!M15,"mm","m")),,CONVERT('Survey Front'!M15,"mm","m"))</f>
        <v>0</v>
      </c>
      <c r="I40" s="64">
        <f>IF('Survey Front'!D15="S/Shade",$F$3*E40,0)</f>
        <v>0</v>
      </c>
      <c r="K40" s="29" t="s">
        <v>43</v>
      </c>
      <c r="L40" s="61">
        <f>IF(E39=0,,($C$2*$E$39)-(($C$2*$E$39)*$C$10)+($D$39*$E$39)+$J$5+I39)</f>
        <v>0</v>
      </c>
      <c r="M40" s="61">
        <f>IF(E40=0,,($C$2*$E$40)-(($C$2*$E$40)*$C$10)+($D$40*$E$40)+$K$5+I40)</f>
        <v>0</v>
      </c>
      <c r="N40" s="61">
        <f>IF(E41=0,,($C$2*$E$41)-(($C$2*$E$41)*$C$10)+($D$41*$E$41)+$L$5+I41)</f>
        <v>0</v>
      </c>
      <c r="O40" s="61">
        <f>IF(E42=0,,($C$2*$E$42)-(($C$2*$E$42)*$C$10)+($D$42*$E$42)+M5+I42)</f>
        <v>0</v>
      </c>
      <c r="P40" s="61">
        <f>IF(E43=0,,($C$2*$E$43)-(($C$2*$E$43)*$C$10)+($D$43*$E$43)+$N$5+I43)</f>
        <v>0</v>
      </c>
      <c r="Q40" s="61">
        <f>IF(E44=0,,($C$2*$E$44)-(($C$2*$E$44)*$C$10)+($D$44*$E$44)+$O$5+I44)</f>
        <v>0</v>
      </c>
      <c r="R40" s="61">
        <f>IF(E45=0,,($C$2*$E$45)-(($C$2*$E$45)*$C$10)+($D$45*$E$45)+$P$5+I45)</f>
        <v>0</v>
      </c>
      <c r="S40" s="61">
        <f>IF(E46=0,,($C$2*$E$46)-(($C$2*$E$46)*$C$10)+($D$46*$E$46)+$Q$5+I46)</f>
        <v>0</v>
      </c>
      <c r="T40" s="61">
        <f>IF(E47=0,,($C$2*$E$47)-(($C$2*$E$47)*$C$10)+($D$47*$E$47)+$R$5+I47)</f>
        <v>0</v>
      </c>
      <c r="U40" s="61">
        <f>IF(E48=0,,($C$2*$E$48)-(($C$2*$E$48)*$C$10)+($D$48*$E$48)+$S$5+I48)</f>
        <v>0</v>
      </c>
      <c r="V40" s="61">
        <f>IF(E49=0,,($C$2*$E$49)-(($C$2*$E$49)*$C$10)+($D$49*$E$49)+$T$5+I49)</f>
        <v>0</v>
      </c>
      <c r="W40" s="61">
        <f>IF(E50=0,,($C$2*$E$50)-(($C$2*$E$50)*$C$10)+($D$50*$E$50)+$U$5+I50)</f>
        <v>0</v>
      </c>
      <c r="X40" s="61">
        <f>IF(E51=0,,($C$2*$E$51)-(($C$2*$E$51)*$C$10)+($D$51*$E$51)+$V$5+I51)</f>
        <v>0</v>
      </c>
      <c r="Y40" s="61">
        <f>IF(E52=0,,($C$2*$E$52)-(($C$2*$E$52)*$C$10)+($D$52*$E$52)+$W$5+I52)</f>
        <v>0</v>
      </c>
      <c r="Z40" s="61">
        <f>IF(E53=0,,($C$2*$E$53)-(($C$2*$E$53)*$C$10)+($D$53*$E$53)+$X$5+I53)</f>
        <v>0</v>
      </c>
      <c r="AD40" s="1186" t="s">
        <v>334</v>
      </c>
      <c r="AE40" s="1186"/>
      <c r="AF40" s="1187" t="str">
        <f xml:space="preserve"> TRIM(Pricing!Q37 &amp; " " &amp; Pricing!R37 &amp; " " &amp; Pricing!S37 &amp; " " &amp; Pricing!T37 &amp; " " &amp; Pricing!U37 &amp; " " &amp; Pricing!V37 &amp; " " &amp; Pricing!W37 &amp; " " &amp; Pricing!X37 &amp; " " &amp; Pricing!Y37 &amp; " " &amp; Pricing!Z37 &amp; " " &amp; Pricing!AA37)</f>
        <v/>
      </c>
      <c r="AG40" s="1187"/>
      <c r="AH40" s="1187"/>
      <c r="AN40" s="1321" t="s">
        <v>662</v>
      </c>
      <c r="AO40" s="1321"/>
      <c r="AP40" s="107"/>
      <c r="AQ40" s="107"/>
      <c r="AR40" s="107"/>
    </row>
    <row r="41" spans="2:44" x14ac:dyDescent="0.2">
      <c r="B41" t="s">
        <v>221</v>
      </c>
      <c r="C41" s="66">
        <f t="shared" si="6"/>
        <v>0</v>
      </c>
      <c r="D41" s="4">
        <f t="shared" si="7"/>
        <v>0</v>
      </c>
      <c r="E41" s="67">
        <f>IF(ISERROR('Survey Front'!M18*'Survey Front'!N18/1000000),,'Survey Front'!M18*'Survey Front'!N18/1000000)</f>
        <v>0</v>
      </c>
      <c r="F41" s="64">
        <f>IF('Survey Front'!L18 = "Silent",E41*$C$9,0)</f>
        <v>0</v>
      </c>
      <c r="G41" s="64">
        <f>IF('Survey Front'!D18="Tracked",$F$2*H41+$C$11,0)</f>
        <v>0</v>
      </c>
      <c r="H41" s="106">
        <f>IF(ISERROR(CONVERT('Survey Front'!M18,"mm","m")),,CONVERT('Survey Front'!M18,"mm","m"))</f>
        <v>0</v>
      </c>
      <c r="I41" s="64">
        <f>IF('Survey Front'!D18="S/Shade",$F$3*E41,0)</f>
        <v>0</v>
      </c>
      <c r="K41" s="29" t="s">
        <v>47</v>
      </c>
      <c r="L41" s="61">
        <f>IF(E39=0,,($C$2*$E$39)-(($C$2*$E$39)*$C$10)+($D$39*$E$39)+$J$6+I39)</f>
        <v>0</v>
      </c>
      <c r="M41" s="61">
        <f>IF(E40=0,,($C$2*$E$40)-(($C$2*$E$40)*$C$10)+($D$40*$E$40)+$K$6+I40)</f>
        <v>0</v>
      </c>
      <c r="N41" s="61">
        <f>IF(E41=0,,($C$2*$E$41)-(($C$2*$E$41)*$C$10)+($D$41*$E$41)+$L$6+I41)</f>
        <v>0</v>
      </c>
      <c r="O41" s="61">
        <f>IF(E42=0,,($C$2*$E$42)-(($C$2*$E$42)*$C$10)+($D$42*$E$42)+M6+I42)</f>
        <v>0</v>
      </c>
      <c r="P41" s="61">
        <f>IF(E43=0,,($C$2*$E$43)-(($C$2*$E$43)*$C$10)+($D$43*$E$43)+$N$6+I43)</f>
        <v>0</v>
      </c>
      <c r="Q41" s="61">
        <f>IF(E44=0,,($C$2*$E$44)-(($C$2*$E$44)*$C$10)+($D$44*$E$44)+$O$6)+I44</f>
        <v>0</v>
      </c>
      <c r="R41" s="61">
        <f>IF(E45=0,,($C$2*$E$45)-(($C$2*$E$45)*$C$10)+($D$45*$E$45)+$Q$6+I45)</f>
        <v>0</v>
      </c>
      <c r="S41" s="61">
        <f>IF(E46=0,,($C$2*$E$46)-(($C$2*$E$46)*$C$10)+($D$46*$E$46)+$Q$6+I46)</f>
        <v>0</v>
      </c>
      <c r="T41" s="61">
        <f>IF(E47=0,,($C$2*$E$47)-(($C$2*$E$47)*$C$10)+($D$47*$E$47)+$R$6+I47)</f>
        <v>0</v>
      </c>
      <c r="U41" s="61">
        <f>IF(E48=0,,($C$2*$E$48)-(($C$2*$E$48)*$C$10)+($D$48*$E$48)+$S$6+I48)</f>
        <v>0</v>
      </c>
      <c r="V41" s="61">
        <f>IF(E49=0,,($C$2*$E$49)-(($C$2*$E$49)*$C$10)+($D$49*$E$49)+$T$6+I49)</f>
        <v>0</v>
      </c>
      <c r="W41" s="61">
        <f>IF(E50=0,,($C$2*$E$50)-(($C$2*$E$50)*$C$10)+($D$50*$E$50)+$U$6+I50)</f>
        <v>0</v>
      </c>
      <c r="X41" s="61">
        <f>IF(E51=0,,($C$2*$E$51)-(($C$2*$E$51)*$C$10)+($D$51*$E$51)+$V$6+I51)</f>
        <v>0</v>
      </c>
      <c r="Y41" s="61">
        <f>IF(E52=0,,($C$2*$E$52)-(($C$2*$E$52)*$C$10)+($D$52*$E$52)+$W$6+I52)</f>
        <v>0</v>
      </c>
      <c r="Z41" s="61">
        <f>IF(E53=0,,($C$2*$E$53)-(($C$2*$E$53)*$C$10)+($D$53*$E$53)+$X$6+I53)</f>
        <v>0</v>
      </c>
      <c r="AD41" s="1186" t="s">
        <v>336</v>
      </c>
      <c r="AE41" s="1186"/>
      <c r="AF41" s="1187" t="str">
        <f xml:space="preserve"> TRIM(Pricing!Q41 &amp; " " &amp; Pricing!R41 &amp; " " &amp; Pricing!S41 &amp; " " &amp; Pricing!T41 &amp; " " &amp; Pricing!U41 &amp; " " &amp; Pricing!V41 &amp; " " &amp; Pricing!W41 &amp; " " &amp; Pricing!X41 &amp; " " &amp; Pricing!Y41 &amp; " " &amp; Pricing!Z41 &amp; " " &amp; Pricing!AA41)</f>
        <v/>
      </c>
      <c r="AG41" s="1187"/>
      <c r="AH41" s="1187"/>
    </row>
    <row r="42" spans="2:44" x14ac:dyDescent="0.2">
      <c r="B42" t="s">
        <v>222</v>
      </c>
      <c r="C42" s="66">
        <f t="shared" si="6"/>
        <v>0</v>
      </c>
      <c r="D42" s="4">
        <f t="shared" si="7"/>
        <v>0</v>
      </c>
      <c r="E42" s="67">
        <f>IF(ISERROR('Survey Front'!M21*'Survey Front'!N21/1000000),,'Survey Front'!M21*'Survey Front'!N21/1000000)</f>
        <v>0</v>
      </c>
      <c r="F42" s="64">
        <f>IF('Survey Front'!L21 = "Silent",$E42*$C$9,0)</f>
        <v>0</v>
      </c>
      <c r="G42" s="64">
        <f>IF('Survey Front'!D21="Tracked",$F$2*H42+$C$11,0)</f>
        <v>0</v>
      </c>
      <c r="H42" s="106">
        <f>IF(ISERROR(CONVERT('Survey Front'!M21,"mm","m")),,CONVERT('Survey Front'!M21,"mm","m"))</f>
        <v>0</v>
      </c>
      <c r="I42" s="64">
        <f>IF('Survey Front'!D21="S/Shade",$F$3*E42,0)</f>
        <v>0</v>
      </c>
      <c r="K42" s="29" t="s">
        <v>51</v>
      </c>
      <c r="L42" s="61">
        <f>IF(E39=0,,($C$2*$E$39)-(($C$2*$E$39)*$C$10)+($D$39*$E$39)+$J$7+I39)</f>
        <v>0</v>
      </c>
      <c r="M42" s="61">
        <f>IF(E40=0,,($C$2*$E$40)-(($C$2*$E$40)*$C$10)+($D$40*$E$40)+$K$7+I40)</f>
        <v>0</v>
      </c>
      <c r="N42" s="61">
        <f>IF(E41=0,,($C$2*$E$41)-(($C$2*$E$41)*$C$10)+($D$41*$E$41)+$L$7+I41)</f>
        <v>0</v>
      </c>
      <c r="O42" s="61">
        <f>IF(E42=0,,($C$2*$E$42)-(($C$2*$E$42)*$C$10)+($D$42*$E$42)+M7+I42)</f>
        <v>0</v>
      </c>
      <c r="P42" s="61">
        <f>IF(E43=0,,($C$2*$E$43)-(($C$2*$E$43)*$C$10)+($D$43*$E$43)+$N$7+I43)</f>
        <v>0</v>
      </c>
      <c r="Q42" s="61">
        <f>IF(E44=0,,($C$2*$E$44)-(($C$2*$E$44)*$C$10)+($D$44*$E$44)+I44+$O$7)</f>
        <v>0</v>
      </c>
      <c r="R42" s="61">
        <f>IF(E45=0,,($C$2*$E$45)-(($C$2*$E$45)*$C$10)+($D$45*$E$45)+$P$7+I45)</f>
        <v>0</v>
      </c>
      <c r="S42" s="61">
        <f>IF(E46=0,,($C$2*$E$46)-(($C$2*$E$46)*$C$10)+($D$46*$E$46)+$Q$7+I46)</f>
        <v>0</v>
      </c>
      <c r="T42" s="61">
        <f>IF(E47=0,,($C$2*$E$47)-(($C$2*$E$47)*$C$10)+($D$47*$E$47)+$J$7)</f>
        <v>0</v>
      </c>
      <c r="U42" s="61">
        <f>IF(E48=0,,($C$2*$E$48)-(($C$2*$E$48)*$C$10)+($D$48*$E$48)+$S$7+I48)</f>
        <v>0</v>
      </c>
      <c r="V42" s="61">
        <f>IF(E49=0,,($C$2*$E$49)-(($C$2*$E$49)*$C$10)+($D$49*$E$49)+$T$7+I49)</f>
        <v>0</v>
      </c>
      <c r="W42" s="61">
        <f>IF(E50=0,,($C$2*$E$50)-(($C$2*$E$50)*$C$10)+($D$50*$E$50)+$U$7+I50)</f>
        <v>0</v>
      </c>
      <c r="X42" s="61">
        <f>IF(E51=0,,($C$2*$E$51)-(($C$2*$E$51)*$C$10)+($D$51*$E$51)+$V$7+I51)</f>
        <v>0</v>
      </c>
      <c r="Y42" s="61">
        <f>IF(E52=0,,($C$2*$E$52)-(($C$2*$E$52)*$C$10)+($D$52*$E$52)+$W$7+I52)</f>
        <v>0</v>
      </c>
      <c r="Z42" s="61">
        <f>IF(E53=0,,($C$2*$E$53)-(($C$2*$E$53)*$C$10)+($D$53*$E$53)+$X$7+I53)</f>
        <v>0</v>
      </c>
      <c r="AD42" s="1186" t="s">
        <v>338</v>
      </c>
      <c r="AE42" s="1186"/>
      <c r="AF42" s="1187" t="str">
        <f xml:space="preserve"> TRIM(Pricing!Q44 &amp; " " &amp; Pricing!R44 &amp; " " &amp; Pricing!S44 &amp; " " &amp; Pricing!T44 &amp; " " &amp; Pricing!U44 &amp; " " &amp; Pricing!V44 &amp; " " &amp; Pricing!W44 &amp; " " &amp; Pricing!X44 &amp; " " &amp; Pricing!Y44 &amp; " " &amp; Pricing!Z44 &amp; " " &amp; Pricing!AA44)</f>
        <v/>
      </c>
      <c r="AG42" s="1187"/>
      <c r="AH42" s="1187"/>
    </row>
    <row r="43" spans="2:44" ht="15.75" thickBot="1" x14ac:dyDescent="0.25">
      <c r="B43" t="s">
        <v>223</v>
      </c>
      <c r="C43" s="66">
        <f t="shared" si="6"/>
        <v>0</v>
      </c>
      <c r="D43" s="4">
        <f t="shared" si="7"/>
        <v>0</v>
      </c>
      <c r="E43" s="67">
        <f>IF(ISERROR('Survey Front'!M24*'Survey Front'!N24/1000000),,'Survey Front'!M24*'Survey Front'!N24/1000000)</f>
        <v>0</v>
      </c>
      <c r="F43" s="64">
        <f>IF('Survey Front'!L24 = "Silent",E43*$C$9,0)</f>
        <v>0</v>
      </c>
      <c r="G43" s="64">
        <f>IF('Survey Front'!D24="Tracked",$F$2*H43+$C$11,0)</f>
        <v>0</v>
      </c>
      <c r="H43" s="106">
        <f>IF(ISERROR(CONVERT('Survey Front'!M24,"mm","m")),,CONVERT('Survey Front'!M24,"mm","m"))</f>
        <v>0</v>
      </c>
      <c r="I43" s="64">
        <f>IF('Survey Front'!D24="S/Shade",$F$3*E43,0)</f>
        <v>0</v>
      </c>
      <c r="K43" s="29" t="s">
        <v>49</v>
      </c>
      <c r="L43" s="61">
        <f>IF(E39=0,,($C$2*$E$39)-(($C$2*$E$39)*$C$10)+($D$39*$E$39)+$J$8+I39)</f>
        <v>0</v>
      </c>
      <c r="M43" s="61">
        <f>IF(E40=0,,($C$2*$E$40)-(($C$2*$E$40)*$C$10)+($D$40*$E$40)+$K$8+I40)</f>
        <v>0</v>
      </c>
      <c r="N43" s="61">
        <f>IF(E41=0,,($C$2*$E$41)-(($C$2*$E$41)*$C$10)+($D$41*$E$41)+$L$7+I41)</f>
        <v>0</v>
      </c>
      <c r="O43" s="61">
        <f>IF(E42=0,,($C$2*$E$42)-(($C$2*$E$42)*$C$10)+($D$42*$E$42)+M8+I42)</f>
        <v>0</v>
      </c>
      <c r="P43" s="61">
        <f>IF(E43=0,,($C$2*$E$43)-(($C$2*$E$43)*$C$10)+($D$43*$E$43)+$N$8+I43)</f>
        <v>0</v>
      </c>
      <c r="Q43" s="61">
        <f>IF(E44=0,,($C$2*$E$44)-(($C$2*$E$44)*$C$10)+($D$44*$E$44)+I44+$O$8)</f>
        <v>0</v>
      </c>
      <c r="R43" s="61">
        <f>IF(E45=0,,($C$2*$E$45)-(($C$2*$E$45)*$C$10)+($D$45*$E$45)+$P$8+I45)</f>
        <v>0</v>
      </c>
      <c r="S43" s="61">
        <f>IF(E46=0,,($C$2*$E$46)-(($C$2*$E$46)*$C$10)+($D$46*$E$46)+$R$8+I46)</f>
        <v>0</v>
      </c>
      <c r="T43" s="61">
        <f>IF(E47=0,,($C$2*$E$47)-(($C$2*$E$47)*$C$10)+($D$47*$E$47)+$R$8+I47)</f>
        <v>0</v>
      </c>
      <c r="U43" s="61">
        <f>IF(E48=0,,($C$2*$E$48)-(($C$2*$E$48)*$C$10)+($D$48*$E$48)+$S$8+I48)</f>
        <v>0</v>
      </c>
      <c r="V43" s="61">
        <f>IF(E49=0,,($C$2*$E$49)-(($C$2*$E$49)*$C$10)+($D$49*$E$49)+$T$8+I49)</f>
        <v>0</v>
      </c>
      <c r="W43" s="61">
        <f>IF(E50=0,,($C$2*$E$50)-(($C$2*$E$50)*$C$10)+($D$50*$E$50)+$U$8+I50)</f>
        <v>0</v>
      </c>
      <c r="X43" s="61">
        <f>IF(E51=0,,($C$2*$E$51)-(($C$2*$E$51)*$C$10)+($D$51*$E$51)+$V$8+I51)</f>
        <v>0</v>
      </c>
      <c r="Y43" s="61">
        <f>IF(E52=0,,($C$2*$E$52)-(($C$2*$E$52)*$C$10)+($D$52*$E$52)+$W$8+I52)</f>
        <v>0</v>
      </c>
      <c r="Z43" s="61">
        <f>IF(E53=0,,($C$2*$E$53)-(($C$2*$E$53)*$C$10)+($D$53*$E$53)+$X$8+I53)</f>
        <v>0</v>
      </c>
      <c r="AD43" s="1186" t="s">
        <v>340</v>
      </c>
      <c r="AE43" s="1186"/>
      <c r="AF43" s="1187" t="str">
        <f xml:space="preserve"> TRIM(Pricing!Q47 &amp; " " &amp; Pricing!R47 &amp; " " &amp; Pricing!S47 &amp; " " &amp; Pricing!T47 &amp; " " &amp; Pricing!U47 &amp; " " &amp; Pricing!V47 &amp; " " &amp; Pricing!W47 &amp; " " &amp; Pricing!X47 &amp; " " &amp; Pricing!Y47 &amp; " " &amp; Pricing!Z47 &amp; " " &amp; Pricing!AA47)</f>
        <v/>
      </c>
      <c r="AG43" s="1187"/>
      <c r="AH43" s="1187"/>
    </row>
    <row r="44" spans="2:44" ht="16.5" thickTop="1" thickBot="1" x14ac:dyDescent="0.25">
      <c r="B44" t="s">
        <v>224</v>
      </c>
      <c r="C44" s="66">
        <f t="shared" si="6"/>
        <v>0</v>
      </c>
      <c r="D44" s="4">
        <f t="shared" si="7"/>
        <v>0</v>
      </c>
      <c r="E44" s="67">
        <f>IF(ISERROR('Survey Front'!M27*'Survey Front'!N27/1000000),,'Survey Front'!M27*'Survey Front'!N27/1000000)</f>
        <v>0</v>
      </c>
      <c r="F44" s="64">
        <f>IF('Survey Front'!L27 = "Silent",$E44*$C$9,0)</f>
        <v>0</v>
      </c>
      <c r="G44" s="64">
        <f>IF('Survey Front'!D27="Tracked",$F$2*H44+$C$11,0)</f>
        <v>0</v>
      </c>
      <c r="H44" s="106">
        <f>IF(ISERROR(CONVERT('Survey Front'!M27,"mm","m")),,CONVERT('Survey Front'!M27,"mm","m"))</f>
        <v>0</v>
      </c>
      <c r="I44" s="64">
        <f>IF('Survey Front'!D27="S/Shade",$F$3*E44,0)</f>
        <v>0</v>
      </c>
      <c r="K44" s="31" t="s">
        <v>55</v>
      </c>
      <c r="L44" s="61">
        <f>IF(E39=0,,($C$2*$E$39)-(($C$2*$E$39)*$C$10)+($D$39*$E$39)+$J$9+I39)</f>
        <v>0</v>
      </c>
      <c r="M44" s="61">
        <f>IF(E40=0,,($C$2*$E$40)-(($C$2*$E$40)*$C$10)+($D$40*$E$40)+$K$9+I40)</f>
        <v>0</v>
      </c>
      <c r="N44" s="61">
        <f>IF(E41=0,,($C$2*$E$41)-(($C$2*$E$41)*$C$10)+($D$41*$E$41)+L9+I41)</f>
        <v>0</v>
      </c>
      <c r="O44" s="61">
        <f>IF(E42=0,,($C$2*$E$42)-(($C$2*$E$42)*$C$10)+($D$42*$E$42)+M9+I42)</f>
        <v>0</v>
      </c>
      <c r="P44" s="61">
        <f>IF(E43=0,,($C$2*$E$43)-(($C$2*$E$43)*$C$10)+($D$43*$E$43)+N9+I43)</f>
        <v>0</v>
      </c>
      <c r="Q44" s="61">
        <f>IF(E44=0,,($C$2*$E$44)-(($C$2*$E$44)*$C$10)+($D$44*$E$44)+O9+I44)</f>
        <v>0</v>
      </c>
      <c r="R44" s="61">
        <f>IF(E45=0,,($C$2*$E$45)-(($C$2*$E$45)*$C$10)+($D$45*$E$45)+P9+I45)</f>
        <v>0</v>
      </c>
      <c r="S44" s="61">
        <f>IF(E46=0,,($C$2*$E$46)-(($C$2*$E$46)*$C$10)+($D$46*$E$46)+$Q$9+I46)</f>
        <v>0</v>
      </c>
      <c r="T44" s="61">
        <f>IF(E47=0,,($C$2*$E$47)-(($C$2*$E$47)*$C$10)+($D$47*$E$47)+$R$9+I47)</f>
        <v>0</v>
      </c>
      <c r="U44" s="61">
        <f>IF(E48=0,,($C$2*$E$48)-(($C$2*$E$48)*$C$10)+($D$48*$E$48)+$S$9+I48)</f>
        <v>0</v>
      </c>
      <c r="V44" s="61">
        <f>IF(E49=0,,($C$2*$E$49)-(($C$2*$E$49)*$C$10)+($D$49*$E$49)+$T$9+I49)</f>
        <v>0</v>
      </c>
      <c r="W44" s="61">
        <f>IF(E50=0,,($C$2*$E$50)-(($C$2*$E$50)*$C$10)+($D$50*$E$50)+$U$9+I50)</f>
        <v>0</v>
      </c>
      <c r="X44" s="61">
        <f>IF(E51=0,,($C$2*$E$51)-(($C$2*$E$51)*$C$10)+($D$51*$E$51)+$V$9+I51)</f>
        <v>0</v>
      </c>
      <c r="Y44" s="61">
        <f>IF(E52=0,,($C$2*$E$52)-(($C$2*$E$52)*$C$10)+($D$52*$E$52)+$W$9+I52)</f>
        <v>0</v>
      </c>
      <c r="Z44" s="61">
        <f>IF(E53=0,,($C$2*$E$53)-(($C$2*$E$53)*$C$10)+($D$53*$E$53)+$X$9+I53)</f>
        <v>0</v>
      </c>
      <c r="AA44" s="108" t="s">
        <v>77</v>
      </c>
      <c r="AD44" s="1186" t="s">
        <v>342</v>
      </c>
      <c r="AE44" s="1186"/>
      <c r="AF44" s="1187" t="str">
        <f xml:space="preserve"> TRIM(Pricing!Q50 &amp; " " &amp; Pricing!R50 &amp; " " &amp; Pricing!S50 &amp; " " &amp; Pricing!T50 &amp; " " &amp; Pricing!U50 &amp; " " &amp; Pricing!V50 &amp; " " &amp; Pricing!W50 &amp; " " &amp; Pricing!X50 &amp; " " &amp; Pricing!Y50 &amp; " " &amp; Pricing!Z50 &amp; " " &amp; Pricing!AA50)</f>
        <v/>
      </c>
      <c r="AG44" s="1187"/>
      <c r="AH44" s="1187"/>
    </row>
    <row r="45" spans="2:44" ht="16.5" thickTop="1" thickBot="1" x14ac:dyDescent="0.25">
      <c r="B45" t="s">
        <v>225</v>
      </c>
      <c r="C45" s="66">
        <f t="shared" si="6"/>
        <v>0</v>
      </c>
      <c r="D45" s="4">
        <f t="shared" si="7"/>
        <v>0</v>
      </c>
      <c r="E45" s="67">
        <f>IF(ISERROR('Survey Front'!M30*'Survey Front'!N30/1000000),,'Survey Front'!M30*'Survey Front'!N30/1000000)</f>
        <v>0</v>
      </c>
      <c r="F45" s="64">
        <f>IF('Survey Front'!L30 = "Silent",$E45*$C$9,0)</f>
        <v>0</v>
      </c>
      <c r="G45" s="64">
        <f>IF('Survey Front'!D30="Tracked",$F$2*H45+$C$11,0)</f>
        <v>0</v>
      </c>
      <c r="H45" s="106">
        <f>IF(ISERROR(CONVERT('Survey Front'!M30,"mm","m")),,CONVERT('Survey Front'!M30,"mm","m"))</f>
        <v>0</v>
      </c>
      <c r="I45" s="64">
        <f>IF('Survey Front'!D30="S/Shade",$F$3*E45,0)</f>
        <v>0</v>
      </c>
      <c r="K45" s="109" t="s">
        <v>663</v>
      </c>
      <c r="L45" s="110">
        <f>IF('Survey Front'!AD12="Q",,IF(ISNA(VLOOKUP('Survey Front'!E12,K39:L45,2,0)),,VLOOKUP('Survey Front'!E12,K39:L45,2,0)))</f>
        <v>0</v>
      </c>
      <c r="M45" s="111">
        <f>IF('Survey Front'!AD15="Q",,IF(ISNA(VLOOKUP('Survey Front'!E15,K39:M44,3,0)),,VLOOKUP('Survey Front'!E15,K39:M44,3,0)))</f>
        <v>0</v>
      </c>
      <c r="N45" s="111">
        <f>IF('Survey Front'!AD18="Q",,IF(ISNA(VLOOKUP('Survey Front'!E18,K39:N44,4,0)),,VLOOKUP('Survey Front'!E18,K39:N44,4,0)))</f>
        <v>0</v>
      </c>
      <c r="O45" s="111">
        <f>IF('Survey Front'!AD21="Q",,IF(ISNA(VLOOKUP('Survey Front'!E21,K39:P44,5,0)),,VLOOKUP('Survey Front'!E21,K39:O44,5,0)))</f>
        <v>0</v>
      </c>
      <c r="P45" s="111">
        <f>IF('Survey Front'!AD24="Q",,IF(ISNA(VLOOKUP('Survey Front'!E24,K39:P44,6,0)),,VLOOKUP('Survey Front'!E24,K39:P44,6,0)))</f>
        <v>0</v>
      </c>
      <c r="Q45" s="111">
        <f>IF('Survey Front'!AD27="Q",,IF(ISNA(VLOOKUP('Survey Front'!E27,K39:Q44,7,0)),,VLOOKUP('Survey Front'!E27,K39:Q44,7,0)))</f>
        <v>0</v>
      </c>
      <c r="R45" s="111">
        <f>IF('Survey Front'!AD30="Q",,IF(ISNA(VLOOKUP('Survey Front'!E30,K39:R44,8,0)),,VLOOKUP('Survey Front'!E30,K39:R44,8,0)))</f>
        <v>0</v>
      </c>
      <c r="S45" s="112">
        <f>IF('Survey Front'!AD33="Q",,IF(ISNA(VLOOKUP('Survey Front'!E33,K39:S44,9,0)),,VLOOKUP('Survey Front'!E33,K39:S44,9,0)))</f>
        <v>0</v>
      </c>
      <c r="T45" s="112">
        <f>IF('Survey Front'!AE33="Q",,IF(ISNA(VLOOKUP('Survey Front'!F33,K39:T44,9,0)),,VLOOKUP('Survey Front'!F33,L39:T44,9,0)))</f>
        <v>0</v>
      </c>
      <c r="U45" s="112">
        <f>IF('Survey Front'!AF33="Q",,IF(ISNA(VLOOKUP('Survey Front'!G33,K39:U44,9,0)),,VLOOKUP('Survey Front'!G33,K39:U44,9,0)))</f>
        <v>0</v>
      </c>
      <c r="V45" s="112">
        <f>IF('Survey Front'!AG33="Q",,IF(ISNA(VLOOKUP('Survey Front'!H33,K39:V44,9,0)),,VLOOKUP('Survey Front'!H33,K39:V44,9,0)))</f>
        <v>0</v>
      </c>
      <c r="W45" s="112">
        <f>IF('Survey Front'!AH33="Q",,IF(ISNA(VLOOKUP('Survey Front'!I33,K39:W44,9,0)),,VLOOKUP('Survey Front'!I33,K39:W44,9,0)))</f>
        <v>0</v>
      </c>
      <c r="X45" s="112">
        <f>IF('Survey Front'!AI33="Q",,IF(ISNA(VLOOKUP('Survey Front'!J33,K39:X44,9,0)),,VLOOKUP('Survey Front'!J33,K39:X44,9,0)))</f>
        <v>0</v>
      </c>
      <c r="Y45" s="112">
        <f>IF('Survey Front'!AJ33="Q",,IF(ISNA(VLOOKUP('Survey Front'!K33,K39:Y44,9,0)),,VLOOKUP('Survey Front'!K33,K39:Y44,9,0)))</f>
        <v>0</v>
      </c>
      <c r="Z45" s="112">
        <f>IF('Survey Front'!AK33="Q",,IF(ISNA(VLOOKUP('Survey Front'!L33,K39:Z44,9,0)),,VLOOKUP('Survey Front'!L33,K39:Z44,9,0)))</f>
        <v>0</v>
      </c>
      <c r="AA45" s="113">
        <f>SUM(L45:Z45)</f>
        <v>0</v>
      </c>
    </row>
    <row r="46" spans="2:44" ht="16.5" thickTop="1" thickBot="1" x14ac:dyDescent="0.25">
      <c r="B46" t="s">
        <v>226</v>
      </c>
      <c r="C46" s="66">
        <f t="shared" si="6"/>
        <v>0</v>
      </c>
      <c r="D46" s="4">
        <f t="shared" si="7"/>
        <v>0</v>
      </c>
      <c r="E46" s="67">
        <f>IF(ISERROR('Survey Front'!M33*'Survey Front'!N33/1000000),,'Survey Front'!M33*'Survey Front'!N33/1000000)</f>
        <v>0</v>
      </c>
      <c r="F46" s="64">
        <f>IF('Survey Front'!L33 = "Silent",$E46*$C$9,0)</f>
        <v>0</v>
      </c>
      <c r="G46" s="64">
        <f>IF('Survey Front'!D33="Tracked",$F$2*H46+$C$11,0)</f>
        <v>0</v>
      </c>
      <c r="H46" s="106">
        <f>IF(ISERROR(CONVERT('Survey Front'!M33,"mm","m")),,CONVERT('Survey Front'!M33,"mm","m"))</f>
        <v>0</v>
      </c>
      <c r="I46" s="64">
        <f>IF('Survey Front'!D33="S/Shade",$F$3*E46,0)</f>
        <v>0</v>
      </c>
      <c r="K46" s="114" t="s">
        <v>664</v>
      </c>
      <c r="L46" s="115">
        <f>IF('Survey Front'!AD12="Q",IF(ISNA(VLOOKUP('Survey Front'!E12,K39:L45,2,0)),,VLOOKUP('Survey Front'!E12,K39:L45,2,0)),)</f>
        <v>0</v>
      </c>
      <c r="M46" s="116">
        <f>IF('Survey Front'!AD15="Q",IF(ISNA(VLOOKUP('Survey Front'!E15,K39:M44,3,0)),,VLOOKUP('Survey Front'!E15,K39:M44,3,0)),)</f>
        <v>0</v>
      </c>
      <c r="N46" s="116">
        <f>IF('Survey Front'!AD18="Q", IF(ISNA(VLOOKUP('Survey Front'!E18,K39:N44,4,0)),,VLOOKUP('Survey Front'!E18,K39:N44,4,0)),)</f>
        <v>0</v>
      </c>
      <c r="O46" s="116">
        <f>IF('Survey Front'!AD21="Q",IF(ISNA(VLOOKUP('Survey Front'!E21,K39:O44,5,0)),,VLOOKUP('Survey Front'!E21,K39:O44,5,0)),)</f>
        <v>0</v>
      </c>
      <c r="P46" s="116">
        <f>IF('Survey Front'!AD24="Q",IF(ISNA(VLOOKUP('Survey Front'!E24,K39:P44,6,0)),,VLOOKUP('Survey Front'!E24,K39:P44,6,0)),)</f>
        <v>0</v>
      </c>
      <c r="Q46" s="116">
        <f>IF('Survey Front'!AD27="Q",IF(ISNA(VLOOKUP('Survey Front'!E27,K39:Q44,7,0)),,VLOOKUP('Survey Front'!E27,K39:Q44,7,0)),)</f>
        <v>0</v>
      </c>
      <c r="R46" s="116">
        <f>IF('Survey Front'!AD30="Q",IF(ISNA(VLOOKUP('Survey Front'!E30,K39:R44,8,0)),,VLOOKUP('Survey Front'!E30,K39:R44,8,0)),)</f>
        <v>0</v>
      </c>
      <c r="S46" s="116">
        <f>IF('Survey Front'!AD33="Q",IF(ISNA(VLOOKUP('Survey Front'!E33,K39:S44,9,0)),,VLOOKUP('Survey Front'!E33,K39:S44,9,0)),)</f>
        <v>0</v>
      </c>
      <c r="T46" s="116">
        <f>IF('Survey Front'!AE33="Q",IF(ISNA(VLOOKUP('Survey Front'!F33,K39:T44,9,0)),,VLOOKUP('Survey Front'!F33,K39:T44,9,0)),)</f>
        <v>0</v>
      </c>
      <c r="U46" s="116">
        <f>IF('Survey Front'!AF33="Q",IF(ISNA(VLOOKUP('Survey Front'!G33,K39:U44,9,0)),,VLOOKUP('Survey Front'!G33,K39:U44,9,0)),)</f>
        <v>0</v>
      </c>
      <c r="V46" s="116">
        <f>IF('Survey Front'!AG33="Q",IF(ISNA(VLOOKUP('Survey Front'!H33,K39:V44,9,0)),,VLOOKUP('Survey Front'!H33,K39:V44,9,0)),)</f>
        <v>0</v>
      </c>
      <c r="W46" s="116">
        <f>IF('Survey Front'!AH33="Q",IF(ISNA(VLOOKUP('Survey Front'!I33,K39:W44,9,0)),,VLOOKUP('Survey Front'!I33,K39:W44,9,0)),)</f>
        <v>0</v>
      </c>
      <c r="X46" s="116">
        <f>IF('Survey Front'!AI33="Q",IF(ISNA(VLOOKUP('Survey Front'!J33,K39:X44,9,0)),,VLOOKUP('Survey Front'!J33,K39:X44,9,0)),)</f>
        <v>0</v>
      </c>
      <c r="Y46" s="116">
        <f>IF('Survey Front'!AJ33="Q",IF(ISNA(VLOOKUP('Survey Front'!K33,K39:Y44,9,0)),,VLOOKUP('Survey Front'!K33,K39:Y44,9,0)),)</f>
        <v>0</v>
      </c>
      <c r="Z46" s="116">
        <f>IF('Survey Front'!AK33="Q",IF(ISNA(VLOOKUP('Survey Front'!L33,K39:Z44,9,0)),,VLOOKUP('Survey Front'!L33,K39:Z44,9,0)),)</f>
        <v>0</v>
      </c>
      <c r="AA46" s="117">
        <f>SUM(L46:Z46)</f>
        <v>0</v>
      </c>
    </row>
    <row r="47" spans="2:44" ht="15.75" thickTop="1" x14ac:dyDescent="0.2">
      <c r="B47" t="s">
        <v>227</v>
      </c>
      <c r="C47" s="66">
        <f t="shared" si="6"/>
        <v>0</v>
      </c>
      <c r="D47" s="4">
        <f t="shared" si="7"/>
        <v>0</v>
      </c>
      <c r="E47" s="67">
        <f>IF(ISERROR('Survey Front'!M57*'Survey Front'!N57/1000000),,'Survey Front'!M57*'Survey Front'!N57/1000000)</f>
        <v>0</v>
      </c>
      <c r="F47" s="64">
        <f>IF('Survey Front'!L57 = "Silent",$E47*$C$9,0)</f>
        <v>0</v>
      </c>
      <c r="G47" s="64">
        <f>IF('Survey Front'!D57="Tracked",$F$2*H47+$C$11,0)</f>
        <v>0</v>
      </c>
      <c r="H47" s="106">
        <f>IF(ISERROR(CONVERT('Survey Front'!M57,"mm","m")),,CONVERT('Survey Front'!M57,"mm","m"))</f>
        <v>0</v>
      </c>
      <c r="I47" s="64">
        <f>IF('Survey Front'!D57="S/Shade",$F$3*E47,0)</f>
        <v>0</v>
      </c>
    </row>
    <row r="48" spans="2:44" ht="15.75" thickBot="1" x14ac:dyDescent="0.25">
      <c r="B48" t="s">
        <v>228</v>
      </c>
      <c r="C48" s="66">
        <f t="shared" ref="C48:C53" si="8">IF(ISERROR(FIND("(CB)",AF30,1)),0)</f>
        <v>0</v>
      </c>
      <c r="D48" s="4">
        <f t="shared" si="7"/>
        <v>0</v>
      </c>
      <c r="E48" s="67">
        <f>IF(ISERROR('Survey Front'!M60*'Survey Front'!N60/1000000),,'Survey Front'!M60*'Survey Front'!N60/1000000)</f>
        <v>0</v>
      </c>
      <c r="F48" s="64">
        <f>IF('Survey Front'!L60 = "Silent",$E48*$C$9,0)</f>
        <v>0</v>
      </c>
      <c r="G48" s="64">
        <f>IF('Survey Front'!D60="Tracked",$F$2*H48+$C$11,0)</f>
        <v>0</v>
      </c>
      <c r="H48" s="106">
        <f>IF(ISERROR(CONVERT('Survey Front'!M60,"mm","m")),,CONVERT('Survey Front'!M60,"mm","m"))</f>
        <v>0</v>
      </c>
      <c r="I48" s="64">
        <f>IF('Survey Front'!D60="S/Shade",$F$3*E48,0)</f>
        <v>0</v>
      </c>
      <c r="K48" s="855" t="s">
        <v>352</v>
      </c>
      <c r="L48" s="855"/>
      <c r="M48" s="855"/>
      <c r="N48" s="855"/>
      <c r="O48" s="855"/>
      <c r="P48" s="855"/>
      <c r="Q48" s="855"/>
      <c r="R48" s="855"/>
      <c r="S48" s="855"/>
      <c r="T48" s="855"/>
      <c r="U48" s="855"/>
      <c r="V48" s="855"/>
      <c r="W48" s="855"/>
      <c r="X48" s="855"/>
      <c r="Y48" s="855"/>
      <c r="Z48" s="855"/>
      <c r="AA48" s="855"/>
    </row>
    <row r="49" spans="2:27" ht="15.75" thickTop="1" x14ac:dyDescent="0.2">
      <c r="B49" t="s">
        <v>229</v>
      </c>
      <c r="C49" s="66">
        <f t="shared" si="8"/>
        <v>0</v>
      </c>
      <c r="D49" s="4">
        <f t="shared" si="7"/>
        <v>0</v>
      </c>
      <c r="E49" s="67">
        <f>IF(ISERROR('Survey Front'!M63*'Survey Front'!N63/1000000),,'Survey Front'!M63*'Survey Front'!N63/1000000)</f>
        <v>0</v>
      </c>
      <c r="F49" s="64">
        <f>IF('Survey Front'!L63 = "Silent",$E49*$C$9,0)</f>
        <v>0</v>
      </c>
      <c r="G49" s="64">
        <f>IF('Survey Front'!D63="Tracked",$F$2*H49+$C$11,0)</f>
        <v>0</v>
      </c>
      <c r="H49" s="106">
        <f>IF(ISERROR(CONVERT('Survey Front'!M63,"mm","m")),,CONVERT('Survey Front'!M63,"mm","m"))</f>
        <v>0</v>
      </c>
      <c r="I49" s="64">
        <f>IF('Survey Front'!D63="S/Shade",$F$3*E49,0)</f>
        <v>0</v>
      </c>
      <c r="L49" s="69" t="s">
        <v>219</v>
      </c>
      <c r="M49" s="69" t="s">
        <v>220</v>
      </c>
      <c r="N49" s="69" t="s">
        <v>221</v>
      </c>
      <c r="O49" s="69" t="s">
        <v>222</v>
      </c>
      <c r="P49" s="69" t="s">
        <v>223</v>
      </c>
      <c r="Q49" s="69" t="s">
        <v>224</v>
      </c>
      <c r="R49" s="69" t="s">
        <v>225</v>
      </c>
      <c r="S49" s="69" t="s">
        <v>226</v>
      </c>
      <c r="T49" s="69" t="s">
        <v>227</v>
      </c>
      <c r="U49" s="69" t="s">
        <v>228</v>
      </c>
      <c r="V49" s="69" t="s">
        <v>229</v>
      </c>
      <c r="W49" s="69" t="s">
        <v>230</v>
      </c>
      <c r="X49" s="69" t="s">
        <v>231</v>
      </c>
      <c r="Y49" s="69" t="s">
        <v>232</v>
      </c>
      <c r="Z49" s="70" t="s">
        <v>233</v>
      </c>
      <c r="AA49" s="71" t="s">
        <v>77</v>
      </c>
    </row>
    <row r="50" spans="2:27" x14ac:dyDescent="0.2">
      <c r="B50" t="s">
        <v>230</v>
      </c>
      <c r="C50" s="66">
        <f t="shared" si="8"/>
        <v>0</v>
      </c>
      <c r="D50" s="4">
        <f t="shared" si="7"/>
        <v>0</v>
      </c>
      <c r="E50" s="67">
        <f>IF(ISERROR('Survey Front'!M66*'Survey Front'!N66/1000000),,'Survey Front'!M66*'Survey Front'!N66/1000000)</f>
        <v>0</v>
      </c>
      <c r="F50" s="64">
        <f>IF('Survey Front'!L66 = "Silent",$E50*$C$9,0)</f>
        <v>0</v>
      </c>
      <c r="G50" s="64">
        <f>IF('Survey Front'!D66="Tracked",$F$2*H50+$C$11,0)</f>
        <v>0</v>
      </c>
      <c r="H50" s="106">
        <f>IF(ISERROR(CONVERT('Survey Front'!M66,"mm","m")),,CONVERT('Survey Front'!M66,"mm","m"))</f>
        <v>0</v>
      </c>
      <c r="I50" s="64">
        <f>IF('Survey Front'!D66="S/Shade",$F$3*E50,0)</f>
        <v>0</v>
      </c>
      <c r="K50" s="29" t="s">
        <v>41</v>
      </c>
      <c r="L50" s="4">
        <f>IF(Pricing!$E$8=Matrix!K50,(Pricing!$L$8*Pricing!$M$8))/1000000</f>
        <v>0</v>
      </c>
      <c r="M50" s="4">
        <f>IF(Pricing!$E$11=Matrix!K50,(Pricing!$L$11*Pricing!$M$11))/1000000</f>
        <v>0</v>
      </c>
      <c r="N50" s="4">
        <f>IF(Pricing!$E$14=Matrix!K50,(Pricing!$L$14*Pricing!$M$14))/1000000</f>
        <v>0</v>
      </c>
      <c r="O50" s="4">
        <f>IF(Pricing!$E$17=Matrix!K50,(Pricing!$L$17*Pricing!$M$17))/1000000</f>
        <v>0</v>
      </c>
      <c r="P50" s="4">
        <f>IF(Pricing!$E$20=Matrix!K50,(Pricing!$L$20*Pricing!$M$20))/1000000</f>
        <v>0</v>
      </c>
      <c r="Q50" s="118">
        <f>IF(Pricing!$E$23=Matrix!K50,(Pricing!$L$23*Pricing!$M$23))/1000000</f>
        <v>0</v>
      </c>
      <c r="R50" s="4">
        <f>IF(Pricing!$E$26=Matrix!K50,(Pricing!$L$26*Pricing!$M$26))/1000000</f>
        <v>0</v>
      </c>
      <c r="S50" s="4">
        <f>IF(Pricing!$E$29=Matrix!K50,(Pricing!$L$29*Pricing!$M$29))/1000000</f>
        <v>0</v>
      </c>
      <c r="T50" s="4">
        <f>IF(Pricing!$E$32=Matrix!$K50,(Pricing!$L$32*Pricing!$M$32))/1000000</f>
        <v>0</v>
      </c>
      <c r="U50" s="4">
        <f>IF(Pricing!$E$35=Matrix!$K50,(Pricing!$L$35*Pricing!$M$35))/1000000</f>
        <v>0</v>
      </c>
      <c r="V50" s="4">
        <f>IF(Pricing!$E$38=Matrix!$K50,(Pricing!$L$38*Pricing!$M$38))/1000000</f>
        <v>0</v>
      </c>
      <c r="W50" s="4">
        <f>IF(Pricing!$E$41=Matrix!$K50,(Pricing!$L$41*Pricing!$M$41))/1000000</f>
        <v>0</v>
      </c>
      <c r="X50" s="4">
        <f>IF(Pricing!$E$44=Matrix!$K50,(Pricing!$L$44*Pricing!$M$44))/1000000</f>
        <v>0</v>
      </c>
      <c r="Y50" s="4">
        <f>IF(Pricing!$E$47=Matrix!$K50,(Pricing!$L$47*Pricing!$M$47))/1000000</f>
        <v>0</v>
      </c>
      <c r="Z50" s="4">
        <f>IF(Pricing!$E$50=Matrix!$K50,(Pricing!$L$50*Pricing!$M$50))/1000000</f>
        <v>0</v>
      </c>
      <c r="AA50" s="119">
        <f t="shared" ref="AA50:AA55" si="9">SUM(L50:Z50)</f>
        <v>0</v>
      </c>
    </row>
    <row r="51" spans="2:27" x14ac:dyDescent="0.2">
      <c r="B51" t="s">
        <v>231</v>
      </c>
      <c r="C51" s="66">
        <f t="shared" si="8"/>
        <v>0</v>
      </c>
      <c r="D51" s="4">
        <f t="shared" si="7"/>
        <v>0</v>
      </c>
      <c r="E51" s="67">
        <f>IF(ISERROR('Survey Front'!M69*'Survey Front'!N69/1000000),,'Survey Front'!M69*'Survey Front'!N69/1000000)</f>
        <v>0</v>
      </c>
      <c r="F51" s="64">
        <f>IF('Survey Front'!L69 = "Silent",$E51*$C$9,0)</f>
        <v>0</v>
      </c>
      <c r="G51" s="64">
        <f>IF('Survey Front'!D69="Tracked",$F$2*H51+$C$11,0)</f>
        <v>0</v>
      </c>
      <c r="H51" s="106">
        <f>IF(ISERROR(CONVERT('Survey Front'!M69,"mm","m")),,CONVERT('Survey Front'!M69,"mm","m"))</f>
        <v>0</v>
      </c>
      <c r="I51" s="64">
        <f>IF('Survey Front'!D69="S/Shade",$F$3*E51,0)</f>
        <v>0</v>
      </c>
      <c r="K51" s="29" t="s">
        <v>43</v>
      </c>
      <c r="L51" s="4">
        <f>IF(Pricing!$E$8=Matrix!K51,(Pricing!$L$8*Pricing!$M$8))/1000000</f>
        <v>0</v>
      </c>
      <c r="M51" s="4">
        <f>IF(Pricing!$E$11=Matrix!K51,(Pricing!$L$11*Pricing!$M$11))/1000000</f>
        <v>0</v>
      </c>
      <c r="N51" s="4">
        <f>IF(Pricing!$E$14=Matrix!K51,(Pricing!$L$14*Pricing!$M$14))/1000000</f>
        <v>0</v>
      </c>
      <c r="O51" s="4">
        <f>IF(Pricing!$E$17=Matrix!K51,(Pricing!$L$17*Pricing!$M$17))/1000000</f>
        <v>0</v>
      </c>
      <c r="P51" s="4">
        <f>IF(Pricing!$E$20=Matrix!K51,(Pricing!$L$20*Pricing!$M$20))/1000000</f>
        <v>0</v>
      </c>
      <c r="Q51" s="118">
        <f>IF(Pricing!$E$23=Matrix!K51,(Pricing!$L$23*Pricing!$M$23))/1000000</f>
        <v>0</v>
      </c>
      <c r="R51" s="4">
        <f>IF(Pricing!$E$26=Matrix!K51,(Pricing!$L$26*Pricing!$M$26))/1000000</f>
        <v>0</v>
      </c>
      <c r="S51" s="4">
        <f>IF(Pricing!$E$29=Matrix!K51,(Pricing!$L$29*Pricing!$M$29))/1000000</f>
        <v>0</v>
      </c>
      <c r="T51" s="4">
        <f>IF(Pricing!$E$32=Matrix!$K51,(Pricing!$L$32*Pricing!$M$32))/1000000</f>
        <v>0</v>
      </c>
      <c r="U51" s="4">
        <f>IF(Pricing!$E$35=Matrix!$K51,(Pricing!$L$35*Pricing!$M$35))/1000000</f>
        <v>0</v>
      </c>
      <c r="V51" s="4">
        <f>IF(Pricing!$E$38=Matrix!$K51,(Pricing!$L$38*Pricing!$M$38))/1000000</f>
        <v>0</v>
      </c>
      <c r="W51" s="4">
        <f>IF(Pricing!$E$41=Matrix!$K51,(Pricing!$L$41*Pricing!$M$41))/1000000</f>
        <v>0</v>
      </c>
      <c r="X51" s="4">
        <f>IF(Pricing!$E$44=Matrix!$K51,(Pricing!$L$44*Pricing!$M$44))/1000000</f>
        <v>0</v>
      </c>
      <c r="Y51" s="4">
        <f>IF(Pricing!$E$47=Matrix!$K51,(Pricing!$L$47*Pricing!$M$47))/1000000</f>
        <v>0</v>
      </c>
      <c r="Z51" s="4">
        <f>IF(Pricing!$E$50=Matrix!$K51,(Pricing!$L$50*Pricing!$M$50))/1000000</f>
        <v>0</v>
      </c>
      <c r="AA51" s="119">
        <f t="shared" si="9"/>
        <v>0</v>
      </c>
    </row>
    <row r="52" spans="2:27" x14ac:dyDescent="0.2">
      <c r="B52" t="s">
        <v>232</v>
      </c>
      <c r="C52" s="66">
        <f t="shared" si="8"/>
        <v>0</v>
      </c>
      <c r="D52" s="4">
        <f t="shared" si="7"/>
        <v>0</v>
      </c>
      <c r="E52" s="67">
        <f>IF(ISERROR('Survey Front'!M72*'Survey Front'!N72/1000000),,'Survey Front'!M72*'Survey Front'!N72/1000000)</f>
        <v>0</v>
      </c>
      <c r="F52" s="64">
        <f>IF('Survey Front'!L72 = "Silent",$E52*$C$9,0)</f>
        <v>0</v>
      </c>
      <c r="G52" s="64">
        <f>IF('Survey Front'!D72="Tracked",$F$2*H52+$C$11,0)</f>
        <v>0</v>
      </c>
      <c r="H52" s="106">
        <f>IF(ISERROR(CONVERT('Survey Front'!M72,"mm","m")),,CONVERT('Survey Front'!M72,"mm","m"))</f>
        <v>0</v>
      </c>
      <c r="I52" s="64">
        <f>IF('Survey Front'!D72="S/Shade",$F$3*E52,0)</f>
        <v>0</v>
      </c>
      <c r="K52" s="29" t="s">
        <v>47</v>
      </c>
      <c r="L52" s="4">
        <f>IF(Pricing!$E$8=Matrix!K52,(Pricing!$L$8*Pricing!$M$8))/1000000</f>
        <v>0</v>
      </c>
      <c r="M52" s="4">
        <f>IF(Pricing!$E$11=Matrix!K52,(Pricing!$L$11*Pricing!$M$11))/1000000</f>
        <v>0</v>
      </c>
      <c r="N52" s="4">
        <f>IF(Pricing!$E$14=Matrix!K52,(Pricing!$L$14*Pricing!$M$14))/1000000</f>
        <v>0</v>
      </c>
      <c r="O52" s="4">
        <f>IF(Pricing!$E$17=Matrix!K52,(Pricing!$L$17*Pricing!$M$17))/1000000</f>
        <v>0</v>
      </c>
      <c r="P52" s="4">
        <f>IF(Pricing!$E$20=Matrix!K52,(Pricing!$L$20*Pricing!$M$20))/1000000</f>
        <v>0</v>
      </c>
      <c r="Q52" s="118">
        <f>IF(Pricing!$E$23=Matrix!K52,(Pricing!$L$23*Pricing!$M$23))/1000000</f>
        <v>0</v>
      </c>
      <c r="R52" s="4">
        <f>IF(Pricing!$E$26=Matrix!K52,(Pricing!$L$26*Pricing!$M$26))/1000000</f>
        <v>0</v>
      </c>
      <c r="S52" s="4">
        <f>IF(Pricing!$E$29=Matrix!K52,(Pricing!$L$29*Pricing!$M$29))/1000000</f>
        <v>0</v>
      </c>
      <c r="T52" s="4">
        <f>IF(Pricing!$E$32=Matrix!$K52,(Pricing!$L$32*Pricing!$M$32))/1000000</f>
        <v>0</v>
      </c>
      <c r="U52" s="4">
        <f>IF(Pricing!$E$35=Matrix!$K52,(Pricing!$L$35*Pricing!$M$35))/1000000</f>
        <v>0</v>
      </c>
      <c r="V52" s="4">
        <f>IF(Pricing!$E$38=Matrix!$K52,(Pricing!$L$38*Pricing!$M$38))/1000000</f>
        <v>0</v>
      </c>
      <c r="W52" s="4">
        <f>IF(Pricing!$E$41=Matrix!$K52,(Pricing!$L$41*Pricing!$M$41))/1000000</f>
        <v>0</v>
      </c>
      <c r="X52" s="4">
        <f>IF(Pricing!$E$44=Matrix!$K52,(Pricing!$L$44*Pricing!$M$44))/1000000</f>
        <v>0</v>
      </c>
      <c r="Y52" s="4">
        <f>IF(Pricing!$E$47=Matrix!$K52,(Pricing!$L$47*Pricing!$M$47))/1000000</f>
        <v>0</v>
      </c>
      <c r="Z52" s="4">
        <f>IF(Pricing!$E$50=Matrix!$K52,(Pricing!$L$50*Pricing!$M$50))/1000000</f>
        <v>0</v>
      </c>
      <c r="AA52" s="119">
        <f t="shared" si="9"/>
        <v>0</v>
      </c>
    </row>
    <row r="53" spans="2:27" x14ac:dyDescent="0.2">
      <c r="B53" t="s">
        <v>233</v>
      </c>
      <c r="C53" s="66">
        <f t="shared" si="8"/>
        <v>0</v>
      </c>
      <c r="D53" s="4">
        <f t="shared" si="7"/>
        <v>0</v>
      </c>
      <c r="E53" s="67">
        <f>IF(ISERROR('Survey Front'!M75*'Survey Front'!N75/1000000),,'Survey Front'!M75*'Survey Front'!N75/1000000)</f>
        <v>0</v>
      </c>
      <c r="F53" s="64">
        <f>IF('Survey Front'!L75 = "Silent",$E53*$C$9,0)</f>
        <v>0</v>
      </c>
      <c r="G53" s="64">
        <f>IF('Survey Front'!D75="Tracked",$F$2*H53+$C$11,0)</f>
        <v>0</v>
      </c>
      <c r="H53" s="106">
        <f>IF(ISERROR(CONVERT('Survey Front'!M75,"mm","m")),,CONVERT('Survey Front'!M75,"mm","m"))</f>
        <v>0</v>
      </c>
      <c r="I53" s="64">
        <f>IF('Survey Front'!D75="S/Shade",$F$3*E53,0)</f>
        <v>0</v>
      </c>
      <c r="K53" s="29" t="s">
        <v>51</v>
      </c>
      <c r="L53" s="4">
        <f>IF(Pricing!$E$8=Matrix!K53,(Pricing!$L$8*Pricing!$M$8))/1000000</f>
        <v>0</v>
      </c>
      <c r="M53" s="4">
        <f>IF(Pricing!$E$11=Matrix!K53,(Pricing!$L$11*Pricing!$M$11))/1000000</f>
        <v>0</v>
      </c>
      <c r="N53" s="4">
        <f>IF(Pricing!$E$14=Matrix!K53,(Pricing!$L$14*Pricing!$M$14))/1000000</f>
        <v>0</v>
      </c>
      <c r="O53" s="4">
        <f>IF(Pricing!$E$17=Matrix!K53,(Pricing!$L$17*Pricing!$M$17))/1000000</f>
        <v>0</v>
      </c>
      <c r="P53" s="4">
        <f>IF(Pricing!$E$20=Matrix!K53,(Pricing!$L$20*Pricing!$M$20))/1000000</f>
        <v>0</v>
      </c>
      <c r="Q53" s="118">
        <f>IF(Pricing!$E$23=Matrix!K53,(Pricing!$L$23*Pricing!$M$23))/1000000</f>
        <v>0</v>
      </c>
      <c r="R53" s="4">
        <f>IF(Pricing!$E$26=Matrix!K53,(Pricing!$L$26*Pricing!$M$26))/1000000</f>
        <v>0</v>
      </c>
      <c r="S53" s="4">
        <f>IF(Pricing!$E$29=Matrix!K53,(Pricing!$L$29*Pricing!$M$29))/1000000</f>
        <v>0</v>
      </c>
      <c r="T53" s="4">
        <f>IF(Pricing!$E$32=Matrix!$K53,(Pricing!$L$32*Pricing!$M$32))/1000000</f>
        <v>0</v>
      </c>
      <c r="U53" s="4">
        <f>IF(Pricing!$E$35=Matrix!$K53,(Pricing!$L$35*Pricing!$M$35))/1000000</f>
        <v>0</v>
      </c>
      <c r="V53" s="4">
        <f>IF(Pricing!$E$38=Matrix!$K53,(Pricing!$L$38*Pricing!$M$38))/1000000</f>
        <v>0</v>
      </c>
      <c r="W53" s="4">
        <f>IF(Pricing!$E$41=Matrix!$K53,(Pricing!$L$41*Pricing!$M$41))/1000000</f>
        <v>0</v>
      </c>
      <c r="X53" s="4">
        <f>IF(Pricing!$E$44=Matrix!$K53,(Pricing!$L$44*Pricing!$M$44))/1000000</f>
        <v>0</v>
      </c>
      <c r="Y53" s="4">
        <f>IF(Pricing!$E$47=Matrix!$K53,(Pricing!$L$47*Pricing!$M$47))/1000000</f>
        <v>0</v>
      </c>
      <c r="Z53" s="4">
        <f>IF(Pricing!$E$50=Matrix!$K53,(Pricing!$L$50*Pricing!$M$50))/1000000</f>
        <v>0</v>
      </c>
      <c r="AA53" s="119">
        <f t="shared" si="9"/>
        <v>0</v>
      </c>
    </row>
    <row r="54" spans="2:27" x14ac:dyDescent="0.2">
      <c r="K54" s="29" t="s">
        <v>49</v>
      </c>
      <c r="L54" s="4">
        <f>IF(Pricing!$E$8=Matrix!K54,(Pricing!$L$8*Pricing!$M$8))/1000000</f>
        <v>0</v>
      </c>
      <c r="M54" s="4">
        <f>IF(Pricing!$E$11=Matrix!K54,(Pricing!$L$11*Pricing!$M$11))/1000000</f>
        <v>0</v>
      </c>
      <c r="N54" s="4">
        <f>IF(Pricing!$E$14=Matrix!K54,(Pricing!$L$14*Pricing!$M$14))/1000000</f>
        <v>0</v>
      </c>
      <c r="O54" s="4">
        <f>IF(Pricing!$E$17=Matrix!K54,(Pricing!$L$17*Pricing!$M$17))/1000000</f>
        <v>0</v>
      </c>
      <c r="P54" s="4">
        <f>IF(Pricing!$E$20=Matrix!K54,(Pricing!$L$20*Pricing!$M$20))/1000000</f>
        <v>0</v>
      </c>
      <c r="Q54" s="118">
        <f>IF(Pricing!$E$23=Matrix!K54,(Pricing!$L$23*Pricing!$M$23))/1000000</f>
        <v>0</v>
      </c>
      <c r="R54" s="4">
        <f>IF(Pricing!$E$26=Matrix!K54,(Pricing!$L$26*Pricing!$M$26))/1000000</f>
        <v>0</v>
      </c>
      <c r="S54" s="4">
        <f>IF(Pricing!$E$29=Matrix!K54,(Pricing!$L$29*Pricing!$M$29))/1000000</f>
        <v>0</v>
      </c>
      <c r="T54" s="4">
        <f>IF(Pricing!$E$32=Matrix!$K54,(Pricing!$L$32*Pricing!$M$32))/1000000</f>
        <v>0</v>
      </c>
      <c r="U54" s="4">
        <f>IF(Pricing!$E$35=Matrix!$K54,(Pricing!$L$35*Pricing!$M$35))/1000000</f>
        <v>0</v>
      </c>
      <c r="V54" s="4">
        <f>IF(Pricing!$E$38=Matrix!$K54,(Pricing!$L$38*Pricing!$M$38))/1000000</f>
        <v>0</v>
      </c>
      <c r="W54" s="4">
        <f>IF(Pricing!$E$41=Matrix!$K54,(Pricing!$L$41*Pricing!$M$41))/1000000</f>
        <v>0</v>
      </c>
      <c r="X54" s="4">
        <f>IF(Pricing!$E$44=Matrix!$K54,(Pricing!$L$44*Pricing!$M$44))/1000000</f>
        <v>0</v>
      </c>
      <c r="Y54" s="4">
        <f>IF(Pricing!$E$47=Matrix!$K54,(Pricing!$L$47*Pricing!$M$47))/1000000</f>
        <v>0</v>
      </c>
      <c r="Z54" s="4">
        <f>IF(Pricing!$E$50=Matrix!$K54,(Pricing!$L$50*Pricing!$M$50))/1000000</f>
        <v>0</v>
      </c>
      <c r="AA54" s="119">
        <f t="shared" si="9"/>
        <v>0</v>
      </c>
    </row>
    <row r="55" spans="2:27" ht="15.75" thickBot="1" x14ac:dyDescent="0.25">
      <c r="K55" s="31" t="s">
        <v>55</v>
      </c>
      <c r="L55" s="4">
        <f>IF(Pricing!$E$8=Matrix!K55,(Pricing!$L$8*Pricing!$M$8))/1000000</f>
        <v>0</v>
      </c>
      <c r="M55" s="4">
        <f>IF(Pricing!$E$11=Matrix!K55,(Pricing!$L$11*Pricing!$M$11))/1000000</f>
        <v>0</v>
      </c>
      <c r="N55" s="4">
        <f>IF(Pricing!$E$14=Matrix!K55,(Pricing!$L$14*Pricing!$M$14))/1000000</f>
        <v>0</v>
      </c>
      <c r="O55" s="4">
        <f>IF(Pricing!$E$17=Matrix!K55,(Pricing!$L$17*Pricing!$M$17))/1000000</f>
        <v>0</v>
      </c>
      <c r="P55" s="4">
        <f>IF(Pricing!$E$20=Matrix!K55,(Pricing!$L$20*Pricing!$M$20))/1000000</f>
        <v>0</v>
      </c>
      <c r="Q55" s="118">
        <f>IF(Pricing!$E$23=Matrix!K55,(Pricing!$L$23*Pricing!$M$23))/1000000</f>
        <v>0</v>
      </c>
      <c r="R55" s="4">
        <f>IF(Pricing!$E$26=Matrix!K55,(Pricing!$L$26*Pricing!$M$26))/1000000</f>
        <v>0</v>
      </c>
      <c r="S55" s="4">
        <f>IF(Pricing!$E$29=Matrix!K55,(Pricing!$L$29*Pricing!$M$29))/1000000</f>
        <v>0</v>
      </c>
      <c r="T55" s="4">
        <f>IF(Pricing!$E$32=Matrix!$K55,(Pricing!$L$32*Pricing!$M$32))/1000000</f>
        <v>0</v>
      </c>
      <c r="U55" s="4">
        <f>IF(Pricing!$E$35=Matrix!$K55,(Pricing!$L$35*Pricing!$M$35))/1000000</f>
        <v>0</v>
      </c>
      <c r="V55" s="4">
        <f>IF(Pricing!$E$38=Matrix!$K55,(Pricing!$L$38*Pricing!$M$38))/1000000</f>
        <v>0</v>
      </c>
      <c r="W55" s="4">
        <f>IF(Pricing!$E$41=Matrix!$K55,(Pricing!$L$41*Pricing!$M$41))/1000000</f>
        <v>0</v>
      </c>
      <c r="X55" s="4">
        <f>IF(Pricing!$E$44=Matrix!$K55,(Pricing!$L$44*Pricing!$M$44))/1000000</f>
        <v>0</v>
      </c>
      <c r="Y55" s="4">
        <f>IF(Pricing!$E$47=Matrix!$K55,(Pricing!$L$47*Pricing!$M$47))/1000000</f>
        <v>0</v>
      </c>
      <c r="Z55" s="4">
        <f>IF(Pricing!$E$50=Matrix!$K55,(Pricing!$L$50*Pricing!$M$50))/1000000</f>
        <v>0</v>
      </c>
      <c r="AA55" s="120">
        <f t="shared" si="9"/>
        <v>0</v>
      </c>
    </row>
    <row r="56" spans="2:27" ht="15.75" thickTop="1" x14ac:dyDescent="0.2"/>
    <row r="58" spans="2:27" x14ac:dyDescent="0.2">
      <c r="K58" s="1322" t="s">
        <v>665</v>
      </c>
      <c r="L58" s="855"/>
      <c r="M58" s="855"/>
      <c r="N58" s="855"/>
      <c r="O58" s="855"/>
      <c r="P58" s="855"/>
      <c r="Q58" s="855"/>
      <c r="R58" s="855"/>
      <c r="S58" s="855"/>
      <c r="T58" s="855"/>
      <c r="U58" s="855"/>
      <c r="V58" s="855"/>
      <c r="W58" s="855"/>
      <c r="X58" s="855"/>
      <c r="Y58" s="855"/>
      <c r="Z58" s="855"/>
      <c r="AA58" s="855"/>
    </row>
    <row r="59" spans="2:27" x14ac:dyDescent="0.2">
      <c r="K59" s="29"/>
      <c r="L59" s="58" t="s">
        <v>219</v>
      </c>
      <c r="M59" s="58" t="s">
        <v>220</v>
      </c>
      <c r="N59" s="58" t="s">
        <v>221</v>
      </c>
      <c r="O59" s="58" t="s">
        <v>222</v>
      </c>
      <c r="P59" s="58" t="s">
        <v>223</v>
      </c>
      <c r="Q59" s="58" t="s">
        <v>224</v>
      </c>
      <c r="R59" s="58" t="s">
        <v>225</v>
      </c>
      <c r="S59" s="58" t="s">
        <v>226</v>
      </c>
      <c r="T59" s="58" t="s">
        <v>227</v>
      </c>
      <c r="U59" s="58" t="s">
        <v>228</v>
      </c>
      <c r="V59" s="58" t="s">
        <v>229</v>
      </c>
      <c r="W59" s="58" t="s">
        <v>230</v>
      </c>
      <c r="X59" s="58" t="s">
        <v>231</v>
      </c>
      <c r="Y59" s="58" t="s">
        <v>232</v>
      </c>
      <c r="Z59" s="58" t="s">
        <v>233</v>
      </c>
      <c r="AA59" s="58"/>
    </row>
    <row r="60" spans="2:27" x14ac:dyDescent="0.2">
      <c r="K60" s="29" t="s">
        <v>41</v>
      </c>
      <c r="L60" s="61">
        <f>ROUNDDOWN((E69*$C$2)+(E69*D69),0.2)</f>
        <v>0</v>
      </c>
      <c r="M60" s="61">
        <f>K4+(F22*E22)+(D22*E22)+G22+I22</f>
        <v>340</v>
      </c>
      <c r="N60" s="61">
        <f>L4+($F$23*E23)+($D$23*$E$23)+G23+I23</f>
        <v>340</v>
      </c>
      <c r="O60" s="61">
        <f>L4+$F$24+($D$24*$E$24)+G24+I24</f>
        <v>340</v>
      </c>
      <c r="P60" s="61">
        <f>$N$4+($F$25*E25)+($D$25*$E$25)+$G$25+I25</f>
        <v>340</v>
      </c>
      <c r="Q60" s="61">
        <f>$O$4+($F$26*E26)+($D$26*$E$26)+$G$26+I26</f>
        <v>340</v>
      </c>
      <c r="R60" s="61">
        <f>$P$4+($F$27*E27)+($D$27*$E$27)+$G$27+I27</f>
        <v>340</v>
      </c>
      <c r="S60" s="61">
        <f>$Q$4+($F$28*E28)+($D$28*$E$28)+$G$28+I28</f>
        <v>340</v>
      </c>
      <c r="T60" s="61">
        <f>$R$4+($F$29*E29)+($D$29*$E$29)+$G$29+I29</f>
        <v>340</v>
      </c>
      <c r="U60" s="61">
        <f>$S$4+($F$30*E30)+($D$30*$E$30)+$G$30+I30</f>
        <v>340</v>
      </c>
      <c r="V60" s="61">
        <f>$T$4+($F$31*E31)+($D$31*$E$31)+$G$31+I31</f>
        <v>340</v>
      </c>
      <c r="W60" s="61">
        <f>$U$4+($F$32*E32)+($D$32*$E$32)+$G$32+I32</f>
        <v>340</v>
      </c>
      <c r="X60" s="61">
        <f>$U$4+($F$33*E33)+($D$33*$E$33)+$G$33+I33</f>
        <v>340</v>
      </c>
      <c r="Y60" s="61">
        <f>$W$4+($F$34*E34)+($D$34*$E$34)+$G$34+I34</f>
        <v>340</v>
      </c>
      <c r="Z60" s="61">
        <f>$X$4+($F$35*E35)+($D$35*$E$35)+$G$35+I35</f>
        <v>340</v>
      </c>
      <c r="AA60" s="61"/>
    </row>
    <row r="61" spans="2:27" x14ac:dyDescent="0.2">
      <c r="K61" s="29" t="s">
        <v>43</v>
      </c>
      <c r="L61" s="61">
        <f>(E69*$C$2)+(E69*D69)+(C3*E69)</f>
        <v>0</v>
      </c>
      <c r="M61" s="61">
        <f>K4+(F22*E22)+(D22*E22)+G22+K5+I22</f>
        <v>375</v>
      </c>
      <c r="N61" s="61">
        <f>L4+($F$23*E23)+($D$23*$E$23)+G23+L5+I23</f>
        <v>375</v>
      </c>
      <c r="O61" s="61">
        <f>L4+($F$24*E24)+($D$24*$E$24)+G24+M5+I24</f>
        <v>375</v>
      </c>
      <c r="P61" s="61">
        <f>$N$4+($F$25*E25)+($D$25*$E$25)+$G$25+N5+I25</f>
        <v>375</v>
      </c>
      <c r="Q61" s="61">
        <f>$O$4+($F$26*E26)+($D$26*$E$26)+$G$26+O5+I26</f>
        <v>375</v>
      </c>
      <c r="R61" s="61">
        <f>$P$4+($F$27*E27)+($D$27*$E$27)+$G$27+P5+I27</f>
        <v>375</v>
      </c>
      <c r="S61" s="61">
        <f>$Q$4-($Q$4*$C$10)+($F$28*E28)+($D$28*$E$28)+$G$28+Q5+I28</f>
        <v>290</v>
      </c>
      <c r="T61" s="61">
        <f>$R$4+($F$29*E29)+($D$29*$E$29)+$G$29+R5+I29</f>
        <v>375</v>
      </c>
      <c r="U61" s="61">
        <f>$S$4+($F$30*E30)+($D$30*$E$30)+$G$30+S5+I30</f>
        <v>375</v>
      </c>
      <c r="V61" s="61">
        <f>$T$4+($F$31*E31)+($D$31*$E$31)+$G$31+T5+I31</f>
        <v>375</v>
      </c>
      <c r="W61" s="61">
        <f>$U$4+($F$32*E32)+($D$32*$E$32)+$G$32+U5+I32</f>
        <v>375</v>
      </c>
      <c r="X61" s="61">
        <f>$U$4+($F$33*E33)+($D$33*$E$33)+$G$33+V5+I33</f>
        <v>375</v>
      </c>
      <c r="Y61" s="61">
        <f>$W$4+($F$34*E34)+($D$34*$E$34)+$G$34+W5+I34</f>
        <v>375</v>
      </c>
      <c r="Z61" s="61">
        <f>$X$4+($F$35*E35)+($D$35*$E$35)+$G$35+X5+I35</f>
        <v>375</v>
      </c>
      <c r="AA61" s="61"/>
    </row>
    <row r="62" spans="2:27" x14ac:dyDescent="0.2">
      <c r="K62" s="29" t="s">
        <v>47</v>
      </c>
      <c r="L62" s="61">
        <f>(E71*$C$2)+(E71*D71)</f>
        <v>0</v>
      </c>
      <c r="M62" s="61">
        <f>K4+(F22*E22)+(D22*E22)+G22+K6+I22</f>
        <v>405</v>
      </c>
      <c r="N62" s="61">
        <f>L4+($F$23*E23)+($D$23*$E$23)+G23+L6+I23</f>
        <v>405</v>
      </c>
      <c r="O62" s="61">
        <f>L4+($F$24*E24)+($D$24*$E$24)+G24+M6+I24</f>
        <v>405</v>
      </c>
      <c r="P62" s="61">
        <f>$N$4+($F$25*E25)+($D$25*$E$25)+$G$25+N6+I25</f>
        <v>405</v>
      </c>
      <c r="Q62" s="61">
        <f>$O$4+($F$26*E26)+($D$26*$E$26)+$G$26+O6+I26</f>
        <v>405</v>
      </c>
      <c r="R62" s="61">
        <f>$P$4+($F$27*E27)+($D$27*$E$27)+$G$27+P6+I27</f>
        <v>405</v>
      </c>
      <c r="S62" s="61">
        <f>$Q$4-($Q$4*$C$10)+($F$28*E28)+($D$28*$E$28)+$G$28+Q6+I28</f>
        <v>320</v>
      </c>
      <c r="T62" s="61">
        <f>$R$4+($F$29*E29)+($D$29*$E$29)+$G$29+R6+I29</f>
        <v>405</v>
      </c>
      <c r="U62" s="61">
        <f>$S$4+($F$30*E30)+($D$30*$E$30)+$G$30+S6+I30</f>
        <v>405</v>
      </c>
      <c r="V62" s="61">
        <f>$T$4+($F$31*E31)+($D$31*$E$31)+$G$31+T6+I31</f>
        <v>405</v>
      </c>
      <c r="W62" s="61">
        <f>$U$4+($F$32*E32)+($D$32*$E$32)+$G$32+U6+I32</f>
        <v>405</v>
      </c>
      <c r="X62" s="61">
        <f>$U$4+($F$33*E33)+($D$33*$E$33)+$G$33+V6+I33</f>
        <v>405</v>
      </c>
      <c r="Y62" s="61">
        <f>$W$4+($F$34*E34)+($D$34*$E$34)+$G$34+W6+I34</f>
        <v>405</v>
      </c>
      <c r="Z62" s="61">
        <f>$X$4+($F$35*E35)+($D$35*$E$35)+$G$35+X6+I35</f>
        <v>405</v>
      </c>
      <c r="AA62" s="61"/>
    </row>
    <row r="63" spans="2:27" x14ac:dyDescent="0.2">
      <c r="K63" s="29" t="s">
        <v>51</v>
      </c>
      <c r="L63" s="61">
        <f>(E72*$C$2)+(E72*D72)</f>
        <v>0</v>
      </c>
      <c r="M63" s="61">
        <f>K4+(F22*E22)+(D22*E22)+G22+K7+I22</f>
        <v>445</v>
      </c>
      <c r="N63" s="61">
        <f>L4+($F$23*E23)+($D$23*$E$23)+G23+L7+I23</f>
        <v>445</v>
      </c>
      <c r="O63" s="61">
        <f>L4+($F$24*E24)+($D$24*$E$24)+G24+M7+I24</f>
        <v>445</v>
      </c>
      <c r="P63" s="61">
        <f>$N$4+($F$25*E25)+($D$25*$E$25)+$G$25+N7+I25</f>
        <v>445</v>
      </c>
      <c r="Q63" s="61">
        <f>$O$4+($F$26*E26)+($D$26*$E$26)+$G$26+O7+I26</f>
        <v>445</v>
      </c>
      <c r="R63" s="61">
        <f>$P$4+($F$27*E27)+($D$27*$E$27)+$G$27+P7+I27</f>
        <v>445</v>
      </c>
      <c r="S63" s="61">
        <f>$Q$4-($Q$4*$C$10)+($F$28*E28)+($D$28*$E$28)+$G$28+Q7+I28</f>
        <v>360</v>
      </c>
      <c r="T63" s="61">
        <f>$R$4+($F$29*E29)+($D$29*$E$29)+$G$29+R7+I29</f>
        <v>445</v>
      </c>
      <c r="U63" s="61">
        <f>$S$4+($F$30*E30)+($D$30*$E$30)+$G$30+S7+I30</f>
        <v>445</v>
      </c>
      <c r="V63" s="61">
        <f>$T$4+($F$31*E31)+($D$31*$E$31)+$G$31+T7+I31</f>
        <v>445</v>
      </c>
      <c r="W63" s="61">
        <f>$U$4+($F$32*E32)+($D$32*$E$32)+$G$32+U7+I32</f>
        <v>445</v>
      </c>
      <c r="X63" s="61">
        <f>$U$4+($F$33*E33)+($D$33*$E$33)+$G$33+V7+I33</f>
        <v>445</v>
      </c>
      <c r="Y63" s="61">
        <f>$W$4+($F$34*E34)+($D$34*$E$34)+$G$34+W7+I34</f>
        <v>445</v>
      </c>
      <c r="Z63" s="61">
        <f>$X$4+($F$35*E35)+($D$35*$E$35)+$G$35+X7+I35</f>
        <v>445</v>
      </c>
      <c r="AA63" s="61"/>
    </row>
    <row r="64" spans="2:27" x14ac:dyDescent="0.2">
      <c r="K64" s="29" t="s">
        <v>49</v>
      </c>
      <c r="L64" s="61">
        <f>(E73*$C$2)+(E73*D73)</f>
        <v>0</v>
      </c>
      <c r="M64" s="61">
        <f>K4+(F22*E22)+(D22*E22)+G22+K8+I22</f>
        <v>485</v>
      </c>
      <c r="N64" s="61">
        <f>L4+($F$23*E23)+($D$23*$E$23)+G23+L8+I23</f>
        <v>485</v>
      </c>
      <c r="O64" s="61">
        <f>L4+($F$24*E24)+($D$24*$E$24)+G24+M8+I24</f>
        <v>485</v>
      </c>
      <c r="P64" s="61">
        <f>$N$4+($F$25*E25)+($D$25*$E$25)+$G$25+N8+I25</f>
        <v>485</v>
      </c>
      <c r="Q64" s="61">
        <f>$O$4+($F$26*E26)+($D$26*$E$26)+$G$26+O8+I26</f>
        <v>485</v>
      </c>
      <c r="R64" s="61">
        <f>$P$4+($F$27*E27)+($D$27*$E$27)+$G$27+P8+I27</f>
        <v>485</v>
      </c>
      <c r="S64" s="61">
        <f>$Q$4-($Q$4*$C$10)+($F$28*E28)+($D$28*$E$28)+$G$28+Q8+I28</f>
        <v>400</v>
      </c>
      <c r="T64" s="61">
        <f>$R$4+($F$29*E29)+($D$29*$E$29)+$G$29+R8+I29</f>
        <v>485</v>
      </c>
      <c r="U64" s="61">
        <f>$S$4+($F$30*E30)+($D$30*$E$30)+$G$30+S8+I30</f>
        <v>485</v>
      </c>
      <c r="V64" s="61">
        <f>$T$4+($F$31*E31)+($D$31*$E$31)+$G$31+T8+I31</f>
        <v>485</v>
      </c>
      <c r="W64" s="61">
        <f>$U$4+($F$32*E32)+($D$32*$E$32)+$G$32+U8+I32</f>
        <v>485</v>
      </c>
      <c r="X64" s="61">
        <f>$U$4+($F$33*E33)+($D$33*$E$33)+$G$33+V8+I33</f>
        <v>485</v>
      </c>
      <c r="Y64" s="61">
        <f>$W$4+($F$34*E34)+($D$34*$E$34)+$G$34+W8+I34</f>
        <v>485</v>
      </c>
      <c r="Z64" s="61">
        <f>$X$4+($F$35*E35)+($D$35*$E$35)+$G$35+X8+I35</f>
        <v>485</v>
      </c>
      <c r="AA64" s="61"/>
    </row>
    <row r="65" spans="2:28" x14ac:dyDescent="0.2">
      <c r="K65" s="29" t="s">
        <v>55</v>
      </c>
      <c r="L65" s="61">
        <f>(E74*$C$2)+(E74*D74)</f>
        <v>0</v>
      </c>
      <c r="M65" s="61">
        <f>K4+(F22*E22)+(D22*E22)+G22+K9+I22</f>
        <v>535</v>
      </c>
      <c r="N65" s="61">
        <f>L4+($F$23*E23)+($D$23*$E$23)+G23+L9+I23</f>
        <v>535</v>
      </c>
      <c r="O65" s="61">
        <f>L4+($F$24*E24)+($D$24*$E$24)+G24+M9+I24</f>
        <v>535</v>
      </c>
      <c r="P65" s="61">
        <f>$N$4+($F$25*E25)+($D$25*$E$25)+$G$25+N9+I25</f>
        <v>535</v>
      </c>
      <c r="Q65" s="61">
        <f>$O$4+($F$26*E26)+($D$26*$E$26)+$G$26+O9+I26</f>
        <v>535</v>
      </c>
      <c r="R65" s="61">
        <f>$P$4+($F$27*E27)+($D$27*$E$27)+$G$27+P9+I27</f>
        <v>535</v>
      </c>
      <c r="S65" s="61">
        <f>$Q$4-($Q$4*$C$10)+($F$28*E28)+($D$28*$E$28)+$G$28+Q9+I28</f>
        <v>450</v>
      </c>
      <c r="T65" s="61">
        <f>$R$4+($F$29*E29)+($D$29*$E$29)+$G$29+R9+I29</f>
        <v>535</v>
      </c>
      <c r="U65" s="61">
        <f>$S$4+($F$30*E30)+($D$30*$E$30)+$G$30+S9+I30</f>
        <v>535</v>
      </c>
      <c r="V65" s="61">
        <f>$T$4+($F$31*E31)+($D$31*$E$31)+$G$31+T9+I31</f>
        <v>535</v>
      </c>
      <c r="W65" s="61">
        <f>$U$4+($F$32*E32)+($D$32*$E$32)+$G$32+U9+I32</f>
        <v>535</v>
      </c>
      <c r="X65" s="61">
        <f>$U$4+($F$33*E33)+($D$33*$E$33)+$G$33+V9+I33</f>
        <v>535</v>
      </c>
      <c r="Y65" s="61">
        <f>$W$4+($F$34*E34)+($D$34*$E$34)+$G$34+W9+I34</f>
        <v>535</v>
      </c>
      <c r="Z65" s="61">
        <f>$X$4+($F$35*E35)+($D$35*$E$35)+$G$35+X9+I35</f>
        <v>535</v>
      </c>
      <c r="AA65" s="61"/>
    </row>
    <row r="67" spans="2:28" x14ac:dyDescent="0.2">
      <c r="C67" s="1185" t="s">
        <v>666</v>
      </c>
      <c r="D67" s="1185"/>
      <c r="E67" s="1185"/>
      <c r="F67" s="1185"/>
      <c r="G67" s="1185"/>
      <c r="H67" s="1185"/>
      <c r="I67" s="1185"/>
      <c r="J67" s="1185"/>
      <c r="K67" s="855" t="s">
        <v>667</v>
      </c>
      <c r="L67" s="855"/>
      <c r="M67" s="855"/>
      <c r="N67" s="855"/>
      <c r="O67" s="855"/>
      <c r="P67" s="855"/>
      <c r="Q67" s="855"/>
      <c r="R67" s="855"/>
      <c r="S67" s="855"/>
      <c r="T67" s="855"/>
      <c r="U67" s="855"/>
      <c r="V67" s="855"/>
      <c r="W67" s="855"/>
      <c r="X67" s="855"/>
      <c r="Y67" s="855"/>
      <c r="Z67" s="855"/>
      <c r="AA67" s="855"/>
    </row>
    <row r="68" spans="2:28" ht="15.75" thickBot="1" x14ac:dyDescent="0.25">
      <c r="C68" s="101" t="s">
        <v>303</v>
      </c>
      <c r="D68" s="102" t="s">
        <v>304</v>
      </c>
      <c r="E68" s="102" t="s">
        <v>14</v>
      </c>
      <c r="F68" s="102" t="s">
        <v>266</v>
      </c>
      <c r="G68" s="102" t="s">
        <v>305</v>
      </c>
      <c r="H68" s="102" t="s">
        <v>306</v>
      </c>
      <c r="I68" s="102" t="s">
        <v>248</v>
      </c>
      <c r="J68" s="103" t="s">
        <v>279</v>
      </c>
      <c r="K68" s="104"/>
      <c r="L68" s="69" t="s">
        <v>219</v>
      </c>
      <c r="M68" s="69" t="s">
        <v>220</v>
      </c>
      <c r="N68" s="69" t="s">
        <v>221</v>
      </c>
      <c r="O68" s="69" t="s">
        <v>222</v>
      </c>
      <c r="P68" s="69" t="s">
        <v>223</v>
      </c>
      <c r="Q68" s="69" t="s">
        <v>224</v>
      </c>
      <c r="R68" s="69" t="s">
        <v>225</v>
      </c>
      <c r="S68" s="69" t="s">
        <v>226</v>
      </c>
      <c r="T68" s="69" t="s">
        <v>227</v>
      </c>
      <c r="U68" s="69" t="s">
        <v>228</v>
      </c>
      <c r="V68" s="69" t="s">
        <v>229</v>
      </c>
      <c r="W68" s="69" t="s">
        <v>230</v>
      </c>
      <c r="X68" s="69" t="s">
        <v>231</v>
      </c>
      <c r="Y68" s="69" t="s">
        <v>232</v>
      </c>
      <c r="Z68" s="69" t="s">
        <v>233</v>
      </c>
      <c r="AA68" s="121" t="s">
        <v>668</v>
      </c>
      <c r="AB68" s="122"/>
    </row>
    <row r="69" spans="2:28" ht="15.75" thickTop="1" x14ac:dyDescent="0.2">
      <c r="B69" t="s">
        <v>219</v>
      </c>
      <c r="C69" s="66">
        <f t="shared" ref="C69:C83" si="10">IF(ISERROR(FIND("(CB)",AF30,1)),0)</f>
        <v>0</v>
      </c>
      <c r="D69" s="4">
        <f>IF(C69=FALSE,20,0)</f>
        <v>0</v>
      </c>
      <c r="E69" s="67">
        <f>IF(Pricing!AD8="Quoted",,IF(Pricing!E8="",,IF(ISERROR(Pricing!L8*Pricing!M8/1000000),,Pricing!L8*Pricing!M8/1000000)))</f>
        <v>0</v>
      </c>
      <c r="F69" s="64">
        <f>IF(Pricing!AD8="Quoted",,IF(Pricing!J8 = "Silent",$E$69*$C$9,0))</f>
        <v>0</v>
      </c>
      <c r="G69" s="64">
        <f>IF(Pricing!AD8="Quoted",,IF(Pricing!D8="Tracked",($F$2*H69)+$C$11,0))</f>
        <v>0</v>
      </c>
      <c r="H69" s="106">
        <f>H21</f>
        <v>0</v>
      </c>
      <c r="I69" s="64">
        <f>I21</f>
        <v>0</v>
      </c>
      <c r="J69" s="57"/>
      <c r="K69" s="29" t="s">
        <v>41</v>
      </c>
      <c r="L69" s="61">
        <f>IF(Pricing!$AD$8="Price",$J4,)</f>
        <v>340</v>
      </c>
      <c r="M69" s="61">
        <f>IF(Pricing!AD11="Price",K4,)</f>
        <v>340</v>
      </c>
      <c r="N69" s="61">
        <f>IF(Pricing!AD14="Price",L4,)</f>
        <v>340</v>
      </c>
      <c r="O69" s="61">
        <f>IF(Pricing!$AD17="Price",M$4,)</f>
        <v>340</v>
      </c>
      <c r="P69" s="61">
        <f>IF(Pricing!$AD20="Price",N$4,)</f>
        <v>340</v>
      </c>
      <c r="Q69" s="61">
        <f>IF(Pricing!$AD23="Price",O$4,)</f>
        <v>340</v>
      </c>
      <c r="R69" s="61">
        <f>IF(Pricing!$AD26="Price",P$4,)</f>
        <v>340</v>
      </c>
      <c r="S69" s="61">
        <f>IF(Pricing!$AD29="Price",Q$4,)</f>
        <v>340</v>
      </c>
      <c r="T69" s="61">
        <f>IF(Pricing!$AD32="Price",R$4,)</f>
        <v>340</v>
      </c>
      <c r="U69" s="61">
        <f>IF(Pricing!$AD35="Price",S$4,)</f>
        <v>340</v>
      </c>
      <c r="V69" s="61">
        <f>IF(Pricing!$AD38="Price",T$4,)</f>
        <v>340</v>
      </c>
      <c r="W69" s="61">
        <f>IF(Pricing!$AD41="Price",U$4,)</f>
        <v>340</v>
      </c>
      <c r="X69" s="61">
        <f>IF(Pricing!$AD44="Price",V$4,)</f>
        <v>340</v>
      </c>
      <c r="Y69" s="61">
        <f>IF(Pricing!$AD47="Price",W$4,)</f>
        <v>340</v>
      </c>
      <c r="Z69" s="61">
        <f>IF(Pricing!$AD50="Price",X$4,)</f>
        <v>340</v>
      </c>
      <c r="AA69" s="123">
        <f>SUM(L69:Z69)+(D69*E69)</f>
        <v>5100</v>
      </c>
    </row>
    <row r="70" spans="2:28" x14ac:dyDescent="0.2">
      <c r="B70" t="s">
        <v>220</v>
      </c>
      <c r="C70" s="66">
        <f t="shared" si="10"/>
        <v>0</v>
      </c>
      <c r="D70" s="4">
        <f t="shared" ref="D70:D83" si="11">IF(C70=FALSE,20,0)</f>
        <v>0</v>
      </c>
      <c r="E70" s="67">
        <f>IF(Pricing!AD11="Quoted",,IF(Pricing!E11="",,IF(ISERROR(Pricing!L11*Pricing!M11/1000000),,Pricing!L11*Pricing!M11/1000000)))</f>
        <v>0</v>
      </c>
      <c r="F70" s="64">
        <f>IF(Pricing!AD11="Quoted",,IF(Pricing!J11 = "Silent",$E70*$C$9,0))</f>
        <v>0</v>
      </c>
      <c r="G70" s="64">
        <f>IF(Pricing!AD11="Quoted",IF(Pricing!D11="Tracked",$F$2*H70+$C$11,0),)</f>
        <v>0</v>
      </c>
      <c r="H70" s="106">
        <f t="shared" ref="H70:I83" si="12">H22</f>
        <v>0</v>
      </c>
      <c r="I70" s="64">
        <f t="shared" si="12"/>
        <v>0</v>
      </c>
      <c r="K70" s="29" t="s">
        <v>43</v>
      </c>
      <c r="L70" s="61">
        <f>IF(AND(Pricing!$AD$8="Price",Pricing!$E$8=Matrix!$K70),$J5,)</f>
        <v>0</v>
      </c>
      <c r="M70" s="61">
        <f>IF(AND(Pricing!$AD$11="Price",Pricing!$E$11=Matrix!K70),$K5,)</f>
        <v>0</v>
      </c>
      <c r="N70" s="61">
        <f>IF(AND(Pricing!$AD$14="Price",Pricing!$E$14=Matrix!K70),L5,)</f>
        <v>0</v>
      </c>
      <c r="O70" s="61">
        <f>IF(AND(Pricing!$AD$17="Price",Pricing!$E$17=Matrix!K70),M5,)</f>
        <v>0</v>
      </c>
      <c r="P70" s="61">
        <f>IF(AND(Pricing!$AD$20="Price",Pricing!$E$20=Matrix!K70),N5,)</f>
        <v>0</v>
      </c>
      <c r="Q70" s="61">
        <f>IF(AND(Pricing!$AD$23="Price",Pricing!$E$23=Matrix!K70),O5,)</f>
        <v>0</v>
      </c>
      <c r="R70" s="61">
        <f>IF(AND(Pricing!$AD$26="Price",Pricing!$E$26=Matrix!K70),P5,)</f>
        <v>0</v>
      </c>
      <c r="S70" s="61">
        <f>IF(AND(Pricing!$AD$29="Price",Pricing!$E$29=Matrix!K70),Q5,)</f>
        <v>0</v>
      </c>
      <c r="T70" s="61">
        <f>IF(AND(Pricing!$AD$32="Price",Pricing!$E$32=Matrix!K70),R5,)</f>
        <v>0</v>
      </c>
      <c r="U70" s="61">
        <f>IF(AND(Pricing!$AD$35="Price",Pricing!$E$35=Matrix!K70),S5,)</f>
        <v>0</v>
      </c>
      <c r="V70" s="61">
        <f>IF(AND(Pricing!$AD$38="Price",Pricing!$E$38=Matrix!K70),T5,)</f>
        <v>0</v>
      </c>
      <c r="W70" s="61">
        <f>IF(AND(Pricing!$AD$41="Price",Pricing!$E$41=Matrix!K70),U5,)</f>
        <v>0</v>
      </c>
      <c r="X70" s="61">
        <f>IF(AND(Pricing!$AD$44="Price",Pricing!$E$44=Matrix!K70),V5,)</f>
        <v>0</v>
      </c>
      <c r="Y70" s="61">
        <f>IF(AND(Pricing!$AD$47="Price",Pricing!$E$47=Matrix!K70),W5,)</f>
        <v>0</v>
      </c>
      <c r="Z70" s="61">
        <f>IF(AND(Pricing!$AD$50="Price",Pricing!$E$50=Matrix!K70),X5,)</f>
        <v>0</v>
      </c>
      <c r="AA70" s="124">
        <f t="shared" ref="AA70:AA76" si="13">SUM(L70:Z70)</f>
        <v>0</v>
      </c>
    </row>
    <row r="71" spans="2:28" x14ac:dyDescent="0.2">
      <c r="B71" t="s">
        <v>221</v>
      </c>
      <c r="C71" s="66">
        <f t="shared" si="10"/>
        <v>0</v>
      </c>
      <c r="D71" s="4">
        <f t="shared" si="11"/>
        <v>0</v>
      </c>
      <c r="E71" s="67">
        <f>IF(Pricing!AD14="Quoted",,IF(Pricing!E14="",,IF(ISERROR(Pricing!L14*Pricing!M14/1000000),,Pricing!L14*Pricing!M14/1000000)))</f>
        <v>0</v>
      </c>
      <c r="F71" s="64">
        <f>IF(Pricing!AD14="Quoted",,IF(Pricing!J14="Silent",E71*$C$9,0))</f>
        <v>0</v>
      </c>
      <c r="G71" s="64">
        <f>IF(Pricing!AD14="Quoted",IF(Pricing!D14="Tracked",$F$2*H71+$C$11,0),)</f>
        <v>0</v>
      </c>
      <c r="H71" s="106">
        <f t="shared" si="12"/>
        <v>0</v>
      </c>
      <c r="I71" s="64">
        <f t="shared" si="12"/>
        <v>0</v>
      </c>
      <c r="K71" s="29" t="s">
        <v>47</v>
      </c>
      <c r="L71" s="61">
        <f>IF(AND(Pricing!$AD$8="Price",Pricing!$E$8=Matrix!$K71),$J6,)</f>
        <v>0</v>
      </c>
      <c r="M71" s="61">
        <f>IF(AND(Pricing!$AD$11="Price",Pricing!$E$11=Matrix!K71),$K6,)</f>
        <v>0</v>
      </c>
      <c r="N71" s="61">
        <f>IF(AND(Pricing!$AD$14="Price",Pricing!$E$14=Matrix!K71),L6,)</f>
        <v>0</v>
      </c>
      <c r="O71" s="61">
        <f>IF(AND(Pricing!$AD$17="Price",Pricing!$E$17=Matrix!K71),M6,)</f>
        <v>0</v>
      </c>
      <c r="P71" s="61">
        <f>IF(AND(Pricing!$AD$20="Price",Pricing!$E$20=Matrix!K71),N6,)</f>
        <v>0</v>
      </c>
      <c r="Q71" s="61">
        <f>IF(AND(Pricing!$AD$23="Price",Pricing!$E$23=Matrix!K71),O6,)</f>
        <v>0</v>
      </c>
      <c r="R71" s="61">
        <f>IF(AND(Pricing!$AD$26="Price",Pricing!$E$26=Matrix!K71),P6,)</f>
        <v>0</v>
      </c>
      <c r="S71" s="61">
        <f>IF(AND(Pricing!$AD$29="Price",Pricing!$E$29=Matrix!K71),Q6,)</f>
        <v>0</v>
      </c>
      <c r="T71" s="61">
        <f>IF(AND(Pricing!$AD$32="Price",Pricing!$E$32=Matrix!K71),R6,)</f>
        <v>0</v>
      </c>
      <c r="U71" s="61">
        <f>IF(AND(Pricing!$AD$35="Price",Pricing!$E$35=Matrix!K71),S6,)</f>
        <v>0</v>
      </c>
      <c r="V71" s="61">
        <f>IF(AND(Pricing!$AD$38="Price",Pricing!$E$38=Matrix!K71),T6,)</f>
        <v>0</v>
      </c>
      <c r="W71" s="61">
        <f>IF(AND(Pricing!$AD$41="Price",Pricing!$E$41=Matrix!K71),U6,)</f>
        <v>0</v>
      </c>
      <c r="X71" s="61">
        <f>IF(AND(Pricing!$AD$44="Price",Pricing!$E$44=Matrix!K71),V6,)</f>
        <v>0</v>
      </c>
      <c r="Y71" s="61">
        <f>IF(AND(Pricing!$AD$47="Price",Pricing!$E$47=Matrix!K71),W6,)</f>
        <v>0</v>
      </c>
      <c r="Z71" s="61">
        <f>IF(AND(Pricing!$AD$50="Price",Pricing!$E$50=Matrix!K71),X6,)</f>
        <v>0</v>
      </c>
      <c r="AA71" s="124">
        <f t="shared" si="13"/>
        <v>0</v>
      </c>
    </row>
    <row r="72" spans="2:28" x14ac:dyDescent="0.2">
      <c r="B72" t="s">
        <v>222</v>
      </c>
      <c r="C72" s="66">
        <f t="shared" si="10"/>
        <v>0</v>
      </c>
      <c r="D72" s="4">
        <f t="shared" si="11"/>
        <v>0</v>
      </c>
      <c r="E72" s="67">
        <f>IF(Pricing!AD17="Quoted",,IF(Pricing!E17="",,IF(ISERROR(Pricing!L17*Pricing!M17/1000000),,Pricing!L17*Pricing!M17/1000000)))</f>
        <v>0</v>
      </c>
      <c r="F72" s="64">
        <f>IF(Pricing!AD17="Quoted",,IF(Pricing!J17 = "Silent",$E72*$C$9,0))</f>
        <v>0</v>
      </c>
      <c r="G72" s="64">
        <f>IF(Pricing!AD17="Quoted",IF(Pricing!D17="Tracked",$F$2*H72+$C$11,0),)</f>
        <v>0</v>
      </c>
      <c r="H72" s="106">
        <f t="shared" si="12"/>
        <v>0</v>
      </c>
      <c r="I72" s="64">
        <f t="shared" si="12"/>
        <v>0</v>
      </c>
      <c r="K72" s="29" t="s">
        <v>51</v>
      </c>
      <c r="L72" s="61">
        <f>IF(AND(Pricing!$AD$8="Price",Pricing!$E$8=Matrix!$K72),$J7,)</f>
        <v>0</v>
      </c>
      <c r="M72" s="61">
        <f>IF(AND(Pricing!$AD$11="Price",Pricing!$E$11=Matrix!K72),$K7,)</f>
        <v>0</v>
      </c>
      <c r="N72" s="61">
        <f>IF(AND(Pricing!$AD$14="Price",Pricing!$E$14=Matrix!K72),L7,)</f>
        <v>0</v>
      </c>
      <c r="O72" s="61">
        <f>IF(AND(Pricing!$AD$17="Price",Pricing!$E$17=Matrix!K72),M7,)</f>
        <v>0</v>
      </c>
      <c r="P72" s="61">
        <f>IF(AND(Pricing!$AD$20="Price",Pricing!$E$20=Matrix!K72),N7,)</f>
        <v>0</v>
      </c>
      <c r="Q72" s="61">
        <f>IF(AND(Pricing!$AD$23="Price",Pricing!$E$23=Matrix!K72),O7,)</f>
        <v>0</v>
      </c>
      <c r="R72" s="61">
        <f>IF(AND(Pricing!$AD$26="Price",Pricing!$E$26=Matrix!K72),P7,)</f>
        <v>0</v>
      </c>
      <c r="S72" s="61">
        <f>IF(AND(Pricing!$AD$29="Price",Pricing!$E$29=Matrix!K72),Q7,)</f>
        <v>0</v>
      </c>
      <c r="T72" s="61">
        <f>IF(AND(Pricing!$AD$32="Price",Pricing!$E$32=Matrix!K72),R7,)</f>
        <v>0</v>
      </c>
      <c r="U72" s="61">
        <f>IF(AND(Pricing!$AD$35="Price",Pricing!$E$35=Matrix!K72),S7,)</f>
        <v>0</v>
      </c>
      <c r="V72" s="61">
        <f>IF(AND(Pricing!$AD$38="Price",Pricing!$E$38=Matrix!K72),T7,)</f>
        <v>0</v>
      </c>
      <c r="W72" s="61">
        <f>IF(AND(Pricing!$AD$41="Price",Pricing!$E$41=Matrix!K72),U7,)</f>
        <v>0</v>
      </c>
      <c r="X72" s="61">
        <f>IF(AND(Pricing!$AD$44="Price",Pricing!$E$44=Matrix!K72),V7,)</f>
        <v>0</v>
      </c>
      <c r="Y72" s="61">
        <f>IF(AND(Pricing!$AD$47="Price",Pricing!$E$47=Matrix!K72),W7,)</f>
        <v>0</v>
      </c>
      <c r="Z72" s="61">
        <f>IF(AND(Pricing!$AD$50="Price",Pricing!$E$50=Matrix!K72),X7,)</f>
        <v>0</v>
      </c>
      <c r="AA72" s="124">
        <f t="shared" si="13"/>
        <v>0</v>
      </c>
    </row>
    <row r="73" spans="2:28" x14ac:dyDescent="0.2">
      <c r="B73" t="s">
        <v>223</v>
      </c>
      <c r="C73" s="66">
        <f t="shared" si="10"/>
        <v>0</v>
      </c>
      <c r="D73" s="4">
        <f t="shared" si="11"/>
        <v>0</v>
      </c>
      <c r="E73" s="67">
        <f>IF(Pricing!AD20="Quoted",,IF(Pricing!E20="",,IF(ISERROR(Pricing!L20*Pricing!M20/1000000),,Pricing!L20*Pricing!M20/1000000)))</f>
        <v>0</v>
      </c>
      <c r="F73" s="64">
        <f>IF(Pricing!AD20="Quoted",,IF(Pricing!J20 = "Silent",E73*$C$9,0))</f>
        <v>0</v>
      </c>
      <c r="G73" s="64">
        <f>IF(Pricing!AD20="Quoted",IF(Pricing!D20="Tracked",$F$2*H73+$C$11,0),)</f>
        <v>0</v>
      </c>
      <c r="H73" s="106">
        <f t="shared" si="12"/>
        <v>0</v>
      </c>
      <c r="I73" s="64">
        <f t="shared" si="12"/>
        <v>0</v>
      </c>
      <c r="K73" s="29" t="s">
        <v>49</v>
      </c>
      <c r="L73" s="61">
        <f>IF(AND(Pricing!$AD$8="Price",Pricing!$E$8=Matrix!$K73),$J8,)</f>
        <v>0</v>
      </c>
      <c r="M73" s="61">
        <f>IF(AND(Pricing!$AD$11="Price",Pricing!$E$11=Matrix!K73),$K8,)</f>
        <v>0</v>
      </c>
      <c r="N73" s="61">
        <f>IF(AND(Pricing!$AD$14="Price",Pricing!$E$14=Matrix!K73),L8,)</f>
        <v>0</v>
      </c>
      <c r="O73" s="61">
        <f>IF(AND(Pricing!$AD$17="Price",Pricing!$E$17=Matrix!K73),M8,)</f>
        <v>0</v>
      </c>
      <c r="P73" s="61">
        <f>IF(AND(Pricing!$AD$20="Price",Pricing!$E$20=Matrix!K73),N8,)</f>
        <v>0</v>
      </c>
      <c r="Q73" s="61">
        <f>IF(AND(Pricing!$AD$23="Price",Pricing!$E$23=Matrix!K73),O8,)</f>
        <v>0</v>
      </c>
      <c r="R73" s="61">
        <f>IF(AND(Pricing!$AD$26="Price",Pricing!$E$26=Matrix!K73),P8,)</f>
        <v>0</v>
      </c>
      <c r="S73" s="61">
        <f>IF(AND(Pricing!$AD$29="Price",Pricing!$E$29=Matrix!K73),Q8,)</f>
        <v>0</v>
      </c>
      <c r="T73" s="61">
        <f>IF(AND(Pricing!$AD$32="Price",Pricing!$E$32=Matrix!K73),R8,)</f>
        <v>0</v>
      </c>
      <c r="U73" s="61">
        <f>IF(AND(Pricing!$AD$35="Price",Pricing!$E$35=Matrix!K73),S8,)</f>
        <v>0</v>
      </c>
      <c r="V73" s="61">
        <f>IF(AND(Pricing!$AD$38="Price",Pricing!$E$38=Matrix!K73),T8,)</f>
        <v>0</v>
      </c>
      <c r="W73" s="61">
        <f>IF(AND(Pricing!$AD$41="Price",Pricing!$E$41=Matrix!K73),U8,)</f>
        <v>0</v>
      </c>
      <c r="X73" s="61">
        <f>IF(AND(Pricing!$AD$44="Price",Pricing!$E$44=Matrix!K73),V8,)</f>
        <v>0</v>
      </c>
      <c r="Y73" s="61">
        <f>IF(AND(Pricing!$AD$47="Price",Pricing!$E$47=Matrix!K73),W8,)</f>
        <v>0</v>
      </c>
      <c r="Z73" s="61">
        <f>IF(AND(Pricing!$AD$50="Price",Pricing!$E$50=Matrix!K73),X8,)</f>
        <v>0</v>
      </c>
      <c r="AA73" s="124">
        <f t="shared" si="13"/>
        <v>0</v>
      </c>
    </row>
    <row r="74" spans="2:28" ht="15.75" thickBot="1" x14ac:dyDescent="0.25">
      <c r="B74" t="s">
        <v>224</v>
      </c>
      <c r="C74" s="66">
        <f t="shared" si="10"/>
        <v>0</v>
      </c>
      <c r="D74" s="4">
        <f t="shared" si="11"/>
        <v>0</v>
      </c>
      <c r="E74" s="67">
        <f>IF(Pricing!AD23="Quoted",,IF(Pricing!E23="",,IF(ISERROR(Pricing!L23*Pricing!M23/1000000),,Pricing!L23*Pricing!M23/1000000)))</f>
        <v>0</v>
      </c>
      <c r="F74" s="64">
        <f>IF(Pricing!AD23="Quoted",,IF(Pricing!J23 = "Silent",$E74*$C$9,0))</f>
        <v>0</v>
      </c>
      <c r="G74" s="64">
        <f>IF(Pricing!AD23="Quoted",IF(Pricing!D23="Tracked",$F$2*H74+$C$11,0),)</f>
        <v>0</v>
      </c>
      <c r="H74" s="106">
        <f t="shared" si="12"/>
        <v>0</v>
      </c>
      <c r="I74" s="64">
        <f t="shared" si="12"/>
        <v>0</v>
      </c>
      <c r="K74" s="31" t="s">
        <v>55</v>
      </c>
      <c r="L74" s="61">
        <f>IF(AND(Pricing!$AD$8="Price",Pricing!$E$8=Matrix!$K74),$J9,)</f>
        <v>0</v>
      </c>
      <c r="M74" s="61">
        <f>IF(AND(Pricing!$AD$11="Price",Pricing!$E$11=Matrix!K74),$K9,)</f>
        <v>0</v>
      </c>
      <c r="N74" s="61">
        <f>IF(AND(Pricing!$AD$14="Price",Pricing!$E$14=Matrix!K74),L9,)</f>
        <v>0</v>
      </c>
      <c r="O74" s="61">
        <f>IF(AND(Pricing!$AD$17="Price",Pricing!$E$17=Matrix!K74),M9,)</f>
        <v>0</v>
      </c>
      <c r="P74" s="61">
        <f>IF(AND(Pricing!$AD$20="Price",Pricing!$E$20=Matrix!K74),N9,)</f>
        <v>0</v>
      </c>
      <c r="Q74" s="61">
        <f>IF(AND(Pricing!$AD$23="Price",Pricing!$E$23=Matrix!K74),O9,)</f>
        <v>0</v>
      </c>
      <c r="R74" s="61">
        <f>IF(AND(Pricing!$AD$26="Price",Pricing!$E$26=Matrix!K74),P9,)</f>
        <v>0</v>
      </c>
      <c r="S74" s="61">
        <f>IF(AND(Pricing!$AD$29="Price",Pricing!$E$29=Matrix!K74),Q9,)</f>
        <v>0</v>
      </c>
      <c r="T74" s="61">
        <f>IF(AND(Pricing!$AD$32="Price",Pricing!$E$32=Matrix!K74),R9,)</f>
        <v>0</v>
      </c>
      <c r="U74" s="61">
        <f>IF(AND(Pricing!$AD$35="Price",Pricing!$E$35=Matrix!K74),S9,)</f>
        <v>0</v>
      </c>
      <c r="V74" s="61">
        <f>IF(AND(Pricing!$AD$38="Price",Pricing!$E$38=Matrix!K74),T9,)</f>
        <v>0</v>
      </c>
      <c r="W74" s="61">
        <f>IF(AND(Pricing!$AD$41="Price",Pricing!$E$41=Matrix!K74),U9,)</f>
        <v>0</v>
      </c>
      <c r="X74" s="61">
        <f>IF(AND(Pricing!$AD$44="Price",Pricing!$E$44=Matrix!K74),V9,)</f>
        <v>0</v>
      </c>
      <c r="Y74" s="61">
        <f>IF(AND(Pricing!$AD$47="Price",Pricing!$E$47=Matrix!K74),W9,)</f>
        <v>0</v>
      </c>
      <c r="Z74" s="61">
        <f>IF(AND(Pricing!$AD$50="Price",Pricing!$E$50=Matrix!K74),X9,)</f>
        <v>0</v>
      </c>
      <c r="AA74" s="125">
        <f t="shared" si="13"/>
        <v>0</v>
      </c>
    </row>
    <row r="75" spans="2:28" ht="16.5" thickTop="1" thickBot="1" x14ac:dyDescent="0.25">
      <c r="B75" t="s">
        <v>225</v>
      </c>
      <c r="C75" s="66">
        <f t="shared" si="10"/>
        <v>0</v>
      </c>
      <c r="D75" s="4">
        <f t="shared" si="11"/>
        <v>0</v>
      </c>
      <c r="E75" s="67">
        <f>IF(Pricing!AD26="Quoted",,IF(Pricing!E26="",,IF(ISERROR(Pricing!L26*Pricing!M26/1000000),,Pricing!L26*Pricing!M26/1000000)))</f>
        <v>0</v>
      </c>
      <c r="F75" s="64">
        <f>IF(Pricing!AD26="Quoted",,IF(Pricing!J26 = "Silent",$E75*$C$9,0))</f>
        <v>0</v>
      </c>
      <c r="G75" s="64">
        <f>IF(Pricing!AD26="Quoted",IF(Pricing!D26="Tracked",$F$2*H75+$C$11,0),)</f>
        <v>0</v>
      </c>
      <c r="H75" s="106">
        <f t="shared" si="12"/>
        <v>0</v>
      </c>
      <c r="I75" s="64">
        <f t="shared" si="12"/>
        <v>0</v>
      </c>
      <c r="K75" s="109" t="s">
        <v>663</v>
      </c>
      <c r="L75" s="110">
        <f>IF(Pricing!AD8="Quote",,IF(ISNA(VLOOKUP(Pricing!E8,K69:L74,2,0)),,VLOOKUP(Pricing!E8,K69:L74,2,0)))</f>
        <v>0</v>
      </c>
      <c r="M75" s="111">
        <f>IF(Pricing!AD11="Quote",,IF(ISNA(VLOOKUP(Pricing!E11,K69:M74,3,0)),,VLOOKUP(Pricing!E11,K69:M74,3,0)))</f>
        <v>0</v>
      </c>
      <c r="N75" s="111">
        <f>IF(Pricing!AD14="Quote",,IF(ISNA(VLOOKUP(Pricing!E14,K69:N74,4,0)),,VLOOKUP(Pricing!E14,K69:N74,4,0)))</f>
        <v>0</v>
      </c>
      <c r="O75" s="111">
        <f>IF(Pricing!AD17="Quote",,IF(ISNA(VLOOKUP(Pricing!E17,K69:O74,5,0)),,VLOOKUP(Pricing!E17,K69:O74,5,0)))</f>
        <v>0</v>
      </c>
      <c r="P75" s="111">
        <f>IF(Pricing!AB20="Quote",,IF(ISNA(VLOOKUP(Pricing!E20,K69:P74,6,0)),,VLOOKUP(Pricing!E20,K69:P74,6,0)))</f>
        <v>0</v>
      </c>
      <c r="Q75" s="111">
        <f>IF(Pricing!AB23="Quote",,IF(ISNA(VLOOKUP(Pricing!E23,K69:Q74,7,0)),,VLOOKUP(Pricing!E23,K69:Q74,7,0)))</f>
        <v>0</v>
      </c>
      <c r="R75" s="111">
        <f>IF(Pricing!AB26="Quote",,IF(ISNA(VLOOKUP(Pricing!E26,K69:R74,8,0)),,VLOOKUP(Pricing!E26,K69:R74,8,0)))</f>
        <v>0</v>
      </c>
      <c r="S75" s="112">
        <f>IF(Pricing!AB29="Quote",,IF(ISNA(VLOOKUP(Pricing!E29,K69:S74,9,0)),,VLOOKUP(Pricing!E29,K69:S74,9,0)))</f>
        <v>0</v>
      </c>
      <c r="T75" s="112">
        <f>IF(Pricing!AC32="Quote",,IF(ISNA(VLOOKUP(Pricing!E32,K69:T74,10,0)),,VLOOKUP(Pricing!E32,K69:T74,10,0)))</f>
        <v>0</v>
      </c>
      <c r="U75" s="112">
        <f>IF(Pricing!AD35="Quote",,IF(ISNA(VLOOKUP(Pricing!E35,K69:U74,11,0)),,VLOOKUP(Pricing!E35,K69:U74,11,0)))</f>
        <v>0</v>
      </c>
      <c r="V75" s="112">
        <f>IF(Pricing!AF38="Quote",,IF(ISNA(VLOOKUP(Pricing!E38,K69:V74,12,0)),,VLOOKUP(Pricing!E38,K69:V74,12,0)))</f>
        <v>0</v>
      </c>
      <c r="W75" s="112">
        <f>IF(Pricing!AG41="Quote",,IF(ISNA(VLOOKUP(Pricing!E41,K69:W74,13,0)),,VLOOKUP(Pricing!E41,K69:W74,13,0)))</f>
        <v>0</v>
      </c>
      <c r="X75" s="112">
        <f>IF(Pricing!AH44="Quote",,IF(ISNA(VLOOKUP(Pricing!E44,K69:X74,14,0)),,VLOOKUP(Pricing!E44,K69:X74,14,0)))</f>
        <v>0</v>
      </c>
      <c r="Y75" s="112">
        <f>IF(Pricing!AI47="Quote",,IF(ISNA(VLOOKUP(Pricing!E47,K69:Y74,15,0)),,VLOOKUP(Pricing!E47,K69:Y74,15,0)))</f>
        <v>0</v>
      </c>
      <c r="Z75" s="112">
        <f>IF(Pricing!AJ50="Quote",,IF(ISNA(VLOOKUP(Pricing!E50,K69:Z74,16,0)),,VLOOKUP(Pricing!E50,K69:Z74,16,0)))</f>
        <v>0</v>
      </c>
      <c r="AA75" s="113">
        <f t="shared" si="13"/>
        <v>0</v>
      </c>
    </row>
    <row r="76" spans="2:28" ht="16.5" thickTop="1" thickBot="1" x14ac:dyDescent="0.25">
      <c r="B76" t="s">
        <v>226</v>
      </c>
      <c r="C76" s="66">
        <f t="shared" si="10"/>
        <v>0</v>
      </c>
      <c r="D76" s="4">
        <f t="shared" si="11"/>
        <v>0</v>
      </c>
      <c r="E76" s="67">
        <f>IF(Pricing!AD29="Quoted",,IF(Pricing!E29="",,IF(ISERROR(Pricing!L29*Pricing!M29/1000000),,Pricing!L29*Pricing!M29/1000000)))</f>
        <v>0</v>
      </c>
      <c r="F76" s="64">
        <f>IF(Pricing!AD29="Quoted",,IF(Pricing!J29 = "Silent",$E76*$C$9,0))</f>
        <v>0</v>
      </c>
      <c r="G76" s="64">
        <f>IF(Pricing!AD29="Quoted",IF(Pricing!D29="Tracked",$F$2*H76+$C$11,0),)</f>
        <v>0</v>
      </c>
      <c r="H76" s="106">
        <f t="shared" si="12"/>
        <v>0</v>
      </c>
      <c r="I76" s="64">
        <f t="shared" si="12"/>
        <v>0</v>
      </c>
      <c r="K76" s="114" t="s">
        <v>664</v>
      </c>
      <c r="L76" s="115">
        <f>IF('Survey Front'!AD42="Q",IF(ISNA(VLOOKUP('Survey Front'!E42,K69:L75,2,0)),,VLOOKUP('Survey Front'!E42,K69:L75,2,0)),)</f>
        <v>0</v>
      </c>
      <c r="M76" s="116">
        <f>IF('Survey Front'!AD45="Q",IF(ISNA(VLOOKUP('Survey Front'!E45,K69:M74,3,0)),,VLOOKUP('Survey Front'!E45,K69:M74,3,0)),)</f>
        <v>0</v>
      </c>
      <c r="N76" s="116">
        <f>IF('Survey Front'!AD48="Q", IF(ISNA(VLOOKUP('Survey Front'!E48,K69:N74,4,0)),,VLOOKUP('Survey Front'!E48,K69:N74,4,0)),)</f>
        <v>0</v>
      </c>
      <c r="O76" s="116">
        <f>IF('Survey Front'!AD51="Q",IF(ISNA(VLOOKUP('Survey Front'!E51,K69:P74,5,0)),,VLOOKUP('Survey Front'!E51,K69:O74,5,0)),)</f>
        <v>0</v>
      </c>
      <c r="P76" s="116">
        <f>IF('Survey Front'!AD54="Q",IF(ISNA(VLOOKUP('Survey Front'!E54,K69:P74,6,0)),,VLOOKUP('Survey Front'!E54,K69:P74,6,0)),)</f>
        <v>0</v>
      </c>
      <c r="Q76" s="116">
        <f>IF('Survey Front'!AD57="Q",IF(ISNA(VLOOKUP('Survey Front'!E57,K69:Q74,7,0)),,VLOOKUP('Survey Front'!E57,K69:Q74,7,0)),)</f>
        <v>0</v>
      </c>
      <c r="R76" s="116">
        <f>IF('Survey Front'!AD60="Q",IF(ISNA(VLOOKUP('Survey Front'!E60,K69:R74,8,0)),,VLOOKUP('Survey Front'!E60,K69:R74,8,0)),)</f>
        <v>0</v>
      </c>
      <c r="S76" s="116">
        <f>IF('Survey Front'!AD63="Q",IF(ISNA(VLOOKUP('Survey Front'!E63,K69:S74,9,0)),,VLOOKUP('Survey Front'!E63,K69:S74,9,0)),)</f>
        <v>0</v>
      </c>
      <c r="T76" s="116">
        <f>IF('Survey Front'!AE63="Q",IF(ISNA(VLOOKUP('Survey Front'!F63,L69:T74,9,0)),,VLOOKUP('Survey Front'!F63,L69:T74,9,0)),)</f>
        <v>0</v>
      </c>
      <c r="U76" s="116">
        <f>IF('Survey Front'!AF63="Q",IF(ISNA(VLOOKUP('Survey Front'!G63,M69:U74,9,0)),,VLOOKUP('Survey Front'!G63,M69:U74,9,0)),)</f>
        <v>0</v>
      </c>
      <c r="V76" s="116">
        <f>IF('Survey Front'!AG63="Q",IF(ISNA(VLOOKUP('Survey Front'!H63,N69:V74,9,0)),,VLOOKUP('Survey Front'!H63,N69:V74,9,0)),)</f>
        <v>0</v>
      </c>
      <c r="W76" s="116">
        <f>IF('Survey Front'!AH63="Q",IF(ISNA(VLOOKUP('Survey Front'!I63,O69:W74,9,0)),,VLOOKUP('Survey Front'!I63,O69:W74,9,0)),)</f>
        <v>0</v>
      </c>
      <c r="X76" s="116">
        <f>IF('Survey Front'!AI63="Q",IF(ISNA(VLOOKUP('Survey Front'!J63,P69:X74,9,0)),,VLOOKUP('Survey Front'!J63,P69:X74,9,0)),)</f>
        <v>0</v>
      </c>
      <c r="Y76" s="116">
        <f>IF('Survey Front'!AJ63="Q",IF(ISNA(VLOOKUP('Survey Front'!K63,Q69:Y74,9,0)),,VLOOKUP('Survey Front'!K63,Q69:Y74,9,0)),)</f>
        <v>0</v>
      </c>
      <c r="Z76" s="116">
        <f>IF('Survey Front'!AK63="Q",IF(ISNA(VLOOKUP('Survey Front'!L63,R69:Z74,9,0)),,VLOOKUP('Survey Front'!L63,R69:Z74,9,0)),)</f>
        <v>0</v>
      </c>
      <c r="AA76" s="117">
        <f t="shared" si="13"/>
        <v>0</v>
      </c>
    </row>
    <row r="77" spans="2:28" ht="15.75" thickTop="1" x14ac:dyDescent="0.2">
      <c r="B77" t="s">
        <v>227</v>
      </c>
      <c r="C77" s="66">
        <f t="shared" si="10"/>
        <v>0</v>
      </c>
      <c r="D77" s="4">
        <f t="shared" si="11"/>
        <v>0</v>
      </c>
      <c r="E77" s="67">
        <f>IF(Pricing!AD32="Quoted",,IF(Pricing!E32="",,IF(ISERROR(Pricing!L32*Pricing!M32/1000000),,Pricing!L32*Pricing!M32/1000000)))</f>
        <v>0</v>
      </c>
      <c r="F77" s="64">
        <f>IF(Pricing!AD32="Quoted",,IF(Pricing!J32 = "Silent",$E77*$C$9,0))</f>
        <v>0</v>
      </c>
      <c r="G77" s="64">
        <f>IF(Pricing!AD32="Quoted",IF(Pricing!D32="Tracked",$F$2*H77+$C$11,0),)</f>
        <v>0</v>
      </c>
      <c r="H77" s="106">
        <f t="shared" si="12"/>
        <v>0</v>
      </c>
      <c r="I77" s="64">
        <f t="shared" si="12"/>
        <v>0</v>
      </c>
    </row>
    <row r="78" spans="2:28" x14ac:dyDescent="0.2">
      <c r="B78" t="s">
        <v>228</v>
      </c>
      <c r="C78" s="66">
        <f t="shared" si="10"/>
        <v>0</v>
      </c>
      <c r="D78" s="4">
        <f t="shared" si="11"/>
        <v>0</v>
      </c>
      <c r="E78" s="67">
        <f>IF(Pricing!AD35="Quoted",,IF(Pricing!E35="",,IF(ISERROR(Pricing!L35*Pricing!M35/1000000),,Pricing!L35*Pricing!M35/1000000)))</f>
        <v>0</v>
      </c>
      <c r="F78" s="64">
        <f>IF(Pricing!AD35="Quoted",,IF(Pricing!J35 = "Silent",$E78*$C$9,0))</f>
        <v>0</v>
      </c>
      <c r="G78" s="64">
        <f>IF(Pricing!AD35="Quoted",IF(Pricing!D35="Tracked",$F$2*H78+$C$11,0),)</f>
        <v>0</v>
      </c>
      <c r="H78" s="106">
        <f t="shared" si="12"/>
        <v>0</v>
      </c>
      <c r="I78" s="64">
        <f t="shared" si="12"/>
        <v>0</v>
      </c>
      <c r="K78" s="855" t="s">
        <v>669</v>
      </c>
      <c r="L78" s="855"/>
      <c r="M78" s="855"/>
      <c r="N78" s="855"/>
      <c r="O78" s="855"/>
      <c r="P78" s="855"/>
      <c r="Q78" s="855"/>
      <c r="R78" s="855"/>
      <c r="S78" s="855"/>
      <c r="T78" s="855"/>
      <c r="U78" s="855"/>
      <c r="V78" s="855"/>
      <c r="W78" s="855"/>
      <c r="X78" s="855"/>
      <c r="Y78" s="855"/>
      <c r="Z78" s="855"/>
      <c r="AA78" s="855"/>
    </row>
    <row r="79" spans="2:28" x14ac:dyDescent="0.2">
      <c r="B79" t="s">
        <v>229</v>
      </c>
      <c r="C79" s="66">
        <f t="shared" si="10"/>
        <v>0</v>
      </c>
      <c r="D79" s="4">
        <f t="shared" si="11"/>
        <v>0</v>
      </c>
      <c r="E79" s="67">
        <f>IF(Pricing!AD38="Quoted",,IF(Pricing!E38="",,IF(ISERROR(Pricing!L38*Pricing!M38/1000000),,Pricing!L38*Pricing!M38/1000000)))</f>
        <v>0</v>
      </c>
      <c r="F79" s="64">
        <f>IF(Pricing!AD38="Quoted",,IF(Pricing!J38 = "Silent",$E79*$C$9,0))</f>
        <v>0</v>
      </c>
      <c r="G79" s="64">
        <f>IF(Pricing!AD38="Quoted",IF(Pricing!D38="Tracked",$F$2*H79+$C$11,0),)</f>
        <v>0</v>
      </c>
      <c r="H79" s="106">
        <f t="shared" si="12"/>
        <v>0</v>
      </c>
      <c r="I79" s="64">
        <f t="shared" si="12"/>
        <v>0</v>
      </c>
      <c r="K79" s="104"/>
      <c r="L79" s="69" t="s">
        <v>219</v>
      </c>
      <c r="M79" s="69" t="s">
        <v>220</v>
      </c>
      <c r="N79" s="69" t="s">
        <v>221</v>
      </c>
      <c r="O79" s="69" t="s">
        <v>222</v>
      </c>
      <c r="P79" s="69" t="s">
        <v>223</v>
      </c>
      <c r="Q79" s="69" t="s">
        <v>224</v>
      </c>
      <c r="R79" s="69" t="s">
        <v>225</v>
      </c>
      <c r="S79" s="69" t="s">
        <v>226</v>
      </c>
      <c r="T79" s="69" t="s">
        <v>227</v>
      </c>
      <c r="U79" s="69" t="s">
        <v>228</v>
      </c>
      <c r="V79" s="69" t="s">
        <v>229</v>
      </c>
      <c r="W79" s="69" t="s">
        <v>230</v>
      </c>
      <c r="X79" s="69" t="s">
        <v>231</v>
      </c>
      <c r="Y79" s="69" t="s">
        <v>232</v>
      </c>
      <c r="Z79" s="69" t="s">
        <v>233</v>
      </c>
      <c r="AA79" s="121" t="s">
        <v>670</v>
      </c>
    </row>
    <row r="80" spans="2:28" x14ac:dyDescent="0.2">
      <c r="B80" t="s">
        <v>230</v>
      </c>
      <c r="C80" s="66">
        <f t="shared" si="10"/>
        <v>0</v>
      </c>
      <c r="D80" s="4">
        <f t="shared" si="11"/>
        <v>0</v>
      </c>
      <c r="E80" s="67">
        <f>IF(Pricing!AD41="Quoted",,IF(Pricing!E41="",,IF(ISERROR(Pricing!L41*Pricing!M41/1000000),,Pricing!L41*Pricing!M41/1000000)))</f>
        <v>0</v>
      </c>
      <c r="F80" s="64">
        <f>IF(Pricing!AD41="Quoted",,IF(Pricing!J41 = "Silent",$E80*$C$9,0))</f>
        <v>0</v>
      </c>
      <c r="G80" s="64">
        <f>IF(Pricing!AD41="Quoted",IF(Pricing!D41="Tracked",$F$2*H80+$C$11,0),)</f>
        <v>0</v>
      </c>
      <c r="H80" s="106">
        <f t="shared" si="12"/>
        <v>0</v>
      </c>
      <c r="I80" s="64">
        <f t="shared" si="12"/>
        <v>0</v>
      </c>
      <c r="K80" s="29" t="s">
        <v>41</v>
      </c>
      <c r="L80" s="61" t="e">
        <f>(E21*C2)-((E21*C2)*C10)/(E21*C2)</f>
        <v>#DIV/0!</v>
      </c>
      <c r="M80" s="61">
        <f>IF(Pricing!$AD$11="Quoted",K13,)</f>
        <v>0</v>
      </c>
      <c r="N80" s="61">
        <f>IF(Pricing!$AD$14="Quoted",L13,)</f>
        <v>0</v>
      </c>
      <c r="O80" s="61">
        <f>IF(Pricing!$AD$17="Quoted",M13,)</f>
        <v>0</v>
      </c>
      <c r="P80" s="61">
        <f>IF(Pricing!$AD$20="Quoted",N13,)</f>
        <v>0</v>
      </c>
      <c r="Q80" s="61">
        <f>IF(Pricing!$AD$23="Quoted",O13,)</f>
        <v>0</v>
      </c>
      <c r="R80" s="61">
        <f>IF(Pricing!$AD$26="Quoted",P13,)</f>
        <v>0</v>
      </c>
      <c r="S80" s="61">
        <f>IF(Pricing!$AD$29="Quoted",Q13,)</f>
        <v>0</v>
      </c>
      <c r="T80" s="61">
        <f>IF(Pricing!$AD$32="Quoted",R13,)</f>
        <v>0</v>
      </c>
      <c r="U80" s="61">
        <f>IF(Pricing!$AD$35="Quoted",S13,)</f>
        <v>0</v>
      </c>
      <c r="V80" s="61">
        <f>IF(Pricing!$AD$38="Quoted",T13,)</f>
        <v>0</v>
      </c>
      <c r="W80" s="61">
        <f>IF(Pricing!$AD$41="Quoted",U13,)</f>
        <v>0</v>
      </c>
      <c r="X80" s="61">
        <f>IF(Pricing!$AD$44="Quoted",V13,)</f>
        <v>0</v>
      </c>
      <c r="Y80" s="61">
        <f>IF(Pricing!$AD$47="Quoted",W13,)</f>
        <v>0</v>
      </c>
      <c r="Z80" s="61">
        <f>IF(Pricing!$AD$50="Quoted",X13,)</f>
        <v>0</v>
      </c>
      <c r="AA80" s="57" t="e">
        <f t="shared" ref="AA80:AA85" si="14">SUM(L80:Z80)</f>
        <v>#DIV/0!</v>
      </c>
    </row>
    <row r="81" spans="2:27" x14ac:dyDescent="0.2">
      <c r="B81" t="s">
        <v>231</v>
      </c>
      <c r="C81" s="66">
        <f t="shared" si="10"/>
        <v>0</v>
      </c>
      <c r="D81" s="4">
        <f t="shared" si="11"/>
        <v>0</v>
      </c>
      <c r="E81" s="67">
        <f>IF(Pricing!AD44="Quoted",,IF(Pricing!E44="",,IF(ISERROR(Pricing!L44*Pricing!M44/1000000),,Pricing!L44*Pricing!M44/1000000)))</f>
        <v>0</v>
      </c>
      <c r="F81" s="64">
        <f>IF(Pricing!AD44="Quoted",,IF(Pricing!J44 = "Silent",$E81*$C$9,0))</f>
        <v>0</v>
      </c>
      <c r="G81" s="64">
        <f>IF(Pricing!AD44="Quoted",IF(Pricing!D44="Tracked",$F$2*H81+$C$11,0),)</f>
        <v>0</v>
      </c>
      <c r="H81" s="106">
        <f t="shared" si="12"/>
        <v>0</v>
      </c>
      <c r="I81" s="64">
        <f t="shared" si="12"/>
        <v>0</v>
      </c>
      <c r="K81" s="29" t="s">
        <v>43</v>
      </c>
      <c r="L81" s="61">
        <f>IF(AND(Pricing!$AD$8="Quoted",Pricing!$E$8=Matrix!$K81),$J14,)</f>
        <v>0</v>
      </c>
      <c r="M81" s="61">
        <f>IF(AND(Pricing!$AD$11="Quoted",Pricing!$E$11=Matrix!K81),$K14,)</f>
        <v>0</v>
      </c>
      <c r="N81" s="61">
        <f>IF(AND(Pricing!$AD$14="Quoted",Pricing!$E$14=Matrix!K81),L14,)</f>
        <v>0</v>
      </c>
      <c r="O81" s="61">
        <f>IF(AND(Pricing!$AD$17="Quoted",Pricing!$E$17=Matrix!K81),M14,)</f>
        <v>0</v>
      </c>
      <c r="P81" s="61">
        <f>IF(AND(Pricing!$AD$20="Quoted",Pricing!$E$20=Matrix!K81),N14,)</f>
        <v>0</v>
      </c>
      <c r="Q81" s="61">
        <f>IF(AND(Pricing!$AD$23="Quoted",Pricing!$E$23=Matrix!K81),O14,)</f>
        <v>0</v>
      </c>
      <c r="R81" s="61">
        <f>IF(AND(Pricing!$AD$26="Quoted",Pricing!$E$26=Matrix!K81),P14,)</f>
        <v>0</v>
      </c>
      <c r="S81" s="61">
        <f>IF(AND(Pricing!$AD$29="Quoted",Pricing!$E$29=Matrix!K81),Q14,)</f>
        <v>0</v>
      </c>
      <c r="T81" s="61">
        <f>IF(AND(Pricing!$AD$32="Quoted",Pricing!$E$32=Matrix!K81),R14,)</f>
        <v>0</v>
      </c>
      <c r="U81" s="61">
        <f>IF(AND(Pricing!$AD$35="Quoted",Pricing!$E$35=Matrix!K81),S14,)</f>
        <v>0</v>
      </c>
      <c r="V81" s="61">
        <f>IF(AND(Pricing!$AD$38="Quoted",Pricing!$E$38=Matrix!K81),T14,)</f>
        <v>0</v>
      </c>
      <c r="W81" s="61">
        <f>IF(AND(Pricing!$AD$41="Quoted",Pricing!$E$41=Matrix!K81),U14,)</f>
        <v>0</v>
      </c>
      <c r="X81" s="61">
        <f>IF(AND(Pricing!$AD$44="Quoted",Pricing!$E$44=Matrix!K81),V14,)</f>
        <v>0</v>
      </c>
      <c r="Y81" s="61">
        <f>IF(AND(Pricing!$AD$47="Quoted",Pricing!$E$47=Matrix!K81),W14,)</f>
        <v>0</v>
      </c>
      <c r="Z81" s="61">
        <f>IF(AND(Pricing!$AD$50="Quoted",Pricing!$E$50=Matrix!K81),X14,)</f>
        <v>0</v>
      </c>
      <c r="AA81" s="57">
        <f t="shared" si="14"/>
        <v>0</v>
      </c>
    </row>
    <row r="82" spans="2:27" x14ac:dyDescent="0.2">
      <c r="B82" t="s">
        <v>232</v>
      </c>
      <c r="C82" s="66">
        <f t="shared" si="10"/>
        <v>0</v>
      </c>
      <c r="D82" s="4">
        <f t="shared" si="11"/>
        <v>0</v>
      </c>
      <c r="E82" s="67">
        <f>IF(Pricing!AD47="Quoted",,IF(Pricing!E47="",,IF(ISERROR(Pricing!L47*Pricing!M47/1000000),,Pricing!L47*Pricing!M47/1000000)))</f>
        <v>0</v>
      </c>
      <c r="F82" s="64">
        <f>IF(Pricing!AD47="Quoted",,IF(Pricing!J47 = "Silent",$E82*$C$9,0))</f>
        <v>0</v>
      </c>
      <c r="G82" s="64">
        <f>IF(Pricing!AD47="Quoted",IF(Pricing!D47="Tracked",$F$2*H82+$C$11,0),)</f>
        <v>0</v>
      </c>
      <c r="H82" s="106">
        <f t="shared" si="12"/>
        <v>0</v>
      </c>
      <c r="I82" s="64">
        <f t="shared" si="12"/>
        <v>0</v>
      </c>
      <c r="K82" s="29" t="s">
        <v>47</v>
      </c>
      <c r="L82" s="61">
        <f>IF(AND(Pricing!$AD$8="Quoted",Pricing!$E$8=Matrix!$K82),$J15,)</f>
        <v>0</v>
      </c>
      <c r="M82" s="61">
        <f>IF(AND(Pricing!$AD$11="Quoted",Pricing!$E$11=Matrix!K82),$L15,)</f>
        <v>0</v>
      </c>
      <c r="N82" s="61">
        <f>IF(AND(Pricing!$AD$14="Quoted",Pricing!$E$14=Matrix!K82),L15,)</f>
        <v>0</v>
      </c>
      <c r="O82" s="61">
        <f>IF(AND(Pricing!$AD$17="Quoted",Pricing!$E$17=Matrix!K82),M15,)</f>
        <v>0</v>
      </c>
      <c r="P82" s="61">
        <f>IF(AND(Pricing!$AD$20="Quoted",Pricing!$E$20=Matrix!K82),N15,)</f>
        <v>0</v>
      </c>
      <c r="Q82" s="61">
        <f>IF(AND(Pricing!$AD$23="Quoted",Pricing!$E$23=Matrix!K82),O15,)</f>
        <v>0</v>
      </c>
      <c r="R82" s="61">
        <f>IF(AND(Pricing!$AD$26="Quoted",Pricing!$E$26=Matrix!K82),P15,)</f>
        <v>0</v>
      </c>
      <c r="S82" s="61">
        <f>IF(AND(Pricing!$AD$29="Quoted",Pricing!$E$29=Matrix!K82),Q15,)</f>
        <v>0</v>
      </c>
      <c r="T82" s="61">
        <f>IF(AND(Pricing!$AD$32="Quoted",Pricing!$E$32=Matrix!K82),R15,)</f>
        <v>0</v>
      </c>
      <c r="U82" s="61">
        <f>IF(AND(Pricing!$AD$35="Quoted",Pricing!$E$35=Matrix!K82),S15,)</f>
        <v>0</v>
      </c>
      <c r="V82" s="61">
        <f>IF(AND(Pricing!$AD$38="Quoted",Pricing!$E$38=Matrix!K82),T15,)</f>
        <v>0</v>
      </c>
      <c r="W82" s="61">
        <f>IF(AND(Pricing!$AD$41="Quoted",Pricing!$E$41=Matrix!K82),U15,)</f>
        <v>0</v>
      </c>
      <c r="X82" s="61">
        <f>IF(AND(Pricing!$AD$44="Quoted",Pricing!$E$44=Matrix!K82),V15,)</f>
        <v>0</v>
      </c>
      <c r="Y82" s="61">
        <f>IF(AND(Pricing!$AD$47="Quoted",Pricing!$E$47=Matrix!K82),W15,)</f>
        <v>0</v>
      </c>
      <c r="Z82" s="61">
        <f>IF(AND(Pricing!$AD$50="Quoted",Pricing!$E$50=Matrix!K82),X15,)</f>
        <v>0</v>
      </c>
      <c r="AA82" s="57">
        <f t="shared" si="14"/>
        <v>0</v>
      </c>
    </row>
    <row r="83" spans="2:27" x14ac:dyDescent="0.2">
      <c r="B83" t="s">
        <v>233</v>
      </c>
      <c r="C83" s="66">
        <f t="shared" si="10"/>
        <v>0</v>
      </c>
      <c r="D83" s="4">
        <f t="shared" si="11"/>
        <v>0</v>
      </c>
      <c r="E83" s="67">
        <f>IF(Pricing!AD50="Quoted",,IF(Pricing!E50="",,IF(ISERROR(Pricing!L50*Pricing!M50/1000000),,Pricing!L50*Pricing!M50/1000000)))</f>
        <v>0</v>
      </c>
      <c r="F83" s="64">
        <f>IF(Pricing!AD50="Quoted",,IF(Pricing!J50 = "Silent",$E83*$C$9,0))</f>
        <v>0</v>
      </c>
      <c r="G83" s="64">
        <f>IF(Pricing!AD50="Quoted",IF(Pricing!D50="Tracked",$F$2*H83+$C$11,0),)</f>
        <v>0</v>
      </c>
      <c r="H83" s="106">
        <f t="shared" si="12"/>
        <v>0</v>
      </c>
      <c r="I83" s="64">
        <f t="shared" si="12"/>
        <v>0</v>
      </c>
      <c r="K83" s="29" t="s">
        <v>51</v>
      </c>
      <c r="L83" s="61">
        <f>IF(AND(Pricing!$AD$8="Quoted",Pricing!$E$8=Matrix!$K83),$J16,)</f>
        <v>0</v>
      </c>
      <c r="M83" s="61">
        <f>IF(AND(Pricing!$AD$11="Quoted",Pricing!$E$11=Matrix!K83),$K16,)</f>
        <v>0</v>
      </c>
      <c r="N83" s="61">
        <f>IF(AND(Pricing!$AD$14="Quoted",Pricing!$E$14=Matrix!K83),L16,)</f>
        <v>0</v>
      </c>
      <c r="O83" s="61">
        <f>IF(AND(Pricing!$AD$17="Quoted",Pricing!$E$17=Matrix!K83),M16,)</f>
        <v>0</v>
      </c>
      <c r="P83" s="61">
        <f>IF(AND(Pricing!$AD$20="Quoted",Pricing!$E$20=Matrix!K83),N16,)</f>
        <v>0</v>
      </c>
      <c r="Q83" s="61">
        <f>IF(AND(Pricing!$AD$23="Quoted",Pricing!$E$23=Matrix!K83),O16,)</f>
        <v>0</v>
      </c>
      <c r="R83" s="61">
        <f>IF(AND(Pricing!$AD$26="Quoted",Pricing!$E$26=Matrix!K83),P16,)</f>
        <v>0</v>
      </c>
      <c r="S83" s="61">
        <f>IF(AND(Pricing!$AD$29="Quoted",Pricing!$E$29=Matrix!K83),Q16,)</f>
        <v>0</v>
      </c>
      <c r="T83" s="61">
        <f>IF(AND(Pricing!$AD$32="Quoted",Pricing!$E$32=Matrix!K83),R16,)</f>
        <v>0</v>
      </c>
      <c r="U83" s="61">
        <f>IF(AND(Pricing!$AD$35="Quoted",Pricing!$E$35=Matrix!K83),S16,)</f>
        <v>0</v>
      </c>
      <c r="V83" s="61">
        <f>IF(AND(Pricing!$AD$38="Quoted",Pricing!$E$38=Matrix!K83),T16,)</f>
        <v>0</v>
      </c>
      <c r="W83" s="61">
        <f>IF(AND(Pricing!$AD$41="Quoted",Pricing!$E$41=Matrix!K83),U16,)</f>
        <v>0</v>
      </c>
      <c r="X83" s="61">
        <f>IF(AND(Pricing!$AD$44="Quoted",Pricing!$E$44=Matrix!K83),V16,)</f>
        <v>0</v>
      </c>
      <c r="Y83" s="61">
        <f>IF(AND(Pricing!$AD$47="Quoted",Pricing!$E$47=Matrix!K83),W16,)</f>
        <v>0</v>
      </c>
      <c r="Z83" s="61">
        <f>IF(AND(Pricing!$AD$50="Quoted",Pricing!$E$50=Matrix!K83),X16,)</f>
        <v>0</v>
      </c>
      <c r="AA83" s="57">
        <f t="shared" si="14"/>
        <v>0</v>
      </c>
    </row>
    <row r="84" spans="2:27" x14ac:dyDescent="0.2">
      <c r="K84" s="29" t="s">
        <v>49</v>
      </c>
      <c r="L84" s="61">
        <f>IF(AND(Pricing!$AD$8="Quoted",Pricing!$E$8=Matrix!$K84),$J17,)</f>
        <v>0</v>
      </c>
      <c r="M84" s="61">
        <f>IF(AND(Pricing!$AD$11="Quoted",Pricing!$E$11=Matrix!K84),$K17,)</f>
        <v>0</v>
      </c>
      <c r="N84" s="61">
        <f>IF(AND(Pricing!$AD$14="Quoted",Pricing!$E$14=Matrix!K84),L17,)</f>
        <v>0</v>
      </c>
      <c r="O84" s="61">
        <f>IF(AND(Pricing!$AD$17="Quoted",Pricing!$E$17=Matrix!K84),M17,)</f>
        <v>0</v>
      </c>
      <c r="P84" s="61">
        <f>IF(AND(Pricing!$AD$20="Quoted",Pricing!$E$20=Matrix!K84),N17,)</f>
        <v>0</v>
      </c>
      <c r="Q84" s="61">
        <f>IF(AND(Pricing!$AD$23="Quoted",Pricing!$E$23=Matrix!K84),O17,)</f>
        <v>0</v>
      </c>
      <c r="R84" s="61">
        <f>IF(AND(Pricing!$AD$26="Quoted",Pricing!$E$26=Matrix!K84),P17,)</f>
        <v>0</v>
      </c>
      <c r="S84" s="61">
        <f>IF(AND(Pricing!$AD$29="Quoted",Pricing!$E$29=Matrix!K84),Q17,)</f>
        <v>0</v>
      </c>
      <c r="T84" s="61">
        <f>IF(AND(Pricing!$AD$32="Quoted",Pricing!$E$32=Matrix!K84),R17,)</f>
        <v>0</v>
      </c>
      <c r="U84" s="61">
        <f>IF(AND(Pricing!$AD$35="Quoted",Pricing!$E$35=Matrix!K84),S17,)</f>
        <v>0</v>
      </c>
      <c r="V84" s="61">
        <f>IF(AND(Pricing!$AD$38="Quoted",Pricing!$E$38=Matrix!K84),T17,)</f>
        <v>0</v>
      </c>
      <c r="W84" s="61">
        <f>IF(AND(Pricing!$AD$41="Quoted",Pricing!$E$41=Matrix!K84),U17,)</f>
        <v>0</v>
      </c>
      <c r="X84" s="61">
        <f>IF(AND(Pricing!$AD$44="Quoted",Pricing!$E$44=Matrix!K84),V17,)</f>
        <v>0</v>
      </c>
      <c r="Y84" s="61">
        <f>IF(AND(Pricing!$AD$47="Quoted",Pricing!$E$47=Matrix!K84),W17,)</f>
        <v>0</v>
      </c>
      <c r="Z84" s="61">
        <f>IF(AND(Pricing!$AD$50="Quoted",Pricing!$E$50=Matrix!K84),X17,)</f>
        <v>0</v>
      </c>
      <c r="AA84" s="57">
        <f t="shared" si="14"/>
        <v>0</v>
      </c>
    </row>
    <row r="85" spans="2:27" x14ac:dyDescent="0.2">
      <c r="B85" s="855" t="s">
        <v>671</v>
      </c>
      <c r="C85" s="855"/>
      <c r="D85" s="855"/>
      <c r="E85" s="855"/>
      <c r="F85" s="77" t="s">
        <v>266</v>
      </c>
      <c r="G85" s="77" t="s">
        <v>305</v>
      </c>
      <c r="H85" s="77" t="s">
        <v>306</v>
      </c>
      <c r="I85" s="77" t="s">
        <v>248</v>
      </c>
      <c r="J85" s="126" t="s">
        <v>279</v>
      </c>
      <c r="K85" s="29" t="s">
        <v>55</v>
      </c>
      <c r="L85" s="61">
        <f>IF(AND(Pricing!$AD$8="Quoted",Pricing!$E$8=Matrix!$K85),$J18,)</f>
        <v>0</v>
      </c>
      <c r="M85" s="61">
        <f>IF(AND(Pricing!$AD$11="Quoted",Pricing!$E$11=Matrix!K85),$K18,)</f>
        <v>0</v>
      </c>
      <c r="N85" s="61">
        <f>IF(AND(Pricing!$AD$14="Quoted",Pricing!$E$14=Matrix!K85),L18,)</f>
        <v>0</v>
      </c>
      <c r="O85" s="61">
        <f>IF(AND(Pricing!$AD$17="Quoted",Pricing!$E$17=Matrix!K85),M18,)</f>
        <v>0</v>
      </c>
      <c r="P85" s="61">
        <f>IF(AND(Pricing!$AD$20="Quoted",Pricing!$E$20=Matrix!K85),N18,)</f>
        <v>0</v>
      </c>
      <c r="Q85" s="61">
        <f>IF(AND(Pricing!$AD$23="Quoted",Pricing!$E$23=Matrix!K85),O18,)</f>
        <v>0</v>
      </c>
      <c r="R85" s="61">
        <f>IF(AND(Pricing!$AD$26="Quoted",Pricing!$E$26=Matrix!K85),P18,)</f>
        <v>0</v>
      </c>
      <c r="S85" s="61">
        <f>IF(AND(Pricing!$AD$29="Quoted",Pricing!$E$29=Matrix!K85),Q18,)</f>
        <v>0</v>
      </c>
      <c r="T85" s="61">
        <f>IF(AND(Pricing!$AD$32="Quoted",Pricing!$E$32=Matrix!K85),R18,)</f>
        <v>0</v>
      </c>
      <c r="U85" s="61">
        <f>IF(AND(Pricing!$AD$35="Quoted",Pricing!$E$35=Matrix!K85),S18,)</f>
        <v>0</v>
      </c>
      <c r="V85" s="61">
        <f>IF(AND(Pricing!$AD$38="Quoted",Pricing!$E$38=Matrix!K85),T18,)</f>
        <v>0</v>
      </c>
      <c r="W85" s="61">
        <f>IF(AND(Pricing!$AD$41="Quoted",Pricing!$E$41=Matrix!K85),U18,)</f>
        <v>0</v>
      </c>
      <c r="X85" s="61">
        <f>IF(AND(Pricing!$AD$44="Quoted",Pricing!$E$44=Matrix!K85),V18,)</f>
        <v>0</v>
      </c>
      <c r="Y85" s="61">
        <f>IF(AND(Pricing!$AD$47="Quoted",Pricing!$E$47=Matrix!K85),W18,)</f>
        <v>0</v>
      </c>
      <c r="Z85" s="61">
        <f>IF(AND(Pricing!$AD$50="Quoted",Pricing!$E$50=Matrix!K85),X18,)</f>
        <v>0</v>
      </c>
      <c r="AA85" s="57">
        <f t="shared" si="14"/>
        <v>0</v>
      </c>
    </row>
    <row r="86" spans="2:27" x14ac:dyDescent="0.2">
      <c r="B86" t="s">
        <v>219</v>
      </c>
      <c r="E86" s="67">
        <f>IF(Pricing!AD8="Quoted",IF(Pricing!E8="",,IF(ISERROR(Pricing!L8*Pricing!M8/1000000),,Pricing!L8*Pricing!M8/1000000)),)</f>
        <v>0</v>
      </c>
      <c r="F86">
        <f>IF(Pricing!AD8="Quoted",IF(Pricing!D8 = "Silent",E86*$C$9,0),)</f>
        <v>0</v>
      </c>
      <c r="G86" s="57">
        <f>IF(Pricing!AD8="Quoted",IF(Pricing!D8="Tracked",$F$2*E86+$C$11,0),)</f>
        <v>0</v>
      </c>
      <c r="H86">
        <f>IF(Pricing!AD8="Quoted",IF(Pricing!D8="Tracked",CONVERT(Pricing!L8,"mm","m"),),)</f>
        <v>0</v>
      </c>
      <c r="I86" s="57">
        <f>IF(Pricing!AD8="Quoted",E86*$F$3,)</f>
        <v>0</v>
      </c>
    </row>
    <row r="87" spans="2:27" x14ac:dyDescent="0.2">
      <c r="B87" t="s">
        <v>220</v>
      </c>
      <c r="E87" s="67">
        <f>IF(Pricing!D11="Quoted",IF(Pricing!E11="",,IF(ISERROR(Pricing!L11*Pricing!M11/1000000),,Pricing!L11*Pricing!M11/1000000)),)</f>
        <v>0</v>
      </c>
      <c r="F87">
        <f>IF(Pricing!AD11="Quoted",IF(Pricing!D11 = "Silent",E87*$C$9,0),)</f>
        <v>0</v>
      </c>
      <c r="G87" s="57">
        <f>IF(Pricing!AD11="Quoted",IF(Pricing!D11="Tracked",$F$2*E87+$C$11,0),)</f>
        <v>0</v>
      </c>
      <c r="H87">
        <f>IF(Pricing!AD11="Quoted",IF(Pricing!D11="Tracked",CONVERT(Pricing!L11,"mm","m"),),)</f>
        <v>0</v>
      </c>
      <c r="I87" s="57">
        <f>IF(Pricing!A11="Quoted",E87*$F$3,)</f>
        <v>0</v>
      </c>
    </row>
    <row r="88" spans="2:27" x14ac:dyDescent="0.2">
      <c r="B88" t="s">
        <v>221</v>
      </c>
      <c r="E88" s="67">
        <f>IF(Pricing!AD14="Quoted",IF(Pricing!E14="",,IF(ISERROR(Pricing!L14*Pricing!M14/1000000),,Pricing!L14*Pricing!M14/1000000)),)</f>
        <v>0</v>
      </c>
      <c r="F88">
        <f>IF(Pricing!AD14="Quoted",IF(Pricing!D14 = "Silent",E88*$C$9,0),)</f>
        <v>0</v>
      </c>
      <c r="G88" s="57">
        <f>IF(Pricing!AD14="Quoted",IF(Pricing!D14="Tracked",$F$2*E88+$C$11,0),)</f>
        <v>0</v>
      </c>
      <c r="H88">
        <f>IF(Pricing!AD14="Quoted",IF(Pricing!D14="Tracked",CONVERT(Pricing!L14,"mm","m"),),)</f>
        <v>0</v>
      </c>
      <c r="I88" s="57">
        <f>IF(Pricing!AD14="Quoted",E88*$F$3,)</f>
        <v>0</v>
      </c>
    </row>
    <row r="89" spans="2:27" x14ac:dyDescent="0.2">
      <c r="B89" t="s">
        <v>222</v>
      </c>
      <c r="E89" s="67">
        <f>IF(Pricing!AD17="Quoted",IF(Pricing!E17="",,IF(ISERROR(Pricing!L17*Pricing!M17/1000000),,Pricing!L17*Pricing!M17/1000000)),)</f>
        <v>0</v>
      </c>
      <c r="F89">
        <f>IF(Pricing!AD17="Quoted",IF(Pricing!D17 = "Silent",E89*$C$9,0),)</f>
        <v>0</v>
      </c>
      <c r="G89" s="57">
        <f>IF(Pricing!AD17="Quoted",IF(Pricing!D17="Tracked",$F$2*E89+$C$11,0),)</f>
        <v>0</v>
      </c>
      <c r="H89">
        <f>IF(Pricing!AD17="Quoted",IF(Pricing!D17="Tracked",CONVERT(Pricing!L17,"mm","m"),),)</f>
        <v>0</v>
      </c>
      <c r="I89" s="57">
        <f>IF(Pricing!AD17="Quoted",E89*$F$3,)</f>
        <v>0</v>
      </c>
    </row>
    <row r="90" spans="2:27" x14ac:dyDescent="0.2">
      <c r="B90" t="s">
        <v>223</v>
      </c>
      <c r="E90" s="67">
        <f>IF(Pricing!AD20="Quoted",IF(Pricing!E20="",,IF(ISERROR(Pricing!L20*Pricing!M20/1000000),,Pricing!L20*Pricing!M20/1000000)),)</f>
        <v>0</v>
      </c>
      <c r="F90">
        <f>IF(Pricing!AD20="Quoted",IF(Pricing!D20 = "Silent",E90*$C$9,0),)</f>
        <v>0</v>
      </c>
      <c r="G90" s="57">
        <f>IF(Pricing!AD20="Quoted",IF(Pricing!D20="Tracked",$F$2*E90+$C$11,0),)</f>
        <v>0</v>
      </c>
      <c r="H90">
        <f>IF(Pricing!AD20="Quoted",IF(Pricing!D20="Tracked",CONVERT(Pricing!L20,"mm","m"),),)</f>
        <v>0</v>
      </c>
      <c r="I90" s="57">
        <f>IF(Pricing!AD20="Quoted",E90*$F$3,)</f>
        <v>0</v>
      </c>
    </row>
    <row r="91" spans="2:27" x14ac:dyDescent="0.2">
      <c r="B91" t="s">
        <v>224</v>
      </c>
      <c r="E91" s="67">
        <f>IF(Pricing!AD23="Quoted",IF(Pricing!E23="",,IF(ISERROR(Pricing!L23*Pricing!M23/1000000),,Pricing!L23*Pricing!M23/1000000)),)</f>
        <v>0</v>
      </c>
      <c r="F91">
        <f>IF(Pricing!AD23="Quoted",IF(Pricing!D23 = "Silent",E91*$C$9,0),)</f>
        <v>0</v>
      </c>
      <c r="G91" s="57">
        <f>IF(Pricing!AD23="Quoted",IF(Pricing!D23="Tracked",$F$2*E91+$C$11,0),)</f>
        <v>0</v>
      </c>
      <c r="H91">
        <f>IF(Pricing!AD23="Quoted",IF(Pricing!D23="Tracked",CONVERT(Pricing!L23,"mm","m"),),)</f>
        <v>0</v>
      </c>
      <c r="I91" s="57">
        <f>IF(Pricing!AD23="Quoted",E91*$F$3,)</f>
        <v>0</v>
      </c>
    </row>
    <row r="92" spans="2:27" x14ac:dyDescent="0.2">
      <c r="B92" t="s">
        <v>225</v>
      </c>
      <c r="E92" s="67">
        <f>IF(Pricing!AD26="Quoted",IF(Pricing!E26="",,IF(ISERROR(Pricing!L26*Pricing!M26/1000000),,Pricing!L26*Pricing!M26/1000000)),)</f>
        <v>0</v>
      </c>
      <c r="F92">
        <f>IF(Pricing!AD26="Quoted",IF(Pricing!D26 = "Silent",E92*$C$9,0),)</f>
        <v>0</v>
      </c>
      <c r="G92" s="57">
        <f>IF(Pricing!AD26="Quoted",IF(Pricing!D26="Tracked",$F$2*E92+$C$11,0),)</f>
        <v>0</v>
      </c>
      <c r="H92">
        <f>IF(Pricing!AD26="Quoted",IF(Pricing!D26="Tracked",CONVERT(Pricing!L26,"mm","m"),),)</f>
        <v>0</v>
      </c>
      <c r="I92" s="57">
        <f>IF(Pricing!AD26="Quoted",E92*$F$3,)</f>
        <v>0</v>
      </c>
    </row>
    <row r="93" spans="2:27" x14ac:dyDescent="0.2">
      <c r="B93" t="s">
        <v>226</v>
      </c>
      <c r="E93" s="67">
        <f>IF(Pricing!AD29="Quoted",IF(Pricing!E29="",IF(ISERROR(Pricing!L29*Pricing!M29/1000000),,Pricing!L29*Pricing!M29/1000000)),)</f>
        <v>0</v>
      </c>
      <c r="F93">
        <f>IF(Pricing!AD29="Quoted",IF(Pricing!D29 = "Silent",E93*$C$9,0),)</f>
        <v>0</v>
      </c>
      <c r="G93" s="57">
        <f>IF(Pricing!AD29="Quoted",IF(Pricing!D29="Tracked",$F$2*E93+$C$11,0),)</f>
        <v>0</v>
      </c>
      <c r="H93">
        <f>IF(Pricing!AD29="Quoted",IF(Pricing!D29="Tracked",CONVERT(Pricing!L29,"mm","m"),),)</f>
        <v>0</v>
      </c>
      <c r="I93" s="57">
        <f>IF(Pricing!AD29="Quoted",E93*$F$3,)</f>
        <v>0</v>
      </c>
    </row>
    <row r="94" spans="2:27" x14ac:dyDescent="0.2">
      <c r="B94" t="s">
        <v>227</v>
      </c>
      <c r="E94" s="67">
        <f>IF(Pricing!AD32="Quoted",IF(Pricing!E32="",,IF(ISERROR(Pricing!L32*Pricing!M32/1000000),,Pricing!L32*Pricing!M32/1000000)),)</f>
        <v>0</v>
      </c>
      <c r="F94">
        <f>IF(Pricing!AD32="Quoted",IF(Pricing!D32 = "Silent",E94*$C$9,0),)</f>
        <v>0</v>
      </c>
      <c r="G94" s="57">
        <f>IF(Pricing!AD32="Quoted",IF(Pricing!D32="Tracked",$F$2*E94+$C$11,0),)</f>
        <v>0</v>
      </c>
      <c r="H94">
        <f>IF(Pricing!AD32="Quoted",IF(Pricing!D32="Tracked",CONVERT(Pricing!L32,"mm","m"),),)</f>
        <v>0</v>
      </c>
      <c r="I94" s="57">
        <f>IF(Pricing!AD32="Quoted",E94*$F$3,)</f>
        <v>0</v>
      </c>
    </row>
    <row r="95" spans="2:27" x14ac:dyDescent="0.2">
      <c r="B95" t="s">
        <v>228</v>
      </c>
      <c r="E95" s="67">
        <f>IF(Pricing!AD35="Quoted",IF(Pricing!E35="",,IF(ISERROR(Pricing!L35*Pricing!M35/1000000),,Pricing!L35*Pricing!M35/1000000)),)</f>
        <v>0</v>
      </c>
      <c r="F95">
        <f>IF(Pricing!AD35="Quoted",IF(Pricing!D35 = "Silent",E95*$C$9,0),)</f>
        <v>0</v>
      </c>
      <c r="G95" s="57">
        <f>IF(Pricing!AD35="Quoted",IF(Pricing!D35="Tracked",$F$2*E95+$C$11,0),)</f>
        <v>0</v>
      </c>
      <c r="H95">
        <f>IF(Pricing!AD35="Quoted",IF(Pricing!D35="Tracked",CONVERT(Pricing!L35,"mm","m"),),)</f>
        <v>0</v>
      </c>
      <c r="I95" s="57">
        <f>IF(Pricing!AD35="Quoted",E95*$F$3,)</f>
        <v>0</v>
      </c>
    </row>
    <row r="96" spans="2:27" x14ac:dyDescent="0.2">
      <c r="B96" t="s">
        <v>229</v>
      </c>
      <c r="E96" s="67">
        <f>IF(Pricing!AD38="Quoted",IF(Pricing!E38="",,IF(ISERROR(Pricing!L38*Pricing!M38/1000000),,Pricing!L38*Pricing!M38/1000000)),)</f>
        <v>0</v>
      </c>
      <c r="F96">
        <f>IF(Pricing!AD38="Quoted",IF(Pricing!D38= "Silent",E96*$C$9,0),)</f>
        <v>0</v>
      </c>
      <c r="G96" s="57">
        <f>IF(Pricing!AD38="Quoted",IF(Pricing!D38="Tracked",$F$2*E96+$C$11,0),)</f>
        <v>0</v>
      </c>
      <c r="H96">
        <f>IF(Pricing!AD38="Quoted",IF(Pricing!D38="Tracked",CONVERT(Pricing!L38,"mm","m"),),)</f>
        <v>0</v>
      </c>
      <c r="I96" s="57">
        <f>IF(Pricing!AD38="Quoted",E96*$F$3,)</f>
        <v>0</v>
      </c>
    </row>
    <row r="97" spans="2:9" x14ac:dyDescent="0.2">
      <c r="B97" t="s">
        <v>230</v>
      </c>
      <c r="E97" s="67">
        <f>IF(Pricing!AD41="Quoted",IF(Pricing!E41="",,IF(ISERROR(Pricing!L41*Pricing!M41/1000000),,Pricing!L41*Pricing!M41/1000000)),)</f>
        <v>0</v>
      </c>
      <c r="F97">
        <f>IF(Pricing!AD41="Quoted",IF(Pricing!D41 = "Silent",E97*$C$9,0),)</f>
        <v>0</v>
      </c>
      <c r="G97" s="57">
        <f>IF(Pricing!AD41="Quoted",IF(Pricing!D41="Tracked",$F$2*E97+$C$11,0),)</f>
        <v>0</v>
      </c>
      <c r="H97">
        <f>IF(Pricing!AD41="Quoted",IF(Pricing!D41="Tracked",CONVERT(Pricing!L41,"mm","m"),),)</f>
        <v>0</v>
      </c>
      <c r="I97" s="57">
        <f>IF(Pricing!AD41="Quoted",E97*$F$3,)</f>
        <v>0</v>
      </c>
    </row>
    <row r="98" spans="2:9" x14ac:dyDescent="0.2">
      <c r="B98" t="s">
        <v>231</v>
      </c>
      <c r="E98" s="67">
        <f>IF(Pricing!AD44="Quoted",IF(Pricing!E44="",,IF(ISERROR(Pricing!L44*Pricing!M44/1000000),,Pricing!L44*Pricing!M44/1000000)),)</f>
        <v>0</v>
      </c>
      <c r="F98">
        <f>IF(Pricing!AD44="Quoted",IF(Pricing!D44 = "Silent",E98*$C$9,0),)</f>
        <v>0</v>
      </c>
      <c r="G98" s="57">
        <f>IF(Pricing!AD44="Quoted",IF(Pricing!D44="Tracked",$F$2*E98+$C$11,0),)</f>
        <v>0</v>
      </c>
      <c r="H98">
        <f>IF(Pricing!AD44="Quoted",IF(Pricing!D44="Tracked",CONVERT(Pricing!L44,"mm","m"),),)</f>
        <v>0</v>
      </c>
      <c r="I98" s="57">
        <f>IF(Pricing!AD44="Quoted",E98*$F$3,)</f>
        <v>0</v>
      </c>
    </row>
    <row r="99" spans="2:9" x14ac:dyDescent="0.2">
      <c r="B99" t="s">
        <v>232</v>
      </c>
      <c r="E99" s="67">
        <f>IF(Pricing!AD47="Quoted",IF(Pricing!E47="",,IF(ISERROR(Pricing!L47*Pricing!M47/1000000),,Pricing!L47*Pricing!M47/1000000)),)</f>
        <v>0</v>
      </c>
      <c r="F99">
        <f>IF(Pricing!AD47="Quoted",IF(Pricing!D47 = "Silent",E99*$C$9,0),)</f>
        <v>0</v>
      </c>
      <c r="G99" s="57">
        <f>IF(Pricing!AD47="Quoted",IF(Pricing!D47="Tracked",$F$2*E99+$C$11,0),)</f>
        <v>0</v>
      </c>
      <c r="H99">
        <f>IF(Pricing!AD47="Quoted",IF(Pricing!D47="Tracked",CONVERT(Pricing!L47,"mm","m"),),)</f>
        <v>0</v>
      </c>
      <c r="I99" s="57">
        <f>IF(Pricing!AD47="Quoted",E99*$F$3,)</f>
        <v>0</v>
      </c>
    </row>
    <row r="100" spans="2:9" x14ac:dyDescent="0.2">
      <c r="B100" t="s">
        <v>233</v>
      </c>
      <c r="E100" s="67">
        <f>IF(Pricing!AD50="Quoted",IF(Pricing!E50="",,IF(ISERROR(Pricing!L50*Pricing!M50/1000000),,Pricing!L50*Pricing!M50/1000000)),)</f>
        <v>0</v>
      </c>
      <c r="F100">
        <f>IF(Pricing!AD50="Quoted",IF(Pricing!D50 = "Silent",E100*$C$9,0),)</f>
        <v>0</v>
      </c>
      <c r="G100" s="57">
        <f>IF(Pricing!AD50="Quoted",IF(Pricing!D50="Tracked",$F$2*E100+$C$11,0),)</f>
        <v>0</v>
      </c>
      <c r="H100">
        <f>IF(Pricing!AD50="Quoted",IF(Pricing!D50="Tracked",CONVERT(Pricing!L50,"mm","m"),),)</f>
        <v>0</v>
      </c>
      <c r="I100" s="57">
        <f>IF(Pricing!AD50="Quoted",E100*$F$3,)</f>
        <v>0</v>
      </c>
    </row>
  </sheetData>
  <mergeCells count="129">
    <mergeCell ref="K78:AA78"/>
    <mergeCell ref="B85:E85"/>
    <mergeCell ref="AD44:AE44"/>
    <mergeCell ref="AF44:AH44"/>
    <mergeCell ref="K48:AA48"/>
    <mergeCell ref="K58:AA58"/>
    <mergeCell ref="C67:J67"/>
    <mergeCell ref="K67:AA67"/>
    <mergeCell ref="AD41:AE41"/>
    <mergeCell ref="AF41:AH41"/>
    <mergeCell ref="AD42:AE42"/>
    <mergeCell ref="AF42:AH42"/>
    <mergeCell ref="AD43:AE43"/>
    <mergeCell ref="AF43:AH43"/>
    <mergeCell ref="AD39:AE39"/>
    <mergeCell ref="AF39:AH39"/>
    <mergeCell ref="AN39:AO39"/>
    <mergeCell ref="AP39:AR39"/>
    <mergeCell ref="AD40:AE40"/>
    <mergeCell ref="AF40:AH40"/>
    <mergeCell ref="AN40:AO40"/>
    <mergeCell ref="C37:Z37"/>
    <mergeCell ref="AD37:AE37"/>
    <mergeCell ref="AF37:AH37"/>
    <mergeCell ref="AN37:AO37"/>
    <mergeCell ref="AP37:AR37"/>
    <mergeCell ref="AD38:AE38"/>
    <mergeCell ref="AF38:AH38"/>
    <mergeCell ref="AN38:AO38"/>
    <mergeCell ref="AD35:AE35"/>
    <mergeCell ref="AF35:AH35"/>
    <mergeCell ref="AN35:AO35"/>
    <mergeCell ref="AP35:AR35"/>
    <mergeCell ref="AD36:AE36"/>
    <mergeCell ref="AF36:AH36"/>
    <mergeCell ref="AN36:AO36"/>
    <mergeCell ref="AD33:AE33"/>
    <mergeCell ref="AF33:AH33"/>
    <mergeCell ref="AN33:AO33"/>
    <mergeCell ref="AP33:AR33"/>
    <mergeCell ref="AD34:AE34"/>
    <mergeCell ref="AF34:AH34"/>
    <mergeCell ref="AN34:AO34"/>
    <mergeCell ref="AD31:AE31"/>
    <mergeCell ref="AF31:AH31"/>
    <mergeCell ref="AN31:AO31"/>
    <mergeCell ref="AP31:AR31"/>
    <mergeCell ref="AD32:AE32"/>
    <mergeCell ref="AF32:AH32"/>
    <mergeCell ref="AN32:AO32"/>
    <mergeCell ref="AN27:AO27"/>
    <mergeCell ref="AP27:AR27"/>
    <mergeCell ref="AN28:AO28"/>
    <mergeCell ref="AN29:AO29"/>
    <mergeCell ref="AP29:AR29"/>
    <mergeCell ref="AD30:AE30"/>
    <mergeCell ref="AF30:AH30"/>
    <mergeCell ref="AN30:AO30"/>
    <mergeCell ref="AD25:AE25"/>
    <mergeCell ref="AF25:AH25"/>
    <mergeCell ref="AN25:AO25"/>
    <mergeCell ref="AP25:AR25"/>
    <mergeCell ref="AN26:AO26"/>
    <mergeCell ref="AP26:AR26"/>
    <mergeCell ref="AD23:AE23"/>
    <mergeCell ref="AF23:AH23"/>
    <mergeCell ref="AN23:AO23"/>
    <mergeCell ref="AP23:AR23"/>
    <mergeCell ref="AD24:AE24"/>
    <mergeCell ref="AF24:AH24"/>
    <mergeCell ref="AN24:AO24"/>
    <mergeCell ref="AP24:AR24"/>
    <mergeCell ref="AD21:AE21"/>
    <mergeCell ref="AF21:AH21"/>
    <mergeCell ref="AN21:AO21"/>
    <mergeCell ref="AP21:AR21"/>
    <mergeCell ref="AD22:AE22"/>
    <mergeCell ref="AF22:AH22"/>
    <mergeCell ref="AN22:AO22"/>
    <mergeCell ref="AP22:AR22"/>
    <mergeCell ref="AD19:AE19"/>
    <mergeCell ref="AF19:AH19"/>
    <mergeCell ref="AN19:AO19"/>
    <mergeCell ref="AP19:AR19"/>
    <mergeCell ref="AD20:AE20"/>
    <mergeCell ref="AF20:AH20"/>
    <mergeCell ref="AN20:AO20"/>
    <mergeCell ref="AP20:AR20"/>
    <mergeCell ref="AA17:AB17"/>
    <mergeCell ref="AD17:AE17"/>
    <mergeCell ref="AF17:AH17"/>
    <mergeCell ref="AN17:AO17"/>
    <mergeCell ref="AP17:AR17"/>
    <mergeCell ref="AD18:AE18"/>
    <mergeCell ref="AF18:AH18"/>
    <mergeCell ref="AN18:AO18"/>
    <mergeCell ref="AP18:AR18"/>
    <mergeCell ref="AA15:AB15"/>
    <mergeCell ref="AD15:AE15"/>
    <mergeCell ref="AF15:AH15"/>
    <mergeCell ref="AN15:AO15"/>
    <mergeCell ref="AP15:AR15"/>
    <mergeCell ref="AA16:AB16"/>
    <mergeCell ref="AD16:AE16"/>
    <mergeCell ref="AF16:AH16"/>
    <mergeCell ref="AN16:AO16"/>
    <mergeCell ref="AP16:AR16"/>
    <mergeCell ref="AA13:AB13"/>
    <mergeCell ref="AD13:AE13"/>
    <mergeCell ref="AF13:AH13"/>
    <mergeCell ref="AN13:AO13"/>
    <mergeCell ref="AP13:AR13"/>
    <mergeCell ref="AA14:AB14"/>
    <mergeCell ref="AD14:AE14"/>
    <mergeCell ref="AF14:AH14"/>
    <mergeCell ref="AN14:AO14"/>
    <mergeCell ref="AP14:AR14"/>
    <mergeCell ref="AP11:AR11"/>
    <mergeCell ref="AA12:AB12"/>
    <mergeCell ref="AD12:AE12"/>
    <mergeCell ref="AF12:AH12"/>
    <mergeCell ref="AN12:AO12"/>
    <mergeCell ref="AP12:AR12"/>
    <mergeCell ref="I2:X2"/>
    <mergeCell ref="I11:X11"/>
    <mergeCell ref="AA11:AB11"/>
    <mergeCell ref="AD11:AE11"/>
    <mergeCell ref="AF11:AH11"/>
    <mergeCell ref="AN11:AO11"/>
  </mergeCells>
  <conditionalFormatting sqref="L46:AA46">
    <cfRule type="cellIs" dxfId="15" priority="2" operator="greaterThan">
      <formula>0</formula>
    </cfRule>
  </conditionalFormatting>
  <conditionalFormatting sqref="L76:AA76">
    <cfRule type="cellIs" dxfId="14" priority="1" operator="greaterThan">
      <formula>0</formula>
    </cfRule>
  </conditionalFormatting>
  <pageMargins left="0.7" right="0.7" top="0.75" bottom="0.75" header="0.3" footer="0.3"/>
  <pageSetup paperSize="9" orientation="portrait" horizontalDpi="4294967293" vertic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14F89-9E29-429D-B4E2-2E0029F9D086}">
  <sheetPr codeName="Sheet111"/>
  <dimension ref="A1:W6"/>
  <sheetViews>
    <sheetView topLeftCell="F1" workbookViewId="0">
      <selection activeCell="R3" sqref="R3"/>
    </sheetView>
  </sheetViews>
  <sheetFormatPr defaultRowHeight="15" x14ac:dyDescent="0.2"/>
  <cols>
    <col min="1" max="1" width="13.31640625" customWidth="1"/>
    <col min="2" max="2" width="12.64453125" customWidth="1"/>
    <col min="3" max="3" width="18.6953125" customWidth="1"/>
    <col min="4" max="4" width="27.44140625" bestFit="1" customWidth="1"/>
    <col min="5" max="5" width="21.65625" customWidth="1"/>
    <col min="6" max="6" width="20.3125" customWidth="1"/>
    <col min="7" max="7" width="16.0078125" bestFit="1" customWidth="1"/>
    <col min="8" max="8" width="13.31640625" customWidth="1"/>
    <col min="9" max="9" width="18.16015625" customWidth="1"/>
    <col min="10" max="10" width="10.625" customWidth="1"/>
    <col min="11" max="11" width="18.6953125" customWidth="1"/>
    <col min="15" max="15" width="14.66015625" bestFit="1" customWidth="1"/>
    <col min="16" max="16" width="13.44921875" bestFit="1" customWidth="1"/>
    <col min="17" max="17" width="18.29296875" style="4" bestFit="1" customWidth="1"/>
    <col min="18" max="18" width="14.66015625" bestFit="1" customWidth="1"/>
    <col min="19" max="19" width="17.3515625" style="4" bestFit="1" customWidth="1"/>
    <col min="20" max="20" width="15.87109375" bestFit="1" customWidth="1"/>
    <col min="23" max="23" width="16.6796875" bestFit="1" customWidth="1"/>
  </cols>
  <sheetData>
    <row r="1" spans="1:23" x14ac:dyDescent="0.2">
      <c r="A1" t="s">
        <v>5</v>
      </c>
      <c r="B1" t="s">
        <v>672</v>
      </c>
      <c r="C1" t="s">
        <v>673</v>
      </c>
      <c r="D1" t="s">
        <v>674</v>
      </c>
      <c r="E1" t="s">
        <v>675</v>
      </c>
      <c r="F1" t="s">
        <v>676</v>
      </c>
      <c r="G1" t="s">
        <v>677</v>
      </c>
      <c r="H1" t="s">
        <v>678</v>
      </c>
      <c r="I1" t="s">
        <v>679</v>
      </c>
      <c r="J1" t="s">
        <v>3</v>
      </c>
      <c r="K1" t="s">
        <v>113</v>
      </c>
      <c r="L1" t="s">
        <v>122</v>
      </c>
      <c r="M1" t="s">
        <v>115</v>
      </c>
      <c r="N1" t="s">
        <v>680</v>
      </c>
      <c r="O1" t="s">
        <v>117</v>
      </c>
      <c r="P1" t="s">
        <v>681</v>
      </c>
      <c r="Q1" s="4" t="s">
        <v>682</v>
      </c>
      <c r="R1" t="s">
        <v>118</v>
      </c>
      <c r="S1" s="4" t="s">
        <v>683</v>
      </c>
      <c r="T1" t="s">
        <v>684</v>
      </c>
      <c r="U1" t="s">
        <v>685</v>
      </c>
      <c r="V1" t="s">
        <v>129</v>
      </c>
      <c r="W1" t="s">
        <v>686</v>
      </c>
    </row>
    <row r="2" spans="1:23" x14ac:dyDescent="0.2">
      <c r="A2" t="s">
        <v>687</v>
      </c>
      <c r="B2" t="s">
        <v>688</v>
      </c>
      <c r="C2" t="s">
        <v>689</v>
      </c>
      <c r="D2" t="s">
        <v>689</v>
      </c>
      <c r="E2" t="s">
        <v>690</v>
      </c>
      <c r="F2" t="s">
        <v>691</v>
      </c>
      <c r="G2" t="s">
        <v>692</v>
      </c>
      <c r="H2" t="s">
        <v>693</v>
      </c>
      <c r="I2" t="s">
        <v>694</v>
      </c>
      <c r="J2" t="s">
        <v>695</v>
      </c>
      <c r="K2" t="s">
        <v>696</v>
      </c>
      <c r="L2" t="s">
        <v>542</v>
      </c>
      <c r="M2" t="s">
        <v>542</v>
      </c>
      <c r="N2" t="s">
        <v>697</v>
      </c>
      <c r="O2" t="s">
        <v>698</v>
      </c>
      <c r="P2" t="s">
        <v>697</v>
      </c>
      <c r="Q2" s="127" t="s">
        <v>699</v>
      </c>
      <c r="R2" s="128" t="s">
        <v>145</v>
      </c>
      <c r="S2" s="4" t="s">
        <v>145</v>
      </c>
      <c r="T2" s="4" t="s">
        <v>145</v>
      </c>
      <c r="U2" t="s">
        <v>701</v>
      </c>
      <c r="V2">
        <v>76.2</v>
      </c>
    </row>
    <row r="3" spans="1:23" x14ac:dyDescent="0.2">
      <c r="A3" t="s">
        <v>702</v>
      </c>
      <c r="B3" t="s">
        <v>688</v>
      </c>
      <c r="C3" t="s">
        <v>703</v>
      </c>
      <c r="D3" t="s">
        <v>689</v>
      </c>
      <c r="E3" t="s">
        <v>690</v>
      </c>
      <c r="F3" t="s">
        <v>691</v>
      </c>
      <c r="G3" t="s">
        <v>692</v>
      </c>
      <c r="H3" t="s">
        <v>693</v>
      </c>
      <c r="I3" t="s">
        <v>694</v>
      </c>
      <c r="J3" t="s">
        <v>695</v>
      </c>
      <c r="K3" t="s">
        <v>696</v>
      </c>
      <c r="L3" t="s">
        <v>542</v>
      </c>
      <c r="M3" t="s">
        <v>542</v>
      </c>
      <c r="N3" t="s">
        <v>697</v>
      </c>
      <c r="O3" t="s">
        <v>698</v>
      </c>
      <c r="P3" t="s">
        <v>697</v>
      </c>
      <c r="Q3" s="127" t="s">
        <v>704</v>
      </c>
      <c r="R3" s="128" t="s">
        <v>705</v>
      </c>
      <c r="S3" s="4">
        <v>24</v>
      </c>
      <c r="T3" s="4" t="s">
        <v>145</v>
      </c>
      <c r="U3" t="s">
        <v>701</v>
      </c>
      <c r="V3">
        <v>76.2</v>
      </c>
    </row>
    <row r="4" spans="1:23" x14ac:dyDescent="0.2">
      <c r="A4" t="s">
        <v>706</v>
      </c>
      <c r="B4" t="s">
        <v>688</v>
      </c>
      <c r="C4" t="s">
        <v>703</v>
      </c>
      <c r="D4" t="s">
        <v>689</v>
      </c>
      <c r="E4" t="s">
        <v>690</v>
      </c>
      <c r="F4" t="s">
        <v>691</v>
      </c>
      <c r="G4" t="s">
        <v>692</v>
      </c>
      <c r="H4" t="s">
        <v>693</v>
      </c>
      <c r="I4" t="s">
        <v>694</v>
      </c>
      <c r="J4" t="s">
        <v>695</v>
      </c>
      <c r="K4" t="s">
        <v>696</v>
      </c>
      <c r="L4" t="s">
        <v>542</v>
      </c>
      <c r="M4" t="s">
        <v>542</v>
      </c>
      <c r="N4" t="s">
        <v>697</v>
      </c>
      <c r="O4" t="s">
        <v>698</v>
      </c>
      <c r="P4" t="s">
        <v>697</v>
      </c>
      <c r="Q4" s="127" t="s">
        <v>707</v>
      </c>
      <c r="R4" s="128" t="s">
        <v>705</v>
      </c>
      <c r="S4" s="4">
        <v>19</v>
      </c>
      <c r="T4" s="4" t="s">
        <v>145</v>
      </c>
      <c r="U4" t="s">
        <v>701</v>
      </c>
      <c r="V4">
        <v>76.2</v>
      </c>
    </row>
    <row r="5" spans="1:23" x14ac:dyDescent="0.2">
      <c r="A5" t="s">
        <v>708</v>
      </c>
      <c r="B5" t="s">
        <v>688</v>
      </c>
      <c r="C5" t="s">
        <v>703</v>
      </c>
      <c r="D5" t="s">
        <v>689</v>
      </c>
      <c r="E5" t="s">
        <v>690</v>
      </c>
      <c r="F5" t="s">
        <v>691</v>
      </c>
      <c r="G5" t="s">
        <v>692</v>
      </c>
      <c r="H5" t="s">
        <v>693</v>
      </c>
      <c r="I5" t="s">
        <v>694</v>
      </c>
      <c r="J5" t="s">
        <v>695</v>
      </c>
      <c r="K5" t="s">
        <v>696</v>
      </c>
      <c r="L5" t="s">
        <v>542</v>
      </c>
      <c r="M5" t="s">
        <v>542</v>
      </c>
      <c r="N5" t="s">
        <v>697</v>
      </c>
      <c r="O5" t="s">
        <v>698</v>
      </c>
      <c r="P5" t="s">
        <v>697</v>
      </c>
      <c r="Q5" s="127" t="s">
        <v>709</v>
      </c>
      <c r="R5" s="128" t="s">
        <v>700</v>
      </c>
      <c r="S5" s="4">
        <v>16</v>
      </c>
      <c r="T5" s="4" t="s">
        <v>145</v>
      </c>
      <c r="U5" t="s">
        <v>701</v>
      </c>
      <c r="V5">
        <v>76.2</v>
      </c>
    </row>
    <row r="6" spans="1:23" x14ac:dyDescent="0.2">
      <c r="A6" t="s">
        <v>710</v>
      </c>
      <c r="B6" t="s">
        <v>688</v>
      </c>
      <c r="C6" t="s">
        <v>703</v>
      </c>
      <c r="D6" t="s">
        <v>689</v>
      </c>
      <c r="E6" t="s">
        <v>690</v>
      </c>
      <c r="F6" t="s">
        <v>691</v>
      </c>
      <c r="G6" t="s">
        <v>692</v>
      </c>
      <c r="H6" t="s">
        <v>693</v>
      </c>
      <c r="I6" t="s">
        <v>694</v>
      </c>
      <c r="J6" t="s">
        <v>695</v>
      </c>
      <c r="K6" t="s">
        <v>696</v>
      </c>
      <c r="L6" t="s">
        <v>542</v>
      </c>
      <c r="M6" t="s">
        <v>542</v>
      </c>
      <c r="N6" t="s">
        <v>697</v>
      </c>
      <c r="O6" t="s">
        <v>698</v>
      </c>
      <c r="P6" t="s">
        <v>697</v>
      </c>
      <c r="Q6" s="127" t="s">
        <v>711</v>
      </c>
      <c r="R6" s="128" t="s">
        <v>700</v>
      </c>
      <c r="S6" s="4">
        <v>12</v>
      </c>
      <c r="T6" s="4" t="s">
        <v>145</v>
      </c>
      <c r="U6" t="s">
        <v>701</v>
      </c>
      <c r="V6">
        <v>76.2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607F-4B7D-4917-B42D-2940E18EDB5F}">
  <sheetPr codeName="Sheet23"/>
  <dimension ref="A2:F17"/>
  <sheetViews>
    <sheetView workbookViewId="0">
      <selection activeCell="B2" sqref="B2"/>
    </sheetView>
  </sheetViews>
  <sheetFormatPr defaultRowHeight="15" x14ac:dyDescent="0.2"/>
  <cols>
    <col min="2" max="2" width="14.9296875" bestFit="1" customWidth="1"/>
    <col min="3" max="3" width="11.703125" bestFit="1" customWidth="1"/>
  </cols>
  <sheetData>
    <row r="2" spans="1:6" x14ac:dyDescent="0.2">
      <c r="B2" s="4" t="s">
        <v>791</v>
      </c>
      <c r="C2" s="4" t="s">
        <v>795</v>
      </c>
      <c r="D2" s="4" t="s">
        <v>814</v>
      </c>
      <c r="F2" s="4" t="s">
        <v>885</v>
      </c>
    </row>
    <row r="3" spans="1:6" x14ac:dyDescent="0.2">
      <c r="A3">
        <v>1</v>
      </c>
      <c r="B3" t="b">
        <f>Pricing!E8="Hampton"</f>
        <v>0</v>
      </c>
      <c r="C3" t="b">
        <f>Pricing!H8=Helper!C2</f>
        <v>0</v>
      </c>
      <c r="D3" t="b">
        <f>Pricing!J8="Clearview"</f>
        <v>0</v>
      </c>
      <c r="F3" t="b">
        <f>AND(B3=TRUE,C3=TRUE,D3=FALSE)</f>
        <v>0</v>
      </c>
    </row>
    <row r="4" spans="1:6" x14ac:dyDescent="0.2">
      <c r="A4">
        <v>2</v>
      </c>
      <c r="B4" t="b">
        <f>Pricing!E11="Hampton"</f>
        <v>0</v>
      </c>
      <c r="C4" t="b">
        <f>Pricing!H11=Helper!C2</f>
        <v>0</v>
      </c>
      <c r="D4" t="b">
        <f>Pricing!J11="Clearview"</f>
        <v>0</v>
      </c>
      <c r="F4" t="b">
        <f t="shared" ref="F4:F17" si="0">AND(B4=TRUE,C4=TRUE,D4=FALSE)</f>
        <v>0</v>
      </c>
    </row>
    <row r="5" spans="1:6" x14ac:dyDescent="0.2">
      <c r="A5">
        <v>3</v>
      </c>
      <c r="B5" t="b">
        <f>Pricing!E14="Hampton"</f>
        <v>0</v>
      </c>
      <c r="C5" t="b">
        <f>Pricing!H14=Helper!C2</f>
        <v>0</v>
      </c>
      <c r="D5" t="b">
        <f>Pricing!J14="Clearview"</f>
        <v>0</v>
      </c>
      <c r="F5" t="b">
        <f t="shared" si="0"/>
        <v>0</v>
      </c>
    </row>
    <row r="6" spans="1:6" x14ac:dyDescent="0.2">
      <c r="A6">
        <v>4</v>
      </c>
      <c r="B6" t="b">
        <f>Pricing!E17="Hampton"</f>
        <v>0</v>
      </c>
      <c r="C6" t="b">
        <f>Pricing!H17=Helper!C2</f>
        <v>0</v>
      </c>
      <c r="D6" t="b">
        <f>Pricing!J17="Clearview"</f>
        <v>0</v>
      </c>
      <c r="F6" t="b">
        <f t="shared" si="0"/>
        <v>0</v>
      </c>
    </row>
    <row r="7" spans="1:6" x14ac:dyDescent="0.2">
      <c r="A7">
        <v>5</v>
      </c>
      <c r="B7" t="b">
        <f>Pricing!E20="Hampton"</f>
        <v>0</v>
      </c>
      <c r="C7" t="b">
        <f>Pricing!H20=Helper!C2</f>
        <v>0</v>
      </c>
      <c r="D7" t="b">
        <f>Pricing!J20="Clearview"</f>
        <v>0</v>
      </c>
      <c r="F7" t="b">
        <f t="shared" si="0"/>
        <v>0</v>
      </c>
    </row>
    <row r="8" spans="1:6" x14ac:dyDescent="0.2">
      <c r="A8">
        <v>6</v>
      </c>
      <c r="B8" t="b">
        <f>Pricing!E23="Hampton"</f>
        <v>0</v>
      </c>
      <c r="C8" t="b">
        <f>Pricing!H23=Helper!C2</f>
        <v>0</v>
      </c>
      <c r="D8" t="b">
        <f>Pricing!J23="Clearview"</f>
        <v>0</v>
      </c>
      <c r="F8" t="b">
        <f t="shared" si="0"/>
        <v>0</v>
      </c>
    </row>
    <row r="9" spans="1:6" x14ac:dyDescent="0.2">
      <c r="A9">
        <v>7</v>
      </c>
      <c r="B9" t="b">
        <f>Pricing!E26="Hampton"</f>
        <v>0</v>
      </c>
      <c r="C9" t="b">
        <f>Pricing!H26=Helper!C2</f>
        <v>0</v>
      </c>
      <c r="D9" t="b">
        <f>Pricing!J26="Clearview"</f>
        <v>0</v>
      </c>
      <c r="F9" t="b">
        <f t="shared" si="0"/>
        <v>0</v>
      </c>
    </row>
    <row r="10" spans="1:6" x14ac:dyDescent="0.2">
      <c r="A10">
        <v>8</v>
      </c>
      <c r="B10" t="b">
        <f>Pricing!E29="Hampton"</f>
        <v>0</v>
      </c>
      <c r="C10" t="b">
        <f>Pricing!H29=Helper!C2</f>
        <v>0</v>
      </c>
      <c r="D10" t="b">
        <f>Pricing!J29="Clearview"</f>
        <v>0</v>
      </c>
      <c r="F10" t="b">
        <f t="shared" si="0"/>
        <v>0</v>
      </c>
    </row>
    <row r="11" spans="1:6" x14ac:dyDescent="0.2">
      <c r="A11">
        <v>9</v>
      </c>
      <c r="B11" t="b">
        <f>Pricing!E32="Hampton"</f>
        <v>0</v>
      </c>
      <c r="C11" t="b">
        <f>Pricing!H32=Helper!C2</f>
        <v>0</v>
      </c>
      <c r="D11" t="b">
        <f>Pricing!J32="Clearview"</f>
        <v>0</v>
      </c>
      <c r="F11" t="b">
        <f t="shared" si="0"/>
        <v>0</v>
      </c>
    </row>
    <row r="12" spans="1:6" x14ac:dyDescent="0.2">
      <c r="A12">
        <v>10</v>
      </c>
      <c r="B12" t="b">
        <f>Pricing!E35="Hampton"</f>
        <v>0</v>
      </c>
      <c r="C12" t="b">
        <f>Pricing!H35=Helper!C2</f>
        <v>0</v>
      </c>
      <c r="D12" t="b">
        <f>Pricing!J35="Clearview"</f>
        <v>0</v>
      </c>
      <c r="F12" t="b">
        <f>AND(B12=TRUE,C12=TRUE,D12=FALSE)</f>
        <v>0</v>
      </c>
    </row>
    <row r="13" spans="1:6" x14ac:dyDescent="0.2">
      <c r="A13">
        <v>11</v>
      </c>
      <c r="B13" t="b">
        <f>Pricing!E38="Hampton"</f>
        <v>0</v>
      </c>
      <c r="C13" t="b">
        <f>Pricing!H38=Helper!C2</f>
        <v>0</v>
      </c>
      <c r="D13" t="b">
        <f>Pricing!J38="Clearview"</f>
        <v>0</v>
      </c>
      <c r="F13" t="b">
        <f t="shared" si="0"/>
        <v>0</v>
      </c>
    </row>
    <row r="14" spans="1:6" x14ac:dyDescent="0.2">
      <c r="A14">
        <v>12</v>
      </c>
      <c r="B14" t="b">
        <f>Pricing!E41="Hampton"</f>
        <v>0</v>
      </c>
      <c r="C14" t="b">
        <f>Pricing!H41=Helper!C2</f>
        <v>0</v>
      </c>
      <c r="D14" t="b">
        <f>Pricing!J41="Clearview"</f>
        <v>0</v>
      </c>
      <c r="F14" t="b">
        <f t="shared" si="0"/>
        <v>0</v>
      </c>
    </row>
    <row r="15" spans="1:6" x14ac:dyDescent="0.2">
      <c r="A15">
        <v>13</v>
      </c>
      <c r="B15" t="b">
        <f>Pricing!E44="Hampton"</f>
        <v>0</v>
      </c>
      <c r="C15" t="b">
        <f>Pricing!H44=Helper!C2</f>
        <v>0</v>
      </c>
      <c r="D15" t="b">
        <f>Pricing!J44="Clearview"</f>
        <v>0</v>
      </c>
      <c r="F15" t="b">
        <f t="shared" si="0"/>
        <v>0</v>
      </c>
    </row>
    <row r="16" spans="1:6" x14ac:dyDescent="0.2">
      <c r="A16">
        <v>14</v>
      </c>
      <c r="B16" t="b">
        <f>Pricing!E47="Hampton"</f>
        <v>0</v>
      </c>
      <c r="C16" t="b">
        <f>Pricing!H47=Helper!C2</f>
        <v>0</v>
      </c>
      <c r="D16" t="b">
        <f>Pricing!J47="Clearview"</f>
        <v>0</v>
      </c>
      <c r="F16" t="b">
        <f t="shared" si="0"/>
        <v>0</v>
      </c>
    </row>
    <row r="17" spans="1:6" x14ac:dyDescent="0.2">
      <c r="A17">
        <v>15</v>
      </c>
      <c r="B17" t="b">
        <f>Pricing!E50="Hampton"</f>
        <v>0</v>
      </c>
      <c r="C17" t="b">
        <f>Pricing!H50=Helper!C2</f>
        <v>0</v>
      </c>
      <c r="D17" t="b">
        <f>Pricing!J50="Clearview"</f>
        <v>0</v>
      </c>
      <c r="F17" t="b">
        <f t="shared" si="0"/>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F21E-A50C-4C71-B63A-A451A2FA4D9A}">
  <sheetPr codeName="Sheet12"/>
  <dimension ref="A1:V6"/>
  <sheetViews>
    <sheetView topLeftCell="H1" workbookViewId="0">
      <selection activeCell="U2" sqref="U2"/>
    </sheetView>
  </sheetViews>
  <sheetFormatPr defaultRowHeight="15" x14ac:dyDescent="0.2"/>
  <cols>
    <col min="1" max="1" width="13.31640625" customWidth="1"/>
    <col min="2" max="2" width="12.64453125" customWidth="1"/>
    <col min="3" max="3" width="18.6953125" customWidth="1"/>
    <col min="4" max="4" width="18.16015625" customWidth="1"/>
    <col min="5" max="5" width="21.65625" customWidth="1"/>
    <col min="6" max="6" width="20.3125" customWidth="1"/>
    <col min="7" max="7" width="16.0078125" bestFit="1" customWidth="1"/>
    <col min="8" max="8" width="13.31640625" customWidth="1"/>
    <col min="9" max="9" width="18.16015625" customWidth="1"/>
    <col min="10" max="10" width="10.625" customWidth="1"/>
    <col min="11" max="11" width="18.6953125" style="4" customWidth="1"/>
    <col min="15" max="15" width="14.66015625" bestFit="1" customWidth="1"/>
    <col min="16" max="16" width="13.44921875" bestFit="1" customWidth="1"/>
    <col min="17" max="17" width="18.29296875" style="4" bestFit="1" customWidth="1"/>
    <col min="18" max="18" width="14.66015625" bestFit="1" customWidth="1"/>
    <col min="19" max="19" width="17.3515625" style="4" bestFit="1" customWidth="1"/>
  </cols>
  <sheetData>
    <row r="1" spans="1:22" x14ac:dyDescent="0.2">
      <c r="A1" t="s">
        <v>5</v>
      </c>
      <c r="B1" t="s">
        <v>672</v>
      </c>
      <c r="C1" t="s">
        <v>673</v>
      </c>
      <c r="D1" t="s">
        <v>674</v>
      </c>
      <c r="E1" t="s">
        <v>675</v>
      </c>
      <c r="F1" t="s">
        <v>676</v>
      </c>
      <c r="G1" t="s">
        <v>677</v>
      </c>
      <c r="H1" t="s">
        <v>678</v>
      </c>
      <c r="I1" t="s">
        <v>679</v>
      </c>
      <c r="J1" t="s">
        <v>3</v>
      </c>
      <c r="K1" s="4" t="s">
        <v>113</v>
      </c>
      <c r="L1" t="s">
        <v>122</v>
      </c>
      <c r="M1" t="s">
        <v>115</v>
      </c>
      <c r="N1" t="s">
        <v>680</v>
      </c>
      <c r="O1" t="s">
        <v>117</v>
      </c>
      <c r="P1" t="s">
        <v>681</v>
      </c>
      <c r="Q1" s="4" t="s">
        <v>682</v>
      </c>
      <c r="R1" t="s">
        <v>118</v>
      </c>
      <c r="S1" s="4" t="s">
        <v>683</v>
      </c>
      <c r="T1" t="s">
        <v>684</v>
      </c>
      <c r="U1" t="s">
        <v>685</v>
      </c>
      <c r="V1" t="s">
        <v>129</v>
      </c>
    </row>
    <row r="2" spans="1:22" x14ac:dyDescent="0.2">
      <c r="A2" t="s">
        <v>687</v>
      </c>
      <c r="B2" t="s">
        <v>688</v>
      </c>
      <c r="C2" t="s">
        <v>712</v>
      </c>
      <c r="D2" t="s">
        <v>689</v>
      </c>
      <c r="E2" t="s">
        <v>712</v>
      </c>
      <c r="F2" t="s">
        <v>712</v>
      </c>
      <c r="G2" t="s">
        <v>692</v>
      </c>
      <c r="H2" t="s">
        <v>713</v>
      </c>
      <c r="I2" t="s">
        <v>714</v>
      </c>
      <c r="J2" t="s">
        <v>715</v>
      </c>
      <c r="K2" s="4">
        <v>2</v>
      </c>
      <c r="L2" t="s">
        <v>542</v>
      </c>
      <c r="M2" t="s">
        <v>542</v>
      </c>
      <c r="N2" t="s">
        <v>697</v>
      </c>
      <c r="O2" t="s">
        <v>698</v>
      </c>
      <c r="P2" t="s">
        <v>697</v>
      </c>
      <c r="Q2" s="127" t="s">
        <v>699</v>
      </c>
      <c r="R2" s="128" t="s">
        <v>700</v>
      </c>
      <c r="S2" s="4" t="s">
        <v>145</v>
      </c>
      <c r="U2" t="s">
        <v>701</v>
      </c>
      <c r="V2" t="s">
        <v>716</v>
      </c>
    </row>
    <row r="3" spans="1:22" x14ac:dyDescent="0.2">
      <c r="A3" t="s">
        <v>702</v>
      </c>
      <c r="B3" t="s">
        <v>688</v>
      </c>
      <c r="C3" t="s">
        <v>717</v>
      </c>
      <c r="D3" t="s">
        <v>689</v>
      </c>
      <c r="E3" t="s">
        <v>712</v>
      </c>
      <c r="F3" t="s">
        <v>712</v>
      </c>
      <c r="G3" t="s">
        <v>692</v>
      </c>
      <c r="H3" t="s">
        <v>713</v>
      </c>
      <c r="I3" t="s">
        <v>714</v>
      </c>
      <c r="J3" t="s">
        <v>715</v>
      </c>
      <c r="K3" s="4">
        <v>2</v>
      </c>
      <c r="L3" t="s">
        <v>542</v>
      </c>
      <c r="M3" t="s">
        <v>542</v>
      </c>
      <c r="N3" t="s">
        <v>697</v>
      </c>
      <c r="O3" t="s">
        <v>698</v>
      </c>
      <c r="P3" t="s">
        <v>697</v>
      </c>
      <c r="Q3" s="127" t="s">
        <v>704</v>
      </c>
      <c r="R3" s="128" t="s">
        <v>705</v>
      </c>
      <c r="S3" s="4">
        <v>24</v>
      </c>
      <c r="U3" t="s">
        <v>701</v>
      </c>
      <c r="V3" t="s">
        <v>716</v>
      </c>
    </row>
    <row r="4" spans="1:22" x14ac:dyDescent="0.2">
      <c r="A4" t="s">
        <v>706</v>
      </c>
      <c r="B4" t="s">
        <v>688</v>
      </c>
      <c r="C4" t="s">
        <v>717</v>
      </c>
      <c r="D4" t="s">
        <v>689</v>
      </c>
      <c r="E4" t="s">
        <v>712</v>
      </c>
      <c r="F4" t="s">
        <v>712</v>
      </c>
      <c r="G4" t="s">
        <v>692</v>
      </c>
      <c r="H4" t="s">
        <v>713</v>
      </c>
      <c r="I4" t="s">
        <v>714</v>
      </c>
      <c r="J4" t="s">
        <v>715</v>
      </c>
      <c r="K4" s="4">
        <v>2</v>
      </c>
      <c r="L4" t="s">
        <v>542</v>
      </c>
      <c r="M4" t="s">
        <v>542</v>
      </c>
      <c r="N4" t="s">
        <v>697</v>
      </c>
      <c r="O4" t="s">
        <v>698</v>
      </c>
      <c r="P4" t="s">
        <v>697</v>
      </c>
      <c r="Q4" s="127" t="s">
        <v>707</v>
      </c>
      <c r="R4" s="128" t="s">
        <v>700</v>
      </c>
      <c r="S4" s="4">
        <v>19</v>
      </c>
      <c r="U4" t="s">
        <v>701</v>
      </c>
      <c r="V4" t="s">
        <v>716</v>
      </c>
    </row>
    <row r="5" spans="1:22" x14ac:dyDescent="0.2">
      <c r="A5" t="s">
        <v>708</v>
      </c>
      <c r="B5" t="s">
        <v>688</v>
      </c>
      <c r="C5" t="s">
        <v>717</v>
      </c>
      <c r="D5" t="s">
        <v>689</v>
      </c>
      <c r="E5" t="s">
        <v>712</v>
      </c>
      <c r="F5" t="s">
        <v>712</v>
      </c>
      <c r="G5" t="s">
        <v>692</v>
      </c>
      <c r="H5" t="s">
        <v>713</v>
      </c>
      <c r="I5" t="s">
        <v>714</v>
      </c>
      <c r="J5" t="s">
        <v>715</v>
      </c>
      <c r="K5" s="4">
        <v>2</v>
      </c>
      <c r="L5" t="s">
        <v>542</v>
      </c>
      <c r="M5" t="s">
        <v>542</v>
      </c>
      <c r="N5" t="s">
        <v>697</v>
      </c>
      <c r="O5" t="s">
        <v>698</v>
      </c>
      <c r="P5" t="s">
        <v>697</v>
      </c>
      <c r="Q5" s="127" t="s">
        <v>709</v>
      </c>
      <c r="R5" s="128" t="s">
        <v>700</v>
      </c>
      <c r="S5" s="4">
        <v>16</v>
      </c>
      <c r="U5" t="s">
        <v>701</v>
      </c>
      <c r="V5" t="s">
        <v>716</v>
      </c>
    </row>
    <row r="6" spans="1:22" x14ac:dyDescent="0.2">
      <c r="A6" t="s">
        <v>710</v>
      </c>
      <c r="B6" t="s">
        <v>688</v>
      </c>
      <c r="C6" t="s">
        <v>717</v>
      </c>
      <c r="D6" t="s">
        <v>689</v>
      </c>
      <c r="E6" t="s">
        <v>712</v>
      </c>
      <c r="F6" t="s">
        <v>712</v>
      </c>
      <c r="G6" t="s">
        <v>692</v>
      </c>
      <c r="H6" t="s">
        <v>713</v>
      </c>
      <c r="I6" t="s">
        <v>714</v>
      </c>
      <c r="J6" t="s">
        <v>715</v>
      </c>
      <c r="K6" s="4">
        <v>2</v>
      </c>
      <c r="L6" t="s">
        <v>542</v>
      </c>
      <c r="M6" t="s">
        <v>542</v>
      </c>
      <c r="N6" t="s">
        <v>697</v>
      </c>
      <c r="O6" t="s">
        <v>698</v>
      </c>
      <c r="P6" t="s">
        <v>697</v>
      </c>
      <c r="Q6" s="127" t="s">
        <v>711</v>
      </c>
      <c r="R6" s="128" t="s">
        <v>700</v>
      </c>
      <c r="S6" s="4">
        <v>12</v>
      </c>
      <c r="U6" t="s">
        <v>701</v>
      </c>
      <c r="V6" t="s">
        <v>716</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AB3D-327F-4B36-99CF-511F88D61EB7}">
  <sheetPr codeName="Sheet13"/>
  <dimension ref="A1:V6"/>
  <sheetViews>
    <sheetView workbookViewId="0">
      <selection activeCell="T3" sqref="T3"/>
    </sheetView>
  </sheetViews>
  <sheetFormatPr defaultRowHeight="15" x14ac:dyDescent="0.2"/>
  <cols>
    <col min="1" max="1" width="13.31640625" customWidth="1"/>
    <col min="2" max="2" width="12.64453125" customWidth="1"/>
    <col min="3" max="3" width="18.6953125" customWidth="1"/>
    <col min="4" max="4" width="18.16015625" customWidth="1"/>
    <col min="5" max="5" width="21.65625" customWidth="1"/>
    <col min="6" max="6" width="20.3125" customWidth="1"/>
    <col min="7" max="7" width="16.0078125" bestFit="1" customWidth="1"/>
    <col min="8" max="8" width="13.31640625" customWidth="1"/>
    <col min="9" max="9" width="18.16015625" customWidth="1"/>
    <col min="10" max="10" width="15.33203125" bestFit="1" customWidth="1"/>
    <col min="11" max="11" width="18.6953125" customWidth="1"/>
    <col min="15" max="15" width="14.66015625" bestFit="1" customWidth="1"/>
    <col min="16" max="16" width="13.44921875" bestFit="1" customWidth="1"/>
    <col min="17" max="17" width="18.29296875" style="4" bestFit="1" customWidth="1"/>
    <col min="18" max="18" width="14.66015625" bestFit="1" customWidth="1"/>
    <col min="19" max="19" width="17.3515625" style="4" bestFit="1" customWidth="1"/>
    <col min="20" max="20" width="27.3046875" bestFit="1" customWidth="1"/>
    <col min="22" max="22" width="14.66015625" bestFit="1" customWidth="1"/>
  </cols>
  <sheetData>
    <row r="1" spans="1:22" x14ac:dyDescent="0.2">
      <c r="A1" t="s">
        <v>5</v>
      </c>
      <c r="B1" t="s">
        <v>672</v>
      </c>
      <c r="C1" t="s">
        <v>673</v>
      </c>
      <c r="D1" t="s">
        <v>674</v>
      </c>
      <c r="E1" t="s">
        <v>675</v>
      </c>
      <c r="F1" t="s">
        <v>676</v>
      </c>
      <c r="G1" t="s">
        <v>677</v>
      </c>
      <c r="H1" t="s">
        <v>678</v>
      </c>
      <c r="I1" t="s">
        <v>679</v>
      </c>
      <c r="J1" t="s">
        <v>3</v>
      </c>
      <c r="K1" t="s">
        <v>113</v>
      </c>
      <c r="L1" t="s">
        <v>122</v>
      </c>
      <c r="M1" t="s">
        <v>115</v>
      </c>
      <c r="N1" t="s">
        <v>680</v>
      </c>
      <c r="O1" t="s">
        <v>117</v>
      </c>
      <c r="P1" t="s">
        <v>681</v>
      </c>
      <c r="Q1" s="4" t="s">
        <v>682</v>
      </c>
      <c r="R1" t="s">
        <v>118</v>
      </c>
      <c r="S1" s="4" t="s">
        <v>683</v>
      </c>
      <c r="T1" t="s">
        <v>684</v>
      </c>
      <c r="U1" t="s">
        <v>685</v>
      </c>
      <c r="V1" t="s">
        <v>129</v>
      </c>
    </row>
    <row r="2" spans="1:22" x14ac:dyDescent="0.2">
      <c r="A2" t="s">
        <v>687</v>
      </c>
      <c r="B2" t="s">
        <v>688</v>
      </c>
      <c r="C2" t="s">
        <v>703</v>
      </c>
      <c r="D2" t="s">
        <v>718</v>
      </c>
      <c r="E2" t="s">
        <v>718</v>
      </c>
      <c r="F2" t="s">
        <v>689</v>
      </c>
      <c r="G2" t="s">
        <v>692</v>
      </c>
      <c r="H2" t="s">
        <v>693</v>
      </c>
      <c r="I2" t="s">
        <v>714</v>
      </c>
      <c r="J2" t="s">
        <v>719</v>
      </c>
      <c r="K2" t="s">
        <v>720</v>
      </c>
      <c r="L2" t="s">
        <v>542</v>
      </c>
      <c r="M2" t="s">
        <v>542</v>
      </c>
      <c r="N2" t="s">
        <v>697</v>
      </c>
      <c r="O2" t="s">
        <v>721</v>
      </c>
      <c r="P2" t="s">
        <v>697</v>
      </c>
      <c r="Q2" s="127" t="s">
        <v>699</v>
      </c>
      <c r="R2" s="128" t="s">
        <v>700</v>
      </c>
      <c r="S2" s="4" t="s">
        <v>145</v>
      </c>
      <c r="T2" t="s">
        <v>722</v>
      </c>
      <c r="U2" t="s">
        <v>723</v>
      </c>
      <c r="V2" t="s">
        <v>724</v>
      </c>
    </row>
    <row r="3" spans="1:22" x14ac:dyDescent="0.2">
      <c r="A3" t="s">
        <v>702</v>
      </c>
      <c r="B3" t="s">
        <v>688</v>
      </c>
      <c r="C3" t="s">
        <v>725</v>
      </c>
      <c r="D3" t="s">
        <v>718</v>
      </c>
      <c r="E3" t="s">
        <v>718</v>
      </c>
      <c r="F3" t="s">
        <v>689</v>
      </c>
      <c r="G3" t="s">
        <v>692</v>
      </c>
      <c r="H3" t="s">
        <v>693</v>
      </c>
      <c r="I3" t="s">
        <v>714</v>
      </c>
      <c r="J3" t="s">
        <v>719</v>
      </c>
      <c r="K3" t="s">
        <v>720</v>
      </c>
      <c r="L3" t="s">
        <v>542</v>
      </c>
      <c r="M3" t="s">
        <v>542</v>
      </c>
      <c r="N3" t="s">
        <v>697</v>
      </c>
      <c r="O3" t="s">
        <v>721</v>
      </c>
      <c r="P3" t="s">
        <v>697</v>
      </c>
      <c r="Q3" s="127" t="s">
        <v>704</v>
      </c>
      <c r="R3" s="128" t="s">
        <v>705</v>
      </c>
      <c r="S3" s="4">
        <v>24</v>
      </c>
      <c r="T3" t="s">
        <v>722</v>
      </c>
      <c r="U3" t="s">
        <v>723</v>
      </c>
      <c r="V3" t="s">
        <v>724</v>
      </c>
    </row>
    <row r="4" spans="1:22" x14ac:dyDescent="0.2">
      <c r="A4" t="s">
        <v>706</v>
      </c>
      <c r="B4" t="s">
        <v>688</v>
      </c>
      <c r="C4" t="s">
        <v>725</v>
      </c>
      <c r="D4" t="s">
        <v>718</v>
      </c>
      <c r="E4" t="s">
        <v>718</v>
      </c>
      <c r="F4" t="s">
        <v>689</v>
      </c>
      <c r="G4" t="s">
        <v>692</v>
      </c>
      <c r="H4" t="s">
        <v>693</v>
      </c>
      <c r="I4" t="s">
        <v>714</v>
      </c>
      <c r="J4" t="s">
        <v>719</v>
      </c>
      <c r="K4" t="s">
        <v>720</v>
      </c>
      <c r="L4" t="s">
        <v>542</v>
      </c>
      <c r="M4" t="s">
        <v>542</v>
      </c>
      <c r="N4" t="s">
        <v>697</v>
      </c>
      <c r="O4" t="s">
        <v>721</v>
      </c>
      <c r="P4" t="s">
        <v>697</v>
      </c>
      <c r="Q4" s="127" t="s">
        <v>726</v>
      </c>
      <c r="R4" s="128" t="s">
        <v>700</v>
      </c>
      <c r="S4" s="4">
        <v>19</v>
      </c>
      <c r="T4" t="s">
        <v>722</v>
      </c>
      <c r="U4" t="s">
        <v>723</v>
      </c>
      <c r="V4" t="s">
        <v>724</v>
      </c>
    </row>
    <row r="5" spans="1:22" x14ac:dyDescent="0.2">
      <c r="A5" t="s">
        <v>708</v>
      </c>
      <c r="B5" t="s">
        <v>688</v>
      </c>
      <c r="C5" t="s">
        <v>725</v>
      </c>
      <c r="D5" t="s">
        <v>718</v>
      </c>
      <c r="E5" t="s">
        <v>718</v>
      </c>
      <c r="F5" t="s">
        <v>689</v>
      </c>
      <c r="G5" t="s">
        <v>692</v>
      </c>
      <c r="H5" t="s">
        <v>693</v>
      </c>
      <c r="I5" t="s">
        <v>714</v>
      </c>
      <c r="J5" t="s">
        <v>719</v>
      </c>
      <c r="K5" t="s">
        <v>720</v>
      </c>
      <c r="L5" t="s">
        <v>542</v>
      </c>
      <c r="M5" t="s">
        <v>542</v>
      </c>
      <c r="N5" t="s">
        <v>697</v>
      </c>
      <c r="O5" t="s">
        <v>721</v>
      </c>
      <c r="P5" t="s">
        <v>697</v>
      </c>
      <c r="Q5" s="127" t="s">
        <v>709</v>
      </c>
      <c r="R5" s="128" t="s">
        <v>700</v>
      </c>
      <c r="S5" s="4">
        <v>16</v>
      </c>
      <c r="T5" t="s">
        <v>722</v>
      </c>
      <c r="U5" t="s">
        <v>723</v>
      </c>
      <c r="V5" t="s">
        <v>724</v>
      </c>
    </row>
    <row r="6" spans="1:22" x14ac:dyDescent="0.2">
      <c r="A6" t="s">
        <v>727</v>
      </c>
      <c r="Q6" s="127"/>
      <c r="R6" s="128"/>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F41D-33DD-4077-916C-69A2486703CA}">
  <sheetPr codeName="Sheet14"/>
  <dimension ref="A1:V6"/>
  <sheetViews>
    <sheetView topLeftCell="H1" workbookViewId="0">
      <selection activeCell="I33" sqref="I33"/>
    </sheetView>
  </sheetViews>
  <sheetFormatPr defaultRowHeight="15" x14ac:dyDescent="0.2"/>
  <cols>
    <col min="1" max="1" width="13.31640625" customWidth="1"/>
    <col min="2" max="2" width="12.64453125" customWidth="1"/>
    <col min="3" max="3" width="18.6953125" customWidth="1"/>
    <col min="4" max="4" width="18.16015625" customWidth="1"/>
    <col min="5" max="5" width="21.65625" customWidth="1"/>
    <col min="6" max="6" width="20.3125" customWidth="1"/>
    <col min="7" max="7" width="16.0078125" bestFit="1" customWidth="1"/>
    <col min="8" max="8" width="13.31640625" customWidth="1"/>
    <col min="9" max="9" width="18.16015625" customWidth="1"/>
    <col min="10" max="10" width="10.625" customWidth="1"/>
    <col min="11" max="11" width="18.6953125" customWidth="1"/>
    <col min="15" max="15" width="14.66015625" bestFit="1" customWidth="1"/>
    <col min="16" max="16" width="13.44921875" bestFit="1" customWidth="1"/>
    <col min="17" max="17" width="18.29296875" style="4" bestFit="1" customWidth="1"/>
    <col min="18" max="18" width="14.66015625" bestFit="1" customWidth="1"/>
    <col min="19" max="19" width="17.3515625" style="4" bestFit="1" customWidth="1"/>
  </cols>
  <sheetData>
    <row r="1" spans="1:22" x14ac:dyDescent="0.2">
      <c r="A1" t="s">
        <v>5</v>
      </c>
      <c r="B1" t="s">
        <v>672</v>
      </c>
      <c r="C1" t="s">
        <v>673</v>
      </c>
      <c r="D1" t="s">
        <v>674</v>
      </c>
      <c r="E1" t="s">
        <v>675</v>
      </c>
      <c r="F1" t="s">
        <v>676</v>
      </c>
      <c r="G1" t="s">
        <v>677</v>
      </c>
      <c r="H1" t="s">
        <v>678</v>
      </c>
      <c r="I1" t="s">
        <v>679</v>
      </c>
      <c r="J1" t="s">
        <v>3</v>
      </c>
      <c r="K1" t="s">
        <v>113</v>
      </c>
      <c r="L1" t="s">
        <v>122</v>
      </c>
      <c r="M1" t="s">
        <v>115</v>
      </c>
      <c r="N1" t="s">
        <v>680</v>
      </c>
      <c r="O1" t="s">
        <v>117</v>
      </c>
      <c r="P1" t="s">
        <v>681</v>
      </c>
      <c r="Q1" s="4" t="s">
        <v>682</v>
      </c>
      <c r="R1" t="s">
        <v>118</v>
      </c>
      <c r="S1" s="4" t="s">
        <v>683</v>
      </c>
      <c r="T1" t="s">
        <v>684</v>
      </c>
      <c r="U1" t="s">
        <v>685</v>
      </c>
      <c r="V1" t="s">
        <v>129</v>
      </c>
    </row>
    <row r="2" spans="1:22" x14ac:dyDescent="0.2">
      <c r="A2" t="s">
        <v>687</v>
      </c>
      <c r="B2" t="s">
        <v>688</v>
      </c>
      <c r="C2" t="s">
        <v>728</v>
      </c>
      <c r="D2" t="s">
        <v>728</v>
      </c>
      <c r="E2" t="s">
        <v>728</v>
      </c>
      <c r="F2" t="s">
        <v>728</v>
      </c>
      <c r="G2" t="s">
        <v>692</v>
      </c>
      <c r="H2" t="s">
        <v>729</v>
      </c>
      <c r="I2" t="s">
        <v>730</v>
      </c>
      <c r="J2" t="s">
        <v>731</v>
      </c>
      <c r="K2">
        <v>2</v>
      </c>
      <c r="L2" t="s">
        <v>542</v>
      </c>
      <c r="M2" t="s">
        <v>697</v>
      </c>
      <c r="N2" t="s">
        <v>697</v>
      </c>
      <c r="O2" t="s">
        <v>698</v>
      </c>
      <c r="P2" t="s">
        <v>697</v>
      </c>
      <c r="Q2" s="127" t="s">
        <v>699</v>
      </c>
      <c r="R2" s="128" t="s">
        <v>700</v>
      </c>
      <c r="S2" s="4" t="s">
        <v>145</v>
      </c>
      <c r="U2" t="s">
        <v>701</v>
      </c>
      <c r="V2">
        <v>76.2</v>
      </c>
    </row>
    <row r="3" spans="1:22" x14ac:dyDescent="0.2">
      <c r="A3" t="s">
        <v>702</v>
      </c>
      <c r="B3" t="s">
        <v>688</v>
      </c>
      <c r="C3" t="s">
        <v>732</v>
      </c>
      <c r="D3" t="s">
        <v>712</v>
      </c>
      <c r="E3" t="s">
        <v>712</v>
      </c>
      <c r="F3" t="s">
        <v>712</v>
      </c>
      <c r="G3" t="s">
        <v>692</v>
      </c>
      <c r="H3" t="s">
        <v>733</v>
      </c>
      <c r="I3" t="s">
        <v>730</v>
      </c>
      <c r="J3" t="s">
        <v>731</v>
      </c>
      <c r="K3">
        <v>2</v>
      </c>
      <c r="L3" t="s">
        <v>542</v>
      </c>
      <c r="M3" t="s">
        <v>697</v>
      </c>
      <c r="N3" t="s">
        <v>697</v>
      </c>
      <c r="O3" t="s">
        <v>698</v>
      </c>
      <c r="P3" t="s">
        <v>697</v>
      </c>
      <c r="Q3" s="127" t="s">
        <v>704</v>
      </c>
      <c r="R3" s="128" t="s">
        <v>705</v>
      </c>
      <c r="S3" s="4">
        <v>24</v>
      </c>
      <c r="U3" t="s">
        <v>701</v>
      </c>
      <c r="V3">
        <v>76.2</v>
      </c>
    </row>
    <row r="4" spans="1:22" x14ac:dyDescent="0.2">
      <c r="A4" t="s">
        <v>706</v>
      </c>
      <c r="B4" t="s">
        <v>688</v>
      </c>
      <c r="C4" t="s">
        <v>732</v>
      </c>
      <c r="D4" t="s">
        <v>712</v>
      </c>
      <c r="E4" t="s">
        <v>712</v>
      </c>
      <c r="F4" t="s">
        <v>712</v>
      </c>
      <c r="G4" t="s">
        <v>692</v>
      </c>
      <c r="H4" t="s">
        <v>734</v>
      </c>
      <c r="I4" t="s">
        <v>730</v>
      </c>
      <c r="J4" t="s">
        <v>731</v>
      </c>
      <c r="K4">
        <v>2</v>
      </c>
      <c r="L4" t="s">
        <v>542</v>
      </c>
      <c r="M4" t="s">
        <v>697</v>
      </c>
      <c r="N4" t="s">
        <v>697</v>
      </c>
      <c r="O4" t="s">
        <v>698</v>
      </c>
      <c r="P4" t="s">
        <v>697</v>
      </c>
      <c r="Q4" s="127" t="s">
        <v>707</v>
      </c>
      <c r="R4" s="128" t="s">
        <v>700</v>
      </c>
      <c r="S4" s="4">
        <v>19</v>
      </c>
      <c r="U4" t="s">
        <v>701</v>
      </c>
      <c r="V4">
        <v>76.2</v>
      </c>
    </row>
    <row r="5" spans="1:22" x14ac:dyDescent="0.2">
      <c r="A5" t="s">
        <v>708</v>
      </c>
      <c r="B5" t="s">
        <v>688</v>
      </c>
      <c r="C5" t="s">
        <v>725</v>
      </c>
      <c r="D5" t="s">
        <v>712</v>
      </c>
      <c r="E5" t="s">
        <v>712</v>
      </c>
      <c r="F5" t="s">
        <v>712</v>
      </c>
      <c r="G5" t="s">
        <v>692</v>
      </c>
      <c r="H5" t="s">
        <v>735</v>
      </c>
      <c r="I5" t="s">
        <v>730</v>
      </c>
      <c r="J5" t="s">
        <v>731</v>
      </c>
      <c r="K5">
        <v>2</v>
      </c>
      <c r="L5" t="s">
        <v>542</v>
      </c>
      <c r="M5" t="s">
        <v>697</v>
      </c>
      <c r="N5" t="s">
        <v>697</v>
      </c>
      <c r="O5" t="s">
        <v>698</v>
      </c>
      <c r="P5" t="s">
        <v>697</v>
      </c>
      <c r="Q5" s="127" t="s">
        <v>709</v>
      </c>
      <c r="R5" s="128" t="s">
        <v>700</v>
      </c>
      <c r="S5" s="4">
        <v>16</v>
      </c>
      <c r="U5" t="s">
        <v>701</v>
      </c>
      <c r="V5">
        <v>76.2</v>
      </c>
    </row>
    <row r="6" spans="1:22" x14ac:dyDescent="0.2">
      <c r="A6" t="s">
        <v>710</v>
      </c>
      <c r="B6" t="s">
        <v>688</v>
      </c>
      <c r="C6" t="s">
        <v>725</v>
      </c>
      <c r="D6" t="s">
        <v>712</v>
      </c>
      <c r="E6" t="s">
        <v>712</v>
      </c>
      <c r="F6" t="s">
        <v>712</v>
      </c>
      <c r="G6" t="s">
        <v>692</v>
      </c>
      <c r="H6" t="s">
        <v>736</v>
      </c>
      <c r="I6" t="s">
        <v>730</v>
      </c>
      <c r="J6" t="s">
        <v>731</v>
      </c>
      <c r="K6">
        <v>2</v>
      </c>
      <c r="L6" t="s">
        <v>542</v>
      </c>
      <c r="M6" t="s">
        <v>697</v>
      </c>
      <c r="N6" t="s">
        <v>697</v>
      </c>
      <c r="O6" t="s">
        <v>698</v>
      </c>
      <c r="P6" t="s">
        <v>697</v>
      </c>
      <c r="Q6" s="127" t="s">
        <v>711</v>
      </c>
      <c r="R6" s="128" t="s">
        <v>700</v>
      </c>
      <c r="S6" s="4">
        <v>12</v>
      </c>
      <c r="U6" t="s">
        <v>701</v>
      </c>
      <c r="V6">
        <v>76.2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0AF7-3A43-4A2C-B00F-40094583AD4F}">
  <sheetPr codeName="Sheet15"/>
  <dimension ref="A1:W6"/>
  <sheetViews>
    <sheetView topLeftCell="I1" workbookViewId="0">
      <selection activeCell="I33" sqref="I33"/>
    </sheetView>
  </sheetViews>
  <sheetFormatPr defaultRowHeight="15" x14ac:dyDescent="0.2"/>
  <cols>
    <col min="1" max="1" width="13.31640625" customWidth="1"/>
    <col min="2" max="2" width="12.64453125" customWidth="1"/>
    <col min="3" max="3" width="18.6953125" customWidth="1"/>
    <col min="4" max="4" width="18.16015625" customWidth="1"/>
    <col min="5" max="5" width="21.65625" customWidth="1"/>
    <col min="6" max="6" width="20.3125" customWidth="1"/>
    <col min="7" max="7" width="16.0078125" bestFit="1" customWidth="1"/>
    <col min="8" max="8" width="13.31640625" customWidth="1"/>
    <col min="9" max="9" width="18.16015625" customWidth="1"/>
    <col min="10" max="10" width="10.625" customWidth="1"/>
    <col min="11" max="11" width="18.6953125" customWidth="1"/>
    <col min="15" max="15" width="14.66015625" bestFit="1" customWidth="1"/>
    <col min="16" max="16" width="13.44921875" bestFit="1" customWidth="1"/>
    <col min="17" max="17" width="18.29296875" style="4" bestFit="1" customWidth="1"/>
    <col min="18" max="18" width="14.66015625" bestFit="1" customWidth="1"/>
    <col min="19" max="19" width="17.3515625" style="4" bestFit="1" customWidth="1"/>
    <col min="20" max="20" width="15.87109375" bestFit="1" customWidth="1"/>
  </cols>
  <sheetData>
    <row r="1" spans="1:23" x14ac:dyDescent="0.2">
      <c r="A1" t="s">
        <v>5</v>
      </c>
      <c r="B1" t="s">
        <v>672</v>
      </c>
      <c r="C1" t="s">
        <v>673</v>
      </c>
      <c r="D1" t="s">
        <v>674</v>
      </c>
      <c r="E1" t="s">
        <v>675</v>
      </c>
      <c r="F1" t="s">
        <v>676</v>
      </c>
      <c r="G1" t="s">
        <v>677</v>
      </c>
      <c r="H1" t="s">
        <v>678</v>
      </c>
      <c r="I1" t="s">
        <v>679</v>
      </c>
      <c r="J1" t="s">
        <v>3</v>
      </c>
      <c r="K1" t="s">
        <v>113</v>
      </c>
      <c r="L1" t="s">
        <v>122</v>
      </c>
      <c r="M1" t="s">
        <v>115</v>
      </c>
      <c r="N1" t="s">
        <v>680</v>
      </c>
      <c r="O1" t="s">
        <v>117</v>
      </c>
      <c r="P1" t="s">
        <v>681</v>
      </c>
      <c r="Q1" s="4" t="s">
        <v>682</v>
      </c>
      <c r="R1" t="s">
        <v>118</v>
      </c>
      <c r="S1" s="4" t="s">
        <v>683</v>
      </c>
      <c r="T1" t="s">
        <v>684</v>
      </c>
      <c r="U1" t="s">
        <v>685</v>
      </c>
      <c r="V1" t="s">
        <v>129</v>
      </c>
      <c r="W1" t="s">
        <v>737</v>
      </c>
    </row>
    <row r="2" spans="1:23" x14ac:dyDescent="0.2">
      <c r="A2" t="s">
        <v>687</v>
      </c>
      <c r="B2" t="s">
        <v>688</v>
      </c>
      <c r="C2" t="s">
        <v>703</v>
      </c>
      <c r="D2" t="s">
        <v>718</v>
      </c>
      <c r="E2" t="s">
        <v>738</v>
      </c>
      <c r="F2" t="s">
        <v>718</v>
      </c>
      <c r="G2" t="s">
        <v>692</v>
      </c>
      <c r="H2" t="s">
        <v>693</v>
      </c>
      <c r="I2" t="s">
        <v>714</v>
      </c>
      <c r="J2" t="s">
        <v>739</v>
      </c>
      <c r="K2" t="s">
        <v>720</v>
      </c>
      <c r="L2" t="s">
        <v>740</v>
      </c>
      <c r="M2" t="s">
        <v>697</v>
      </c>
      <c r="N2" t="s">
        <v>697</v>
      </c>
      <c r="O2" t="s">
        <v>698</v>
      </c>
      <c r="P2" t="s">
        <v>697</v>
      </c>
      <c r="Q2" s="127" t="s">
        <v>699</v>
      </c>
      <c r="R2" s="128" t="s">
        <v>700</v>
      </c>
      <c r="S2" s="4" t="s">
        <v>145</v>
      </c>
      <c r="T2" t="s">
        <v>741</v>
      </c>
      <c r="U2" t="s">
        <v>701</v>
      </c>
      <c r="V2" s="128" t="s">
        <v>716</v>
      </c>
      <c r="W2" t="s">
        <v>697</v>
      </c>
    </row>
    <row r="3" spans="1:23" x14ac:dyDescent="0.2">
      <c r="A3" t="s">
        <v>702</v>
      </c>
      <c r="B3" t="s">
        <v>688</v>
      </c>
      <c r="C3" t="s">
        <v>725</v>
      </c>
      <c r="D3" t="s">
        <v>718</v>
      </c>
      <c r="E3" t="s">
        <v>742</v>
      </c>
      <c r="F3" t="s">
        <v>718</v>
      </c>
      <c r="G3" t="s">
        <v>692</v>
      </c>
      <c r="H3" t="s">
        <v>693</v>
      </c>
      <c r="I3" t="s">
        <v>714</v>
      </c>
      <c r="J3" t="s">
        <v>739</v>
      </c>
      <c r="K3" t="s">
        <v>720</v>
      </c>
      <c r="L3" t="s">
        <v>740</v>
      </c>
      <c r="M3" t="s">
        <v>697</v>
      </c>
      <c r="N3" t="s">
        <v>697</v>
      </c>
      <c r="O3" t="s">
        <v>698</v>
      </c>
      <c r="P3" t="s">
        <v>697</v>
      </c>
      <c r="Q3" s="127" t="s">
        <v>704</v>
      </c>
      <c r="R3" s="128" t="s">
        <v>705</v>
      </c>
      <c r="S3" s="4">
        <v>24</v>
      </c>
      <c r="T3" t="s">
        <v>741</v>
      </c>
      <c r="U3" t="s">
        <v>701</v>
      </c>
      <c r="V3" s="128" t="s">
        <v>716</v>
      </c>
    </row>
    <row r="4" spans="1:23" x14ac:dyDescent="0.2">
      <c r="A4" t="s">
        <v>706</v>
      </c>
      <c r="B4" t="s">
        <v>688</v>
      </c>
      <c r="C4" t="s">
        <v>725</v>
      </c>
      <c r="D4" t="s">
        <v>718</v>
      </c>
      <c r="E4" t="s">
        <v>743</v>
      </c>
      <c r="F4" t="s">
        <v>718</v>
      </c>
      <c r="G4" t="s">
        <v>692</v>
      </c>
      <c r="H4" t="s">
        <v>693</v>
      </c>
      <c r="I4" t="s">
        <v>714</v>
      </c>
      <c r="J4" t="s">
        <v>739</v>
      </c>
      <c r="K4" t="s">
        <v>720</v>
      </c>
      <c r="L4" t="s">
        <v>740</v>
      </c>
      <c r="M4" t="s">
        <v>697</v>
      </c>
      <c r="N4" t="s">
        <v>697</v>
      </c>
      <c r="O4" t="s">
        <v>698</v>
      </c>
      <c r="P4" t="s">
        <v>697</v>
      </c>
      <c r="Q4" s="127" t="s">
        <v>707</v>
      </c>
      <c r="R4" s="128" t="s">
        <v>700</v>
      </c>
      <c r="S4" s="4">
        <v>19</v>
      </c>
      <c r="T4" t="s">
        <v>741</v>
      </c>
      <c r="U4" t="s">
        <v>701</v>
      </c>
      <c r="V4" s="128" t="s">
        <v>716</v>
      </c>
    </row>
    <row r="5" spans="1:23" x14ac:dyDescent="0.2">
      <c r="A5" t="s">
        <v>708</v>
      </c>
      <c r="B5" t="s">
        <v>688</v>
      </c>
      <c r="C5" t="s">
        <v>744</v>
      </c>
      <c r="D5" t="s">
        <v>718</v>
      </c>
      <c r="E5" t="s">
        <v>745</v>
      </c>
      <c r="F5" t="s">
        <v>718</v>
      </c>
      <c r="G5" t="s">
        <v>692</v>
      </c>
      <c r="H5" t="s">
        <v>693</v>
      </c>
      <c r="I5" t="s">
        <v>714</v>
      </c>
      <c r="J5" t="s">
        <v>739</v>
      </c>
      <c r="K5" t="s">
        <v>720</v>
      </c>
      <c r="L5" t="s">
        <v>740</v>
      </c>
      <c r="M5" t="s">
        <v>697</v>
      </c>
      <c r="N5" t="s">
        <v>697</v>
      </c>
      <c r="O5" t="s">
        <v>698</v>
      </c>
      <c r="P5" t="s">
        <v>697</v>
      </c>
      <c r="Q5" s="127" t="s">
        <v>709</v>
      </c>
      <c r="R5" s="128" t="s">
        <v>700</v>
      </c>
      <c r="S5" s="4">
        <v>16</v>
      </c>
      <c r="T5" t="s">
        <v>741</v>
      </c>
      <c r="U5" t="s">
        <v>701</v>
      </c>
      <c r="V5" s="128" t="s">
        <v>716</v>
      </c>
    </row>
    <row r="6" spans="1:23" x14ac:dyDescent="0.2">
      <c r="A6" t="s">
        <v>710</v>
      </c>
      <c r="B6" t="s">
        <v>688</v>
      </c>
      <c r="C6" t="s">
        <v>744</v>
      </c>
      <c r="D6" t="s">
        <v>718</v>
      </c>
      <c r="E6" t="s">
        <v>746</v>
      </c>
      <c r="F6" t="s">
        <v>689</v>
      </c>
      <c r="G6" t="s">
        <v>692</v>
      </c>
      <c r="H6" t="s">
        <v>693</v>
      </c>
      <c r="I6" t="s">
        <v>714</v>
      </c>
      <c r="J6" t="s">
        <v>739</v>
      </c>
      <c r="K6" t="s">
        <v>720</v>
      </c>
      <c r="L6" t="s">
        <v>740</v>
      </c>
      <c r="M6" t="s">
        <v>697</v>
      </c>
      <c r="N6" t="s">
        <v>697</v>
      </c>
      <c r="O6" t="s">
        <v>698</v>
      </c>
      <c r="P6" t="s">
        <v>697</v>
      </c>
      <c r="Q6" s="127" t="s">
        <v>711</v>
      </c>
      <c r="R6" s="128" t="s">
        <v>700</v>
      </c>
      <c r="S6" s="4">
        <v>12</v>
      </c>
      <c r="T6" t="s">
        <v>741</v>
      </c>
      <c r="U6" t="s">
        <v>701</v>
      </c>
      <c r="V6" s="128" t="s">
        <v>716</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7582-B5FE-472D-BB37-6C07E1B402BA}">
  <sheetPr codeName="Sheet16"/>
  <dimension ref="A1:V6"/>
  <sheetViews>
    <sheetView workbookViewId="0">
      <selection activeCell="I33" sqref="I33"/>
    </sheetView>
  </sheetViews>
  <sheetFormatPr defaultRowHeight="15" x14ac:dyDescent="0.2"/>
  <cols>
    <col min="1" max="1" width="13.31640625" customWidth="1"/>
    <col min="2" max="2" width="12.64453125" customWidth="1"/>
    <col min="3" max="3" width="18.6953125" customWidth="1"/>
    <col min="4" max="4" width="18.16015625" customWidth="1"/>
    <col min="5" max="5" width="21.65625" customWidth="1"/>
    <col min="6" max="6" width="20.3125" customWidth="1"/>
    <col min="7" max="7" width="16.0078125" bestFit="1" customWidth="1"/>
    <col min="8" max="8" width="13.31640625" customWidth="1"/>
    <col min="9" max="9" width="18.16015625" customWidth="1"/>
    <col min="10" max="10" width="10.625" customWidth="1"/>
    <col min="11" max="11" width="18.6953125" customWidth="1"/>
    <col min="15" max="15" width="14.66015625" bestFit="1" customWidth="1"/>
    <col min="16" max="16" width="13.44921875" bestFit="1" customWidth="1"/>
    <col min="17" max="17" width="18.29296875" style="4" bestFit="1" customWidth="1"/>
    <col min="18" max="18" width="14.66015625" bestFit="1" customWidth="1"/>
    <col min="19" max="19" width="17.3515625" style="4" bestFit="1" customWidth="1"/>
    <col min="20" max="20" width="15.87109375" bestFit="1" customWidth="1"/>
  </cols>
  <sheetData>
    <row r="1" spans="1:22" x14ac:dyDescent="0.2">
      <c r="A1" t="s">
        <v>5</v>
      </c>
      <c r="B1" t="s">
        <v>672</v>
      </c>
      <c r="C1" t="s">
        <v>673</v>
      </c>
      <c r="D1" t="s">
        <v>674</v>
      </c>
      <c r="E1" t="s">
        <v>675</v>
      </c>
      <c r="F1" t="s">
        <v>676</v>
      </c>
      <c r="G1" t="s">
        <v>677</v>
      </c>
      <c r="H1" t="s">
        <v>678</v>
      </c>
      <c r="I1" t="s">
        <v>679</v>
      </c>
      <c r="J1" t="s">
        <v>3</v>
      </c>
      <c r="K1" t="s">
        <v>113</v>
      </c>
      <c r="L1" t="s">
        <v>122</v>
      </c>
      <c r="M1" t="s">
        <v>115</v>
      </c>
      <c r="N1" t="s">
        <v>680</v>
      </c>
      <c r="O1" t="s">
        <v>117</v>
      </c>
      <c r="P1" t="s">
        <v>681</v>
      </c>
      <c r="Q1" s="4" t="s">
        <v>682</v>
      </c>
      <c r="R1" t="s">
        <v>118</v>
      </c>
      <c r="S1" s="4" t="s">
        <v>683</v>
      </c>
      <c r="T1" t="s">
        <v>684</v>
      </c>
      <c r="U1" t="s">
        <v>685</v>
      </c>
      <c r="V1" t="s">
        <v>129</v>
      </c>
    </row>
    <row r="2" spans="1:22" x14ac:dyDescent="0.2">
      <c r="A2" t="s">
        <v>687</v>
      </c>
      <c r="B2" t="s">
        <v>688</v>
      </c>
      <c r="C2" t="s">
        <v>747</v>
      </c>
      <c r="D2" t="s">
        <v>748</v>
      </c>
      <c r="E2" t="s">
        <v>749</v>
      </c>
      <c r="F2" t="s">
        <v>749</v>
      </c>
      <c r="G2" t="s">
        <v>750</v>
      </c>
      <c r="H2" t="s">
        <v>751</v>
      </c>
      <c r="I2" t="s">
        <v>694</v>
      </c>
      <c r="J2" t="s">
        <v>752</v>
      </c>
      <c r="K2" t="s">
        <v>696</v>
      </c>
      <c r="L2" t="s">
        <v>542</v>
      </c>
      <c r="M2" t="s">
        <v>697</v>
      </c>
      <c r="N2" t="s">
        <v>697</v>
      </c>
      <c r="O2" t="s">
        <v>753</v>
      </c>
      <c r="P2" t="s">
        <v>697</v>
      </c>
      <c r="Q2" s="127" t="s">
        <v>699</v>
      </c>
      <c r="R2" s="128" t="s">
        <v>700</v>
      </c>
      <c r="S2" s="4" t="s">
        <v>145</v>
      </c>
      <c r="U2" t="s">
        <v>701</v>
      </c>
      <c r="V2">
        <v>76.2</v>
      </c>
    </row>
    <row r="3" spans="1:22" x14ac:dyDescent="0.2">
      <c r="A3" t="s">
        <v>702</v>
      </c>
      <c r="B3" t="s">
        <v>688</v>
      </c>
      <c r="C3" t="s">
        <v>754</v>
      </c>
      <c r="D3" t="s">
        <v>748</v>
      </c>
      <c r="E3" t="s">
        <v>749</v>
      </c>
      <c r="F3" t="s">
        <v>749</v>
      </c>
      <c r="G3" t="s">
        <v>750</v>
      </c>
      <c r="H3" t="s">
        <v>755</v>
      </c>
      <c r="I3" t="s">
        <v>694</v>
      </c>
      <c r="J3" t="s">
        <v>752</v>
      </c>
      <c r="K3" t="s">
        <v>696</v>
      </c>
      <c r="L3" t="s">
        <v>542</v>
      </c>
      <c r="M3" t="s">
        <v>697</v>
      </c>
      <c r="N3" t="s">
        <v>697</v>
      </c>
      <c r="O3" t="s">
        <v>753</v>
      </c>
      <c r="P3" t="s">
        <v>697</v>
      </c>
      <c r="Q3" s="127" t="s">
        <v>704</v>
      </c>
      <c r="R3" s="128" t="s">
        <v>705</v>
      </c>
      <c r="S3" s="4">
        <v>24</v>
      </c>
      <c r="U3" t="s">
        <v>701</v>
      </c>
      <c r="V3">
        <v>76.2</v>
      </c>
    </row>
    <row r="4" spans="1:22" x14ac:dyDescent="0.2">
      <c r="A4" t="s">
        <v>706</v>
      </c>
      <c r="B4" t="s">
        <v>688</v>
      </c>
      <c r="C4" t="s">
        <v>754</v>
      </c>
      <c r="D4" t="s">
        <v>748</v>
      </c>
      <c r="E4" t="s">
        <v>749</v>
      </c>
      <c r="F4" t="s">
        <v>749</v>
      </c>
      <c r="G4" t="s">
        <v>750</v>
      </c>
      <c r="H4" t="s">
        <v>756</v>
      </c>
      <c r="I4" t="s">
        <v>694</v>
      </c>
      <c r="J4" t="s">
        <v>752</v>
      </c>
      <c r="K4" t="s">
        <v>696</v>
      </c>
      <c r="L4" t="s">
        <v>542</v>
      </c>
      <c r="M4" t="s">
        <v>697</v>
      </c>
      <c r="N4" t="s">
        <v>697</v>
      </c>
      <c r="O4" t="s">
        <v>753</v>
      </c>
      <c r="P4" t="s">
        <v>697</v>
      </c>
      <c r="Q4" s="127" t="s">
        <v>707</v>
      </c>
      <c r="R4" s="128" t="s">
        <v>700</v>
      </c>
      <c r="S4" s="4">
        <v>19</v>
      </c>
      <c r="U4" t="s">
        <v>701</v>
      </c>
      <c r="V4">
        <v>76.2</v>
      </c>
    </row>
    <row r="5" spans="1:22" x14ac:dyDescent="0.2">
      <c r="A5" t="s">
        <v>708</v>
      </c>
      <c r="B5" t="s">
        <v>688</v>
      </c>
      <c r="C5" t="s">
        <v>757</v>
      </c>
      <c r="D5" t="s">
        <v>748</v>
      </c>
      <c r="E5" t="s">
        <v>749</v>
      </c>
      <c r="F5" t="s">
        <v>749</v>
      </c>
      <c r="G5" t="s">
        <v>750</v>
      </c>
      <c r="H5" t="s">
        <v>758</v>
      </c>
      <c r="I5" t="s">
        <v>694</v>
      </c>
      <c r="J5" t="s">
        <v>752</v>
      </c>
      <c r="K5" t="s">
        <v>696</v>
      </c>
      <c r="L5" t="s">
        <v>542</v>
      </c>
      <c r="M5" t="s">
        <v>697</v>
      </c>
      <c r="N5" t="s">
        <v>697</v>
      </c>
      <c r="O5" t="s">
        <v>753</v>
      </c>
      <c r="P5" t="s">
        <v>697</v>
      </c>
      <c r="Q5" s="127" t="s">
        <v>709</v>
      </c>
      <c r="R5" s="128" t="s">
        <v>700</v>
      </c>
      <c r="S5" s="4">
        <v>16</v>
      </c>
      <c r="U5" t="s">
        <v>701</v>
      </c>
      <c r="V5">
        <v>76.2</v>
      </c>
    </row>
    <row r="6" spans="1:22" x14ac:dyDescent="0.2">
      <c r="A6" t="s">
        <v>710</v>
      </c>
      <c r="B6" t="s">
        <v>688</v>
      </c>
      <c r="C6" t="s">
        <v>757</v>
      </c>
      <c r="D6" t="s">
        <v>748</v>
      </c>
      <c r="E6" t="s">
        <v>749</v>
      </c>
      <c r="F6" t="s">
        <v>749</v>
      </c>
      <c r="G6" t="s">
        <v>750</v>
      </c>
      <c r="H6" t="s">
        <v>759</v>
      </c>
      <c r="I6" t="s">
        <v>694</v>
      </c>
      <c r="J6" t="s">
        <v>752</v>
      </c>
      <c r="K6" t="s">
        <v>696</v>
      </c>
      <c r="L6" t="s">
        <v>542</v>
      </c>
      <c r="M6" t="s">
        <v>697</v>
      </c>
      <c r="N6" t="s">
        <v>697</v>
      </c>
      <c r="O6" t="s">
        <v>753</v>
      </c>
      <c r="P6" t="s">
        <v>697</v>
      </c>
      <c r="Q6" s="127" t="s">
        <v>711</v>
      </c>
      <c r="R6" s="128" t="s">
        <v>700</v>
      </c>
      <c r="S6" s="4">
        <v>12</v>
      </c>
      <c r="U6" t="s">
        <v>701</v>
      </c>
      <c r="V6">
        <v>76.2</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84F9-0C0B-47C1-A2C2-3847FAEE8DAB}">
  <sheetPr codeName="Sheet5"/>
  <dimension ref="A1:P28"/>
  <sheetViews>
    <sheetView showRowColHeaders="0" zoomScaleNormal="100" workbookViewId="0">
      <selection activeCell="H33" sqref="H33"/>
    </sheetView>
  </sheetViews>
  <sheetFormatPr defaultRowHeight="15" x14ac:dyDescent="0.2"/>
  <cols>
    <col min="1" max="1" width="3.359375" customWidth="1"/>
    <col min="2" max="2" width="11.56640625" bestFit="1" customWidth="1"/>
    <col min="3" max="3" width="12.375" customWidth="1"/>
    <col min="4" max="4" width="13.85546875" customWidth="1"/>
    <col min="5" max="5" width="18.29296875" customWidth="1"/>
    <col min="6" max="6" width="15.87109375" customWidth="1"/>
    <col min="7" max="7" width="36.72265625" bestFit="1" customWidth="1"/>
    <col min="9" max="9" width="8.609375" customWidth="1"/>
    <col min="10" max="10" width="15.6015625" customWidth="1"/>
    <col min="11" max="11" width="11.8359375" customWidth="1"/>
    <col min="12" max="12" width="11.8359375" style="7" customWidth="1"/>
    <col min="15" max="15" width="17.484375" bestFit="1" customWidth="1"/>
  </cols>
  <sheetData>
    <row r="1" spans="1:16" ht="15.75" thickBot="1" x14ac:dyDescent="0.25">
      <c r="A1" s="16"/>
      <c r="B1" s="16"/>
      <c r="C1" s="16"/>
      <c r="D1" s="16"/>
      <c r="E1" s="16"/>
      <c r="F1" s="16"/>
      <c r="G1" s="16"/>
      <c r="H1" s="16"/>
      <c r="I1" s="16"/>
      <c r="J1" s="16"/>
      <c r="K1" s="16"/>
      <c r="L1" s="41"/>
      <c r="M1" s="16"/>
      <c r="N1" s="16"/>
      <c r="O1" s="16"/>
      <c r="P1" s="16"/>
    </row>
    <row r="2" spans="1:16" ht="16.5" thickTop="1" thickBot="1" x14ac:dyDescent="0.25">
      <c r="A2" s="16"/>
      <c r="B2" s="28" t="s">
        <v>108</v>
      </c>
      <c r="C2" s="42" t="s">
        <v>41</v>
      </c>
      <c r="D2" s="16"/>
      <c r="E2" s="28" t="s">
        <v>109</v>
      </c>
      <c r="F2" s="1328" t="str">
        <f>IF(C2 = "Antigua",TDAntigua[Material],IF(C2 = "Cuba",TDCuba[Material],IF(C2 = "Java",TDJava[Material],IF(C2 = "Fiji",TDFiji[Material],IF(C2 = "Bermuda",TDBermuda[Material],IF(C2 = "Samoa",TDSamoa[Material],""))))))</f>
        <v>MDF</v>
      </c>
      <c r="G2" s="927"/>
      <c r="H2" s="1329"/>
      <c r="I2" s="16"/>
      <c r="J2" s="16"/>
      <c r="K2" s="16"/>
      <c r="L2" s="41"/>
      <c r="M2" s="16"/>
      <c r="N2" s="16"/>
      <c r="O2" s="16"/>
      <c r="P2" s="16"/>
    </row>
    <row r="3" spans="1:16" ht="15.75" thickTop="1" x14ac:dyDescent="0.2">
      <c r="A3" s="16"/>
      <c r="B3" s="16"/>
      <c r="C3" s="16"/>
      <c r="D3" s="16"/>
      <c r="E3" s="16"/>
      <c r="F3" s="16"/>
      <c r="G3" s="16"/>
      <c r="H3" s="16"/>
      <c r="I3" s="16"/>
      <c r="J3" s="16"/>
      <c r="K3" s="16"/>
      <c r="L3" s="41"/>
      <c r="M3" s="16"/>
      <c r="N3" s="16"/>
      <c r="O3" s="16"/>
      <c r="P3" s="16"/>
    </row>
    <row r="4" spans="1:16" ht="15.75" thickBot="1" x14ac:dyDescent="0.25">
      <c r="A4" s="16"/>
      <c r="B4" s="16"/>
      <c r="C4" s="16"/>
      <c r="D4" s="16"/>
      <c r="E4" s="16"/>
      <c r="F4" s="16"/>
      <c r="G4" s="16"/>
      <c r="H4" s="16"/>
      <c r="I4" s="16"/>
      <c r="J4" s="16"/>
      <c r="K4" s="16"/>
      <c r="L4" s="41"/>
      <c r="M4" s="16"/>
      <c r="N4" s="16"/>
      <c r="O4" s="16"/>
      <c r="P4" s="16"/>
    </row>
    <row r="5" spans="1:16" ht="55.5" thickTop="1" x14ac:dyDescent="0.2">
      <c r="A5" s="16"/>
      <c r="B5" s="43" t="s">
        <v>5</v>
      </c>
      <c r="C5" s="44" t="s">
        <v>110</v>
      </c>
      <c r="D5" s="44" t="s">
        <v>111</v>
      </c>
      <c r="E5" s="44" t="s">
        <v>112</v>
      </c>
      <c r="F5" s="44" t="s">
        <v>113</v>
      </c>
      <c r="G5" s="44" t="s">
        <v>114</v>
      </c>
      <c r="H5" s="44" t="s">
        <v>115</v>
      </c>
      <c r="I5" s="44" t="s">
        <v>116</v>
      </c>
      <c r="J5" s="44" t="s">
        <v>117</v>
      </c>
      <c r="K5" s="44" t="s">
        <v>118</v>
      </c>
      <c r="L5" s="44" t="s">
        <v>119</v>
      </c>
      <c r="M5" s="44" t="s">
        <v>120</v>
      </c>
      <c r="N5" s="44" t="s">
        <v>121</v>
      </c>
      <c r="O5" s="45" t="s">
        <v>122</v>
      </c>
      <c r="P5" s="16"/>
    </row>
    <row r="6" spans="1:16" x14ac:dyDescent="0.2">
      <c r="A6" s="16"/>
      <c r="B6" s="46" t="str">
        <f t="array" ref="B6:B10">IF(C2 = "Antigua",TDAntigua[Louvre Size],IF(C2 = "Cuba",TDCuba[Louvre Size],IF(C2 = "Java",TDJava[Louvre Size],IF(C2 = "Fiji",TDFiji[Louvre Size],IF(C2 = "Bermuda",TDBermuda[Louvre Size],IF(C2 = "Samoa",TDSamoa[Louvre Size],))))))</f>
        <v>47 mm</v>
      </c>
      <c r="C6" s="48" t="s">
        <v>123</v>
      </c>
      <c r="D6" s="48" t="str">
        <f t="array" ref="D6:D10">IF(C2 = "Antigua",TDAntigua[Max Width Single],IF(C2 = "Cuba",TDCuba[Max Width Single],IF(C2 = "Java",TDJava[Max Width Single],IF(C2 = "Fiji",TDFiji[Max Width Single],IF(C2 = "Bermuda",TDBermuda[Max Width Single],IF(C2 = "Samoa",TDSamoa[Max Width Single],))))))</f>
        <v>600 mm</v>
      </c>
      <c r="E6" s="50" t="str">
        <f t="array" ref="E6:E10">IF(C2 = "Antigua",TDAntigua[Max Width Bfold],IF(C2 = "Cuba",TDCuba[Max Width Bfold],IF(C2 = "Java",TDJava[Max Width Bfold],IF(C2 = "Fiji",TDFiji[Max Width Bfold],IF(C2 = "Bermuda",TDBermuda[Max Width Bfold],IF(C2 = "Samoa",TDSamoa[Max Width Bfold],))))))</f>
        <v>600 mm</v>
      </c>
      <c r="F6" s="52" t="str">
        <f t="array" ref="F6:F10">IF(C2 = "Antigua",TDAntigua[Max Panels Hinged together],IF(C2 = "Cuba",TDCuba[Max Panels Hinged together],IF(C2 = "Java",TDJava[Max Panels Hinged together],IF(C2 = "Fiji",TDFiji[Max Panels Hinged together],IF(C2 = "Bermuda",TDBermuda[Max Panels Hinged together],IF(C2 = "Samoa",TDSamoa[Max Panels Hinged together],""))))))</f>
        <v>2 (1 If Doorway)</v>
      </c>
      <c r="G6" s="52" t="str">
        <f t="array" ref="G6:G10">IF(C2 = "Antigua",TDAntigua[Max Height],IF(C2 = "Cuba",TDCuba[Max Height],IF(C2 = "Java",TDJava[Max Height],IF(C2 = "Fiji",TDFiji[Max Height],IF(C2 = "Bermuda",TDBermuda[Max Height],IF(C2 = "Samoa",TDSamoa[Max Height],""))))))</f>
        <v>3000 mm (See Tech Spech if Over 2500mm)</v>
      </c>
      <c r="H6" s="48" t="str">
        <f t="array" ref="H6:H10">IF(C2 = "Antigua",TDAntigua[Special Shapes],IF(C2 = "Cuba",TDCuba[Special Shapes],IF(C2 = "Java",TDJava[Special Shapes],IF(C2 = "Fiji",TDFiji[Special Shapes],IF(C2 = "Bermuda",TDBermuda[Special Shapes],IF(C2 = "Samoa",TDSamoa[Special Shapes],""))))))</f>
        <v>No</v>
      </c>
      <c r="I6" s="48" t="str">
        <f t="array" ref="I6:I10">IF(C2 = "Antigua",TDAntigua[Custom Bay Posts],IF(C2 = "Cuba",TDCuba[Custom Bay Posts],IF(C2 = "Java",TDJava[Custom Bay Posts],IF(C2 = "Fiji",TDFiji[Custom Bay Posts],IF(C2 = "Bermuda",TDBermuda[Custom Bay Posts],IF(C2 = "Samoa",TDSamoa[Custom Bay Posts],))))))</f>
        <v>Yes</v>
      </c>
      <c r="J6" s="52" t="str">
        <f t="array" ref="J6:J10">IF(C2 = "Antigua",TDAntigua[Stile Type],IF(C2 = "Cuba",TDCuba[Stile Type],IF(C2 = "Java",TDJava[Stile Type],IF(C2 = "Fiji",TDFiji[Stile Type],IF(C2 = "Bermuda",TDBermuda[Stile Type],IF(C2 = "Samoa",TDSamoa[Stile Type],""))))))</f>
        <v>Beaded or Plain</v>
      </c>
      <c r="K6" s="52" t="str">
        <f t="array" ref="K6:K10">IF($C$2 = "Antigua",TDAntigua[Silent Tilt Split],IF($C$2 = "Cuba",TDCuba[Silent Tilt Split],IF($C$2 = "Java",TDJava[Silent Tilt Split],IF($C$2 = "Fiji",TDFiji[Silent Tilt Split],IF($C$2 = "Bermuda",TDBermuda[Silent Tilt Split],IF($C$2 = "Samoa",TDSamoa[Silent Tilt Split],""))))))</f>
        <v>N/A</v>
      </c>
      <c r="L6" s="48" t="str">
        <f t="array" ref="L6:L10">IF($C$2 = "Antigua",TDAntigua[Midrail Tollerance],IF($C$2 = "Cuba",TDCuba[Midrail Tollerance],IF($C$2 = "Java",TDJava[Midrail Tollerance],IF($C$2 = "Fiji",TDFiji[Midrail Tollerance],IF($C$2 = "Bermuda",TDBermuda[Midrail Tollerance],IF($C$2 = "Samoa",TDSamoa[Midrail Tollerance],""))))))</f>
        <v>+/- 19 mm</v>
      </c>
      <c r="M6" s="48" t="str">
        <f t="array" ref="M6:M10">IF($C$2 = "Antigua",TDAntigua[Max Louvre Split],IF($C$2 = "Cuba",TDCuba[Max Louvre Split],IF($C$2 = "Java",TDJava[Max Louvre Split],IF($C$2 = "Fiji",TDFiji[Max Louvre Split],IF($C$2 = "Bermuda",TDBermuda[Max Louvre Split],IF($C$2 = "Samoa",TDSamoa[Max Louvre Split],""))))))</f>
        <v>N/A</v>
      </c>
      <c r="N6" s="48" t="str">
        <f t="array" ref="N6:N10">IF(C2 = "Antigua",TDAntigua[Fixed Luvres],IF(C2 = "Cuba",TDCuba[Fixed Luvres],IF(C2 = "Java",TDJava[Fixed Luvres],IF(C2 = "Fiji",TDFiji[Fixed Luvres],IF(C2 = "Bermuda",TDBermuda[Fixed Luvres],IF(C2 = "Samoa",TDSamoa[Fixed Luvres],""))))))</f>
        <v>Yes</v>
      </c>
      <c r="O6" s="54" t="str">
        <f t="array" ref="O6:O10">IF(C2 = "Antigua",TDAntigua[Solid Panels],IF(C2 = "Cuba",TDCuba[Solid Panels],IF(C2 = "Java",TDJava[Solid Panels],IF(C2 = "Fiji",TDFiji[Solid Panels],IF(C2 = "Bermuda",TDBermuda[Solid Panels],IF(C2 = "Samoa",TDSamoa[Solid Panels],""))))))</f>
        <v>No</v>
      </c>
      <c r="P6" s="16"/>
    </row>
    <row r="7" spans="1:16" x14ac:dyDescent="0.2">
      <c r="A7" s="16"/>
      <c r="B7" s="46" t="str">
        <v>63 mm</v>
      </c>
      <c r="C7" s="48" t="s">
        <v>123</v>
      </c>
      <c r="D7" s="48" t="str">
        <v>750 mm</v>
      </c>
      <c r="E7" s="50" t="str">
        <v>600 mm</v>
      </c>
      <c r="F7" s="52" t="str">
        <v>2 (1 If Doorway)</v>
      </c>
      <c r="G7" s="52" t="str">
        <v>3000 mm (See Tech Spech if Over 2500mm)</v>
      </c>
      <c r="H7" s="48" t="str">
        <v>No</v>
      </c>
      <c r="I7" s="48" t="str">
        <v>Yes</v>
      </c>
      <c r="J7" s="52" t="str">
        <v>Beaded or Plain</v>
      </c>
      <c r="K7" s="52" t="str">
        <v>&gt;1372 mm</v>
      </c>
      <c r="L7" s="48" t="str">
        <v>+/- 25 mm</v>
      </c>
      <c r="M7" s="48">
        <v>24</v>
      </c>
      <c r="N7" s="48" t="str">
        <v>Yes</v>
      </c>
      <c r="O7" s="54" t="str">
        <v>No</v>
      </c>
      <c r="P7" s="16"/>
    </row>
    <row r="8" spans="1:16" x14ac:dyDescent="0.2">
      <c r="A8" s="16"/>
      <c r="B8" s="46" t="str">
        <v>76 mm</v>
      </c>
      <c r="C8" s="48" t="s">
        <v>124</v>
      </c>
      <c r="D8" s="48" t="str">
        <v>750 mm</v>
      </c>
      <c r="E8" s="50" t="str">
        <v>600 mm</v>
      </c>
      <c r="F8" s="52" t="str">
        <v>2 (1 If Doorway)</v>
      </c>
      <c r="G8" s="52" t="str">
        <v>3000 mm (See Tech Spech if Over 2500mm)</v>
      </c>
      <c r="H8" s="48" t="str">
        <v>No</v>
      </c>
      <c r="I8" s="48" t="str">
        <v>Yes</v>
      </c>
      <c r="J8" s="52" t="str">
        <v>Beaded or Plain</v>
      </c>
      <c r="K8" s="52" t="str">
        <v>&gt;1372 mm</v>
      </c>
      <c r="L8" s="48" t="str">
        <v>+/- 31 mm</v>
      </c>
      <c r="M8" s="48">
        <v>19</v>
      </c>
      <c r="N8" s="48" t="str">
        <v>Yes</v>
      </c>
      <c r="O8" s="54" t="str">
        <v>No</v>
      </c>
      <c r="P8" s="16"/>
    </row>
    <row r="9" spans="1:16" x14ac:dyDescent="0.2">
      <c r="A9" s="16"/>
      <c r="B9" s="46" t="str">
        <v>89 mm</v>
      </c>
      <c r="C9" s="48" t="s">
        <v>125</v>
      </c>
      <c r="D9" s="48" t="str">
        <v>750 mm</v>
      </c>
      <c r="E9" s="50" t="str">
        <v>600 mm</v>
      </c>
      <c r="F9" s="52" t="str">
        <v>2 (1 If Doorway)</v>
      </c>
      <c r="G9" s="52" t="str">
        <v>3000 mm (See Tech Spech if Over 2500mm)</v>
      </c>
      <c r="H9" s="48" t="str">
        <v>No</v>
      </c>
      <c r="I9" s="48" t="str">
        <v>Yes</v>
      </c>
      <c r="J9" s="52" t="str">
        <v>Beaded or Plain</v>
      </c>
      <c r="K9" s="52" t="str">
        <v>&gt;1385 mm</v>
      </c>
      <c r="L9" s="48" t="str">
        <v>+/- 38 mm</v>
      </c>
      <c r="M9" s="48">
        <v>16</v>
      </c>
      <c r="N9" s="48" t="str">
        <v>Yes</v>
      </c>
      <c r="O9" s="54" t="str">
        <v>No</v>
      </c>
      <c r="P9" s="16"/>
    </row>
    <row r="10" spans="1:16" ht="15.75" thickBot="1" x14ac:dyDescent="0.25">
      <c r="A10" s="16"/>
      <c r="B10" s="47" t="str">
        <v>114 mm</v>
      </c>
      <c r="C10" s="49" t="s">
        <v>126</v>
      </c>
      <c r="D10" s="49" t="str">
        <v>750 mm</v>
      </c>
      <c r="E10" s="51" t="str">
        <v>600 mm</v>
      </c>
      <c r="F10" s="53" t="str">
        <v>2 (1 If Doorway)</v>
      </c>
      <c r="G10" s="53" t="str">
        <v>3000 mm (See Tech Spech if Over 2500mm)</v>
      </c>
      <c r="H10" s="49" t="str">
        <v>No</v>
      </c>
      <c r="I10" s="49" t="str">
        <v>Yes</v>
      </c>
      <c r="J10" s="53" t="str">
        <v>Beaded or Plain</v>
      </c>
      <c r="K10" s="53" t="str">
        <v>&gt;1385 mm</v>
      </c>
      <c r="L10" s="49" t="str">
        <v>+/- 51 mm</v>
      </c>
      <c r="M10" s="49">
        <v>12</v>
      </c>
      <c r="N10" s="49" t="str">
        <v>Yes</v>
      </c>
      <c r="O10" s="55" t="str">
        <v>No</v>
      </c>
      <c r="P10" s="16"/>
    </row>
    <row r="11" spans="1:16" ht="15.75" thickTop="1" x14ac:dyDescent="0.2">
      <c r="A11" s="16"/>
      <c r="B11" s="16"/>
      <c r="C11" s="16"/>
      <c r="D11" s="16"/>
      <c r="E11" s="16"/>
      <c r="F11" s="16"/>
      <c r="G11" s="16"/>
      <c r="H11" s="16"/>
      <c r="I11" s="16"/>
      <c r="J11" s="16"/>
      <c r="K11" s="16"/>
      <c r="L11" s="41"/>
      <c r="M11" s="16"/>
      <c r="N11" s="16"/>
      <c r="O11" s="16"/>
      <c r="P11" s="16"/>
    </row>
    <row r="12" spans="1:16" x14ac:dyDescent="0.2">
      <c r="A12" s="16"/>
      <c r="B12" s="16"/>
      <c r="C12" s="16"/>
      <c r="D12" s="16"/>
      <c r="E12" s="16"/>
      <c r="F12" s="16"/>
      <c r="G12" s="16"/>
      <c r="H12" s="16"/>
      <c r="I12" s="16"/>
      <c r="J12" s="16"/>
      <c r="K12" s="16"/>
      <c r="L12" s="41"/>
      <c r="M12" s="16"/>
      <c r="N12" s="16"/>
      <c r="O12" s="16"/>
      <c r="P12" s="16"/>
    </row>
    <row r="13" spans="1:16" x14ac:dyDescent="0.2">
      <c r="A13" s="16"/>
      <c r="B13" s="16"/>
      <c r="C13" s="16"/>
      <c r="D13" s="16"/>
      <c r="E13" s="16"/>
      <c r="F13" s="16"/>
      <c r="G13" s="16"/>
      <c r="H13" s="16"/>
      <c r="I13" s="16"/>
      <c r="J13" s="16"/>
      <c r="K13" s="16"/>
      <c r="L13" s="41"/>
      <c r="M13" s="16"/>
      <c r="N13" s="16"/>
      <c r="O13" s="16"/>
      <c r="P13" s="16"/>
    </row>
    <row r="14" spans="1:16" x14ac:dyDescent="0.2">
      <c r="A14" s="16"/>
      <c r="B14" s="16"/>
      <c r="C14" s="16"/>
      <c r="D14" s="16"/>
      <c r="E14" s="16"/>
      <c r="F14" s="16"/>
      <c r="G14" s="16"/>
      <c r="H14" s="16"/>
      <c r="I14" s="16"/>
      <c r="J14" s="16"/>
      <c r="K14" s="16"/>
      <c r="L14" s="41"/>
      <c r="M14" s="16"/>
      <c r="N14" s="16"/>
      <c r="O14" s="16"/>
      <c r="P14" s="16"/>
    </row>
    <row r="15" spans="1:16" ht="15.75" thickBot="1" x14ac:dyDescent="0.25">
      <c r="A15" s="16"/>
      <c r="B15" s="16"/>
      <c r="C15" s="16"/>
      <c r="D15" s="16"/>
      <c r="E15" s="16"/>
      <c r="F15" s="16"/>
      <c r="G15" s="16"/>
      <c r="H15" s="16"/>
      <c r="I15" s="16"/>
      <c r="J15" s="16"/>
      <c r="K15" s="16"/>
      <c r="M15" s="16"/>
      <c r="N15" s="16"/>
      <c r="O15" s="16"/>
      <c r="P15" s="16"/>
    </row>
    <row r="16" spans="1:16" ht="15.75" thickBot="1" x14ac:dyDescent="0.25">
      <c r="A16" s="16"/>
      <c r="B16" s="1331" t="s">
        <v>127</v>
      </c>
      <c r="C16" s="1332"/>
      <c r="D16" s="1333"/>
      <c r="E16" s="147" t="s">
        <v>128</v>
      </c>
      <c r="F16" s="148"/>
      <c r="G16" s="152" t="s">
        <v>129</v>
      </c>
      <c r="H16" s="1326" t="s">
        <v>130</v>
      </c>
      <c r="I16" s="1330"/>
      <c r="J16" s="1327"/>
      <c r="K16" s="1326" t="s">
        <v>131</v>
      </c>
      <c r="L16" s="1327"/>
      <c r="M16" s="16"/>
      <c r="N16" s="16"/>
      <c r="O16" s="16"/>
      <c r="P16" s="16"/>
    </row>
    <row r="17" spans="1:16" ht="15.75" thickBot="1" x14ac:dyDescent="0.25">
      <c r="A17" s="16"/>
      <c r="B17" s="46" t="str">
        <f t="array" ref="B17:B21">IF(C2 = "Antigua",TDAntigua[Louvre Size],IF(C2 = "Cuba",TDCuba[Louvre Size],IF(C2 = "Java",TDJava[Louvre Size],IF(C2 = "Fiji",TDFiji[Louvre Size],IF(C2 = "Bermuda",TDBermuda[Louvre Size],IF(C2 = "Samoa",TDSamoa[Louvre Size],))))))</f>
        <v>47 mm</v>
      </c>
      <c r="C17" s="142" t="str">
        <f t="array" ref="C17">TDAntigua[Max Width Tracked]</f>
        <v>600 mm (2 Max)</v>
      </c>
      <c r="D17" s="143"/>
      <c r="E17" s="149" t="str">
        <f t="array" ref="E17">IF($C$2 = "Antigua",TDAntigua[Top Track Only],IF($C$2 = "Cuba",TDCuba[Top Track Only],IF($C$2 = "Java",TDJava[Top Track Only],IF($C$2 = "Fiji",TDFiji[Top Track Only],IF($C$2 = "Bermuda",TDBermuda[Top Track Only],IF($C$2 = "Samoa",TDSamoa[Top Track Only],))))))</f>
        <v>N/A</v>
      </c>
      <c r="F17" s="146"/>
      <c r="G17" s="150">
        <f t="array" ref="G17">IF($C$2 = "Antigua",TDAntigua[Midrail Height],IF($C$2 = "Cuba",TDCuba[Midrail Height],IF($C$2 = "Java",TDJava[Midrail Height],IF($C$2 = "Fiji",TDFiji[Midrail Height],IF($C$2 = "Bermuda",TDBermuda[Midrail Height],IF($C$2 = "Samoa",TDSamoa[Midrail Height],))))))</f>
        <v>76.2</v>
      </c>
      <c r="H17" s="153" t="str">
        <f t="array" ref="H17">IF($C$2 = "Antigua",TDAntigua[Midrail Required],IF($C$2 = "Cuba",TDCuba[Midrail Required],IF($C$2 = "Java",TDJava[Midrail Required],IF($C$2 = "Fiji",TDFiji[Midrail Required],IF($C$2 = "Bermuda",TDBermuda[Midrail Required],IF($C$2 = "Samoa",TDSamoa[Midrail Required],))))))</f>
        <v>&gt;1879 mm</v>
      </c>
      <c r="I17" s="151"/>
      <c r="J17" s="144"/>
      <c r="K17" s="156" t="str">
        <f t="array" ref="K17">IF($C$2 = "Antigua",TDAntigua[Bifold/Bipass],IF($C$2 = "Cuba",TDCuba[Bifold/Bipass],IF($C$2 = "Java",TDJava[Bifold/Bipass],IF($C$2 = "Fiji",TDFiji[Bifold/Bipass],IF($C$2 = "Bermuda",TDBermuda[Bifold/Bipass],IF($C$2 = "Samoa",TDSamoa[Bifold/Bipass],))))))</f>
        <v>Yes / Yes</v>
      </c>
      <c r="L17" s="154"/>
      <c r="M17" s="16"/>
      <c r="N17" s="16"/>
      <c r="O17" s="16"/>
      <c r="P17" s="16"/>
    </row>
    <row r="18" spans="1:16" ht="15.75" thickBot="1" x14ac:dyDescent="0.25">
      <c r="A18" s="16"/>
      <c r="B18" s="46" t="str">
        <v>63 mm</v>
      </c>
      <c r="C18" s="142" t="str">
        <f t="array" ref="C18">TDAntigua[Max Width Tracked]</f>
        <v>600 mm (2 Max)</v>
      </c>
      <c r="D18" s="145"/>
      <c r="E18" s="149" t="str">
        <f t="array" ref="E18">IF($C$2 = "Antigua",TDAntigua[Top Track Only],IF($C$2 = "Cuba",TDCuba[Top Track Only],IF($C$2 = "Java",TDJava[Top Track Only],IF($C$2 = "Fiji",TDFiji[Top Track Only],IF($C$2 = "Bermuda",TDBermuda[Top Track Only],IF($C$2 = "Samoa",TDSamoa[Top Track Only],))))))</f>
        <v>N/A</v>
      </c>
      <c r="F18" s="146"/>
      <c r="G18" s="150">
        <f t="array" ref="G18">IF($C$2 = "Antigua",TDAntigua[Midrail Height],IF($C$2 = "Cuba",TDCuba[Midrail Height],IF($C$2 = "Java",TDJava[Midrail Height],IF($C$2 = "Fiji",TDFiji[Midrail Height],IF($C$2 = "Bermuda",TDBermuda[Midrail Height],IF($C$2 = "Samoa",TDSamoa[Midrail Height],))))))</f>
        <v>76.2</v>
      </c>
      <c r="H18" s="153" t="str">
        <f t="array" ref="H18">IF($C$2 = "Antigua",TDAntigua[Midrail Required],IF($C$2 = "Cuba",TDCuba[Midrail Required],IF($C$2 = "Java",TDJava[Midrail Required],IF($C$2 = "Fiji",TDFiji[Midrail Required],IF($C$2 = "Bermuda",TDBermuda[Midrail Required],IF($C$2 = "Samoa",TDSamoa[Midrail Required],))))))</f>
        <v>&gt;1879 mm</v>
      </c>
      <c r="I18" s="151"/>
      <c r="J18" s="144"/>
      <c r="K18" s="156" t="str">
        <f t="array" ref="K18">IF($C$2 = "Antigua",TDAntigua[Bifold/Bipass],IF($C$2 = "Cuba",TDCuba[Bifold/Bipass],IF($C$2 = "Java",TDJava[Bifold/Bipass],IF($C$2 = "Fiji",TDFiji[Bifold/Bipass],IF($C$2 = "Bermuda",TDBermuda[Bifold/Bipass],IF($C$2 = "Samoa",TDSamoa[Bifold/Bipass],))))))</f>
        <v>Yes / Yes</v>
      </c>
      <c r="L18" s="155"/>
      <c r="M18" s="16"/>
      <c r="N18" s="16"/>
      <c r="O18" s="16"/>
      <c r="P18" s="16"/>
    </row>
    <row r="19" spans="1:16" ht="15.75" thickBot="1" x14ac:dyDescent="0.25">
      <c r="A19" s="16"/>
      <c r="B19" s="46" t="str">
        <v>76 mm</v>
      </c>
      <c r="C19" s="142" t="str">
        <f t="array" ref="C19">TDAntigua[Max Width Tracked]</f>
        <v>600 mm (2 Max)</v>
      </c>
      <c r="D19" s="146"/>
      <c r="E19" s="149" t="str">
        <f t="array" ref="E19">IF($C$2 = "Antigua",TDAntigua[Top Track Only],IF($C$2 = "Cuba",TDCuba[Top Track Only],IF($C$2 = "Java",TDJava[Top Track Only],IF($C$2 = "Fiji",TDFiji[Top Track Only],IF($C$2 = "Bermuda",TDBermuda[Top Track Only],IF($C$2 = "Samoa",TDSamoa[Top Track Only],))))))</f>
        <v>N/A</v>
      </c>
      <c r="F19" s="146"/>
      <c r="G19" s="150">
        <f t="array" ref="G19">IF($C$2 = "Antigua",TDAntigua[Midrail Height],IF($C$2 = "Cuba",TDCuba[Midrail Height],IF($C$2 = "Java",TDJava[Midrail Height],IF($C$2 = "Fiji",TDFiji[Midrail Height],IF($C$2 = "Bermuda",TDBermuda[Midrail Height],IF($C$2 = "Samoa",TDSamoa[Midrail Height],))))))</f>
        <v>76.2</v>
      </c>
      <c r="H19" s="153" t="str">
        <f t="array" ref="H19">IF($C$2 = "Antigua",TDAntigua[Midrail Required],IF($C$2 = "Cuba",TDCuba[Midrail Required],IF($C$2 = "Java",TDJava[Midrail Required],IF($C$2 = "Fiji",TDFiji[Midrail Required],IF($C$2 = "Bermuda",TDBermuda[Midrail Required],IF($C$2 = "Samoa",TDSamoa[Midrail Required],))))))</f>
        <v>&gt;1879 mm</v>
      </c>
      <c r="I19" s="151"/>
      <c r="J19" s="144"/>
      <c r="K19" s="156" t="str">
        <f t="array" ref="K19">IF($C$2 = "Antigua",TDAntigua[Bifold/Bipass],IF($C$2 = "Cuba",TDCuba[Bifold/Bipass],IF($C$2 = "Java",TDJava[Bifold/Bipass],IF($C$2 = "Fiji",TDFiji[Bifold/Bipass],IF($C$2 = "Bermuda",TDBermuda[Bifold/Bipass],IF($C$2 = "Samoa",TDSamoa[Bifold/Bipass],))))))</f>
        <v>Yes / Yes</v>
      </c>
      <c r="L19" s="155"/>
      <c r="M19" s="16"/>
      <c r="N19" s="16"/>
      <c r="O19" s="16"/>
      <c r="P19" s="16"/>
    </row>
    <row r="20" spans="1:16" ht="15.75" thickBot="1" x14ac:dyDescent="0.25">
      <c r="A20" s="16"/>
      <c r="B20" s="46" t="str">
        <v>89 mm</v>
      </c>
      <c r="C20" s="142" t="str">
        <f t="array" ref="C20">TDAntigua[Max Width Tracked]</f>
        <v>600 mm (2 Max)</v>
      </c>
      <c r="D20" s="143"/>
      <c r="E20" s="149" t="str">
        <f t="array" ref="E20">IF($C$2 = "Antigua",TDAntigua[Top Track Only],IF($C$2 = "Cuba",TDCuba[Top Track Only],IF($C$2 = "Java",TDJava[Top Track Only],IF($C$2 = "Fiji",TDFiji[Top Track Only],IF($C$2 = "Bermuda",TDBermuda[Top Track Only],IF($C$2 = "Samoa",TDSamoa[Top Track Only],))))))</f>
        <v>N/A</v>
      </c>
      <c r="F20" s="146"/>
      <c r="G20" s="150">
        <f t="array" ref="G20">IF($C$2 = "Antigua",TDAntigua[Midrail Height],IF($C$2 = "Cuba",TDCuba[Midrail Height],IF($C$2 = "Java",TDJava[Midrail Height],IF($C$2 = "Fiji",TDFiji[Midrail Height],IF($C$2 = "Bermuda",TDBermuda[Midrail Height],IF($C$2 = "Samoa",TDSamoa[Midrail Height],))))))</f>
        <v>76.2</v>
      </c>
      <c r="H20" s="153" t="str">
        <f t="array" ref="H20">IF($C$2 = "Antigua",TDAntigua[Midrail Required],IF($C$2 = "Cuba",TDCuba[Midrail Required],IF($C$2 = "Java",TDJava[Midrail Required],IF($C$2 = "Fiji",TDFiji[Midrail Required],IF($C$2 = "Bermuda",TDBermuda[Midrail Required],IF($C$2 = "Samoa",TDSamoa[Midrail Required],))))))</f>
        <v>&gt;1879 mm</v>
      </c>
      <c r="I20" s="151"/>
      <c r="J20" s="144"/>
      <c r="K20" s="156" t="str">
        <f t="array" ref="K20">IF($C$2 = "Antigua",TDAntigua[Bifold/Bipass],IF($C$2 = "Cuba",TDCuba[Bifold/Bipass],IF($C$2 = "Java",TDJava[Bifold/Bipass],IF($C$2 = "Fiji",TDFiji[Bifold/Bipass],IF($C$2 = "Bermuda",TDBermuda[Bifold/Bipass],IF($C$2 = "Samoa",TDSamoa[Bifold/Bipass],))))))</f>
        <v>Yes / Yes</v>
      </c>
      <c r="L20" s="155"/>
      <c r="M20" s="16"/>
      <c r="N20" s="16"/>
      <c r="O20" s="16"/>
      <c r="P20" s="16"/>
    </row>
    <row r="21" spans="1:16" ht="15.75" thickBot="1" x14ac:dyDescent="0.25">
      <c r="A21" s="16"/>
      <c r="B21" s="47" t="str">
        <v>114 mm</v>
      </c>
      <c r="C21" s="142" t="str">
        <f t="array" ref="C21">TDAntigua[Max Width Tracked]</f>
        <v>600 mm (2 Max)</v>
      </c>
      <c r="D21" s="143"/>
      <c r="E21" s="149" t="str">
        <f t="array" ref="E21">IF($C$2 = "Antigua",TDAntigua[Top Track Only],IF($C$2 = "Cuba",TDCuba[Top Track Only],IF($C$2 = "Java",TDJava[Top Track Only],IF($C$2 = "Fiji",TDFiji[Top Track Only],IF($C$2 = "Bermuda",TDBermuda[Top Track Only],IF($C$2 = "Samoa",TDSamoa[Top Track Only],))))))</f>
        <v>N/A</v>
      </c>
      <c r="F21" s="146"/>
      <c r="G21" s="150">
        <f t="array" ref="G21">IF($C$2 = "Antigua",TDAntigua[Midrail Height],IF($C$2 = "Cuba",TDCuba[Midrail Height],IF($C$2 = "Java",TDJava[Midrail Height],IF($C$2 = "Fiji",TDFiji[Midrail Height],IF($C$2 = "Bermuda",TDBermuda[Midrail Height],IF($C$2 = "Samoa",TDSamoa[Midrail Height],))))))</f>
        <v>76.2</v>
      </c>
      <c r="H21" s="153" t="str">
        <f t="array" ref="H21">IF($C$2 = "Antigua",TDAntigua[Midrail Required],IF($C$2 = "Cuba",TDCuba[Midrail Required],IF($C$2 = "Java",TDJava[Midrail Required],IF($C$2 = "Fiji",TDFiji[Midrail Required],IF($C$2 = "Bermuda",TDBermuda[Midrail Required],IF($C$2 = "Samoa",TDSamoa[Midrail Required],))))))</f>
        <v>&gt;1879 mm</v>
      </c>
      <c r="I21" s="151"/>
      <c r="J21" s="144"/>
      <c r="K21" s="156" t="str">
        <f t="array" ref="K21">IF($C$2 = "Antigua",TDAntigua[Bifold/Bipass],IF($C$2 = "Cuba",TDCuba[Bifold/Bipass],IF($C$2 = "Java",TDJava[Bifold/Bipass],IF($C$2 = "Fiji",TDFiji[Bifold/Bipass],IF($C$2 = "Bermuda",TDBermuda[Bifold/Bipass],IF($C$2 = "Samoa",TDSamoa[Bifold/Bipass],))))))</f>
        <v>Yes / Yes</v>
      </c>
      <c r="L21" s="155"/>
      <c r="M21" s="16"/>
      <c r="N21" s="16"/>
      <c r="O21" s="16"/>
      <c r="P21" s="16"/>
    </row>
    <row r="22" spans="1:16" ht="15.75" thickTop="1" x14ac:dyDescent="0.2">
      <c r="A22" s="16"/>
      <c r="B22" s="16"/>
      <c r="C22" s="16"/>
      <c r="D22" s="16"/>
      <c r="E22" s="16"/>
      <c r="F22" s="16"/>
      <c r="G22" s="16"/>
      <c r="H22" s="16"/>
      <c r="I22" s="16"/>
      <c r="J22" s="16"/>
      <c r="K22" s="16"/>
      <c r="L22" s="41"/>
      <c r="M22" s="16"/>
      <c r="N22" s="16"/>
      <c r="O22" s="16"/>
      <c r="P22" s="16"/>
    </row>
    <row r="23" spans="1:16" x14ac:dyDescent="0.2">
      <c r="A23" s="16"/>
      <c r="B23" s="16"/>
      <c r="C23" s="16"/>
      <c r="D23" s="16"/>
      <c r="E23" s="16"/>
      <c r="F23" s="16"/>
      <c r="G23" s="16"/>
      <c r="H23" s="16"/>
      <c r="I23" s="16"/>
      <c r="J23" s="16"/>
      <c r="K23" s="16"/>
      <c r="L23" s="41"/>
      <c r="M23" s="16"/>
      <c r="N23" s="16"/>
      <c r="O23" s="16"/>
      <c r="P23" s="16"/>
    </row>
    <row r="24" spans="1:16" x14ac:dyDescent="0.2">
      <c r="A24" s="16"/>
      <c r="B24" s="16"/>
      <c r="C24" s="16"/>
      <c r="D24" s="16"/>
      <c r="E24" s="16"/>
      <c r="F24" s="16"/>
      <c r="G24" s="16"/>
      <c r="H24" s="16"/>
      <c r="I24" s="16"/>
      <c r="J24" s="16"/>
      <c r="K24" s="16"/>
      <c r="L24" s="41"/>
      <c r="M24" s="16"/>
      <c r="N24" s="16"/>
      <c r="O24" s="16"/>
      <c r="P24" s="16"/>
    </row>
    <row r="25" spans="1:16" x14ac:dyDescent="0.2">
      <c r="A25" s="16"/>
      <c r="B25" s="16"/>
      <c r="C25" s="16"/>
      <c r="D25" s="16"/>
      <c r="E25" s="16"/>
      <c r="F25" s="16"/>
      <c r="G25" s="16"/>
      <c r="H25" s="16"/>
      <c r="I25" s="16"/>
      <c r="J25" s="16"/>
      <c r="K25" s="16"/>
      <c r="L25" s="41"/>
      <c r="M25" s="16"/>
      <c r="N25" s="16"/>
      <c r="O25" s="16"/>
      <c r="P25" s="16"/>
    </row>
    <row r="26" spans="1:16" x14ac:dyDescent="0.2">
      <c r="A26" s="16"/>
      <c r="B26" s="16"/>
      <c r="C26" s="16"/>
      <c r="D26" s="16"/>
      <c r="E26" s="16"/>
      <c r="F26" s="16"/>
      <c r="G26" s="16"/>
      <c r="H26" s="16"/>
      <c r="I26" s="16"/>
      <c r="J26" s="16"/>
      <c r="K26" s="16"/>
      <c r="L26" s="41"/>
      <c r="M26" s="16"/>
      <c r="N26" s="16"/>
      <c r="O26" s="16"/>
      <c r="P26" s="16"/>
    </row>
    <row r="27" spans="1:16" x14ac:dyDescent="0.2">
      <c r="A27" s="16"/>
      <c r="B27" s="16"/>
      <c r="C27" s="16"/>
      <c r="D27" s="16"/>
      <c r="E27" s="16"/>
      <c r="F27" s="16"/>
      <c r="G27" s="16"/>
      <c r="H27" s="16"/>
      <c r="I27" s="16"/>
      <c r="J27" s="16"/>
      <c r="K27" s="16"/>
      <c r="L27" s="41"/>
      <c r="M27" s="16"/>
      <c r="N27" s="16"/>
      <c r="O27" s="16"/>
      <c r="P27" s="16"/>
    </row>
    <row r="28" spans="1:16" x14ac:dyDescent="0.2">
      <c r="B28" s="16"/>
      <c r="C28" s="16"/>
      <c r="D28" s="16"/>
      <c r="E28" s="16"/>
      <c r="F28" s="16"/>
      <c r="G28" s="16"/>
      <c r="H28" s="16"/>
      <c r="I28" s="16"/>
      <c r="J28" s="16"/>
      <c r="K28" s="16"/>
      <c r="L28" s="41"/>
      <c r="M28" s="16"/>
      <c r="N28" s="16"/>
    </row>
  </sheetData>
  <mergeCells count="4">
    <mergeCell ref="K16:L16"/>
    <mergeCell ref="F2:H2"/>
    <mergeCell ref="H16:J16"/>
    <mergeCell ref="B16:D16"/>
  </mergeCells>
  <dataValidations count="1">
    <dataValidation type="list" allowBlank="1" showInputMessage="1" showErrorMessage="1" sqref="C2" xr:uid="{EAC351C9-AC7A-48A4-A78D-E0B51E774925}">
      <formula1>MMaterial</formula1>
    </dataValidation>
  </dataValidations>
  <pageMargins left="0.7" right="0.7" top="0.75" bottom="0.75" header="0.3" footer="0.3"/>
  <pageSetup paperSize="9" orientation="portrait" horizontalDpi="4294967293" vertic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B653-8197-46A8-A8E6-BD1336EF172F}">
  <sheetPr codeName="Sheet24"/>
  <dimension ref="A1:E41"/>
  <sheetViews>
    <sheetView zoomScaleNormal="100" workbookViewId="0">
      <selection activeCell="F13" sqref="F13"/>
    </sheetView>
  </sheetViews>
  <sheetFormatPr defaultRowHeight="15" x14ac:dyDescent="0.2"/>
  <cols>
    <col min="1" max="1" width="19.50390625" bestFit="1" customWidth="1"/>
    <col min="2" max="2" width="18.29296875" bestFit="1" customWidth="1"/>
    <col min="3" max="3" width="8.875" customWidth="1"/>
    <col min="4" max="4" width="32.1484375" customWidth="1"/>
    <col min="5" max="5" width="11.56640625" bestFit="1" customWidth="1"/>
  </cols>
  <sheetData>
    <row r="1" spans="1:5" x14ac:dyDescent="0.2">
      <c r="A1" s="763" t="s">
        <v>820</v>
      </c>
      <c r="B1" s="763"/>
      <c r="D1" s="763" t="s">
        <v>819</v>
      </c>
      <c r="E1" s="763"/>
    </row>
    <row r="2" spans="1:5" x14ac:dyDescent="0.2">
      <c r="A2" s="389" t="s">
        <v>3</v>
      </c>
      <c r="B2" s="29" t="s">
        <v>839</v>
      </c>
      <c r="D2" s="29" t="s">
        <v>672</v>
      </c>
      <c r="E2" s="29" t="s">
        <v>815</v>
      </c>
    </row>
    <row r="3" spans="1:5" x14ac:dyDescent="0.2">
      <c r="A3" s="29" t="s">
        <v>821</v>
      </c>
      <c r="B3" s="29" t="s">
        <v>840</v>
      </c>
      <c r="D3" s="29" t="s">
        <v>111</v>
      </c>
      <c r="E3" s="29" t="s">
        <v>816</v>
      </c>
    </row>
    <row r="4" spans="1:5" x14ac:dyDescent="0.2">
      <c r="A4" s="29" t="s">
        <v>822</v>
      </c>
      <c r="B4" s="29" t="s">
        <v>841</v>
      </c>
      <c r="D4" s="29" t="s">
        <v>843</v>
      </c>
      <c r="E4" s="29" t="s">
        <v>844</v>
      </c>
    </row>
    <row r="5" spans="1:5" x14ac:dyDescent="0.2">
      <c r="A5" s="29" t="s">
        <v>70</v>
      </c>
      <c r="B5" s="390" t="s">
        <v>145</v>
      </c>
      <c r="D5" s="29" t="s">
        <v>845</v>
      </c>
      <c r="E5" s="390" t="s">
        <v>145</v>
      </c>
    </row>
    <row r="6" spans="1:5" x14ac:dyDescent="0.2">
      <c r="A6" s="763" t="s">
        <v>823</v>
      </c>
      <c r="B6" s="763"/>
      <c r="D6" s="29" t="s">
        <v>846</v>
      </c>
      <c r="E6" s="29" t="s">
        <v>847</v>
      </c>
    </row>
    <row r="7" spans="1:5" x14ac:dyDescent="0.2">
      <c r="A7" s="29" t="s">
        <v>379</v>
      </c>
      <c r="B7" s="29" t="s">
        <v>697</v>
      </c>
      <c r="D7" s="29" t="s">
        <v>114</v>
      </c>
      <c r="E7" s="29" t="s">
        <v>848</v>
      </c>
    </row>
    <row r="8" spans="1:5" x14ac:dyDescent="0.2">
      <c r="A8" s="29" t="s">
        <v>824</v>
      </c>
      <c r="B8" s="29" t="s">
        <v>697</v>
      </c>
      <c r="D8" s="29" t="s">
        <v>849</v>
      </c>
      <c r="E8" s="29" t="s">
        <v>850</v>
      </c>
    </row>
    <row r="9" spans="1:5" x14ac:dyDescent="0.2">
      <c r="A9" s="29" t="s">
        <v>825</v>
      </c>
      <c r="B9" s="29" t="s">
        <v>697</v>
      </c>
      <c r="D9" s="29" t="s">
        <v>851</v>
      </c>
      <c r="E9" s="29" t="s">
        <v>145</v>
      </c>
    </row>
    <row r="10" spans="1:5" x14ac:dyDescent="0.2">
      <c r="A10" s="29" t="s">
        <v>389</v>
      </c>
      <c r="B10" s="29" t="s">
        <v>697</v>
      </c>
      <c r="D10" s="1258" t="s">
        <v>852</v>
      </c>
      <c r="E10" s="1334" t="s">
        <v>853</v>
      </c>
    </row>
    <row r="11" spans="1:5" x14ac:dyDescent="0.2">
      <c r="A11" s="29" t="s">
        <v>406</v>
      </c>
      <c r="B11" s="390" t="s">
        <v>145</v>
      </c>
      <c r="D11" s="1258"/>
      <c r="E11" s="1334"/>
    </row>
    <row r="12" spans="1:5" x14ac:dyDescent="0.2">
      <c r="A12" s="29" t="s">
        <v>826</v>
      </c>
      <c r="B12" s="29" t="s">
        <v>697</v>
      </c>
      <c r="D12" s="29" t="s">
        <v>882</v>
      </c>
      <c r="E12" s="29" t="s">
        <v>883</v>
      </c>
    </row>
    <row r="13" spans="1:5" x14ac:dyDescent="0.2">
      <c r="A13" s="29" t="s">
        <v>827</v>
      </c>
      <c r="B13" s="390" t="s">
        <v>145</v>
      </c>
    </row>
    <row r="14" spans="1:5" x14ac:dyDescent="0.2">
      <c r="A14" s="29" t="s">
        <v>828</v>
      </c>
      <c r="B14" s="390" t="s">
        <v>145</v>
      </c>
    </row>
    <row r="15" spans="1:5" x14ac:dyDescent="0.2">
      <c r="A15" s="29" t="s">
        <v>72</v>
      </c>
      <c r="B15" s="390" t="s">
        <v>145</v>
      </c>
      <c r="D15" s="763" t="s">
        <v>854</v>
      </c>
      <c r="E15" s="763"/>
    </row>
    <row r="16" spans="1:5" x14ac:dyDescent="0.2">
      <c r="A16" s="29" t="s">
        <v>436</v>
      </c>
      <c r="B16" s="390" t="s">
        <v>145</v>
      </c>
      <c r="D16" s="29" t="s">
        <v>855</v>
      </c>
      <c r="E16" s="29" t="s">
        <v>817</v>
      </c>
    </row>
    <row r="17" spans="1:5" x14ac:dyDescent="0.2">
      <c r="A17" s="763" t="s">
        <v>829</v>
      </c>
      <c r="B17" s="763"/>
      <c r="D17" s="29" t="s">
        <v>856</v>
      </c>
      <c r="E17" s="29" t="s">
        <v>857</v>
      </c>
    </row>
    <row r="18" spans="1:5" x14ac:dyDescent="0.2">
      <c r="A18" s="29" t="s">
        <v>830</v>
      </c>
      <c r="B18" s="391" t="s">
        <v>697</v>
      </c>
      <c r="D18" s="29" t="s">
        <v>845</v>
      </c>
      <c r="E18" s="390" t="s">
        <v>145</v>
      </c>
    </row>
    <row r="19" spans="1:5" x14ac:dyDescent="0.2">
      <c r="A19" s="29" t="s">
        <v>831</v>
      </c>
      <c r="B19" s="390" t="s">
        <v>145</v>
      </c>
      <c r="D19" s="29" t="s">
        <v>858</v>
      </c>
      <c r="E19" s="29" t="s">
        <v>859</v>
      </c>
    </row>
    <row r="20" spans="1:5" x14ac:dyDescent="0.2">
      <c r="A20" s="29" t="s">
        <v>832</v>
      </c>
      <c r="B20" s="391" t="s">
        <v>697</v>
      </c>
      <c r="D20" s="29" t="s">
        <v>860</v>
      </c>
      <c r="E20" s="29" t="s">
        <v>861</v>
      </c>
    </row>
    <row r="21" spans="1:5" x14ac:dyDescent="0.2">
      <c r="A21" s="763" t="s">
        <v>833</v>
      </c>
      <c r="B21" s="763"/>
      <c r="D21" s="29" t="s">
        <v>862</v>
      </c>
      <c r="E21" s="29" t="s">
        <v>863</v>
      </c>
    </row>
    <row r="22" spans="1:5" x14ac:dyDescent="0.2">
      <c r="A22" s="29" t="s">
        <v>392</v>
      </c>
      <c r="B22" s="29" t="s">
        <v>697</v>
      </c>
      <c r="D22" s="29" t="s">
        <v>864</v>
      </c>
      <c r="E22" s="29" t="s">
        <v>865</v>
      </c>
    </row>
    <row r="23" spans="1:5" x14ac:dyDescent="0.2">
      <c r="A23" s="29" t="s">
        <v>401</v>
      </c>
      <c r="B23" s="29" t="s">
        <v>697</v>
      </c>
      <c r="D23" s="29" t="s">
        <v>886</v>
      </c>
      <c r="E23" s="29" t="s">
        <v>866</v>
      </c>
    </row>
    <row r="24" spans="1:5" x14ac:dyDescent="0.2">
      <c r="A24" s="29" t="s">
        <v>409</v>
      </c>
      <c r="B24" s="29" t="s">
        <v>697</v>
      </c>
      <c r="D24" s="29" t="s">
        <v>867</v>
      </c>
      <c r="E24" s="390" t="s">
        <v>145</v>
      </c>
    </row>
    <row r="25" spans="1:5" x14ac:dyDescent="0.2">
      <c r="A25" s="29" t="s">
        <v>417</v>
      </c>
      <c r="B25" s="390" t="s">
        <v>145</v>
      </c>
    </row>
    <row r="26" spans="1:5" x14ac:dyDescent="0.2">
      <c r="A26" s="29" t="s">
        <v>834</v>
      </c>
      <c r="B26" s="390" t="s">
        <v>145</v>
      </c>
    </row>
    <row r="27" spans="1:5" x14ac:dyDescent="0.2">
      <c r="A27" s="29" t="s">
        <v>835</v>
      </c>
      <c r="B27" s="390" t="s">
        <v>145</v>
      </c>
    </row>
    <row r="28" spans="1:5" x14ac:dyDescent="0.2">
      <c r="A28" s="29" t="s">
        <v>795</v>
      </c>
      <c r="B28" s="392" t="s">
        <v>842</v>
      </c>
    </row>
    <row r="29" spans="1:5" x14ac:dyDescent="0.2">
      <c r="A29" s="763" t="s">
        <v>836</v>
      </c>
      <c r="B29" s="763"/>
    </row>
    <row r="30" spans="1:5" x14ac:dyDescent="0.2">
      <c r="A30" s="29" t="s">
        <v>837</v>
      </c>
      <c r="B30" s="29" t="s">
        <v>697</v>
      </c>
    </row>
    <row r="31" spans="1:5" x14ac:dyDescent="0.2">
      <c r="A31" s="29" t="s">
        <v>838</v>
      </c>
      <c r="B31" s="29" t="s">
        <v>697</v>
      </c>
    </row>
    <row r="33" spans="1:3" x14ac:dyDescent="0.2">
      <c r="B33" s="28" t="s">
        <v>672</v>
      </c>
      <c r="C33" s="28" t="s">
        <v>869</v>
      </c>
    </row>
    <row r="34" spans="1:3" x14ac:dyDescent="0.2">
      <c r="A34" s="29" t="s">
        <v>868</v>
      </c>
      <c r="B34" s="29" t="s">
        <v>817</v>
      </c>
      <c r="C34" s="29" t="s">
        <v>818</v>
      </c>
    </row>
    <row r="35" spans="1:3" x14ac:dyDescent="0.2">
      <c r="A35" s="29" t="s">
        <v>870</v>
      </c>
      <c r="B35" s="29" t="s">
        <v>876</v>
      </c>
      <c r="C35" s="29" t="s">
        <v>879</v>
      </c>
    </row>
    <row r="36" spans="1:3" x14ac:dyDescent="0.2">
      <c r="A36" s="29" t="s">
        <v>871</v>
      </c>
      <c r="B36" s="29" t="s">
        <v>876</v>
      </c>
      <c r="C36" s="29" t="s">
        <v>880</v>
      </c>
    </row>
    <row r="37" spans="1:3" x14ac:dyDescent="0.2">
      <c r="A37" s="29" t="s">
        <v>872</v>
      </c>
      <c r="B37" s="29" t="s">
        <v>877</v>
      </c>
      <c r="C37" s="29" t="s">
        <v>881</v>
      </c>
    </row>
    <row r="38" spans="1:3" x14ac:dyDescent="0.2">
      <c r="A38" s="29" t="s">
        <v>873</v>
      </c>
      <c r="B38" s="390" t="s">
        <v>145</v>
      </c>
      <c r="C38" s="390" t="s">
        <v>145</v>
      </c>
    </row>
    <row r="39" spans="1:3" x14ac:dyDescent="0.2">
      <c r="A39" s="29" t="s">
        <v>874</v>
      </c>
      <c r="B39" s="29" t="s">
        <v>878</v>
      </c>
      <c r="C39" s="29" t="s">
        <v>878</v>
      </c>
    </row>
    <row r="40" spans="1:3" x14ac:dyDescent="0.2">
      <c r="A40" s="29" t="s">
        <v>875</v>
      </c>
      <c r="B40" s="29" t="s">
        <v>878</v>
      </c>
      <c r="C40" s="29" t="s">
        <v>878</v>
      </c>
    </row>
    <row r="41" spans="1:3" x14ac:dyDescent="0.2">
      <c r="A41" s="29"/>
      <c r="B41" s="29"/>
      <c r="C41" s="29"/>
    </row>
  </sheetData>
  <sheetProtection algorithmName="SHA-512" hashValue="dK3/kb4y5TbSfZkeWM3VIGobRxWRPP90QV6ZlQ+o/wWhWqc1jHzbY695xEgkXylQWfK8Ap5cbwDs3TqaD0+GgA==" saltValue="prfbX/f+uTiJ5E6X9WEiUg==" spinCount="100000" sheet="1" objects="1" scenarios="1"/>
  <mergeCells count="9">
    <mergeCell ref="A17:B17"/>
    <mergeCell ref="A21:B21"/>
    <mergeCell ref="A29:B29"/>
    <mergeCell ref="D1:E1"/>
    <mergeCell ref="D10:D11"/>
    <mergeCell ref="E10:E11"/>
    <mergeCell ref="D15:E15"/>
    <mergeCell ref="A1:B1"/>
    <mergeCell ref="A6:B6"/>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79A6A-49C3-4187-932F-B80925E11DF9}">
  <sheetPr codeName="Sheet25"/>
  <dimension ref="A1:F41"/>
  <sheetViews>
    <sheetView zoomScaleNormal="100" workbookViewId="0">
      <selection activeCell="E6" sqref="E6"/>
    </sheetView>
  </sheetViews>
  <sheetFormatPr defaultRowHeight="15" x14ac:dyDescent="0.2"/>
  <cols>
    <col min="1" max="1" width="19.50390625" bestFit="1" customWidth="1"/>
    <col min="2" max="2" width="18.29296875" bestFit="1" customWidth="1"/>
    <col min="3" max="3" width="8.875" customWidth="1"/>
    <col min="4" max="4" width="32.1484375" customWidth="1"/>
    <col min="5" max="5" width="11.56640625" bestFit="1" customWidth="1"/>
  </cols>
  <sheetData>
    <row r="1" spans="1:6" x14ac:dyDescent="0.2">
      <c r="A1" s="763" t="s">
        <v>820</v>
      </c>
      <c r="B1" s="763"/>
      <c r="D1" s="763" t="s">
        <v>819</v>
      </c>
      <c r="E1" s="763"/>
    </row>
    <row r="2" spans="1:6" x14ac:dyDescent="0.2">
      <c r="A2" s="389" t="s">
        <v>3</v>
      </c>
      <c r="B2" s="29" t="s">
        <v>902</v>
      </c>
      <c r="D2" s="29" t="s">
        <v>672</v>
      </c>
      <c r="E2" s="29" t="s">
        <v>815</v>
      </c>
    </row>
    <row r="3" spans="1:6" x14ac:dyDescent="0.2">
      <c r="A3" s="29" t="s">
        <v>821</v>
      </c>
      <c r="B3" s="29" t="s">
        <v>903</v>
      </c>
      <c r="D3" s="29" t="s">
        <v>111</v>
      </c>
      <c r="E3" s="29" t="s">
        <v>906</v>
      </c>
    </row>
    <row r="4" spans="1:6" x14ac:dyDescent="0.2">
      <c r="A4" s="29" t="s">
        <v>822</v>
      </c>
      <c r="B4" s="29" t="s">
        <v>904</v>
      </c>
      <c r="D4" s="29" t="s">
        <v>843</v>
      </c>
      <c r="E4" s="29" t="s">
        <v>844</v>
      </c>
    </row>
    <row r="5" spans="1:6" x14ac:dyDescent="0.2">
      <c r="A5" s="29" t="s">
        <v>70</v>
      </c>
      <c r="B5" t="s">
        <v>697</v>
      </c>
      <c r="D5" s="29" t="s">
        <v>917</v>
      </c>
      <c r="E5" t="s">
        <v>918</v>
      </c>
    </row>
    <row r="6" spans="1:6" x14ac:dyDescent="0.2">
      <c r="A6" s="763" t="s">
        <v>823</v>
      </c>
      <c r="B6" s="763"/>
      <c r="D6" s="29" t="s">
        <v>846</v>
      </c>
      <c r="E6" s="398" t="s">
        <v>908</v>
      </c>
    </row>
    <row r="7" spans="1:6" x14ac:dyDescent="0.2">
      <c r="A7" s="29" t="s">
        <v>379</v>
      </c>
      <c r="B7" s="29" t="s">
        <v>697</v>
      </c>
      <c r="D7" s="29" t="s">
        <v>114</v>
      </c>
      <c r="E7" s="29" t="s">
        <v>907</v>
      </c>
    </row>
    <row r="8" spans="1:6" x14ac:dyDescent="0.2">
      <c r="A8" s="29" t="s">
        <v>824</v>
      </c>
      <c r="B8" s="29" t="s">
        <v>697</v>
      </c>
      <c r="D8" s="29" t="s">
        <v>849</v>
      </c>
      <c r="E8" s="29" t="s">
        <v>909</v>
      </c>
    </row>
    <row r="9" spans="1:6" x14ac:dyDescent="0.2">
      <c r="A9" s="29" t="s">
        <v>825</v>
      </c>
      <c r="B9" s="29" t="s">
        <v>697</v>
      </c>
      <c r="D9" s="29" t="s">
        <v>911</v>
      </c>
      <c r="E9" s="29" t="s">
        <v>910</v>
      </c>
    </row>
    <row r="10" spans="1:6" x14ac:dyDescent="0.2">
      <c r="A10" s="29" t="s">
        <v>389</v>
      </c>
      <c r="B10" s="29" t="s">
        <v>697</v>
      </c>
      <c r="D10" s="1258" t="s">
        <v>852</v>
      </c>
      <c r="E10" s="1334" t="s">
        <v>905</v>
      </c>
    </row>
    <row r="11" spans="1:6" x14ac:dyDescent="0.2">
      <c r="A11" s="29" t="s">
        <v>406</v>
      </c>
      <c r="B11" s="398" t="s">
        <v>905</v>
      </c>
      <c r="D11" s="1258"/>
      <c r="E11" s="1334"/>
    </row>
    <row r="12" spans="1:6" x14ac:dyDescent="0.2">
      <c r="A12" s="29" t="s">
        <v>826</v>
      </c>
      <c r="B12" s="398" t="s">
        <v>905</v>
      </c>
      <c r="D12" s="29" t="s">
        <v>912</v>
      </c>
      <c r="E12" s="29" t="s">
        <v>914</v>
      </c>
    </row>
    <row r="13" spans="1:6" x14ac:dyDescent="0.2">
      <c r="A13" s="29" t="s">
        <v>827</v>
      </c>
      <c r="B13" s="391" t="s">
        <v>697</v>
      </c>
    </row>
    <row r="14" spans="1:6" x14ac:dyDescent="0.2">
      <c r="A14" s="29" t="s">
        <v>828</v>
      </c>
      <c r="B14" s="391" t="s">
        <v>697</v>
      </c>
    </row>
    <row r="15" spans="1:6" x14ac:dyDescent="0.2">
      <c r="A15" s="29" t="s">
        <v>72</v>
      </c>
      <c r="B15" s="391" t="s">
        <v>697</v>
      </c>
      <c r="D15" s="763" t="s">
        <v>854</v>
      </c>
      <c r="E15" s="763"/>
    </row>
    <row r="16" spans="1:6" x14ac:dyDescent="0.2">
      <c r="A16" s="29" t="s">
        <v>436</v>
      </c>
      <c r="B16" s="391" t="s">
        <v>697</v>
      </c>
      <c r="D16" s="29" t="s">
        <v>855</v>
      </c>
      <c r="E16" s="29" t="s">
        <v>915</v>
      </c>
      <c r="F16" s="294" t="s">
        <v>916</v>
      </c>
    </row>
    <row r="17" spans="1:5" x14ac:dyDescent="0.2">
      <c r="A17" s="763" t="s">
        <v>829</v>
      </c>
      <c r="B17" s="763"/>
      <c r="D17" s="29" t="s">
        <v>856</v>
      </c>
      <c r="E17" s="29" t="s">
        <v>857</v>
      </c>
    </row>
    <row r="18" spans="1:5" x14ac:dyDescent="0.2">
      <c r="A18" s="29" t="s">
        <v>830</v>
      </c>
      <c r="B18" s="390" t="s">
        <v>145</v>
      </c>
      <c r="D18" s="29" t="s">
        <v>845</v>
      </c>
      <c r="E18" s="390" t="s">
        <v>145</v>
      </c>
    </row>
    <row r="19" spans="1:5" x14ac:dyDescent="0.2">
      <c r="A19" s="29" t="s">
        <v>831</v>
      </c>
      <c r="B19" s="390" t="s">
        <v>145</v>
      </c>
      <c r="D19" s="29" t="s">
        <v>858</v>
      </c>
      <c r="E19" s="29" t="s">
        <v>859</v>
      </c>
    </row>
    <row r="20" spans="1:5" x14ac:dyDescent="0.2">
      <c r="A20" s="29" t="s">
        <v>913</v>
      </c>
      <c r="B20" s="391" t="s">
        <v>697</v>
      </c>
      <c r="D20" s="29" t="s">
        <v>860</v>
      </c>
      <c r="E20" s="29" t="s">
        <v>861</v>
      </c>
    </row>
    <row r="21" spans="1:5" x14ac:dyDescent="0.2">
      <c r="A21" s="763" t="s">
        <v>833</v>
      </c>
      <c r="B21" s="763"/>
      <c r="D21" s="29" t="s">
        <v>862</v>
      </c>
      <c r="E21" s="29" t="s">
        <v>863</v>
      </c>
    </row>
    <row r="22" spans="1:5" x14ac:dyDescent="0.2">
      <c r="A22" s="29" t="s">
        <v>392</v>
      </c>
      <c r="B22" s="390" t="s">
        <v>145</v>
      </c>
      <c r="D22" s="29" t="s">
        <v>864</v>
      </c>
      <c r="E22" s="29" t="s">
        <v>865</v>
      </c>
    </row>
    <row r="23" spans="1:5" x14ac:dyDescent="0.2">
      <c r="A23" s="29" t="s">
        <v>401</v>
      </c>
      <c r="B23" s="29" t="s">
        <v>697</v>
      </c>
      <c r="D23" s="29" t="s">
        <v>886</v>
      </c>
      <c r="E23" s="29" t="s">
        <v>866</v>
      </c>
    </row>
    <row r="24" spans="1:5" x14ac:dyDescent="0.2">
      <c r="A24" s="29" t="s">
        <v>409</v>
      </c>
      <c r="B24" s="29" t="s">
        <v>697</v>
      </c>
      <c r="D24" s="29" t="s">
        <v>867</v>
      </c>
      <c r="E24" s="390" t="s">
        <v>145</v>
      </c>
    </row>
    <row r="25" spans="1:5" x14ac:dyDescent="0.2">
      <c r="A25" s="29" t="s">
        <v>417</v>
      </c>
      <c r="B25" s="390" t="s">
        <v>145</v>
      </c>
    </row>
    <row r="26" spans="1:5" x14ac:dyDescent="0.2">
      <c r="A26" s="29"/>
      <c r="B26" s="397"/>
    </row>
    <row r="27" spans="1:5" x14ac:dyDescent="0.2">
      <c r="A27" s="29"/>
      <c r="B27" s="397"/>
    </row>
    <row r="28" spans="1:5" x14ac:dyDescent="0.2">
      <c r="A28" s="29"/>
      <c r="B28" s="29"/>
    </row>
    <row r="29" spans="1:5" x14ac:dyDescent="0.2">
      <c r="A29" s="763" t="s">
        <v>836</v>
      </c>
      <c r="B29" s="763"/>
    </row>
    <row r="30" spans="1:5" x14ac:dyDescent="0.2">
      <c r="A30" s="29" t="s">
        <v>837</v>
      </c>
      <c r="B30" s="29" t="s">
        <v>697</v>
      </c>
    </row>
    <row r="31" spans="1:5" x14ac:dyDescent="0.2">
      <c r="A31" s="29" t="s">
        <v>838</v>
      </c>
      <c r="B31" s="29" t="s">
        <v>697</v>
      </c>
    </row>
    <row r="33" spans="1:3" x14ac:dyDescent="0.2">
      <c r="B33" s="28" t="s">
        <v>672</v>
      </c>
      <c r="C33" s="28" t="s">
        <v>869</v>
      </c>
    </row>
    <row r="34" spans="1:3" x14ac:dyDescent="0.2">
      <c r="A34" s="29" t="s">
        <v>868</v>
      </c>
      <c r="B34" s="29" t="s">
        <v>817</v>
      </c>
      <c r="C34" s="29" t="s">
        <v>818</v>
      </c>
    </row>
    <row r="35" spans="1:3" x14ac:dyDescent="0.2">
      <c r="A35" s="29" t="s">
        <v>870</v>
      </c>
      <c r="B35" s="29" t="s">
        <v>876</v>
      </c>
      <c r="C35" s="29" t="s">
        <v>879</v>
      </c>
    </row>
    <row r="36" spans="1:3" x14ac:dyDescent="0.2">
      <c r="A36" s="29" t="s">
        <v>871</v>
      </c>
      <c r="B36" s="29" t="s">
        <v>876</v>
      </c>
      <c r="C36" s="29" t="s">
        <v>880</v>
      </c>
    </row>
    <row r="37" spans="1:3" x14ac:dyDescent="0.2">
      <c r="A37" s="29" t="s">
        <v>872</v>
      </c>
      <c r="B37" s="29" t="s">
        <v>877</v>
      </c>
      <c r="C37" s="29" t="s">
        <v>881</v>
      </c>
    </row>
    <row r="38" spans="1:3" x14ac:dyDescent="0.2">
      <c r="A38" s="29" t="s">
        <v>873</v>
      </c>
      <c r="B38" s="390" t="s">
        <v>145</v>
      </c>
      <c r="C38" s="390" t="s">
        <v>145</v>
      </c>
    </row>
    <row r="39" spans="1:3" x14ac:dyDescent="0.2">
      <c r="A39" s="29" t="s">
        <v>874</v>
      </c>
      <c r="B39" s="29" t="s">
        <v>878</v>
      </c>
      <c r="C39" s="29" t="s">
        <v>878</v>
      </c>
    </row>
    <row r="40" spans="1:3" x14ac:dyDescent="0.2">
      <c r="A40" s="29" t="s">
        <v>875</v>
      </c>
      <c r="B40" s="29" t="s">
        <v>878</v>
      </c>
      <c r="C40" s="29" t="s">
        <v>878</v>
      </c>
    </row>
    <row r="41" spans="1:3" x14ac:dyDescent="0.2">
      <c r="A41" s="29"/>
      <c r="B41" s="29"/>
      <c r="C41" s="29"/>
    </row>
  </sheetData>
  <mergeCells count="9">
    <mergeCell ref="A17:B17"/>
    <mergeCell ref="A21:B21"/>
    <mergeCell ref="A29:B29"/>
    <mergeCell ref="A1:B1"/>
    <mergeCell ref="D1:E1"/>
    <mergeCell ref="A6:B6"/>
    <mergeCell ref="D10:D11"/>
    <mergeCell ref="E10:E11"/>
    <mergeCell ref="D15:E15"/>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FBEDA-C0D6-4B49-875F-1C13AA9A2847}">
  <sheetPr codeName="Sheet26">
    <pageSetUpPr fitToPage="1"/>
  </sheetPr>
  <dimension ref="A1:W58"/>
  <sheetViews>
    <sheetView showGridLines="0" zoomScaleNormal="100" workbookViewId="0">
      <selection activeCell="H13" sqref="H13"/>
    </sheetView>
  </sheetViews>
  <sheetFormatPr defaultColWidth="9.14453125" defaultRowHeight="15" x14ac:dyDescent="0.2"/>
  <cols>
    <col min="1" max="3" width="13.98828125" customWidth="1"/>
    <col min="4" max="4" width="1.4765625" customWidth="1"/>
    <col min="5" max="5" width="9.953125" customWidth="1"/>
    <col min="6" max="6" width="5.109375" customWidth="1"/>
    <col min="7" max="7" width="11.97265625" customWidth="1"/>
    <col min="9" max="9" width="16.140625" customWidth="1"/>
    <col min="10" max="11" width="14.66015625" customWidth="1"/>
    <col min="22" max="22" width="9.953125" bestFit="1" customWidth="1"/>
  </cols>
  <sheetData>
    <row r="1" spans="1:23" x14ac:dyDescent="0.2">
      <c r="A1" s="754"/>
      <c r="B1" s="755"/>
      <c r="C1" s="755"/>
      <c r="D1" s="755"/>
      <c r="E1" s="755"/>
      <c r="F1" s="755"/>
      <c r="G1" s="755"/>
      <c r="H1" s="755"/>
      <c r="I1" s="755"/>
      <c r="J1" s="755"/>
      <c r="K1" s="756"/>
    </row>
    <row r="2" spans="1:23" x14ac:dyDescent="0.2">
      <c r="A2" s="757"/>
      <c r="B2" s="758"/>
      <c r="C2" s="758"/>
      <c r="D2" s="758"/>
      <c r="E2" s="758"/>
      <c r="F2" s="758"/>
      <c r="G2" s="758"/>
      <c r="H2" s="758"/>
      <c r="I2" s="758"/>
      <c r="J2" s="758"/>
      <c r="K2" s="759"/>
    </row>
    <row r="3" spans="1:23" x14ac:dyDescent="0.2">
      <c r="A3" s="757"/>
      <c r="B3" s="758"/>
      <c r="C3" s="758"/>
      <c r="D3" s="758"/>
      <c r="E3" s="758"/>
      <c r="F3" s="758"/>
      <c r="G3" s="758"/>
      <c r="H3" s="758"/>
      <c r="I3" s="758"/>
      <c r="J3" s="758"/>
      <c r="K3" s="759"/>
      <c r="O3" t="s">
        <v>83</v>
      </c>
      <c r="P3" t="str">
        <f>IF(Pricing!B59="","",Pricing!B59)</f>
        <v/>
      </c>
    </row>
    <row r="4" spans="1:23" ht="15.75" thickBot="1" x14ac:dyDescent="0.25">
      <c r="A4" s="757"/>
      <c r="B4" s="758"/>
      <c r="C4" s="758"/>
      <c r="D4" s="758"/>
      <c r="E4" s="758"/>
      <c r="F4" s="758"/>
      <c r="G4" s="760"/>
      <c r="H4" s="760"/>
      <c r="I4" s="760"/>
      <c r="J4" s="760"/>
      <c r="K4" s="761"/>
      <c r="O4" s="765" t="s">
        <v>943</v>
      </c>
      <c r="P4" s="765"/>
    </row>
    <row r="5" spans="1:23" ht="15" customHeight="1" thickBot="1" x14ac:dyDescent="0.25">
      <c r="A5" s="399"/>
      <c r="B5" s="399"/>
      <c r="C5" s="399"/>
      <c r="D5" s="399"/>
      <c r="E5" s="399"/>
      <c r="F5" s="399"/>
      <c r="G5" s="16"/>
      <c r="H5" s="400"/>
      <c r="I5" s="400"/>
      <c r="J5" s="813" t="s">
        <v>919</v>
      </c>
      <c r="K5" s="814"/>
      <c r="O5" t="s">
        <v>84</v>
      </c>
      <c r="R5" s="770" t="s">
        <v>85</v>
      </c>
      <c r="S5" s="770"/>
      <c r="T5" s="771"/>
      <c r="U5" s="74" t="s">
        <v>86</v>
      </c>
      <c r="V5" s="74" t="s">
        <v>40</v>
      </c>
      <c r="W5" s="403" t="s">
        <v>87</v>
      </c>
    </row>
    <row r="6" spans="1:23" ht="15" customHeight="1" thickBot="1" x14ac:dyDescent="0.25">
      <c r="A6" s="762" t="str">
        <f xml:space="preserve"> "QUOTE DATE: "</f>
        <v xml:space="preserve">QUOTE DATE: </v>
      </c>
      <c r="B6" s="766" t="str">
        <f ca="1" xml:space="preserve"> TEXT(TODAY(),"dd/mm/yyyy")</f>
        <v>13/03/2023</v>
      </c>
      <c r="C6" s="767"/>
      <c r="D6" s="763" t="s">
        <v>88</v>
      </c>
      <c r="E6" s="763"/>
      <c r="F6" s="763"/>
      <c r="G6" s="16"/>
      <c r="H6" s="367"/>
      <c r="I6" s="367"/>
      <c r="J6" s="818" t="s">
        <v>920</v>
      </c>
      <c r="K6" s="819"/>
      <c r="O6" s="765" t="str">
        <f>IF(Pricing!B66="","",Pricing!B66)</f>
        <v/>
      </c>
      <c r="P6" s="765"/>
      <c r="R6" s="772" t="str">
        <f>IF(OR(Pricing!C8="",Pricing!AD8="Quoted"),"",Pricing!C8 &amp; " " &amp;Pricing!C9 &amp; " " &amp;Pricing!C10)</f>
        <v/>
      </c>
      <c r="S6" s="772"/>
      <c r="T6" s="773"/>
      <c r="U6" s="75"/>
      <c r="V6" s="404" t="str">
        <f>IF(Pricing!AD9=0,"",Matrix2!L3)</f>
        <v/>
      </c>
      <c r="W6" s="402" t="str">
        <f>IF(Pricing!AD10=0,"",Matrix2!L15)</f>
        <v/>
      </c>
    </row>
    <row r="7" spans="1:23" ht="15" customHeight="1" thickBot="1" x14ac:dyDescent="0.25">
      <c r="A7" s="762"/>
      <c r="B7" s="768"/>
      <c r="C7" s="769"/>
      <c r="D7" s="764" t="s">
        <v>943</v>
      </c>
      <c r="E7" s="764"/>
      <c r="F7" s="764"/>
      <c r="G7" s="16"/>
      <c r="H7" s="416"/>
      <c r="I7" s="367"/>
      <c r="J7" s="813" t="s">
        <v>942</v>
      </c>
      <c r="K7" s="814"/>
      <c r="O7" t="s">
        <v>89</v>
      </c>
      <c r="R7" s="772" t="str">
        <f>IF(OR(Pricing!C11="",Pricing!AD11="Quoted"),"",Pricing!C11 &amp; " " &amp; Pricing!C12 &amp; " " &amp; Pricing!C13)</f>
        <v/>
      </c>
      <c r="S7" s="772"/>
      <c r="T7" s="773"/>
      <c r="U7" s="75"/>
      <c r="V7" s="404" t="str">
        <f>IF(Pricing!AD12=0,"",Matrix2!M3)</f>
        <v/>
      </c>
      <c r="W7" s="402" t="str">
        <f>IF(Pricing!AD13=0,"",Matrix2!M15)</f>
        <v/>
      </c>
    </row>
    <row r="8" spans="1:23" ht="19.5" thickBot="1" x14ac:dyDescent="0.3">
      <c r="A8" s="815" t="s">
        <v>90</v>
      </c>
      <c r="B8" s="815"/>
      <c r="C8" s="815"/>
      <c r="D8" s="815" t="s">
        <v>91</v>
      </c>
      <c r="E8" s="815"/>
      <c r="F8" s="815"/>
      <c r="G8" s="196"/>
      <c r="I8" s="16"/>
      <c r="J8" s="16"/>
      <c r="K8" s="145"/>
      <c r="O8" s="765" t="str">
        <f>IF(Pricing!B69="","",Pricing!B69)</f>
        <v/>
      </c>
      <c r="P8" s="765"/>
      <c r="R8" s="772" t="str">
        <f>IF(OR(Pricing!C14="",Pricing!AD14="Quoted"),"",Pricing!C14 &amp; " " &amp; Pricing!C15 &amp; " " &amp; Pricing!C16)</f>
        <v/>
      </c>
      <c r="S8" s="772"/>
      <c r="T8" s="773"/>
      <c r="U8" s="75"/>
      <c r="V8" s="404" t="str">
        <f>IF(Pricing!AD15=0,"",Matrix2!N3)</f>
        <v/>
      </c>
      <c r="W8" s="402" t="str">
        <f>IF(Pricing!AD16=0,"",Matrix2!N15)</f>
        <v/>
      </c>
    </row>
    <row r="9" spans="1:23" ht="18.600000000000001" customHeight="1" thickBot="1" x14ac:dyDescent="0.25">
      <c r="A9" s="816" t="str">
        <f>IF(O4="","",O4)</f>
        <v/>
      </c>
      <c r="B9" s="816"/>
      <c r="C9" s="816"/>
      <c r="D9" s="764" t="str">
        <f>IF(O17="","",O17)</f>
        <v/>
      </c>
      <c r="E9" s="764"/>
      <c r="F9" s="764"/>
      <c r="G9" s="16"/>
      <c r="H9" s="16"/>
      <c r="I9" s="16"/>
      <c r="J9" s="16"/>
      <c r="K9" s="145"/>
      <c r="O9" s="765"/>
      <c r="P9" s="765"/>
      <c r="R9" s="772" t="str">
        <f>IF(OR(Pricing!C17="",,Pricing!AD17="Quoted"),"",Pricing!C17 &amp; " " &amp;Pricing!C18 &amp; " " &amp; Pricing!C19)</f>
        <v/>
      </c>
      <c r="S9" s="772"/>
      <c r="T9" s="773"/>
      <c r="U9" s="75"/>
      <c r="V9" s="404" t="str">
        <f>IF(Pricing!AD16=0,"",Matrix2!O3)</f>
        <v/>
      </c>
      <c r="W9" s="402" t="str">
        <f>IF(Pricing!AD19=0,"",Matrix2!O15)</f>
        <v/>
      </c>
    </row>
    <row r="10" spans="1:23" ht="15" customHeight="1" thickBot="1" x14ac:dyDescent="0.25">
      <c r="A10" s="816"/>
      <c r="B10" s="816"/>
      <c r="C10" s="816"/>
      <c r="D10" s="764"/>
      <c r="E10" s="764"/>
      <c r="F10" s="764"/>
      <c r="G10" s="16"/>
      <c r="H10" s="16"/>
      <c r="I10" s="16"/>
      <c r="J10" s="16"/>
      <c r="K10" s="145"/>
      <c r="O10" s="765"/>
      <c r="P10" s="765"/>
      <c r="R10" s="772" t="str">
        <f>IF(OR(Pricing!C20="",Pricing!AD20="Quoted"),"",Pricing!C20 &amp; " " &amp;Pricing!C21 &amp; " " &amp;Pricing!C22)</f>
        <v/>
      </c>
      <c r="S10" s="772"/>
      <c r="T10" s="773"/>
      <c r="U10" s="75"/>
      <c r="V10" s="404" t="str">
        <f>IF(Pricing!AD21=0,"",Matrix2!P3)</f>
        <v/>
      </c>
      <c r="W10" s="402" t="str">
        <f>IF(Pricing!AD22=0,"",Matrix2!P15)</f>
        <v/>
      </c>
    </row>
    <row r="11" spans="1:23" ht="15.75" thickBot="1" x14ac:dyDescent="0.25">
      <c r="A11" s="792" t="s">
        <v>92</v>
      </c>
      <c r="B11" s="795" t="str">
        <f>IF(O6="","",O6)</f>
        <v/>
      </c>
      <c r="C11" s="796"/>
      <c r="D11" s="796"/>
      <c r="E11" s="796"/>
      <c r="F11" s="797"/>
      <c r="G11" s="16"/>
      <c r="H11" s="16"/>
      <c r="I11" s="16"/>
      <c r="J11" s="16"/>
      <c r="K11" s="145"/>
      <c r="O11" s="765"/>
      <c r="P11" s="765"/>
      <c r="R11" s="772" t="str">
        <f>IF(OR(Pricing!C23="",Pricing!AD23),"",Pricing!C23 &amp; " " &amp; Pricing!C24 &amp; " " &amp; Pricing!C25)</f>
        <v/>
      </c>
      <c r="S11" s="772"/>
      <c r="T11" s="773"/>
      <c r="U11" s="75"/>
      <c r="V11" s="404" t="str">
        <f>IF(Pricing!AD24=0,"",Matrix2!Q3)</f>
        <v/>
      </c>
      <c r="W11" s="402" t="str">
        <f>IF(Pricing!AD25=0,"",Matrix2!Q15)</f>
        <v/>
      </c>
    </row>
    <row r="12" spans="1:23" ht="15.75" thickBot="1" x14ac:dyDescent="0.25">
      <c r="A12" s="793"/>
      <c r="B12" s="798"/>
      <c r="C12" s="799"/>
      <c r="D12" s="799"/>
      <c r="E12" s="799"/>
      <c r="F12" s="800"/>
      <c r="G12" s="16"/>
      <c r="H12" s="16"/>
      <c r="I12" s="16"/>
      <c r="J12" s="16"/>
      <c r="K12" s="145"/>
      <c r="O12" s="765"/>
      <c r="P12" s="765"/>
      <c r="R12" s="772" t="str">
        <f>IF(OR(Pricing!C26="",Pricing!AD26="Quoted"),"",Pricing!C26 &amp; " " &amp; Pricing!C27 &amp; " " &amp; Pricing!C28)</f>
        <v/>
      </c>
      <c r="S12" s="772"/>
      <c r="T12" s="773"/>
      <c r="U12" s="75"/>
      <c r="V12" s="404" t="str">
        <f>IF(Pricing!AD27=0,"",Matrix2!R3)</f>
        <v/>
      </c>
      <c r="W12" s="402" t="str">
        <f>IF(Pricing!AD28=0,"",Matrix2!R15)</f>
        <v/>
      </c>
    </row>
    <row r="13" spans="1:23" ht="15" customHeight="1" thickBot="1" x14ac:dyDescent="0.25">
      <c r="A13" s="794"/>
      <c r="B13" s="801"/>
      <c r="C13" s="802"/>
      <c r="D13" s="802"/>
      <c r="E13" s="802"/>
      <c r="F13" s="803"/>
      <c r="G13" s="16"/>
      <c r="H13" s="16"/>
      <c r="I13" s="16"/>
      <c r="J13" s="16"/>
      <c r="K13" s="145"/>
      <c r="O13" s="765"/>
      <c r="P13" s="765"/>
      <c r="R13" s="772" t="str">
        <f>IF(OR(Pricing!C29="",Pricing!AD29="Quoted"),"",Pricing!C29 &amp; " " &amp;Pricing!C30 &amp; " " &amp; Pricing!C31)</f>
        <v/>
      </c>
      <c r="S13" s="772"/>
      <c r="T13" s="773"/>
      <c r="U13" s="75"/>
      <c r="V13" s="404" t="str">
        <f>IF(Pricing!AD30=0,"",Matrix2!S3)</f>
        <v/>
      </c>
      <c r="W13" s="402" t="str">
        <f>IF(Pricing!AD31=0,"",Matrix2!S15)</f>
        <v/>
      </c>
    </row>
    <row r="14" spans="1:23" ht="15.75" thickBot="1" x14ac:dyDescent="0.25">
      <c r="A14" s="817" t="s">
        <v>93</v>
      </c>
      <c r="B14" s="804" t="str">
        <f>O8</f>
        <v/>
      </c>
      <c r="C14" s="805"/>
      <c r="D14" s="805"/>
      <c r="E14" s="805"/>
      <c r="F14" s="806"/>
      <c r="G14" s="16"/>
      <c r="H14" s="16"/>
      <c r="I14" s="16"/>
      <c r="J14" s="16"/>
      <c r="K14" s="145"/>
      <c r="O14" t="s">
        <v>94</v>
      </c>
      <c r="R14" s="772" t="str">
        <f>IF(OR(Pricing!C32="",Pricing!AD32="Quoted"),"",Pricing!C32 &amp; " " &amp; Pricing!C33 &amp; " " &amp; Pricing!C34)</f>
        <v/>
      </c>
      <c r="S14" s="772"/>
      <c r="T14" s="773"/>
      <c r="U14" s="75"/>
      <c r="V14" s="404" t="str">
        <f>IF(Pricing!AD33=0,"",Matrix2!T3)</f>
        <v/>
      </c>
      <c r="W14" s="402" t="str">
        <f>IF(Pricing!AD34=0,"",Matrix2!T15)</f>
        <v/>
      </c>
    </row>
    <row r="15" spans="1:23" ht="15.75" thickBot="1" x14ac:dyDescent="0.25">
      <c r="A15" s="817"/>
      <c r="B15" s="807"/>
      <c r="C15" s="808"/>
      <c r="D15" s="808"/>
      <c r="E15" s="808"/>
      <c r="F15" s="809"/>
      <c r="G15" s="16"/>
      <c r="H15" s="16"/>
      <c r="I15" s="16"/>
      <c r="J15" s="16"/>
      <c r="K15" s="145"/>
      <c r="O15" s="765" t="str">
        <f>IF(Pricing!E62="","",Pricing!E62)</f>
        <v/>
      </c>
      <c r="P15" s="765"/>
      <c r="R15" s="772" t="str">
        <f>IF(OR(Pricing!C35="",Pricing!AD35="Quoted"),"",Pricing!C35 &amp; " " &amp; Pricing!C36 &amp; " " &amp; Pricing!C37)</f>
        <v/>
      </c>
      <c r="S15" s="772"/>
      <c r="T15" s="773"/>
      <c r="U15" s="75"/>
      <c r="V15" s="404" t="str">
        <f>IF(Pricing!AD36=0,"",Matrix2!U3)</f>
        <v/>
      </c>
      <c r="W15" s="402" t="str">
        <f>IF(Pricing!AD37=0,"",Matrix2!U15)</f>
        <v/>
      </c>
    </row>
    <row r="16" spans="1:23" ht="15.75" thickBot="1" x14ac:dyDescent="0.25">
      <c r="A16" s="817"/>
      <c r="B16" s="807"/>
      <c r="C16" s="808"/>
      <c r="D16" s="808"/>
      <c r="E16" s="808"/>
      <c r="F16" s="809"/>
      <c r="G16" s="16"/>
      <c r="H16" s="16"/>
      <c r="I16" s="16"/>
      <c r="J16" s="16"/>
      <c r="K16" s="145"/>
      <c r="O16" t="s">
        <v>95</v>
      </c>
      <c r="P16" t="str">
        <f>IF(Pricing!E59="","",Pricing!E59)</f>
        <v/>
      </c>
      <c r="R16" s="772" t="str">
        <f>IF(OR(Pricing!C38="",Pricing!AD38="Quoted"),"",Pricing!C38 &amp; " " &amp; Pricing!C39 &amp; " " &amp; Pricing!C40)</f>
        <v/>
      </c>
      <c r="S16" s="772"/>
      <c r="T16" s="773"/>
      <c r="U16" s="75"/>
      <c r="V16" s="404" t="str">
        <f>IF(Pricing!AD39=0,"",Matrix2!V3)</f>
        <v/>
      </c>
      <c r="W16" s="402" t="str">
        <f>IF(Pricing!AD40=0,"",Matrix2!V15)</f>
        <v/>
      </c>
    </row>
    <row r="17" spans="1:23" ht="15.75" thickBot="1" x14ac:dyDescent="0.25">
      <c r="A17" s="817"/>
      <c r="B17" s="810"/>
      <c r="C17" s="811"/>
      <c r="D17" s="811"/>
      <c r="E17" s="811"/>
      <c r="F17" s="812"/>
      <c r="G17" s="16"/>
      <c r="H17" s="16"/>
      <c r="I17" s="16"/>
      <c r="J17" s="16"/>
      <c r="K17" s="145"/>
      <c r="O17" s="782" t="s">
        <v>943</v>
      </c>
      <c r="P17" s="782"/>
      <c r="R17" s="772" t="str">
        <f>IF(OR(Pricing!C41="",Pricing!AD41="Quoted"),"",Pricing!C41 &amp; " " &amp; Pricing!C42 &amp; " " &amp; Pricing!C43)</f>
        <v/>
      </c>
      <c r="S17" s="772"/>
      <c r="T17" s="773"/>
      <c r="U17" s="75"/>
      <c r="V17" s="404" t="str">
        <f>IF(Pricing!AD42=0,"",Matrix2!W3)</f>
        <v/>
      </c>
      <c r="W17" s="402" t="str">
        <f>IF(Pricing!AD43=0,"",Matrix2!W15)</f>
        <v/>
      </c>
    </row>
    <row r="18" spans="1:23" ht="15.75" thickBot="1" x14ac:dyDescent="0.25">
      <c r="A18" s="774" t="str">
        <f>IF(O13="","",O13)</f>
        <v/>
      </c>
      <c r="B18" s="775"/>
      <c r="C18" s="22"/>
      <c r="D18" s="16"/>
      <c r="E18" s="16"/>
      <c r="F18" s="16"/>
      <c r="G18" s="16"/>
      <c r="H18" s="16"/>
      <c r="I18" s="16"/>
      <c r="J18" s="16"/>
      <c r="K18" s="145"/>
      <c r="R18" s="772" t="str">
        <f>IF(OR(Pricing!C44="",Pricing!AD44="Quoted"),"",Pricing!C44 &amp; " " &amp; Pricing!C45 &amp; " " &amp; Pricing!C46)</f>
        <v/>
      </c>
      <c r="S18" s="772"/>
      <c r="T18" s="773"/>
      <c r="U18" s="75"/>
      <c r="V18" s="404" t="str">
        <f>IF(Pricing!AD45=0,"",Matrix2!X3)</f>
        <v/>
      </c>
      <c r="W18" s="402" t="str">
        <f>IF(Pricing!AD46=0,"",Matrix2!X15)</f>
        <v/>
      </c>
    </row>
    <row r="19" spans="1:23" ht="19.5" customHeight="1" thickBot="1" x14ac:dyDescent="0.25">
      <c r="A19" s="411" t="s">
        <v>762</v>
      </c>
      <c r="B19" s="412"/>
      <c r="C19" s="413"/>
      <c r="D19" s="16"/>
      <c r="E19" s="16"/>
      <c r="F19" s="783" t="s">
        <v>941</v>
      </c>
      <c r="G19" s="784"/>
      <c r="H19" s="784"/>
      <c r="I19" s="784"/>
      <c r="J19" s="784"/>
      <c r="K19" s="785"/>
      <c r="R19" s="772" t="str">
        <f>IF(OR(Pricing!C47="",Pricing!AD47="Quoted"),"",Pricing!C47 &amp; " " &amp;Pricing!C48 &amp; " " &amp; Pricing!C49)</f>
        <v/>
      </c>
      <c r="S19" s="772"/>
      <c r="T19" s="773"/>
      <c r="U19" s="166"/>
      <c r="V19" s="404" t="str">
        <f>IF(Pricing!AD48=0,"",Matrix2!Y3)</f>
        <v/>
      </c>
      <c r="W19" s="402" t="str">
        <f>IF(Pricing!AD49=0,"",Matrix2!Y15)</f>
        <v/>
      </c>
    </row>
    <row r="20" spans="1:23" ht="19.5" customHeight="1" thickBot="1" x14ac:dyDescent="0.25">
      <c r="A20" s="776" t="str">
        <f>IF(Pricing!D8="","",Pricing!D8)</f>
        <v/>
      </c>
      <c r="B20" s="777"/>
      <c r="C20" s="778"/>
      <c r="D20" s="16"/>
      <c r="E20" s="16"/>
      <c r="F20" s="786"/>
      <c r="G20" s="787"/>
      <c r="H20" s="787"/>
      <c r="I20" s="787"/>
      <c r="J20" s="787"/>
      <c r="K20" s="788"/>
      <c r="R20" s="772" t="str">
        <f>IF(OR(Pricing!C50="",Pricing!AD50="Quoted"),"",Pricing!C50 &amp; " " &amp; Pricing!C51 &amp; " " &amp; Pricing!C52)</f>
        <v/>
      </c>
      <c r="S20" s="772"/>
      <c r="T20" s="773"/>
      <c r="U20" s="401"/>
      <c r="V20" s="404" t="str">
        <f>IF(Pricing!AD51=0,"",Matrix2!Z3)</f>
        <v/>
      </c>
      <c r="W20" s="402" t="str">
        <f>IF(Pricing!AD52=0,"",Matrix2!Z15)</f>
        <v/>
      </c>
    </row>
    <row r="21" spans="1:23" ht="19.5" customHeight="1" thickBot="1" x14ac:dyDescent="0.25">
      <c r="A21" s="779"/>
      <c r="B21" s="780"/>
      <c r="C21" s="781"/>
      <c r="D21" s="16"/>
      <c r="E21" s="16"/>
      <c r="F21" s="427"/>
      <c r="G21" s="426"/>
      <c r="H21" s="426"/>
      <c r="I21" s="426"/>
      <c r="J21" s="426"/>
      <c r="K21" s="425"/>
      <c r="R21" s="363"/>
      <c r="S21" s="363"/>
      <c r="T21" s="363"/>
      <c r="U21" s="77"/>
      <c r="V21" s="436"/>
      <c r="W21" s="364"/>
    </row>
    <row r="22" spans="1:23" ht="19.5" customHeight="1" thickBot="1" x14ac:dyDescent="0.3">
      <c r="A22" s="414" t="s">
        <v>98</v>
      </c>
      <c r="B22" s="412"/>
      <c r="C22" s="413"/>
      <c r="D22" s="16"/>
      <c r="E22" s="16"/>
      <c r="F22" s="789" t="s">
        <v>85</v>
      </c>
      <c r="G22" s="790"/>
      <c r="H22" s="790"/>
      <c r="I22" s="791"/>
      <c r="J22" s="452" t="s">
        <v>940</v>
      </c>
      <c r="K22" s="452" t="s">
        <v>944</v>
      </c>
      <c r="U22" t="s">
        <v>99</v>
      </c>
      <c r="V22" s="165">
        <f>SUM(V6:V20)</f>
        <v>0</v>
      </c>
      <c r="W22" s="165">
        <f>SUM(W6:W20)</f>
        <v>0</v>
      </c>
    </row>
    <row r="23" spans="1:23" ht="19.5" customHeight="1" thickBot="1" x14ac:dyDescent="0.3">
      <c r="A23" s="776" t="str">
        <f>IF(Pricing!E8="","",Pricing!E8)</f>
        <v/>
      </c>
      <c r="B23" s="777"/>
      <c r="C23" s="778"/>
      <c r="D23" s="16"/>
      <c r="E23" s="16"/>
      <c r="F23" s="820" t="str">
        <f>IF(Pricing!E8="Aruba", R6 &amp; " (Aruba @ 40%)",R6)</f>
        <v/>
      </c>
      <c r="G23" s="821"/>
      <c r="H23" s="821"/>
      <c r="I23" s="821"/>
      <c r="J23" s="432" t="str">
        <f>V6</f>
        <v/>
      </c>
      <c r="K23" s="418" t="str">
        <f>W6</f>
        <v/>
      </c>
      <c r="W23" s="165"/>
    </row>
    <row r="24" spans="1:23" ht="19.5" customHeight="1" thickBot="1" x14ac:dyDescent="0.3">
      <c r="A24" s="779"/>
      <c r="B24" s="780"/>
      <c r="C24" s="781"/>
      <c r="D24" s="16"/>
      <c r="E24" s="16"/>
      <c r="F24" s="725" t="str">
        <f>IF(Pricing!E11="Aruba", R7 &amp; " (Aruba @ 40%)",R7)</f>
        <v/>
      </c>
      <c r="G24" s="726"/>
      <c r="H24" s="726"/>
      <c r="I24" s="726"/>
      <c r="J24" s="433" t="str">
        <f>V7</f>
        <v/>
      </c>
      <c r="K24" s="418" t="str">
        <f>W7</f>
        <v/>
      </c>
    </row>
    <row r="25" spans="1:23" ht="19.5" customHeight="1" thickBot="1" x14ac:dyDescent="0.3">
      <c r="A25" s="739" t="s">
        <v>100</v>
      </c>
      <c r="B25" s="740"/>
      <c r="C25" s="741"/>
      <c r="D25" s="16"/>
      <c r="E25" s="16"/>
      <c r="F25" s="725" t="str">
        <f>IF(Pricing!E14="Aruba", R8 &amp; " (Aruba @ 40%)",R8)</f>
        <v/>
      </c>
      <c r="G25" s="726"/>
      <c r="H25" s="726"/>
      <c r="I25" s="726"/>
      <c r="J25" s="433" t="str">
        <f t="shared" ref="J25:J37" si="0">V8</f>
        <v/>
      </c>
      <c r="K25" s="418" t="str">
        <f t="shared" ref="K25:K37" si="1">W8</f>
        <v/>
      </c>
    </row>
    <row r="26" spans="1:23" ht="19.5" customHeight="1" thickBot="1" x14ac:dyDescent="0.3">
      <c r="A26" s="776" t="str">
        <f>IF(Pricing!J8="","",Pricing!J8)</f>
        <v/>
      </c>
      <c r="B26" s="777"/>
      <c r="C26" s="778"/>
      <c r="D26" s="16"/>
      <c r="E26" s="16"/>
      <c r="F26" s="725" t="str">
        <f>IF(Pricing!E17="Aruba", R9 &amp; " (Aruba @ 40%)",R9)</f>
        <v/>
      </c>
      <c r="G26" s="726"/>
      <c r="H26" s="726"/>
      <c r="I26" s="726"/>
      <c r="J26" s="433" t="str">
        <f t="shared" si="0"/>
        <v/>
      </c>
      <c r="K26" s="418" t="str">
        <f t="shared" si="1"/>
        <v/>
      </c>
    </row>
    <row r="27" spans="1:23" ht="19.5" customHeight="1" thickBot="1" x14ac:dyDescent="0.3">
      <c r="A27" s="779"/>
      <c r="B27" s="780"/>
      <c r="C27" s="781"/>
      <c r="D27" s="16"/>
      <c r="E27" s="16"/>
      <c r="F27" s="725" t="str">
        <f>IF(Pricing!E20="Aruba", R10 &amp; " (Aruba @ 40%)",R10)</f>
        <v/>
      </c>
      <c r="G27" s="726"/>
      <c r="H27" s="726"/>
      <c r="I27" s="726"/>
      <c r="J27" s="433" t="str">
        <f t="shared" si="0"/>
        <v/>
      </c>
      <c r="K27" s="418" t="str">
        <f t="shared" si="1"/>
        <v/>
      </c>
    </row>
    <row r="28" spans="1:23" ht="19.5" customHeight="1" thickBot="1" x14ac:dyDescent="0.3">
      <c r="A28" s="739" t="s">
        <v>101</v>
      </c>
      <c r="B28" s="740"/>
      <c r="C28" s="741"/>
      <c r="D28" s="16"/>
      <c r="E28" s="16"/>
      <c r="F28" s="725" t="str">
        <f>IF(Pricing!E23="Aruba", R11 &amp; " (Aruba @ 40%)",R11)</f>
        <v/>
      </c>
      <c r="G28" s="726"/>
      <c r="H28" s="726"/>
      <c r="I28" s="726"/>
      <c r="J28" s="433" t="str">
        <f t="shared" si="0"/>
        <v/>
      </c>
      <c r="K28" s="418" t="str">
        <f t="shared" si="1"/>
        <v/>
      </c>
    </row>
    <row r="29" spans="1:23" ht="19.5" customHeight="1" thickBot="1" x14ac:dyDescent="0.3">
      <c r="A29" s="776" t="str">
        <f>IF(Pricing!H8="","",Pricing!H8)</f>
        <v/>
      </c>
      <c r="B29" s="777"/>
      <c r="C29" s="778"/>
      <c r="D29" s="16"/>
      <c r="E29" s="16"/>
      <c r="F29" s="725" t="str">
        <f>IF(Pricing!E26="Aruba", R12 &amp; " (Aruba @ 40%)",R12)</f>
        <v/>
      </c>
      <c r="G29" s="726"/>
      <c r="H29" s="726"/>
      <c r="I29" s="726"/>
      <c r="J29" s="433" t="str">
        <f t="shared" si="0"/>
        <v/>
      </c>
      <c r="K29" s="418" t="str">
        <f t="shared" si="1"/>
        <v/>
      </c>
    </row>
    <row r="30" spans="1:23" ht="19.5" customHeight="1" thickBot="1" x14ac:dyDescent="0.3">
      <c r="A30" s="779"/>
      <c r="B30" s="780"/>
      <c r="C30" s="781"/>
      <c r="D30" s="16"/>
      <c r="E30" s="16"/>
      <c r="F30" s="725" t="str">
        <f>IF(Pricing!E29="Aruba", R13 &amp; " (Aruba @ 40%)",R13)</f>
        <v/>
      </c>
      <c r="G30" s="726"/>
      <c r="H30" s="726"/>
      <c r="I30" s="726"/>
      <c r="J30" s="433" t="str">
        <f t="shared" si="0"/>
        <v/>
      </c>
      <c r="K30" s="418" t="str">
        <f t="shared" si="1"/>
        <v/>
      </c>
    </row>
    <row r="31" spans="1:23" ht="19.5" customHeight="1" thickBot="1" x14ac:dyDescent="0.3">
      <c r="A31" s="739" t="s">
        <v>102</v>
      </c>
      <c r="B31" s="740"/>
      <c r="C31" s="741"/>
      <c r="D31" s="16"/>
      <c r="E31" s="16"/>
      <c r="F31" s="725" t="str">
        <f>IF(Pricing!E32="Aruba", R14 &amp; " (Aruba @ 40%)",R14)</f>
        <v/>
      </c>
      <c r="G31" s="726"/>
      <c r="H31" s="726"/>
      <c r="I31" s="726"/>
      <c r="J31" s="433" t="str">
        <f t="shared" si="0"/>
        <v/>
      </c>
      <c r="K31" s="418" t="str">
        <f t="shared" si="1"/>
        <v/>
      </c>
    </row>
    <row r="32" spans="1:23" ht="19.5" customHeight="1" thickBot="1" x14ac:dyDescent="0.3">
      <c r="A32" s="776" t="str">
        <f>IF(Pricing!F8="","",Pricing!F8)</f>
        <v/>
      </c>
      <c r="B32" s="777"/>
      <c r="C32" s="778"/>
      <c r="D32" s="16"/>
      <c r="E32" s="16"/>
      <c r="F32" s="725" t="str">
        <f>IF(Pricing!E35="Aruba", R15 &amp; " (Aruba @ 40%)",R15)</f>
        <v/>
      </c>
      <c r="G32" s="726"/>
      <c r="H32" s="726"/>
      <c r="I32" s="726"/>
      <c r="J32" s="433" t="str">
        <f t="shared" si="0"/>
        <v/>
      </c>
      <c r="K32" s="418" t="str">
        <f t="shared" si="1"/>
        <v/>
      </c>
    </row>
    <row r="33" spans="1:13" ht="19.5" customHeight="1" thickBot="1" x14ac:dyDescent="0.3">
      <c r="A33" s="779"/>
      <c r="B33" s="780"/>
      <c r="C33" s="781"/>
      <c r="D33" s="16"/>
      <c r="E33" s="16"/>
      <c r="F33" s="725" t="str">
        <f>IF(Pricing!E38="Aruba", R16 &amp; " (Aruba @ 40%)",R16)</f>
        <v/>
      </c>
      <c r="G33" s="726"/>
      <c r="H33" s="726"/>
      <c r="I33" s="726"/>
      <c r="J33" s="433" t="str">
        <f t="shared" si="0"/>
        <v/>
      </c>
      <c r="K33" s="418" t="str">
        <f t="shared" si="1"/>
        <v/>
      </c>
    </row>
    <row r="34" spans="1:13" ht="19.5" customHeight="1" thickBot="1" x14ac:dyDescent="0.3">
      <c r="A34" s="739" t="s">
        <v>945</v>
      </c>
      <c r="B34" s="740"/>
      <c r="C34" s="741"/>
      <c r="D34" s="16"/>
      <c r="E34" s="16"/>
      <c r="F34" s="725" t="str">
        <f>IF(Pricing!E41="Aruba", R17 &amp; " (Aruba @ 40%)",R17)</f>
        <v/>
      </c>
      <c r="G34" s="726"/>
      <c r="H34" s="726"/>
      <c r="I34" s="726"/>
      <c r="J34" s="433" t="str">
        <f t="shared" si="0"/>
        <v/>
      </c>
      <c r="K34" s="418" t="str">
        <f t="shared" si="1"/>
        <v/>
      </c>
    </row>
    <row r="35" spans="1:13" ht="19.5" customHeight="1" thickBot="1" x14ac:dyDescent="0.3">
      <c r="A35" s="727" t="str">
        <f>_xlfn.TEXTJOIN(", ",TRUE,Pricing!K60,Pricing!K61,IF(Pricing!K61&lt;&gt;"",Pricing!K61,""),IF(Pricing!K62&lt;&gt;"",Pricing!K62,""),IF(Pricing!K63&lt;&gt;"",Pricing!K63,""),IF(Pricing!K64&lt;&gt;"",Pricing!K64,""),IF(Pricing!O65&gt;0,Pricing!K65,""),IF(Pricing!O66&gt;0,Pricing!K66,""),IF(Pricing!O67&gt;0,Pricing!K67,""),IF(Pricing!O68&gt;0,Pricing!K68,""),IF(Pricing!O69&gt;0,Pricing!K69,""),IF(Pricing!O70&gt;0,Pricing!K70,""),IF(Pricing!O71&gt;0,Pricing!K71,""))</f>
        <v/>
      </c>
      <c r="B35" s="728"/>
      <c r="C35" s="729"/>
      <c r="D35" s="16"/>
      <c r="E35" s="16"/>
      <c r="F35" s="725" t="str">
        <f>IF(Pricing!E44="Aruba", R18 &amp; " (Aruba @ 40%)",R18)</f>
        <v/>
      </c>
      <c r="G35" s="726"/>
      <c r="H35" s="726"/>
      <c r="I35" s="726"/>
      <c r="J35" s="433" t="str">
        <f t="shared" si="0"/>
        <v/>
      </c>
      <c r="K35" s="418" t="str">
        <f t="shared" si="1"/>
        <v/>
      </c>
    </row>
    <row r="36" spans="1:13" ht="19.5" customHeight="1" thickBot="1" x14ac:dyDescent="0.3">
      <c r="A36" s="730"/>
      <c r="B36" s="731"/>
      <c r="C36" s="732"/>
      <c r="D36" s="16"/>
      <c r="E36" s="16"/>
      <c r="F36" s="725" t="str">
        <f>IF(Pricing!E47="Aruba", R19 &amp; " (Aruba @ 40%)",R19)</f>
        <v/>
      </c>
      <c r="G36" s="726"/>
      <c r="H36" s="726"/>
      <c r="I36" s="726"/>
      <c r="J36" s="433" t="str">
        <f t="shared" si="0"/>
        <v/>
      </c>
      <c r="K36" s="418" t="str">
        <f t="shared" si="1"/>
        <v/>
      </c>
    </row>
    <row r="37" spans="1:13" ht="19.5" customHeight="1" thickBot="1" x14ac:dyDescent="0.3">
      <c r="A37" s="733"/>
      <c r="B37" s="734"/>
      <c r="C37" s="735"/>
      <c r="D37" s="16"/>
      <c r="E37" s="16"/>
      <c r="F37" s="746" t="str">
        <f>IF(Pricing!E50="Aruba", R20 &amp; " (Aruba @ 40%)",R20)</f>
        <v/>
      </c>
      <c r="G37" s="747"/>
      <c r="H37" s="747"/>
      <c r="I37" s="748"/>
      <c r="J37" s="433" t="str">
        <f t="shared" si="0"/>
        <v/>
      </c>
      <c r="K37" s="418" t="str">
        <f t="shared" si="1"/>
        <v/>
      </c>
    </row>
    <row r="38" spans="1:13" ht="4.5" customHeight="1" thickBot="1" x14ac:dyDescent="0.25">
      <c r="A38" s="16"/>
      <c r="B38" s="16"/>
      <c r="C38" s="16"/>
      <c r="D38" s="16"/>
      <c r="E38" s="16"/>
      <c r="F38" s="16"/>
      <c r="G38" s="16"/>
      <c r="H38" s="16"/>
      <c r="I38" s="16"/>
      <c r="J38" s="407"/>
      <c r="K38" s="408"/>
    </row>
    <row r="39" spans="1:13" ht="19.899999999999999" customHeight="1" x14ac:dyDescent="0.3">
      <c r="A39" s="736" t="s">
        <v>104</v>
      </c>
      <c r="B39" s="737"/>
      <c r="C39" s="738"/>
      <c r="D39" s="16"/>
      <c r="E39" s="16"/>
      <c r="F39" s="749" t="s">
        <v>939</v>
      </c>
      <c r="G39" s="750"/>
      <c r="H39" s="750"/>
      <c r="I39" s="751"/>
      <c r="J39" s="443">
        <f>SUM(J23:J37)</f>
        <v>0</v>
      </c>
      <c r="K39" s="444">
        <f>SUM(K23:K37)</f>
        <v>0</v>
      </c>
    </row>
    <row r="40" spans="1:13" ht="19.899999999999999" customHeight="1" x14ac:dyDescent="0.3">
      <c r="A40" s="838" t="str">
        <f>IF(Pricing!R61="Finance Please Select","Finance Not Selected",Pricing!R61)</f>
        <v>Finance Not Selected</v>
      </c>
      <c r="B40" s="839"/>
      <c r="C40" s="840"/>
      <c r="D40" s="16"/>
      <c r="E40" s="16"/>
      <c r="F40" s="749" t="s">
        <v>954</v>
      </c>
      <c r="G40" s="750"/>
      <c r="H40" s="750"/>
      <c r="I40" s="751"/>
      <c r="J40" s="445"/>
      <c r="K40" s="446">
        <f>Pricing!AA62</f>
        <v>0</v>
      </c>
    </row>
    <row r="41" spans="1:13" ht="19.899999999999999" customHeight="1" x14ac:dyDescent="0.2">
      <c r="A41" s="180"/>
      <c r="B41" s="742" t="s">
        <v>943</v>
      </c>
      <c r="C41" s="743"/>
      <c r="D41" s="16"/>
      <c r="E41" s="16"/>
      <c r="F41" s="826" t="s">
        <v>938</v>
      </c>
      <c r="G41" s="827"/>
      <c r="H41" s="827"/>
      <c r="I41" s="828"/>
      <c r="J41" s="832">
        <f>ROUNDDOWN(K39+K40+Pricing!AA64,0.1)-IF(J44&lt;&gt;"",J44,)</f>
        <v>0</v>
      </c>
      <c r="K41" s="833"/>
    </row>
    <row r="42" spans="1:13" ht="19.899999999999999" customHeight="1" x14ac:dyDescent="0.2">
      <c r="A42" s="180" t="s">
        <v>56</v>
      </c>
      <c r="B42" s="744" t="s">
        <v>943</v>
      </c>
      <c r="C42" s="745"/>
      <c r="D42" s="16"/>
      <c r="E42" s="16"/>
      <c r="F42" s="829"/>
      <c r="G42" s="830"/>
      <c r="H42" s="830"/>
      <c r="I42" s="831"/>
      <c r="J42" s="834"/>
      <c r="K42" s="835"/>
    </row>
    <row r="43" spans="1:13" ht="19.899999999999999" customHeight="1" x14ac:dyDescent="0.3">
      <c r="A43" s="180" t="s">
        <v>64</v>
      </c>
      <c r="B43" s="836" t="str">
        <f>Pricing!T66</f>
        <v/>
      </c>
      <c r="C43" s="837"/>
      <c r="D43" s="16"/>
      <c r="E43" s="16"/>
      <c r="F43" s="844" t="s">
        <v>937</v>
      </c>
      <c r="G43" s="845"/>
      <c r="H43" s="845"/>
      <c r="I43" s="846"/>
      <c r="J43" s="447">
        <f>IF(J41=0,0,(IF(K44&lt;&gt;"",K44/J39,K43/J39)))</f>
        <v>0</v>
      </c>
      <c r="K43" s="448">
        <f>J39-K39</f>
        <v>0</v>
      </c>
      <c r="M43" s="158"/>
    </row>
    <row r="44" spans="1:13" ht="19.899999999999999" customHeight="1" x14ac:dyDescent="0.2">
      <c r="A44" s="180" t="s">
        <v>66</v>
      </c>
      <c r="B44" s="836" t="str">
        <f>Pricing!T67</f>
        <v/>
      </c>
      <c r="C44" s="837"/>
      <c r="D44" s="16"/>
      <c r="E44" s="16"/>
      <c r="F44" s="841" t="str">
        <f>IF(Pricing!M74&lt;&gt;"Other:", "&amp; " &amp; Pricing!M74,"") &amp; IF(Pricing!M75&lt;&gt;"", " &amp; " &amp; Pricing!M75,"")</f>
        <v/>
      </c>
      <c r="G44" s="842"/>
      <c r="H44" s="842"/>
      <c r="I44" s="843"/>
      <c r="J44" s="453" t="str">
        <f>IF(Pricing!O74&lt;&gt;"",SUM(Pricing!O74,Pricing!O75),"")</f>
        <v/>
      </c>
      <c r="K44" s="454" t="str">
        <f>IF(J44="","",J44+K43)</f>
        <v/>
      </c>
      <c r="M44" s="165"/>
    </row>
    <row r="45" spans="1:13" ht="19.899999999999999" customHeight="1" thickBot="1" x14ac:dyDescent="0.25">
      <c r="A45" s="181" t="s">
        <v>69</v>
      </c>
      <c r="B45" s="752" t="str">
        <f>Pricing!T68</f>
        <v/>
      </c>
      <c r="C45" s="753"/>
      <c r="D45" s="455"/>
      <c r="E45" s="456"/>
      <c r="G45" s="847" t="s">
        <v>960</v>
      </c>
      <c r="H45" s="847"/>
      <c r="I45" s="847"/>
      <c r="J45" s="847"/>
      <c r="K45" s="848"/>
    </row>
    <row r="46" spans="1:13" ht="3" customHeight="1" x14ac:dyDescent="0.2">
      <c r="A46" s="16"/>
      <c r="B46" s="16"/>
      <c r="C46" s="16"/>
      <c r="D46" s="16"/>
      <c r="E46" s="16"/>
      <c r="G46" s="847"/>
      <c r="H46" s="847"/>
      <c r="I46" s="847"/>
      <c r="J46" s="847"/>
      <c r="K46" s="848"/>
    </row>
    <row r="47" spans="1:13" ht="14.45" customHeight="1" x14ac:dyDescent="0.2">
      <c r="A47" s="182"/>
      <c r="B47" s="16"/>
      <c r="C47" s="16"/>
      <c r="D47" s="16"/>
      <c r="E47" s="16"/>
      <c r="F47" s="16"/>
      <c r="G47" s="847"/>
      <c r="H47" s="847"/>
      <c r="I47" s="847"/>
      <c r="J47" s="847"/>
      <c r="K47" s="848"/>
    </row>
    <row r="48" spans="1:13" ht="15" customHeight="1" x14ac:dyDescent="0.2">
      <c r="A48" s="182"/>
      <c r="B48" s="16"/>
      <c r="C48" s="16"/>
      <c r="D48" s="16"/>
      <c r="E48" s="16"/>
      <c r="F48" s="16"/>
      <c r="G48" s="847"/>
      <c r="H48" s="847"/>
      <c r="I48" s="847"/>
      <c r="J48" s="847"/>
      <c r="K48" s="848"/>
    </row>
    <row r="49" spans="1:15" x14ac:dyDescent="0.2">
      <c r="A49" s="182"/>
      <c r="B49" s="16"/>
      <c r="C49" s="16"/>
      <c r="D49" s="16"/>
      <c r="E49" s="16"/>
      <c r="F49" s="16"/>
      <c r="G49" s="847"/>
      <c r="H49" s="847"/>
      <c r="I49" s="847"/>
      <c r="J49" s="847"/>
      <c r="K49" s="848"/>
    </row>
    <row r="50" spans="1:15" x14ac:dyDescent="0.2">
      <c r="A50" s="182"/>
      <c r="B50" s="16"/>
      <c r="C50" s="16"/>
      <c r="D50" s="16"/>
      <c r="E50" s="16"/>
      <c r="F50" s="16"/>
      <c r="G50" s="847"/>
      <c r="H50" s="847"/>
      <c r="I50" s="847"/>
      <c r="J50" s="847"/>
      <c r="K50" s="848"/>
    </row>
    <row r="51" spans="1:15" ht="32.25" customHeight="1" thickBot="1" x14ac:dyDescent="0.25">
      <c r="A51" s="183"/>
      <c r="B51" s="16"/>
      <c r="C51" s="16"/>
      <c r="D51" s="16"/>
      <c r="E51" s="16"/>
      <c r="F51" s="16"/>
      <c r="G51" s="849"/>
      <c r="H51" s="849"/>
      <c r="I51" s="849"/>
      <c r="J51" s="849"/>
      <c r="K51" s="850"/>
    </row>
    <row r="52" spans="1:15" ht="26.25" thickBot="1" x14ac:dyDescent="0.25">
      <c r="A52" s="822" t="s">
        <v>936</v>
      </c>
      <c r="B52" s="823"/>
      <c r="C52" s="823"/>
      <c r="D52" s="823"/>
      <c r="E52" s="823"/>
      <c r="F52" s="823"/>
      <c r="G52" s="824"/>
      <c r="H52" s="824"/>
      <c r="I52" s="824"/>
      <c r="J52" s="824"/>
      <c r="K52" s="825"/>
      <c r="O52" s="415"/>
    </row>
    <row r="53" spans="1:15" ht="15.75" thickBot="1" x14ac:dyDescent="0.25">
      <c r="A53" s="722" t="s">
        <v>107</v>
      </c>
      <c r="B53" s="723"/>
      <c r="C53" s="723"/>
      <c r="D53" s="723"/>
      <c r="E53" s="723"/>
      <c r="F53" s="723"/>
      <c r="G53" s="723"/>
      <c r="H53" s="723"/>
      <c r="I53" s="723"/>
      <c r="J53" s="723"/>
      <c r="K53" s="724"/>
    </row>
    <row r="55" spans="1:15" x14ac:dyDescent="0.2">
      <c r="I55" s="4"/>
    </row>
    <row r="57" spans="1:15" x14ac:dyDescent="0.2">
      <c r="N57" s="137"/>
    </row>
    <row r="58" spans="1:15" x14ac:dyDescent="0.2">
      <c r="J58" s="405"/>
    </row>
  </sheetData>
  <mergeCells count="86">
    <mergeCell ref="F34:I34"/>
    <mergeCell ref="F23:I23"/>
    <mergeCell ref="A52:K52"/>
    <mergeCell ref="F40:I40"/>
    <mergeCell ref="F41:I42"/>
    <mergeCell ref="J41:K42"/>
    <mergeCell ref="B43:C43"/>
    <mergeCell ref="B44:C44"/>
    <mergeCell ref="A40:C40"/>
    <mergeCell ref="F44:I44"/>
    <mergeCell ref="F43:I43"/>
    <mergeCell ref="G45:K51"/>
    <mergeCell ref="A11:A13"/>
    <mergeCell ref="B11:F13"/>
    <mergeCell ref="B14:F17"/>
    <mergeCell ref="J5:K5"/>
    <mergeCell ref="A8:C8"/>
    <mergeCell ref="A9:C10"/>
    <mergeCell ref="A14:A17"/>
    <mergeCell ref="J6:K6"/>
    <mergeCell ref="J7:K7"/>
    <mergeCell ref="D8:F8"/>
    <mergeCell ref="D9:F10"/>
    <mergeCell ref="F19:K20"/>
    <mergeCell ref="F22:I22"/>
    <mergeCell ref="F29:I29"/>
    <mergeCell ref="F31:I31"/>
    <mergeCell ref="A32:C33"/>
    <mergeCell ref="F30:I30"/>
    <mergeCell ref="F32:I32"/>
    <mergeCell ref="F33:I33"/>
    <mergeCell ref="A29:C30"/>
    <mergeCell ref="A20:C21"/>
    <mergeCell ref="A23:C24"/>
    <mergeCell ref="R20:T20"/>
    <mergeCell ref="O17:P17"/>
    <mergeCell ref="O15:P15"/>
    <mergeCell ref="R15:T15"/>
    <mergeCell ref="R16:T16"/>
    <mergeCell ref="R17:T17"/>
    <mergeCell ref="R18:T18"/>
    <mergeCell ref="A18:B18"/>
    <mergeCell ref="A25:C25"/>
    <mergeCell ref="A28:C28"/>
    <mergeCell ref="A31:C31"/>
    <mergeCell ref="A26:C27"/>
    <mergeCell ref="O9:P9"/>
    <mergeCell ref="R9:T9"/>
    <mergeCell ref="R11:T11"/>
    <mergeCell ref="O10:P10"/>
    <mergeCell ref="R19:T19"/>
    <mergeCell ref="O13:P13"/>
    <mergeCell ref="R13:T13"/>
    <mergeCell ref="R14:T14"/>
    <mergeCell ref="R10:T10"/>
    <mergeCell ref="O11:P11"/>
    <mergeCell ref="O12:P12"/>
    <mergeCell ref="R12:T12"/>
    <mergeCell ref="R5:T5"/>
    <mergeCell ref="R7:T7"/>
    <mergeCell ref="O8:P8"/>
    <mergeCell ref="R8:T8"/>
    <mergeCell ref="O6:P6"/>
    <mergeCell ref="R6:T6"/>
    <mergeCell ref="A1:K4"/>
    <mergeCell ref="A6:A7"/>
    <mergeCell ref="D6:F6"/>
    <mergeCell ref="D7:F7"/>
    <mergeCell ref="O4:P4"/>
    <mergeCell ref="B6:C7"/>
    <mergeCell ref="A53:K53"/>
    <mergeCell ref="F24:I24"/>
    <mergeCell ref="F25:I25"/>
    <mergeCell ref="F26:I26"/>
    <mergeCell ref="F27:I27"/>
    <mergeCell ref="F28:I28"/>
    <mergeCell ref="A35:C37"/>
    <mergeCell ref="A39:C39"/>
    <mergeCell ref="A34:C34"/>
    <mergeCell ref="F35:I35"/>
    <mergeCell ref="F36:I36"/>
    <mergeCell ref="B41:C41"/>
    <mergeCell ref="B42:C42"/>
    <mergeCell ref="F37:I37"/>
    <mergeCell ref="F39:I39"/>
    <mergeCell ref="B45:C45"/>
  </mergeCells>
  <conditionalFormatting sqref="A43:B43">
    <cfRule type="expression" dxfId="737" priority="6">
      <formula>SEARCH("12",$A$40)</formula>
    </cfRule>
  </conditionalFormatting>
  <conditionalFormatting sqref="A44:B44">
    <cfRule type="expression" dxfId="736" priority="5">
      <formula>SEARCH("24",$A$40)</formula>
    </cfRule>
  </conditionalFormatting>
  <conditionalFormatting sqref="A45:B45">
    <cfRule type="expression" dxfId="735" priority="4">
      <formula>SEARCH("36",$A$40)</formula>
    </cfRule>
  </conditionalFormatting>
  <conditionalFormatting sqref="A40:C40">
    <cfRule type="containsText" dxfId="734" priority="3" operator="containsText" text="Finance Yes">
      <formula>NOT(ISERROR(SEARCH("Finance Yes",A40)))</formula>
    </cfRule>
  </conditionalFormatting>
  <conditionalFormatting sqref="J44:K44">
    <cfRule type="expression" dxfId="733" priority="2">
      <formula>$J$44&lt;&gt;""</formula>
    </cfRule>
  </conditionalFormatting>
  <conditionalFormatting sqref="K43">
    <cfRule type="expression" dxfId="732" priority="1">
      <formula>$K$44&lt;&gt;""</formula>
    </cfRule>
  </conditionalFormatting>
  <pageMargins left="0.70866141732283461" right="0.70866141732283461" top="0.74803149606299213" bottom="0.74803149606299213" header="0.31496062992125984" footer="0.31496062992125984"/>
  <pageSetup paperSize="9" scale="68"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0936-D2A6-42AA-821C-EF11725EDAF9}">
  <sheetPr codeName="Sheet4">
    <pageSetUpPr fitToPage="1"/>
  </sheetPr>
  <dimension ref="A1:W58"/>
  <sheetViews>
    <sheetView showGridLines="0" zoomScaleNormal="100" workbookViewId="0">
      <selection activeCell="E26" sqref="E26"/>
    </sheetView>
  </sheetViews>
  <sheetFormatPr defaultColWidth="9.14453125" defaultRowHeight="15" x14ac:dyDescent="0.2"/>
  <cols>
    <col min="1" max="1" width="13.98828125" customWidth="1"/>
    <col min="2" max="2" width="11.02734375" customWidth="1"/>
    <col min="3" max="3" width="12.10546875" customWidth="1"/>
    <col min="4" max="4" width="1.4765625" customWidth="1"/>
    <col min="5" max="5" width="9.953125" customWidth="1"/>
    <col min="6" max="6" width="5.109375" customWidth="1"/>
    <col min="7" max="7" width="11.97265625" customWidth="1"/>
    <col min="9" max="9" width="16.140625" customWidth="1"/>
    <col min="10" max="11" width="14.66015625" customWidth="1"/>
    <col min="22" max="22" width="9.953125" bestFit="1" customWidth="1"/>
  </cols>
  <sheetData>
    <row r="1" spans="1:23" x14ac:dyDescent="0.2">
      <c r="A1" s="851"/>
      <c r="B1" s="852"/>
      <c r="C1" s="852"/>
      <c r="D1" s="852"/>
      <c r="E1" s="852"/>
      <c r="F1" s="852"/>
      <c r="G1" s="852"/>
      <c r="H1" s="852"/>
      <c r="I1" s="852"/>
      <c r="J1" s="852"/>
      <c r="K1" s="853"/>
    </row>
    <row r="2" spans="1:23" x14ac:dyDescent="0.2">
      <c r="A2" s="854"/>
      <c r="B2" s="855"/>
      <c r="C2" s="855"/>
      <c r="D2" s="855"/>
      <c r="E2" s="855"/>
      <c r="F2" s="855"/>
      <c r="G2" s="855"/>
      <c r="H2" s="855"/>
      <c r="I2" s="855"/>
      <c r="J2" s="855"/>
      <c r="K2" s="856"/>
    </row>
    <row r="3" spans="1:23" x14ac:dyDescent="0.2">
      <c r="A3" s="854"/>
      <c r="B3" s="855"/>
      <c r="C3" s="855"/>
      <c r="D3" s="855"/>
      <c r="E3" s="855"/>
      <c r="F3" s="855"/>
      <c r="G3" s="855"/>
      <c r="H3" s="855"/>
      <c r="I3" s="855"/>
      <c r="J3" s="855"/>
      <c r="K3" s="856"/>
      <c r="O3" t="s">
        <v>83</v>
      </c>
    </row>
    <row r="4" spans="1:23" ht="15.75" thickBot="1" x14ac:dyDescent="0.25">
      <c r="A4" s="854"/>
      <c r="B4" s="855"/>
      <c r="C4" s="855"/>
      <c r="D4" s="855"/>
      <c r="E4" s="855"/>
      <c r="F4" s="855"/>
      <c r="G4" s="857"/>
      <c r="H4" s="857"/>
      <c r="I4" s="857"/>
      <c r="J4" s="857"/>
      <c r="K4" s="858"/>
      <c r="O4" s="765" t="str">
        <f>IF(Pricing!B59="","",Pricing!B59)</f>
        <v/>
      </c>
      <c r="P4" s="765"/>
    </row>
    <row r="5" spans="1:23" ht="15" customHeight="1" thickBot="1" x14ac:dyDescent="0.25">
      <c r="A5" s="399"/>
      <c r="B5" s="399"/>
      <c r="C5" s="399"/>
      <c r="D5" s="399"/>
      <c r="E5" s="399"/>
      <c r="F5" s="399"/>
      <c r="G5" s="16"/>
      <c r="H5" s="400"/>
      <c r="I5" s="400"/>
      <c r="J5" s="813" t="s">
        <v>919</v>
      </c>
      <c r="K5" s="814"/>
      <c r="O5" t="s">
        <v>84</v>
      </c>
      <c r="R5" s="770" t="s">
        <v>85</v>
      </c>
      <c r="S5" s="770"/>
      <c r="T5" s="771"/>
      <c r="U5" s="74" t="s">
        <v>86</v>
      </c>
      <c r="V5" s="74" t="s">
        <v>40</v>
      </c>
      <c r="W5" s="403" t="s">
        <v>87</v>
      </c>
    </row>
    <row r="6" spans="1:23" ht="15" customHeight="1" thickBot="1" x14ac:dyDescent="0.25">
      <c r="A6" s="762" t="str">
        <f xml:space="preserve"> "QUOTE DATE: "</f>
        <v xml:space="preserve">QUOTE DATE: </v>
      </c>
      <c r="B6" s="766" t="str">
        <f ca="1" xml:space="preserve"> TEXT(TODAY(),"dd/mm/yyyy")</f>
        <v>13/03/2023</v>
      </c>
      <c r="C6" s="767"/>
      <c r="D6" s="763" t="s">
        <v>88</v>
      </c>
      <c r="E6" s="763"/>
      <c r="F6" s="763"/>
      <c r="G6" s="16"/>
      <c r="H6" s="367"/>
      <c r="I6" s="367"/>
      <c r="J6" s="818" t="s">
        <v>920</v>
      </c>
      <c r="K6" s="819"/>
      <c r="O6" s="765" t="str">
        <f>IF(Pricing!B66="","",Pricing!B66)</f>
        <v/>
      </c>
      <c r="P6" s="765"/>
      <c r="R6" s="772" t="str">
        <f>IF(OR(Pricing!C8="",Pricing!AD8="Quoted"),"",Pricing!C8 &amp; " " &amp;Pricing!C9 &amp; " " &amp;Pricing!C10)</f>
        <v/>
      </c>
      <c r="S6" s="772"/>
      <c r="T6" s="773"/>
      <c r="U6" s="75"/>
      <c r="V6" s="404">
        <f>Pricing!AD9-Matrix2!Z26</f>
        <v>0</v>
      </c>
      <c r="W6" s="402" t="e">
        <f>IF(OR(Pricing!AD10=0,Pricing!AD8="Quoted"),"",Pricing!AD10)-Matrix2!Z26</f>
        <v>#VALUE!</v>
      </c>
    </row>
    <row r="7" spans="1:23" ht="15" customHeight="1" thickBot="1" x14ac:dyDescent="0.25">
      <c r="A7" s="762"/>
      <c r="B7" s="768"/>
      <c r="C7" s="769"/>
      <c r="D7" s="764" t="str">
        <f>IF(Pricing!E62="","",Pricing!E62)</f>
        <v/>
      </c>
      <c r="E7" s="764"/>
      <c r="F7" s="764"/>
      <c r="G7" s="16"/>
      <c r="H7" s="416"/>
      <c r="I7" s="367"/>
      <c r="J7" s="813" t="s">
        <v>934</v>
      </c>
      <c r="K7" s="814"/>
      <c r="O7" t="s">
        <v>89</v>
      </c>
      <c r="R7" s="772" t="str">
        <f>IF(OR(Pricing!C11="",Pricing!AD11="Quoted"),"",Pricing!C11 &amp; " " &amp; Pricing!C12 &amp; " " &amp; Pricing!C13)</f>
        <v/>
      </c>
      <c r="S7" s="772"/>
      <c r="T7" s="773"/>
      <c r="U7" s="75"/>
      <c r="V7" s="404">
        <f>Pricing!AD12-Matrix2!Z27</f>
        <v>0</v>
      </c>
      <c r="W7" s="402" t="e">
        <f>IF(OR(Pricing!AD13=0,Pricing!AD11="Quoted"),"",Pricing!AD13)-Matrix2!Z27</f>
        <v>#VALUE!</v>
      </c>
    </row>
    <row r="8" spans="1:23" ht="19.5" thickBot="1" x14ac:dyDescent="0.3">
      <c r="A8" s="815" t="s">
        <v>90</v>
      </c>
      <c r="B8" s="815"/>
      <c r="C8" s="815"/>
      <c r="D8" s="815" t="s">
        <v>91</v>
      </c>
      <c r="E8" s="815"/>
      <c r="F8" s="815"/>
      <c r="G8" s="196"/>
      <c r="I8" s="16"/>
      <c r="J8" s="16"/>
      <c r="K8" s="145"/>
      <c r="O8" s="765" t="str">
        <f>IF(Pricing!B69="","",Pricing!B69)</f>
        <v/>
      </c>
      <c r="P8" s="765"/>
      <c r="R8" s="772" t="str">
        <f>IF(OR(Pricing!C14="",Pricing!AD14="Quoted"),"",Pricing!C14 &amp; " " &amp; Pricing!C15 &amp; " " &amp; Pricing!C16)</f>
        <v/>
      </c>
      <c r="S8" s="772"/>
      <c r="T8" s="773"/>
      <c r="U8" s="75"/>
      <c r="V8" s="404">
        <f>Pricing!AD15-Matrix2!Z28</f>
        <v>0</v>
      </c>
      <c r="W8" s="402" t="e">
        <f>IF(OR(Pricing!AD16=0,Pricing!AD14="Quoted"),"",Pricing!AD16)-Matrix2!Z28</f>
        <v>#VALUE!</v>
      </c>
    </row>
    <row r="9" spans="1:23" ht="18.600000000000001" customHeight="1" thickBot="1" x14ac:dyDescent="0.25">
      <c r="A9" s="816" t="str">
        <f>IF(O4="","",O4)</f>
        <v/>
      </c>
      <c r="B9" s="816"/>
      <c r="C9" s="816"/>
      <c r="D9" s="764" t="str">
        <f>IF(O17="","",O17)</f>
        <v/>
      </c>
      <c r="E9" s="764"/>
      <c r="F9" s="764"/>
      <c r="G9" s="16"/>
      <c r="H9" s="16"/>
      <c r="I9" s="16"/>
      <c r="J9" s="16"/>
      <c r="K9" s="145"/>
      <c r="O9" s="765"/>
      <c r="P9" s="765"/>
      <c r="R9" s="772" t="str">
        <f>IF(OR(Pricing!C17="",,Pricing!AD17="Quoted"),"",Pricing!C17 &amp; " " &amp;Pricing!C18 &amp; " " &amp; Pricing!C19)</f>
        <v/>
      </c>
      <c r="S9" s="772"/>
      <c r="T9" s="773"/>
      <c r="U9" s="75"/>
      <c r="V9" s="404">
        <f>Pricing!AD18-Matrix2!Z29</f>
        <v>0</v>
      </c>
      <c r="W9" s="402" t="e">
        <f>IF(OR(Pricing!AD19=0,Pricing!AD17="Quoted"),"",Pricing!AD19)-Matrix2!Z29</f>
        <v>#VALUE!</v>
      </c>
    </row>
    <row r="10" spans="1:23" ht="15" customHeight="1" thickBot="1" x14ac:dyDescent="0.25">
      <c r="A10" s="816"/>
      <c r="B10" s="816"/>
      <c r="C10" s="816"/>
      <c r="D10" s="764"/>
      <c r="E10" s="764"/>
      <c r="F10" s="764"/>
      <c r="G10" s="16"/>
      <c r="H10" s="16"/>
      <c r="I10" s="16"/>
      <c r="J10" s="16"/>
      <c r="K10" s="145"/>
      <c r="O10" s="765"/>
      <c r="P10" s="765"/>
      <c r="R10" s="772" t="str">
        <f>IF(OR(Pricing!C20="",Pricing!AD20="Quoted"),"",Pricing!C20 &amp; " " &amp;Pricing!C21 &amp; " " &amp;Pricing!C22)</f>
        <v/>
      </c>
      <c r="S10" s="772"/>
      <c r="T10" s="773"/>
      <c r="U10" s="75"/>
      <c r="V10" s="404">
        <f>Pricing!AD21-Matrix2!Z30</f>
        <v>0</v>
      </c>
      <c r="W10" s="402" t="e">
        <f>IF(OR(Pricing!AD22=0,Pricing!AD20="Quoted"),"",Pricing!AD22)-Matrix2!Z30</f>
        <v>#VALUE!</v>
      </c>
    </row>
    <row r="11" spans="1:23" ht="15.75" thickBot="1" x14ac:dyDescent="0.25">
      <c r="A11" s="792" t="s">
        <v>92</v>
      </c>
      <c r="B11" s="795" t="str">
        <f>IF(Pricing!B66="","",Pricing!B66)</f>
        <v/>
      </c>
      <c r="C11" s="796"/>
      <c r="D11" s="796"/>
      <c r="E11" s="796"/>
      <c r="F11" s="797"/>
      <c r="G11" s="16"/>
      <c r="H11" s="16"/>
      <c r="I11" s="16"/>
      <c r="J11" s="16"/>
      <c r="K11" s="145"/>
      <c r="O11" s="765"/>
      <c r="P11" s="765"/>
      <c r="R11" s="772" t="str">
        <f>IF(OR(Pricing!C23="",Pricing!AD23),"",Pricing!C23 &amp; " " &amp; Pricing!C24 &amp; " " &amp; Pricing!C25)</f>
        <v/>
      </c>
      <c r="S11" s="772"/>
      <c r="T11" s="773"/>
      <c r="U11" s="75"/>
      <c r="V11" s="404">
        <f>Pricing!AD24-Matrix2!Z31</f>
        <v>0</v>
      </c>
      <c r="W11" s="402" t="e">
        <f>IF(OR(Pricing!AD25=0,Pricing!AD23="Quoted"),"",Pricing!AD25)-Matrix2!Z31</f>
        <v>#VALUE!</v>
      </c>
    </row>
    <row r="12" spans="1:23" ht="15.75" thickBot="1" x14ac:dyDescent="0.25">
      <c r="A12" s="793"/>
      <c r="B12" s="798"/>
      <c r="C12" s="799"/>
      <c r="D12" s="799"/>
      <c r="E12" s="799"/>
      <c r="F12" s="800"/>
      <c r="G12" s="16"/>
      <c r="H12" s="16"/>
      <c r="I12" s="16"/>
      <c r="J12" s="16"/>
      <c r="K12" s="145"/>
      <c r="O12" s="765"/>
      <c r="P12" s="765"/>
      <c r="R12" s="772" t="str">
        <f>IF(OR(Pricing!C26="",Pricing!AD26="Quoted"),"",Pricing!C26 &amp; " " &amp; Pricing!C27 &amp; " " &amp; Pricing!C28)</f>
        <v/>
      </c>
      <c r="S12" s="772"/>
      <c r="T12" s="773"/>
      <c r="U12" s="75"/>
      <c r="V12" s="404">
        <f>Pricing!AD27-Matrix2!Z32</f>
        <v>0</v>
      </c>
      <c r="W12" s="402" t="e">
        <f>IF(OR(Pricing!AD28=0,Pricing!AD26="Quoted"),"",Pricing!AD28)-Matrix2!Z32</f>
        <v>#VALUE!</v>
      </c>
    </row>
    <row r="13" spans="1:23" ht="15" customHeight="1" thickBot="1" x14ac:dyDescent="0.25">
      <c r="A13" s="794"/>
      <c r="B13" s="801"/>
      <c r="C13" s="802"/>
      <c r="D13" s="802"/>
      <c r="E13" s="802"/>
      <c r="F13" s="803"/>
      <c r="G13" s="16"/>
      <c r="H13" s="16"/>
      <c r="I13" s="16"/>
      <c r="J13" s="16"/>
      <c r="K13" s="145"/>
      <c r="O13" s="765"/>
      <c r="P13" s="765"/>
      <c r="R13" s="772" t="str">
        <f>IF(OR(Pricing!C29="",Pricing!AD29="Quoted"),"",Pricing!C29 &amp; " " &amp;Pricing!C30 &amp; " " &amp; Pricing!C31)</f>
        <v/>
      </c>
      <c r="S13" s="772"/>
      <c r="T13" s="773"/>
      <c r="U13" s="75"/>
      <c r="V13" s="404">
        <f>Pricing!AD30-Matrix2!Z33</f>
        <v>0</v>
      </c>
      <c r="W13" s="402" t="e">
        <f>IF(OR(Pricing!AD31=0,Pricing!AD29="Quoted"),"",Pricing!AD31)-Matrix2!Z33</f>
        <v>#VALUE!</v>
      </c>
    </row>
    <row r="14" spans="1:23" ht="15.75" thickBot="1" x14ac:dyDescent="0.25">
      <c r="A14" s="817" t="s">
        <v>93</v>
      </c>
      <c r="B14" s="804" t="str">
        <f>IF(Pricing!B69="","",Pricing!B69)</f>
        <v/>
      </c>
      <c r="C14" s="805"/>
      <c r="D14" s="805"/>
      <c r="E14" s="805"/>
      <c r="F14" s="806"/>
      <c r="G14" s="16"/>
      <c r="H14" s="16"/>
      <c r="I14" s="16"/>
      <c r="J14" s="16"/>
      <c r="K14" s="145"/>
      <c r="O14" t="s">
        <v>94</v>
      </c>
      <c r="R14" s="772" t="str">
        <f>IF(OR(Pricing!C32="",Pricing!AD32="Quoted"),"",Pricing!C32 &amp; " " &amp; Pricing!C33 &amp; " " &amp; Pricing!C34)</f>
        <v/>
      </c>
      <c r="S14" s="772"/>
      <c r="T14" s="773"/>
      <c r="U14" s="75"/>
      <c r="V14" s="404">
        <f>Pricing!AD33-Matrix2!Z34</f>
        <v>0</v>
      </c>
      <c r="W14" s="402" t="e">
        <f>IF(OR(Pricing!AD34=0,Pricing!AD32="Quoted"),"",Pricing!AD34)-Matrix2!Z34</f>
        <v>#VALUE!</v>
      </c>
    </row>
    <row r="15" spans="1:23" ht="15.75" thickBot="1" x14ac:dyDescent="0.25">
      <c r="A15" s="817"/>
      <c r="B15" s="807"/>
      <c r="C15" s="808"/>
      <c r="D15" s="808"/>
      <c r="E15" s="808"/>
      <c r="F15" s="809"/>
      <c r="G15" s="16"/>
      <c r="H15" s="16"/>
      <c r="I15" s="16"/>
      <c r="J15" s="16"/>
      <c r="K15" s="145"/>
      <c r="O15" s="765" t="str">
        <f>IF(Pricing!E62="","",Pricing!E62)</f>
        <v/>
      </c>
      <c r="P15" s="765"/>
      <c r="R15" s="772" t="str">
        <f>IF(OR(Pricing!C35="",Pricing!AD35="Quoted"),"",Pricing!C35 &amp; " " &amp; Pricing!C36 &amp; " " &amp; Pricing!C37)</f>
        <v/>
      </c>
      <c r="S15" s="772"/>
      <c r="T15" s="773"/>
      <c r="U15" s="75"/>
      <c r="V15" s="404">
        <f>Pricing!AD36-Matrix2!Z35</f>
        <v>0</v>
      </c>
      <c r="W15" s="402" t="e">
        <f>IF(OR(Pricing!AD37=0,Pricing!AD35="Quoted"),"",Pricing!AD37)-Matrix2!Z35</f>
        <v>#VALUE!</v>
      </c>
    </row>
    <row r="16" spans="1:23" ht="15.75" thickBot="1" x14ac:dyDescent="0.25">
      <c r="A16" s="817"/>
      <c r="B16" s="807"/>
      <c r="C16" s="808"/>
      <c r="D16" s="808"/>
      <c r="E16" s="808"/>
      <c r="F16" s="809"/>
      <c r="G16" s="16"/>
      <c r="H16" s="16"/>
      <c r="I16" s="16"/>
      <c r="J16" s="16"/>
      <c r="K16" s="145"/>
      <c r="O16" t="s">
        <v>95</v>
      </c>
      <c r="R16" s="772" t="str">
        <f>IF(OR(Pricing!C38="",Pricing!AD38="Quoted"),"",Pricing!C38 &amp; " " &amp; Pricing!C39 &amp; " " &amp; Pricing!C40)</f>
        <v/>
      </c>
      <c r="S16" s="772"/>
      <c r="T16" s="773"/>
      <c r="U16" s="75"/>
      <c r="V16" s="404">
        <f>Pricing!AD39-Matrix2!Z36</f>
        <v>0</v>
      </c>
      <c r="W16" s="402" t="e">
        <f>IF(OR(Pricing!AD40=0,Pricing!AD38="Quoted"),"",Pricing!AD40)-Matrix2!Z36</f>
        <v>#VALUE!</v>
      </c>
    </row>
    <row r="17" spans="1:23" ht="15.75" thickBot="1" x14ac:dyDescent="0.25">
      <c r="A17" s="817"/>
      <c r="B17" s="810"/>
      <c r="C17" s="811"/>
      <c r="D17" s="811"/>
      <c r="E17" s="811"/>
      <c r="F17" s="812"/>
      <c r="G17" s="16"/>
      <c r="H17" s="16"/>
      <c r="I17" s="16"/>
      <c r="J17" s="16"/>
      <c r="K17" s="145"/>
      <c r="O17" s="782" t="str">
        <f>IF(Pricing!E59="","",Pricing!E59)</f>
        <v/>
      </c>
      <c r="P17" s="782"/>
      <c r="R17" s="772" t="str">
        <f>IF(OR(Pricing!C41="",Pricing!AD41="Quoted"),"",Pricing!C41 &amp; " " &amp; Pricing!C42 &amp; " " &amp; Pricing!C43)</f>
        <v/>
      </c>
      <c r="S17" s="772"/>
      <c r="T17" s="773"/>
      <c r="U17" s="75"/>
      <c r="V17" s="404">
        <f>Pricing!AD42-Matrix2!Z37</f>
        <v>0</v>
      </c>
      <c r="W17" s="402" t="e">
        <f>IF(OR(Pricing!AD43=0,Pricing!AD41="Quoted"),"",Pricing!AD43)-Matrix2!Z37</f>
        <v>#VALUE!</v>
      </c>
    </row>
    <row r="18" spans="1:23" ht="15.75" thickBot="1" x14ac:dyDescent="0.25">
      <c r="A18" s="774" t="str">
        <f>IF(O13="","",O13)</f>
        <v/>
      </c>
      <c r="B18" s="775"/>
      <c r="C18" s="22"/>
      <c r="D18" s="16"/>
      <c r="E18" s="16"/>
      <c r="F18" s="16"/>
      <c r="G18" s="16"/>
      <c r="H18" s="16"/>
      <c r="I18" s="16"/>
      <c r="J18" s="16"/>
      <c r="K18" s="145"/>
      <c r="R18" s="772" t="str">
        <f>IF(OR(Pricing!C44="",Pricing!AD44="Quoted"),"",Pricing!C44 &amp; " " &amp; Pricing!C45 &amp; " " &amp; Pricing!C46)</f>
        <v/>
      </c>
      <c r="S18" s="772"/>
      <c r="T18" s="773"/>
      <c r="U18" s="75"/>
      <c r="V18" s="404">
        <f>Pricing!AD45-Matrix2!Z38</f>
        <v>0</v>
      </c>
      <c r="W18" s="402" t="e">
        <f>IF(OR(Pricing!AD46=0,Pricing!AD44="Quoted"),"",Pricing!AD46)-Matrix2!Z38</f>
        <v>#VALUE!</v>
      </c>
    </row>
    <row r="19" spans="1:23" ht="19.5" customHeight="1" thickBot="1" x14ac:dyDescent="0.25">
      <c r="A19" s="411" t="s">
        <v>762</v>
      </c>
      <c r="B19" s="412"/>
      <c r="C19" s="413"/>
      <c r="D19" s="16"/>
      <c r="E19" s="16"/>
      <c r="F19" s="890" t="s">
        <v>97</v>
      </c>
      <c r="G19" s="891"/>
      <c r="H19" s="891"/>
      <c r="I19" s="891"/>
      <c r="J19" s="891"/>
      <c r="K19" s="892"/>
      <c r="R19" s="772" t="str">
        <f>IF(OR(Pricing!C47="",Pricing!AD47="Quoted"),"",Pricing!C47 &amp; " " &amp;Pricing!C48 &amp; " " &amp; Pricing!C49)</f>
        <v/>
      </c>
      <c r="S19" s="772"/>
      <c r="T19" s="773"/>
      <c r="U19" s="166"/>
      <c r="V19" s="404">
        <f>Pricing!AD48-Matrix2!Z39</f>
        <v>0</v>
      </c>
      <c r="W19" s="402" t="e">
        <f>IF(OR(Pricing!AD49=0,Pricing!AD47="Quoted"),"",Pricing!AD49)-Matrix2!Z39</f>
        <v>#VALUE!</v>
      </c>
    </row>
    <row r="20" spans="1:23" ht="19.5" customHeight="1" thickBot="1" x14ac:dyDescent="0.25">
      <c r="A20" s="884" t="str">
        <f>IF(Pricing!D8="","",Pricing!D8)</f>
        <v/>
      </c>
      <c r="B20" s="885"/>
      <c r="C20" s="886"/>
      <c r="D20" s="16"/>
      <c r="E20" s="16"/>
      <c r="F20" s="893"/>
      <c r="G20" s="894"/>
      <c r="H20" s="894"/>
      <c r="I20" s="894"/>
      <c r="J20" s="894"/>
      <c r="K20" s="895"/>
      <c r="R20" s="772" t="str">
        <f>IF(OR(Pricing!C50="",Pricing!AD50="Quoted"),"",Pricing!C50 &amp; " " &amp; Pricing!C51 &amp; " " &amp; Pricing!C52)</f>
        <v/>
      </c>
      <c r="S20" s="772"/>
      <c r="T20" s="772"/>
      <c r="U20" s="401"/>
      <c r="V20" s="404">
        <f>Pricing!AD51-Matrix2!Z40</f>
        <v>0</v>
      </c>
      <c r="W20" s="402" t="e">
        <f>IF(OR(Pricing!AD52=0,Pricing!AD50="Quoted"),"",Pricing!AD52)-Matrix2!Z40</f>
        <v>#VALUE!</v>
      </c>
    </row>
    <row r="21" spans="1:23" ht="19.5" customHeight="1" thickBot="1" x14ac:dyDescent="0.25">
      <c r="A21" s="887"/>
      <c r="B21" s="888"/>
      <c r="C21" s="889"/>
      <c r="D21" s="16"/>
      <c r="E21" s="16"/>
      <c r="F21" s="422"/>
      <c r="G21" s="423"/>
      <c r="H21" s="423"/>
      <c r="I21" s="423"/>
      <c r="J21" s="423"/>
      <c r="K21" s="424"/>
      <c r="R21" s="363"/>
      <c r="S21" s="363"/>
      <c r="T21" s="363"/>
      <c r="U21" s="77"/>
      <c r="V21" s="404"/>
      <c r="W21" s="364"/>
    </row>
    <row r="22" spans="1:23" ht="19.5" customHeight="1" thickBot="1" x14ac:dyDescent="0.3">
      <c r="A22" s="414" t="s">
        <v>98</v>
      </c>
      <c r="B22" s="412"/>
      <c r="C22" s="413"/>
      <c r="D22" s="16"/>
      <c r="E22" s="16"/>
      <c r="F22" s="896" t="s">
        <v>85</v>
      </c>
      <c r="G22" s="897"/>
      <c r="H22" s="897"/>
      <c r="I22" s="898"/>
      <c r="J22" s="417" t="s">
        <v>40</v>
      </c>
      <c r="K22" s="417" t="s">
        <v>87</v>
      </c>
      <c r="U22" t="s">
        <v>99</v>
      </c>
      <c r="V22" s="165">
        <f>SUM(V6:V20)</f>
        <v>0</v>
      </c>
      <c r="W22" s="165" t="e">
        <f>SUM(W6:W20)</f>
        <v>#VALUE!</v>
      </c>
    </row>
    <row r="23" spans="1:23" ht="19.5" customHeight="1" thickBot="1" x14ac:dyDescent="0.3">
      <c r="A23" s="884" t="str">
        <f>IF(Pricing!E8="","",Pricing!E8)</f>
        <v/>
      </c>
      <c r="B23" s="885"/>
      <c r="C23" s="886"/>
      <c r="D23" s="16"/>
      <c r="E23" s="16"/>
      <c r="F23" s="820" t="str">
        <f t="shared" ref="F23:F36" si="0">R6</f>
        <v/>
      </c>
      <c r="G23" s="821"/>
      <c r="H23" s="821"/>
      <c r="I23" s="821"/>
      <c r="J23" s="419">
        <f>V6</f>
        <v>0</v>
      </c>
      <c r="K23" s="418" t="str">
        <f t="shared" ref="K23:K37" si="1">IF(ISERROR(W6=""),"",W6)</f>
        <v/>
      </c>
      <c r="W23" s="165"/>
    </row>
    <row r="24" spans="1:23" ht="19.5" customHeight="1" thickBot="1" x14ac:dyDescent="0.3">
      <c r="A24" s="887"/>
      <c r="B24" s="888"/>
      <c r="C24" s="889"/>
      <c r="D24" s="16"/>
      <c r="E24" s="16"/>
      <c r="F24" s="725" t="str">
        <f t="shared" si="0"/>
        <v/>
      </c>
      <c r="G24" s="726"/>
      <c r="H24" s="726"/>
      <c r="I24" s="726"/>
      <c r="J24" s="420">
        <f t="shared" ref="J24:J37" si="2">V7</f>
        <v>0</v>
      </c>
      <c r="K24" s="393" t="str">
        <f t="shared" si="1"/>
        <v/>
      </c>
    </row>
    <row r="25" spans="1:23" ht="19.5" customHeight="1" thickBot="1" x14ac:dyDescent="0.3">
      <c r="A25" s="739" t="s">
        <v>100</v>
      </c>
      <c r="B25" s="740"/>
      <c r="C25" s="741"/>
      <c r="D25" s="16"/>
      <c r="E25" s="16"/>
      <c r="F25" s="725" t="str">
        <f t="shared" si="0"/>
        <v/>
      </c>
      <c r="G25" s="726"/>
      <c r="H25" s="726"/>
      <c r="I25" s="726"/>
      <c r="J25" s="420">
        <f t="shared" si="2"/>
        <v>0</v>
      </c>
      <c r="K25" s="393" t="str">
        <f t="shared" si="1"/>
        <v/>
      </c>
    </row>
    <row r="26" spans="1:23" ht="19.5" customHeight="1" thickBot="1" x14ac:dyDescent="0.3">
      <c r="A26" s="908" t="str">
        <f>IF(Pricing!J8="","",Pricing!J8)</f>
        <v/>
      </c>
      <c r="B26" s="909"/>
      <c r="C26" s="910"/>
      <c r="D26" s="16"/>
      <c r="E26" s="16"/>
      <c r="F26" s="725" t="str">
        <f t="shared" si="0"/>
        <v/>
      </c>
      <c r="G26" s="726"/>
      <c r="H26" s="726"/>
      <c r="I26" s="726"/>
      <c r="J26" s="420">
        <f t="shared" si="2"/>
        <v>0</v>
      </c>
      <c r="K26" s="393" t="str">
        <f t="shared" si="1"/>
        <v/>
      </c>
    </row>
    <row r="27" spans="1:23" ht="19.5" customHeight="1" thickBot="1" x14ac:dyDescent="0.3">
      <c r="A27" s="911"/>
      <c r="B27" s="912"/>
      <c r="C27" s="913"/>
      <c r="D27" s="16"/>
      <c r="E27" s="16"/>
      <c r="F27" s="725" t="str">
        <f t="shared" si="0"/>
        <v/>
      </c>
      <c r="G27" s="726"/>
      <c r="H27" s="726"/>
      <c r="I27" s="726"/>
      <c r="J27" s="420">
        <f t="shared" si="2"/>
        <v>0</v>
      </c>
      <c r="K27" s="393" t="str">
        <f t="shared" si="1"/>
        <v/>
      </c>
    </row>
    <row r="28" spans="1:23" ht="19.5" customHeight="1" thickBot="1" x14ac:dyDescent="0.3">
      <c r="A28" s="739" t="s">
        <v>101</v>
      </c>
      <c r="B28" s="740"/>
      <c r="C28" s="741"/>
      <c r="D28" s="16"/>
      <c r="E28" s="16"/>
      <c r="F28" s="725" t="str">
        <f t="shared" si="0"/>
        <v/>
      </c>
      <c r="G28" s="726"/>
      <c r="H28" s="726"/>
      <c r="I28" s="726"/>
      <c r="J28" s="420">
        <f t="shared" si="2"/>
        <v>0</v>
      </c>
      <c r="K28" s="393" t="str">
        <f t="shared" si="1"/>
        <v/>
      </c>
    </row>
    <row r="29" spans="1:23" ht="19.5" customHeight="1" thickBot="1" x14ac:dyDescent="0.3">
      <c r="A29" s="884" t="str">
        <f>IF(Pricing!H8="","",Pricing!H8)</f>
        <v/>
      </c>
      <c r="B29" s="885"/>
      <c r="C29" s="886"/>
      <c r="D29" s="16"/>
      <c r="E29" s="16"/>
      <c r="F29" s="725" t="str">
        <f t="shared" si="0"/>
        <v/>
      </c>
      <c r="G29" s="726"/>
      <c r="H29" s="726"/>
      <c r="I29" s="726"/>
      <c r="J29" s="420">
        <f t="shared" si="2"/>
        <v>0</v>
      </c>
      <c r="K29" s="393" t="str">
        <f t="shared" si="1"/>
        <v/>
      </c>
    </row>
    <row r="30" spans="1:23" ht="19.5" customHeight="1" thickBot="1" x14ac:dyDescent="0.3">
      <c r="A30" s="887"/>
      <c r="B30" s="888"/>
      <c r="C30" s="889"/>
      <c r="D30" s="16"/>
      <c r="E30" s="16"/>
      <c r="F30" s="725" t="str">
        <f t="shared" si="0"/>
        <v/>
      </c>
      <c r="G30" s="726"/>
      <c r="H30" s="726"/>
      <c r="I30" s="726"/>
      <c r="J30" s="420">
        <f t="shared" si="2"/>
        <v>0</v>
      </c>
      <c r="K30" s="393" t="str">
        <f t="shared" si="1"/>
        <v/>
      </c>
    </row>
    <row r="31" spans="1:23" ht="19.5" customHeight="1" thickBot="1" x14ac:dyDescent="0.3">
      <c r="A31" s="739" t="s">
        <v>102</v>
      </c>
      <c r="B31" s="740"/>
      <c r="C31" s="741"/>
      <c r="D31" s="16"/>
      <c r="E31" s="16"/>
      <c r="F31" s="725" t="str">
        <f t="shared" si="0"/>
        <v/>
      </c>
      <c r="G31" s="726"/>
      <c r="H31" s="726"/>
      <c r="I31" s="726"/>
      <c r="J31" s="420">
        <f t="shared" si="2"/>
        <v>0</v>
      </c>
      <c r="K31" s="393" t="str">
        <f t="shared" si="1"/>
        <v/>
      </c>
    </row>
    <row r="32" spans="1:23" ht="19.5" customHeight="1" thickBot="1" x14ac:dyDescent="0.3">
      <c r="A32" s="884" t="str">
        <f>IF(Pricing!F8="","",Pricing!F8)</f>
        <v/>
      </c>
      <c r="B32" s="885"/>
      <c r="C32" s="886"/>
      <c r="D32" s="16"/>
      <c r="E32" s="16"/>
      <c r="F32" s="725" t="str">
        <f t="shared" si="0"/>
        <v/>
      </c>
      <c r="G32" s="726"/>
      <c r="H32" s="726"/>
      <c r="I32" s="726"/>
      <c r="J32" s="420">
        <f t="shared" si="2"/>
        <v>0</v>
      </c>
      <c r="K32" s="393" t="str">
        <f t="shared" si="1"/>
        <v/>
      </c>
    </row>
    <row r="33" spans="1:13" ht="19.5" customHeight="1" thickBot="1" x14ac:dyDescent="0.3">
      <c r="A33" s="887"/>
      <c r="B33" s="888"/>
      <c r="C33" s="889"/>
      <c r="D33" s="16"/>
      <c r="E33" s="16"/>
      <c r="F33" s="725" t="str">
        <f t="shared" si="0"/>
        <v/>
      </c>
      <c r="G33" s="726"/>
      <c r="H33" s="726"/>
      <c r="I33" s="726"/>
      <c r="J33" s="420">
        <f t="shared" si="2"/>
        <v>0</v>
      </c>
      <c r="K33" s="393" t="str">
        <f t="shared" si="1"/>
        <v/>
      </c>
    </row>
    <row r="34" spans="1:13" ht="19.5" customHeight="1" thickBot="1" x14ac:dyDescent="0.3">
      <c r="A34" s="739" t="s">
        <v>103</v>
      </c>
      <c r="B34" s="740"/>
      <c r="C34" s="741"/>
      <c r="D34" s="16"/>
      <c r="E34" s="16"/>
      <c r="F34" s="725" t="str">
        <f t="shared" si="0"/>
        <v/>
      </c>
      <c r="G34" s="726"/>
      <c r="H34" s="726"/>
      <c r="I34" s="726"/>
      <c r="J34" s="420">
        <f t="shared" si="2"/>
        <v>0</v>
      </c>
      <c r="K34" s="393" t="str">
        <f t="shared" si="1"/>
        <v/>
      </c>
    </row>
    <row r="35" spans="1:13" ht="19.5" customHeight="1" thickBot="1" x14ac:dyDescent="0.3">
      <c r="A35" s="872"/>
      <c r="B35" s="873"/>
      <c r="C35" s="874"/>
      <c r="D35" s="16"/>
      <c r="E35" s="16"/>
      <c r="F35" s="725" t="str">
        <f t="shared" si="0"/>
        <v/>
      </c>
      <c r="G35" s="726"/>
      <c r="H35" s="726"/>
      <c r="I35" s="726"/>
      <c r="J35" s="420">
        <f>V18</f>
        <v>0</v>
      </c>
      <c r="K35" s="393" t="str">
        <f t="shared" si="1"/>
        <v/>
      </c>
    </row>
    <row r="36" spans="1:13" ht="19.5" customHeight="1" thickBot="1" x14ac:dyDescent="0.3">
      <c r="A36" s="875"/>
      <c r="B36" s="876"/>
      <c r="C36" s="877"/>
      <c r="D36" s="16"/>
      <c r="E36" s="16"/>
      <c r="F36" s="725" t="str">
        <f t="shared" si="0"/>
        <v/>
      </c>
      <c r="G36" s="726"/>
      <c r="H36" s="726"/>
      <c r="I36" s="726"/>
      <c r="J36" s="420">
        <f t="shared" si="2"/>
        <v>0</v>
      </c>
      <c r="K36" s="393" t="str">
        <f t="shared" si="1"/>
        <v/>
      </c>
    </row>
    <row r="37" spans="1:13" ht="19.5" customHeight="1" thickBot="1" x14ac:dyDescent="0.3">
      <c r="A37" s="878"/>
      <c r="B37" s="879"/>
      <c r="C37" s="880"/>
      <c r="D37" s="16"/>
      <c r="E37" s="16"/>
      <c r="F37" s="746" t="str">
        <f>R20</f>
        <v/>
      </c>
      <c r="G37" s="747"/>
      <c r="H37" s="747"/>
      <c r="I37" s="747"/>
      <c r="J37" s="421">
        <f t="shared" si="2"/>
        <v>0</v>
      </c>
      <c r="K37" s="394" t="str">
        <f t="shared" si="1"/>
        <v/>
      </c>
    </row>
    <row r="38" spans="1:13" ht="4.5" customHeight="1" thickBot="1" x14ac:dyDescent="0.25">
      <c r="A38" s="16"/>
      <c r="B38" s="16"/>
      <c r="C38" s="16"/>
      <c r="D38" s="16"/>
      <c r="E38" s="16"/>
      <c r="F38" s="16"/>
      <c r="G38" s="16"/>
      <c r="H38" s="16"/>
      <c r="I38" s="16"/>
      <c r="J38" s="407"/>
      <c r="K38" s="408"/>
    </row>
    <row r="39" spans="1:13" ht="19.899999999999999" customHeight="1" x14ac:dyDescent="0.25">
      <c r="A39" s="881" t="s">
        <v>104</v>
      </c>
      <c r="B39" s="882"/>
      <c r="C39" s="883"/>
      <c r="D39" s="16"/>
      <c r="E39" s="16"/>
      <c r="F39" s="749" t="s">
        <v>932</v>
      </c>
      <c r="G39" s="750"/>
      <c r="H39" s="750"/>
      <c r="I39" s="751"/>
      <c r="J39" s="409">
        <f>SUM(J23:J37)</f>
        <v>0</v>
      </c>
      <c r="K39" s="410">
        <f>SUM(K23:K37)</f>
        <v>0</v>
      </c>
    </row>
    <row r="40" spans="1:13" ht="19.899999999999999" customHeight="1" x14ac:dyDescent="0.25">
      <c r="A40" s="838" t="str">
        <f>IF(Pricing!R61="Finance Please Select","Finance NOT Selected",Pricing!R61)</f>
        <v>Finance NOT Selected</v>
      </c>
      <c r="B40" s="839"/>
      <c r="C40" s="840"/>
      <c r="D40" s="16"/>
      <c r="E40" s="16"/>
      <c r="F40" s="749" t="s">
        <v>106</v>
      </c>
      <c r="G40" s="750"/>
      <c r="H40" s="750"/>
      <c r="I40" s="751"/>
      <c r="J40" s="94"/>
      <c r="K40" s="406">
        <f>Pricing!AA62</f>
        <v>0</v>
      </c>
    </row>
    <row r="41" spans="1:13" ht="19.899999999999999" customHeight="1" x14ac:dyDescent="0.2">
      <c r="A41" s="180" t="s">
        <v>105</v>
      </c>
      <c r="B41" s="742" t="str">
        <f>Pricing!T63</f>
        <v/>
      </c>
      <c r="C41" s="743"/>
      <c r="D41" s="16"/>
      <c r="E41" s="16"/>
      <c r="F41" s="826" t="s">
        <v>761</v>
      </c>
      <c r="G41" s="827"/>
      <c r="H41" s="827"/>
      <c r="I41" s="828"/>
      <c r="J41" s="904">
        <f>K39+Pricing!AA64</f>
        <v>0</v>
      </c>
      <c r="K41" s="905"/>
    </row>
    <row r="42" spans="1:13" ht="19.899999999999999" customHeight="1" thickBot="1" x14ac:dyDescent="0.25">
      <c r="A42" s="180" t="s">
        <v>56</v>
      </c>
      <c r="B42" s="744" t="str">
        <f>Pricing!T64</f>
        <v/>
      </c>
      <c r="C42" s="745"/>
      <c r="D42" s="16"/>
      <c r="E42" s="16"/>
      <c r="F42" s="829"/>
      <c r="G42" s="830"/>
      <c r="H42" s="830"/>
      <c r="I42" s="831"/>
      <c r="J42" s="906"/>
      <c r="K42" s="907"/>
    </row>
    <row r="43" spans="1:13" ht="19.899999999999999" customHeight="1" x14ac:dyDescent="0.2">
      <c r="A43" s="180" t="str">
        <f>Pricing!R66</f>
        <v>12 Months</v>
      </c>
      <c r="B43" s="836" t="str">
        <f>Pricing!T66</f>
        <v/>
      </c>
      <c r="C43" s="837"/>
      <c r="D43" s="16"/>
      <c r="E43" s="16"/>
      <c r="F43" s="868" t="s">
        <v>921</v>
      </c>
      <c r="G43" s="869"/>
      <c r="H43" s="869"/>
      <c r="I43" s="869"/>
      <c r="J43" s="899">
        <f>Pricing!AD58</f>
        <v>0</v>
      </c>
      <c r="K43" s="914" t="str">
        <f>TEXT(( K39-Pricing!AA59) +SUM(Pricing!O74+Pricing!O75),"-£#,##0")</f>
        <v>-£0</v>
      </c>
    </row>
    <row r="44" spans="1:13" ht="19.899999999999999" customHeight="1" thickBot="1" x14ac:dyDescent="0.25">
      <c r="A44" s="180" t="str">
        <f>Pricing!R67</f>
        <v>24 Months</v>
      </c>
      <c r="B44" s="836" t="str">
        <f>Pricing!T67</f>
        <v/>
      </c>
      <c r="C44" s="837"/>
      <c r="D44" s="16"/>
      <c r="E44" s="16"/>
      <c r="F44" s="870"/>
      <c r="G44" s="871"/>
      <c r="H44" s="871"/>
      <c r="I44" s="871"/>
      <c r="J44" s="900"/>
      <c r="K44" s="915"/>
      <c r="M44" s="165"/>
    </row>
    <row r="45" spans="1:13" ht="19.899999999999999" customHeight="1" thickBot="1" x14ac:dyDescent="0.25">
      <c r="A45" s="181" t="str">
        <f>Pricing!R68</f>
        <v>36 Months</v>
      </c>
      <c r="B45" s="752" t="str">
        <f>Pricing!T68</f>
        <v/>
      </c>
      <c r="C45" s="753"/>
      <c r="D45" s="16"/>
      <c r="E45" s="16"/>
    </row>
    <row r="46" spans="1:13" ht="3" customHeight="1" thickBot="1" x14ac:dyDescent="0.25">
      <c r="A46" s="16"/>
      <c r="B46" s="16"/>
      <c r="C46" s="16"/>
      <c r="D46" s="16"/>
      <c r="E46" s="16"/>
    </row>
    <row r="47" spans="1:13" x14ac:dyDescent="0.2">
      <c r="A47" s="182"/>
      <c r="B47" s="16"/>
      <c r="C47" s="16"/>
      <c r="D47" s="16"/>
      <c r="E47" s="16"/>
      <c r="F47" s="16"/>
      <c r="G47" s="862" t="s">
        <v>933</v>
      </c>
      <c r="H47" s="863"/>
      <c r="I47" s="863"/>
      <c r="J47" s="863"/>
      <c r="K47" s="864"/>
    </row>
    <row r="48" spans="1:13" ht="15" customHeight="1" x14ac:dyDescent="0.2">
      <c r="A48" s="182"/>
      <c r="B48" s="16"/>
      <c r="C48" s="16"/>
      <c r="D48" s="16"/>
      <c r="E48" s="16"/>
      <c r="F48" s="16"/>
      <c r="G48" s="865"/>
      <c r="H48" s="866"/>
      <c r="I48" s="866"/>
      <c r="J48" s="866"/>
      <c r="K48" s="867"/>
    </row>
    <row r="49" spans="1:15" x14ac:dyDescent="0.2">
      <c r="A49" s="182"/>
      <c r="B49" s="16"/>
      <c r="C49" s="16"/>
      <c r="D49" s="16"/>
      <c r="E49" s="16"/>
      <c r="F49" s="16"/>
      <c r="G49" s="865"/>
      <c r="H49" s="866"/>
      <c r="I49" s="866"/>
      <c r="J49" s="866"/>
      <c r="K49" s="867"/>
    </row>
    <row r="50" spans="1:15" x14ac:dyDescent="0.2">
      <c r="A50" s="182"/>
      <c r="B50" s="16"/>
      <c r="C50" s="16"/>
      <c r="D50" s="16"/>
      <c r="E50" s="16"/>
      <c r="F50" s="16"/>
      <c r="G50" s="865"/>
      <c r="H50" s="866"/>
      <c r="I50" s="866"/>
      <c r="J50" s="866"/>
      <c r="K50" s="867"/>
    </row>
    <row r="51" spans="1:15" ht="32.25" customHeight="1" thickBot="1" x14ac:dyDescent="0.25">
      <c r="A51" s="183"/>
      <c r="B51" s="16"/>
      <c r="C51" s="16"/>
      <c r="D51" s="16"/>
      <c r="E51" s="16"/>
      <c r="F51" s="16"/>
      <c r="G51" s="865"/>
      <c r="H51" s="866"/>
      <c r="I51" s="866"/>
      <c r="J51" s="866"/>
      <c r="K51" s="867"/>
    </row>
    <row r="52" spans="1:15" ht="33.75" thickBot="1" x14ac:dyDescent="0.25">
      <c r="A52" s="901" t="s">
        <v>935</v>
      </c>
      <c r="B52" s="902"/>
      <c r="C52" s="902"/>
      <c r="D52" s="902"/>
      <c r="E52" s="902"/>
      <c r="F52" s="902"/>
      <c r="G52" s="902"/>
      <c r="H52" s="902"/>
      <c r="I52" s="902"/>
      <c r="J52" s="902"/>
      <c r="K52" s="903"/>
      <c r="O52" s="415"/>
    </row>
    <row r="53" spans="1:15" ht="15.75" thickBot="1" x14ac:dyDescent="0.25">
      <c r="A53" s="859" t="s">
        <v>107</v>
      </c>
      <c r="B53" s="860"/>
      <c r="C53" s="860"/>
      <c r="D53" s="860"/>
      <c r="E53" s="860"/>
      <c r="F53" s="860"/>
      <c r="G53" s="860"/>
      <c r="H53" s="860"/>
      <c r="I53" s="860"/>
      <c r="J53" s="860"/>
      <c r="K53" s="861"/>
    </row>
    <row r="55" spans="1:15" x14ac:dyDescent="0.2">
      <c r="I55" s="4"/>
    </row>
    <row r="57" spans="1:15" x14ac:dyDescent="0.2">
      <c r="N57" s="137"/>
    </row>
    <row r="58" spans="1:15" x14ac:dyDescent="0.2">
      <c r="J58" s="405"/>
    </row>
  </sheetData>
  <mergeCells count="87">
    <mergeCell ref="A52:K52"/>
    <mergeCell ref="F40:I40"/>
    <mergeCell ref="F41:I42"/>
    <mergeCell ref="J41:K42"/>
    <mergeCell ref="A25:C25"/>
    <mergeCell ref="A28:C28"/>
    <mergeCell ref="A31:C31"/>
    <mergeCell ref="A26:C27"/>
    <mergeCell ref="A29:C30"/>
    <mergeCell ref="A32:C33"/>
    <mergeCell ref="B41:C41"/>
    <mergeCell ref="B42:C42"/>
    <mergeCell ref="B43:C43"/>
    <mergeCell ref="B44:C44"/>
    <mergeCell ref="B45:C45"/>
    <mergeCell ref="K43:K44"/>
    <mergeCell ref="B6:C7"/>
    <mergeCell ref="A11:A13"/>
    <mergeCell ref="B11:F13"/>
    <mergeCell ref="B14:F17"/>
    <mergeCell ref="J5:K5"/>
    <mergeCell ref="A8:C8"/>
    <mergeCell ref="A9:C10"/>
    <mergeCell ref="A14:A17"/>
    <mergeCell ref="J6:K6"/>
    <mergeCell ref="J7:K7"/>
    <mergeCell ref="F19:K20"/>
    <mergeCell ref="F22:I22"/>
    <mergeCell ref="D8:F8"/>
    <mergeCell ref="D9:F10"/>
    <mergeCell ref="J43:J44"/>
    <mergeCell ref="F35:I35"/>
    <mergeCell ref="F36:I36"/>
    <mergeCell ref="O13:P13"/>
    <mergeCell ref="R13:T13"/>
    <mergeCell ref="R14:T14"/>
    <mergeCell ref="R17:T17"/>
    <mergeCell ref="A40:C40"/>
    <mergeCell ref="A35:C37"/>
    <mergeCell ref="A39:C39"/>
    <mergeCell ref="A34:C34"/>
    <mergeCell ref="F37:I37"/>
    <mergeCell ref="F39:I39"/>
    <mergeCell ref="A20:C21"/>
    <mergeCell ref="A23:C24"/>
    <mergeCell ref="F32:I32"/>
    <mergeCell ref="F33:I33"/>
    <mergeCell ref="F34:I34"/>
    <mergeCell ref="F23:I23"/>
    <mergeCell ref="R18:T18"/>
    <mergeCell ref="R19:T19"/>
    <mergeCell ref="R20:T20"/>
    <mergeCell ref="O17:P17"/>
    <mergeCell ref="O15:P15"/>
    <mergeCell ref="R15:T15"/>
    <mergeCell ref="R16:T16"/>
    <mergeCell ref="R10:T10"/>
    <mergeCell ref="O11:P11"/>
    <mergeCell ref="O12:P12"/>
    <mergeCell ref="R12:T12"/>
    <mergeCell ref="O4:P4"/>
    <mergeCell ref="R5:T5"/>
    <mergeCell ref="R7:T7"/>
    <mergeCell ref="O8:P8"/>
    <mergeCell ref="R8:T8"/>
    <mergeCell ref="O6:P6"/>
    <mergeCell ref="R6:T6"/>
    <mergeCell ref="O9:P9"/>
    <mergeCell ref="R9:T9"/>
    <mergeCell ref="R11:T11"/>
    <mergeCell ref="O10:P10"/>
    <mergeCell ref="A1:K4"/>
    <mergeCell ref="A6:A7"/>
    <mergeCell ref="D6:F6"/>
    <mergeCell ref="D7:F7"/>
    <mergeCell ref="A53:K53"/>
    <mergeCell ref="F24:I24"/>
    <mergeCell ref="F25:I25"/>
    <mergeCell ref="F26:I26"/>
    <mergeCell ref="F27:I27"/>
    <mergeCell ref="F28:I28"/>
    <mergeCell ref="F29:I29"/>
    <mergeCell ref="F30:I30"/>
    <mergeCell ref="A18:B18"/>
    <mergeCell ref="G47:K51"/>
    <mergeCell ref="F43:I44"/>
    <mergeCell ref="F31:I31"/>
  </mergeCells>
  <conditionalFormatting sqref="A43:B43">
    <cfRule type="expression" dxfId="731" priority="4">
      <formula>SEARCH("12",$A$40)</formula>
    </cfRule>
  </conditionalFormatting>
  <conditionalFormatting sqref="A44:B44">
    <cfRule type="expression" dxfId="730" priority="3">
      <formula>SEARCH("24",$A$40)</formula>
    </cfRule>
  </conditionalFormatting>
  <conditionalFormatting sqref="A45:B45">
    <cfRule type="expression" dxfId="729" priority="2">
      <formula>SEARCH("36",$A$40)</formula>
    </cfRule>
  </conditionalFormatting>
  <conditionalFormatting sqref="A40:C40">
    <cfRule type="containsText" dxfId="728" priority="1" operator="containsText" text="Finance Yes">
      <formula>NOT(ISERROR(SEARCH("Finance Yes",A40)))</formula>
    </cfRule>
  </conditionalFormatting>
  <pageMargins left="0.70866141732283461" right="0.70866141732283461" top="0.74803149606299213" bottom="0.74803149606299213" header="0.31496062992125984" footer="0.31496062992125984"/>
  <pageSetup paperSize="9" scale="68"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700EB-1CB2-4F8A-9C8A-62F579875E87}">
  <sheetPr codeName="Sheet18"/>
  <dimension ref="A1:AC44"/>
  <sheetViews>
    <sheetView workbookViewId="0">
      <selection activeCell="R35" sqref="R35"/>
    </sheetView>
  </sheetViews>
  <sheetFormatPr defaultRowHeight="15" x14ac:dyDescent="0.2"/>
  <cols>
    <col min="2" max="2" width="9.68359375" customWidth="1"/>
    <col min="6" max="6" width="10.625" bestFit="1" customWidth="1"/>
  </cols>
  <sheetData>
    <row r="1" spans="1:29"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row>
    <row r="2" spans="1:29" ht="15.75" thickBot="1" x14ac:dyDescent="0.25">
      <c r="A2" s="16"/>
      <c r="B2" s="16" t="s">
        <v>562</v>
      </c>
      <c r="C2" s="16"/>
      <c r="D2" s="16"/>
      <c r="E2" s="16"/>
      <c r="F2" s="16"/>
      <c r="G2" s="16"/>
      <c r="H2" s="16" t="s">
        <v>563</v>
      </c>
      <c r="I2" s="16"/>
      <c r="J2" s="16"/>
      <c r="K2" s="16"/>
      <c r="L2" s="16"/>
      <c r="M2" s="16"/>
      <c r="N2" s="16"/>
      <c r="O2" s="16"/>
      <c r="P2" s="16"/>
      <c r="Q2" s="16"/>
      <c r="R2" s="16"/>
      <c r="S2" s="16"/>
      <c r="T2" s="16"/>
      <c r="U2" s="16"/>
      <c r="V2" s="16"/>
      <c r="W2" s="16"/>
      <c r="X2" s="16"/>
      <c r="Y2" s="16"/>
      <c r="Z2" s="16"/>
      <c r="AA2" s="16"/>
      <c r="AB2" s="16"/>
      <c r="AC2" s="16"/>
    </row>
    <row r="3" spans="1:29" ht="15.75" thickTop="1" x14ac:dyDescent="0.2">
      <c r="A3" s="339"/>
      <c r="B3" s="918" t="s">
        <v>564</v>
      </c>
      <c r="C3" s="919"/>
      <c r="D3" s="919"/>
      <c r="E3" s="919"/>
      <c r="F3" s="340"/>
      <c r="G3" s="340"/>
      <c r="H3" s="340"/>
      <c r="I3" s="340"/>
      <c r="J3" s="340"/>
      <c r="K3" s="16"/>
      <c r="L3" s="16"/>
      <c r="M3" s="16"/>
      <c r="N3" s="16"/>
      <c r="O3" s="340"/>
      <c r="P3" s="341"/>
      <c r="Q3" s="16"/>
      <c r="R3" s="16"/>
      <c r="S3" s="16"/>
      <c r="T3" s="16"/>
      <c r="U3" s="16"/>
      <c r="V3" s="16"/>
      <c r="W3" s="16"/>
      <c r="X3" s="16"/>
      <c r="Y3" s="16"/>
      <c r="Z3" s="16"/>
      <c r="AA3" s="16"/>
      <c r="AB3" s="16"/>
      <c r="AC3" s="16"/>
    </row>
    <row r="4" spans="1:29" x14ac:dyDescent="0.2">
      <c r="A4" s="342"/>
      <c r="B4" s="920"/>
      <c r="C4" s="920"/>
      <c r="D4" s="920"/>
      <c r="E4" s="920"/>
      <c r="F4" s="16"/>
      <c r="G4" s="16"/>
      <c r="H4" s="16"/>
      <c r="I4" s="16"/>
      <c r="J4" s="16"/>
      <c r="K4" s="16"/>
      <c r="L4" s="16"/>
      <c r="M4" s="16"/>
      <c r="N4" s="16"/>
      <c r="O4" s="16"/>
      <c r="P4" s="343"/>
      <c r="Q4" s="16"/>
      <c r="R4" s="16"/>
      <c r="S4" s="16"/>
      <c r="T4" s="16"/>
      <c r="U4" s="16"/>
      <c r="V4" s="16"/>
      <c r="W4" s="16"/>
      <c r="X4" s="16"/>
      <c r="Y4" s="16"/>
      <c r="Z4" s="16"/>
      <c r="AA4" s="16"/>
      <c r="AB4" s="16"/>
      <c r="AC4" s="16"/>
    </row>
    <row r="5" spans="1:29" x14ac:dyDescent="0.2">
      <c r="A5" s="342"/>
      <c r="B5" s="16"/>
      <c r="C5" s="16"/>
      <c r="D5" s="16"/>
      <c r="E5" s="16"/>
      <c r="F5" s="16"/>
      <c r="G5" s="16"/>
      <c r="H5" s="16"/>
      <c r="I5" s="16"/>
      <c r="J5" s="16" t="s">
        <v>565</v>
      </c>
      <c r="K5" s="16"/>
      <c r="L5" s="921" t="s">
        <v>566</v>
      </c>
      <c r="M5" s="921"/>
      <c r="N5" s="921"/>
      <c r="O5" s="921"/>
      <c r="P5" s="922"/>
      <c r="Q5" s="16"/>
      <c r="R5" s="16"/>
      <c r="S5" s="16"/>
      <c r="T5" s="16"/>
      <c r="U5" s="16"/>
      <c r="V5" s="16"/>
      <c r="W5" s="16"/>
      <c r="X5" s="16"/>
      <c r="Y5" s="16"/>
      <c r="Z5" s="16"/>
      <c r="AA5" s="16"/>
      <c r="AB5" s="16"/>
      <c r="AC5" s="16"/>
    </row>
    <row r="6" spans="1:29" ht="15.75" thickBot="1" x14ac:dyDescent="0.25">
      <c r="A6" s="342"/>
      <c r="B6" s="16"/>
      <c r="C6" s="16"/>
      <c r="D6" s="16"/>
      <c r="E6" s="16"/>
      <c r="F6" s="16"/>
      <c r="G6" s="16"/>
      <c r="H6" s="16"/>
      <c r="I6" s="16"/>
      <c r="J6" s="16"/>
      <c r="K6" s="16"/>
      <c r="L6" s="16"/>
      <c r="M6" s="16"/>
      <c r="N6" s="16"/>
      <c r="O6" s="16"/>
      <c r="P6" s="343"/>
      <c r="Q6" s="16"/>
      <c r="R6" s="16"/>
      <c r="S6" s="16"/>
      <c r="T6" s="16"/>
      <c r="U6" s="16"/>
      <c r="V6" s="16"/>
      <c r="W6" s="16"/>
      <c r="X6" s="16"/>
      <c r="Y6" s="16"/>
      <c r="Z6" s="16"/>
      <c r="AA6" s="16"/>
      <c r="AB6" s="16"/>
      <c r="AC6" s="16"/>
    </row>
    <row r="7" spans="1:29" ht="15.75" thickTop="1" x14ac:dyDescent="0.2">
      <c r="A7" s="342"/>
      <c r="B7" s="344" t="s">
        <v>567</v>
      </c>
      <c r="C7" s="923">
        <f>Pricing!B59</f>
        <v>0</v>
      </c>
      <c r="D7" s="924"/>
      <c r="E7" s="924"/>
      <c r="F7" s="924"/>
      <c r="G7" s="924"/>
      <c r="H7" s="925"/>
      <c r="I7" s="16"/>
      <c r="J7" s="923" t="s">
        <v>568</v>
      </c>
      <c r="K7" s="925"/>
      <c r="L7" s="923">
        <f>Pricing!E59</f>
        <v>0</v>
      </c>
      <c r="M7" s="924"/>
      <c r="N7" s="924"/>
      <c r="O7" s="925"/>
      <c r="P7" s="343"/>
      <c r="Q7" s="16"/>
      <c r="R7" s="16"/>
      <c r="S7" s="16"/>
      <c r="T7" s="16"/>
      <c r="U7" s="16"/>
      <c r="V7" s="16"/>
      <c r="W7" s="16"/>
      <c r="X7" s="16"/>
      <c r="Y7" s="16"/>
      <c r="Z7" s="16"/>
      <c r="AA7" s="16"/>
      <c r="AB7" s="16"/>
      <c r="AC7" s="16"/>
    </row>
    <row r="8" spans="1:29" x14ac:dyDescent="0.2">
      <c r="A8" s="342"/>
      <c r="B8" s="345" t="s">
        <v>67</v>
      </c>
      <c r="C8" s="926">
        <f>Pricing!B69</f>
        <v>0</v>
      </c>
      <c r="D8" s="927"/>
      <c r="E8" s="927"/>
      <c r="F8" s="927"/>
      <c r="G8" s="927"/>
      <c r="H8" s="928"/>
      <c r="I8" s="16"/>
      <c r="J8" s="926" t="s">
        <v>569</v>
      </c>
      <c r="K8" s="928"/>
      <c r="L8" s="929" t="str">
        <f>'Survey Front'!U6</f>
        <v xml:space="preserve">Day: </v>
      </c>
      <c r="M8" s="927"/>
      <c r="N8" s="927"/>
      <c r="O8" s="928"/>
      <c r="P8" s="343"/>
      <c r="Q8" s="16"/>
      <c r="R8" s="16"/>
      <c r="S8" s="16"/>
      <c r="T8" s="16"/>
      <c r="U8" s="16"/>
      <c r="V8" s="16"/>
      <c r="W8" s="16"/>
      <c r="X8" s="16"/>
      <c r="Y8" s="16"/>
      <c r="Z8" s="16"/>
      <c r="AA8" s="16"/>
      <c r="AB8" s="16"/>
      <c r="AC8" s="16"/>
    </row>
    <row r="9" spans="1:29" ht="15.75" thickBot="1" x14ac:dyDescent="0.25">
      <c r="A9" s="342"/>
      <c r="B9" s="346" t="s">
        <v>570</v>
      </c>
      <c r="C9" s="930">
        <f>Pricing!B66</f>
        <v>0</v>
      </c>
      <c r="D9" s="931"/>
      <c r="E9" s="931"/>
      <c r="F9" s="931"/>
      <c r="G9" s="931"/>
      <c r="H9" s="932"/>
      <c r="I9" s="16"/>
      <c r="J9" s="930" t="s">
        <v>155</v>
      </c>
      <c r="K9" s="932"/>
      <c r="L9" s="930">
        <f>'Survey Front'!W8</f>
        <v>0</v>
      </c>
      <c r="M9" s="931"/>
      <c r="N9" s="931"/>
      <c r="O9" s="932"/>
      <c r="P9" s="343"/>
      <c r="Q9" s="16"/>
      <c r="R9" s="16"/>
      <c r="S9" s="16"/>
      <c r="T9" s="16"/>
      <c r="U9" s="16"/>
      <c r="V9" s="16"/>
      <c r="W9" s="16"/>
      <c r="X9" s="16"/>
      <c r="Y9" s="16"/>
      <c r="Z9" s="16"/>
      <c r="AA9" s="16"/>
      <c r="AB9" s="16"/>
      <c r="AC9" s="16"/>
    </row>
    <row r="10" spans="1:29" ht="16.5" thickTop="1" thickBot="1" x14ac:dyDescent="0.25">
      <c r="A10" s="342"/>
      <c r="B10" s="16"/>
      <c r="C10" s="16"/>
      <c r="D10" s="16"/>
      <c r="E10" s="16"/>
      <c r="F10" s="16"/>
      <c r="G10" s="16"/>
      <c r="H10" s="16"/>
      <c r="I10" s="16"/>
      <c r="J10" s="16"/>
      <c r="K10" s="16"/>
      <c r="L10" s="16"/>
      <c r="M10" s="16"/>
      <c r="N10" s="16"/>
      <c r="O10" s="16"/>
      <c r="P10" s="343"/>
      <c r="Q10" s="16"/>
      <c r="R10" s="16"/>
      <c r="S10" s="16"/>
      <c r="T10" s="16"/>
      <c r="U10" s="16"/>
      <c r="V10" s="16"/>
      <c r="W10" s="16"/>
      <c r="X10" s="16"/>
      <c r="Y10" s="16"/>
      <c r="Z10" s="16"/>
      <c r="AA10" s="16"/>
      <c r="AB10" s="16"/>
      <c r="AC10" s="16"/>
    </row>
    <row r="11" spans="1:29" ht="15.75" thickBot="1" x14ac:dyDescent="0.25">
      <c r="A11" s="342"/>
      <c r="B11" s="289" t="s">
        <v>571</v>
      </c>
      <c r="C11" s="290" t="s">
        <v>572</v>
      </c>
      <c r="D11" s="290" t="s">
        <v>2</v>
      </c>
      <c r="E11" s="290" t="s">
        <v>573</v>
      </c>
      <c r="F11" s="290" t="s">
        <v>96</v>
      </c>
      <c r="G11" s="290" t="s">
        <v>574</v>
      </c>
      <c r="H11" s="290" t="s">
        <v>9</v>
      </c>
      <c r="I11" s="290" t="s">
        <v>575</v>
      </c>
      <c r="J11" s="290" t="s">
        <v>576</v>
      </c>
      <c r="K11" s="290" t="s">
        <v>577</v>
      </c>
      <c r="L11" s="290" t="s">
        <v>578</v>
      </c>
      <c r="M11" s="290" t="s">
        <v>579</v>
      </c>
      <c r="N11" s="933" t="s">
        <v>17</v>
      </c>
      <c r="O11" s="934"/>
      <c r="P11" s="288"/>
    </row>
    <row r="12" spans="1:29" x14ac:dyDescent="0.2">
      <c r="A12" s="342"/>
      <c r="B12" s="291"/>
      <c r="C12" s="292"/>
      <c r="D12" s="292"/>
      <c r="E12" s="292"/>
      <c r="F12" s="292"/>
      <c r="G12" s="292"/>
      <c r="H12" s="292"/>
      <c r="I12" s="292"/>
      <c r="J12" s="292"/>
      <c r="K12" s="292"/>
      <c r="L12" s="292"/>
      <c r="M12" s="292"/>
      <c r="N12" s="935"/>
      <c r="O12" s="936"/>
      <c r="P12" s="343"/>
      <c r="Q12" s="16"/>
      <c r="R12" s="16"/>
      <c r="S12" s="16"/>
      <c r="T12" s="16"/>
      <c r="U12" s="16"/>
      <c r="V12" s="16"/>
      <c r="W12" s="16"/>
      <c r="X12" s="16"/>
      <c r="Y12" s="16"/>
      <c r="Z12" s="16"/>
      <c r="AA12" s="16"/>
      <c r="AB12" s="16"/>
      <c r="AC12" s="16"/>
    </row>
    <row r="13" spans="1:29" x14ac:dyDescent="0.2">
      <c r="A13" s="342"/>
      <c r="B13" s="293"/>
      <c r="C13" s="294"/>
      <c r="D13" s="294"/>
      <c r="E13" s="294"/>
      <c r="F13" s="294"/>
      <c r="G13" s="294"/>
      <c r="H13" s="294"/>
      <c r="I13" s="294"/>
      <c r="J13" s="294"/>
      <c r="K13" s="294"/>
      <c r="L13" s="294"/>
      <c r="M13" s="294"/>
      <c r="N13" s="916"/>
      <c r="O13" s="917"/>
      <c r="P13" s="343"/>
      <c r="Q13" s="16"/>
      <c r="R13" s="16"/>
      <c r="S13" s="16"/>
      <c r="T13" s="16"/>
      <c r="U13" s="16"/>
      <c r="V13" s="16"/>
      <c r="W13" s="16"/>
      <c r="X13" s="16"/>
      <c r="Y13" s="16"/>
      <c r="Z13" s="16"/>
      <c r="AA13" s="16"/>
      <c r="AB13" s="16"/>
      <c r="AC13" s="16"/>
    </row>
    <row r="14" spans="1:29" x14ac:dyDescent="0.2">
      <c r="A14" s="342"/>
      <c r="B14" s="295"/>
      <c r="C14" s="296"/>
      <c r="D14" s="296"/>
      <c r="E14" s="296"/>
      <c r="F14" s="296"/>
      <c r="G14" s="296"/>
      <c r="H14" s="296"/>
      <c r="I14" s="296"/>
      <c r="J14" s="296"/>
      <c r="K14" s="296"/>
      <c r="L14" s="296"/>
      <c r="M14" s="296"/>
      <c r="N14" s="939"/>
      <c r="O14" s="940"/>
      <c r="P14" s="343"/>
      <c r="Q14" s="16"/>
      <c r="R14" s="16"/>
      <c r="S14" s="16"/>
      <c r="T14" s="16"/>
      <c r="U14" s="16"/>
      <c r="V14" s="16"/>
      <c r="W14" s="16"/>
      <c r="X14" s="16"/>
      <c r="Y14" s="16"/>
      <c r="Z14" s="16"/>
      <c r="AA14" s="16"/>
      <c r="AB14" s="16"/>
      <c r="AC14" s="16"/>
    </row>
    <row r="15" spans="1:29" x14ac:dyDescent="0.2">
      <c r="A15" s="342"/>
      <c r="B15" s="293"/>
      <c r="C15" s="294"/>
      <c r="D15" s="294"/>
      <c r="E15" s="294"/>
      <c r="F15" s="294"/>
      <c r="G15" s="294"/>
      <c r="H15" s="294"/>
      <c r="I15" s="294"/>
      <c r="J15" s="294"/>
      <c r="K15" s="294"/>
      <c r="L15" s="294"/>
      <c r="M15" s="294"/>
      <c r="N15" s="916"/>
      <c r="O15" s="917"/>
      <c r="P15" s="343"/>
      <c r="Q15" s="16"/>
      <c r="R15" s="16"/>
      <c r="S15" s="16"/>
      <c r="T15" s="16"/>
      <c r="U15" s="16"/>
      <c r="V15" s="16"/>
      <c r="W15" s="16"/>
      <c r="X15" s="16"/>
      <c r="Y15" s="16"/>
      <c r="Z15" s="16"/>
      <c r="AA15" s="16"/>
      <c r="AB15" s="16"/>
      <c r="AC15" s="16"/>
    </row>
    <row r="16" spans="1:29" x14ac:dyDescent="0.2">
      <c r="A16" s="342"/>
      <c r="B16" s="295"/>
      <c r="C16" s="296"/>
      <c r="D16" s="296"/>
      <c r="E16" s="296"/>
      <c r="F16" s="296"/>
      <c r="G16" s="296"/>
      <c r="H16" s="296"/>
      <c r="I16" s="296"/>
      <c r="J16" s="296"/>
      <c r="K16" s="296"/>
      <c r="L16" s="296"/>
      <c r="M16" s="296"/>
      <c r="N16" s="939"/>
      <c r="O16" s="940"/>
      <c r="P16" s="343"/>
      <c r="Q16" s="16"/>
      <c r="R16" s="16"/>
      <c r="S16" s="16"/>
      <c r="T16" s="16"/>
      <c r="U16" s="16"/>
      <c r="V16" s="16"/>
      <c r="W16" s="16"/>
      <c r="X16" s="16"/>
      <c r="Y16" s="16"/>
      <c r="Z16" s="16"/>
      <c r="AA16" s="16"/>
      <c r="AB16" s="16"/>
      <c r="AC16" s="16"/>
    </row>
    <row r="17" spans="1:29" x14ac:dyDescent="0.2">
      <c r="A17" s="342"/>
      <c r="B17" s="293"/>
      <c r="C17" s="294"/>
      <c r="D17" s="294"/>
      <c r="E17" s="294"/>
      <c r="F17" s="294"/>
      <c r="G17" s="294"/>
      <c r="H17" s="294"/>
      <c r="I17" s="294"/>
      <c r="J17" s="294"/>
      <c r="K17" s="294"/>
      <c r="L17" s="294"/>
      <c r="M17" s="294"/>
      <c r="N17" s="916"/>
      <c r="O17" s="917"/>
      <c r="P17" s="343"/>
      <c r="Q17" s="16"/>
      <c r="R17" s="16"/>
      <c r="S17" s="16"/>
      <c r="T17" s="16"/>
      <c r="U17" s="16"/>
      <c r="V17" s="16"/>
      <c r="W17" s="16"/>
      <c r="X17" s="16"/>
      <c r="Y17" s="16"/>
      <c r="Z17" s="16"/>
      <c r="AA17" s="16"/>
      <c r="AB17" s="16"/>
      <c r="AC17" s="16"/>
    </row>
    <row r="18" spans="1:29" x14ac:dyDescent="0.2">
      <c r="A18" s="342"/>
      <c r="B18" s="295"/>
      <c r="C18" s="296"/>
      <c r="D18" s="296"/>
      <c r="E18" s="296"/>
      <c r="F18" s="296"/>
      <c r="G18" s="296"/>
      <c r="H18" s="296"/>
      <c r="I18" s="296"/>
      <c r="J18" s="296"/>
      <c r="K18" s="296"/>
      <c r="L18" s="296"/>
      <c r="M18" s="296"/>
      <c r="N18" s="939"/>
      <c r="O18" s="940"/>
      <c r="P18" s="343"/>
      <c r="Q18" s="16"/>
      <c r="R18" s="16"/>
      <c r="S18" s="16"/>
      <c r="T18" s="16"/>
      <c r="U18" s="16"/>
      <c r="V18" s="16"/>
      <c r="W18" s="16"/>
      <c r="X18" s="16"/>
      <c r="Y18" s="16"/>
      <c r="Z18" s="16"/>
      <c r="AA18" s="16"/>
      <c r="AB18" s="16"/>
      <c r="AC18" s="16"/>
    </row>
    <row r="19" spans="1:29" x14ac:dyDescent="0.2">
      <c r="A19" s="342"/>
      <c r="B19" s="293"/>
      <c r="C19" s="294"/>
      <c r="D19" s="294"/>
      <c r="E19" s="294"/>
      <c r="F19" s="294"/>
      <c r="G19" s="294"/>
      <c r="H19" s="294"/>
      <c r="I19" s="294"/>
      <c r="J19" s="294"/>
      <c r="K19" s="294"/>
      <c r="L19" s="294"/>
      <c r="M19" s="294"/>
      <c r="N19" s="916"/>
      <c r="O19" s="917"/>
      <c r="P19" s="343"/>
      <c r="Q19" s="16"/>
      <c r="R19" s="16"/>
      <c r="S19" s="16"/>
      <c r="T19" s="16"/>
      <c r="U19" s="16"/>
      <c r="V19" s="16"/>
      <c r="W19" s="16"/>
      <c r="X19" s="16"/>
      <c r="Y19" s="16"/>
      <c r="Z19" s="16"/>
      <c r="AA19" s="16"/>
      <c r="AB19" s="16"/>
      <c r="AC19" s="16"/>
    </row>
    <row r="20" spans="1:29" x14ac:dyDescent="0.2">
      <c r="A20" s="342"/>
      <c r="B20" s="295"/>
      <c r="C20" s="296"/>
      <c r="D20" s="296"/>
      <c r="E20" s="296"/>
      <c r="F20" s="296"/>
      <c r="G20" s="296"/>
      <c r="H20" s="296"/>
      <c r="I20" s="296"/>
      <c r="J20" s="296"/>
      <c r="K20" s="296"/>
      <c r="L20" s="296"/>
      <c r="M20" s="296"/>
      <c r="N20" s="939"/>
      <c r="O20" s="940"/>
      <c r="P20" s="343"/>
      <c r="Q20" s="16"/>
      <c r="R20" s="16"/>
      <c r="S20" s="16"/>
      <c r="T20" s="16"/>
      <c r="U20" s="16"/>
      <c r="V20" s="16"/>
      <c r="W20" s="16"/>
      <c r="X20" s="16"/>
      <c r="Y20" s="16"/>
      <c r="Z20" s="16"/>
      <c r="AA20" s="16"/>
      <c r="AB20" s="16"/>
      <c r="AC20" s="16"/>
    </row>
    <row r="21" spans="1:29" x14ac:dyDescent="0.2">
      <c r="A21" s="342"/>
      <c r="B21" s="293"/>
      <c r="C21" s="294"/>
      <c r="D21" s="294"/>
      <c r="E21" s="294"/>
      <c r="F21" s="294"/>
      <c r="G21" s="294"/>
      <c r="H21" s="294"/>
      <c r="I21" s="294"/>
      <c r="J21" s="294"/>
      <c r="K21" s="294"/>
      <c r="L21" s="294"/>
      <c r="M21" s="294"/>
      <c r="N21" s="916"/>
      <c r="O21" s="917"/>
      <c r="P21" s="343"/>
      <c r="Q21" s="16"/>
      <c r="R21" s="16"/>
      <c r="S21" s="16"/>
      <c r="T21" s="16"/>
      <c r="U21" s="16"/>
      <c r="V21" s="16"/>
      <c r="W21" s="16"/>
      <c r="X21" s="16"/>
      <c r="Y21" s="16"/>
      <c r="Z21" s="16"/>
      <c r="AA21" s="16"/>
      <c r="AB21" s="16"/>
      <c r="AC21" s="16"/>
    </row>
    <row r="22" spans="1:29" x14ac:dyDescent="0.2">
      <c r="A22" s="342"/>
      <c r="B22" s="295"/>
      <c r="C22" s="296"/>
      <c r="D22" s="296"/>
      <c r="E22" s="296"/>
      <c r="F22" s="296"/>
      <c r="G22" s="296"/>
      <c r="H22" s="296"/>
      <c r="I22" s="296"/>
      <c r="J22" s="296"/>
      <c r="K22" s="296"/>
      <c r="L22" s="296"/>
      <c r="M22" s="296"/>
      <c r="N22" s="939"/>
      <c r="O22" s="940"/>
      <c r="P22" s="343"/>
      <c r="Q22" s="16"/>
      <c r="R22" s="16"/>
      <c r="S22" s="16"/>
      <c r="T22" s="16"/>
      <c r="U22" s="16"/>
      <c r="V22" s="16"/>
      <c r="W22" s="16"/>
      <c r="X22" s="16"/>
      <c r="Y22" s="16"/>
      <c r="Z22" s="16"/>
      <c r="AA22" s="16"/>
      <c r="AB22" s="16"/>
      <c r="AC22" s="16"/>
    </row>
    <row r="23" spans="1:29" x14ac:dyDescent="0.2">
      <c r="A23" s="342"/>
      <c r="B23" s="293"/>
      <c r="C23" s="294"/>
      <c r="D23" s="294"/>
      <c r="E23" s="294"/>
      <c r="F23" s="294"/>
      <c r="G23" s="294"/>
      <c r="H23" s="294"/>
      <c r="I23" s="294"/>
      <c r="J23" s="294"/>
      <c r="K23" s="294"/>
      <c r="L23" s="294"/>
      <c r="M23" s="294"/>
      <c r="N23" s="916"/>
      <c r="O23" s="917"/>
      <c r="P23" s="343"/>
      <c r="Q23" s="16"/>
      <c r="R23" s="16"/>
      <c r="S23" s="16"/>
      <c r="T23" s="16"/>
      <c r="U23" s="16"/>
      <c r="V23" s="16"/>
      <c r="W23" s="16"/>
      <c r="X23" s="16"/>
      <c r="Y23" s="16"/>
      <c r="Z23" s="16"/>
      <c r="AA23" s="16"/>
      <c r="AB23" s="16"/>
      <c r="AC23" s="16"/>
    </row>
    <row r="24" spans="1:29" x14ac:dyDescent="0.2">
      <c r="A24" s="342"/>
      <c r="B24" s="295"/>
      <c r="C24" s="296"/>
      <c r="D24" s="296"/>
      <c r="E24" s="296"/>
      <c r="F24" s="296"/>
      <c r="G24" s="296"/>
      <c r="H24" s="296"/>
      <c r="I24" s="296"/>
      <c r="J24" s="296"/>
      <c r="K24" s="296"/>
      <c r="L24" s="296"/>
      <c r="M24" s="296"/>
      <c r="N24" s="939"/>
      <c r="O24" s="940"/>
      <c r="P24" s="343"/>
      <c r="Q24" s="16"/>
      <c r="R24" s="16"/>
      <c r="S24" s="16"/>
      <c r="T24" s="16"/>
      <c r="U24" s="16"/>
      <c r="V24" s="16"/>
      <c r="W24" s="16"/>
      <c r="X24" s="16"/>
      <c r="Y24" s="16"/>
      <c r="Z24" s="16"/>
      <c r="AA24" s="16"/>
      <c r="AB24" s="16"/>
      <c r="AC24" s="16"/>
    </row>
    <row r="25" spans="1:29" ht="15.75" thickBot="1" x14ac:dyDescent="0.25">
      <c r="A25" s="342"/>
      <c r="B25" s="297"/>
      <c r="C25" s="298"/>
      <c r="D25" s="298"/>
      <c r="E25" s="298"/>
      <c r="F25" s="298"/>
      <c r="G25" s="298"/>
      <c r="H25" s="298"/>
      <c r="I25" s="298"/>
      <c r="J25" s="298"/>
      <c r="K25" s="298"/>
      <c r="L25" s="298"/>
      <c r="M25" s="298"/>
      <c r="N25" s="937"/>
      <c r="O25" s="938"/>
      <c r="P25" s="343"/>
      <c r="Q25" s="16"/>
      <c r="R25" s="16"/>
      <c r="S25" s="16"/>
      <c r="T25" s="16"/>
      <c r="U25" s="16"/>
      <c r="V25" s="16"/>
      <c r="W25" s="16"/>
      <c r="X25" s="16"/>
      <c r="Y25" s="16"/>
      <c r="Z25" s="16"/>
      <c r="AA25" s="16"/>
      <c r="AB25" s="16"/>
      <c r="AC25" s="16"/>
    </row>
    <row r="26" spans="1:29" ht="15.75" thickBot="1" x14ac:dyDescent="0.25">
      <c r="A26" s="342"/>
      <c r="P26" s="343"/>
      <c r="Q26" s="16"/>
      <c r="R26" s="16"/>
      <c r="S26" s="16"/>
      <c r="T26" s="16"/>
      <c r="U26" s="16"/>
      <c r="V26" s="16"/>
      <c r="W26" s="16"/>
      <c r="X26" s="16"/>
      <c r="Y26" s="16"/>
      <c r="Z26" s="16"/>
      <c r="AA26" s="16"/>
      <c r="AB26" s="16"/>
      <c r="AC26" s="16"/>
    </row>
    <row r="27" spans="1:29" ht="15.75" thickTop="1" x14ac:dyDescent="0.2">
      <c r="A27" s="342"/>
      <c r="B27" s="941" t="s">
        <v>580</v>
      </c>
      <c r="C27" s="942"/>
      <c r="D27" s="942"/>
      <c r="E27" s="942"/>
      <c r="F27" s="942"/>
      <c r="G27" s="943"/>
      <c r="H27" s="950" t="s">
        <v>581</v>
      </c>
      <c r="I27" s="942"/>
      <c r="J27" s="942"/>
      <c r="K27" s="943"/>
      <c r="L27" s="951" t="s">
        <v>582</v>
      </c>
      <c r="M27" s="951"/>
      <c r="N27" s="951"/>
      <c r="O27" s="299"/>
      <c r="P27" s="343"/>
      <c r="Q27" s="16"/>
      <c r="R27" s="16"/>
      <c r="S27" s="16"/>
      <c r="T27" s="16"/>
      <c r="U27" s="16"/>
      <c r="V27" s="16"/>
      <c r="W27" s="16"/>
      <c r="X27" s="16"/>
      <c r="Y27" s="16"/>
      <c r="Z27" s="16"/>
      <c r="AA27" s="16"/>
      <c r="AB27" s="16"/>
      <c r="AC27" s="16"/>
    </row>
    <row r="28" spans="1:29" x14ac:dyDescent="0.2">
      <c r="A28" s="342"/>
      <c r="B28" s="944"/>
      <c r="C28" s="945"/>
      <c r="D28" s="945"/>
      <c r="E28" s="945"/>
      <c r="F28" s="945"/>
      <c r="G28" s="946"/>
      <c r="H28" s="944"/>
      <c r="I28" s="945"/>
      <c r="J28" s="945"/>
      <c r="K28" s="946"/>
      <c r="L28" s="952"/>
      <c r="M28" s="952"/>
      <c r="N28" s="952"/>
      <c r="O28" s="119"/>
      <c r="P28" s="343"/>
      <c r="Q28" s="16"/>
      <c r="R28" s="16"/>
      <c r="S28" s="16"/>
      <c r="T28" s="16"/>
      <c r="U28" s="16"/>
      <c r="V28" s="16"/>
      <c r="W28" s="16"/>
      <c r="X28" s="16"/>
      <c r="Y28" s="16"/>
      <c r="Z28" s="16"/>
      <c r="AA28" s="16"/>
      <c r="AB28" s="16"/>
      <c r="AC28" s="16"/>
    </row>
    <row r="29" spans="1:29" x14ac:dyDescent="0.2">
      <c r="A29" s="342"/>
      <c r="B29" s="944"/>
      <c r="C29" s="945"/>
      <c r="D29" s="945"/>
      <c r="E29" s="945"/>
      <c r="F29" s="945"/>
      <c r="G29" s="946"/>
      <c r="H29" s="944"/>
      <c r="I29" s="945"/>
      <c r="J29" s="945"/>
      <c r="K29" s="946"/>
      <c r="L29" s="953" t="s">
        <v>583</v>
      </c>
      <c r="M29" s="953"/>
      <c r="N29" s="953"/>
      <c r="O29" s="300"/>
      <c r="P29" s="343"/>
      <c r="Q29" s="16"/>
      <c r="R29" s="16"/>
      <c r="S29" s="16"/>
      <c r="T29" s="16"/>
      <c r="U29" s="16"/>
      <c r="V29" s="16"/>
      <c r="W29" s="16"/>
      <c r="X29" s="16"/>
      <c r="Y29" s="16"/>
      <c r="Z29" s="16"/>
      <c r="AA29" s="16"/>
      <c r="AB29" s="16"/>
      <c r="AC29" s="16"/>
    </row>
    <row r="30" spans="1:29" x14ac:dyDescent="0.2">
      <c r="A30" s="342"/>
      <c r="B30" s="944"/>
      <c r="C30" s="945"/>
      <c r="D30" s="945"/>
      <c r="E30" s="945"/>
      <c r="F30" s="945"/>
      <c r="G30" s="946"/>
      <c r="H30" s="944"/>
      <c r="I30" s="945"/>
      <c r="J30" s="945"/>
      <c r="K30" s="946"/>
      <c r="L30" s="301" t="s">
        <v>584</v>
      </c>
      <c r="M30" s="304"/>
      <c r="N30" s="302" t="s">
        <v>275</v>
      </c>
      <c r="O30" s="300"/>
      <c r="P30" s="343"/>
      <c r="Q30" s="16"/>
      <c r="R30" s="16"/>
      <c r="S30" s="16"/>
      <c r="T30" s="16"/>
      <c r="U30" s="16"/>
      <c r="V30" s="16"/>
      <c r="W30" s="16"/>
      <c r="X30" s="16"/>
      <c r="Y30" s="16"/>
      <c r="Z30" s="16"/>
      <c r="AA30" s="16"/>
      <c r="AB30" s="16"/>
      <c r="AC30" s="16"/>
    </row>
    <row r="31" spans="1:29" ht="15.75" thickBot="1" x14ac:dyDescent="0.25">
      <c r="A31" s="342"/>
      <c r="B31" s="947"/>
      <c r="C31" s="948"/>
      <c r="D31" s="948"/>
      <c r="E31" s="948"/>
      <c r="F31" s="948"/>
      <c r="G31" s="949"/>
      <c r="H31" s="947"/>
      <c r="I31" s="948"/>
      <c r="J31" s="948"/>
      <c r="K31" s="949"/>
      <c r="L31" s="954" t="s">
        <v>78</v>
      </c>
      <c r="M31" s="954"/>
      <c r="N31" s="954"/>
      <c r="O31" s="303"/>
      <c r="P31" s="288"/>
    </row>
    <row r="32" spans="1:29" ht="16.5" thickTop="1" thickBot="1" x14ac:dyDescent="0.25">
      <c r="A32" s="347"/>
      <c r="B32" s="348"/>
      <c r="C32" s="348"/>
      <c r="D32" s="348"/>
      <c r="E32" s="348"/>
      <c r="F32" s="348"/>
      <c r="G32" s="348"/>
      <c r="H32" s="348"/>
      <c r="I32" s="348"/>
      <c r="J32" s="348"/>
      <c r="K32" s="348"/>
      <c r="L32" s="348"/>
      <c r="M32" s="348"/>
      <c r="N32" s="348"/>
      <c r="O32" s="348"/>
      <c r="P32" s="349"/>
      <c r="Q32" s="16"/>
      <c r="R32" s="16"/>
      <c r="S32" s="16"/>
      <c r="T32" s="16"/>
      <c r="U32" s="16"/>
      <c r="V32" s="16"/>
      <c r="W32" s="16"/>
      <c r="X32" s="16"/>
      <c r="Y32" s="16"/>
      <c r="Z32" s="16"/>
      <c r="AA32" s="16"/>
      <c r="AB32" s="16"/>
      <c r="AC32" s="16"/>
    </row>
    <row r="33" spans="1:29" ht="15.75" thickTop="1" x14ac:dyDescent="0.2">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29" x14ac:dyDescent="0.2">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29" x14ac:dyDescent="0.2">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x14ac:dyDescent="0.2">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x14ac:dyDescent="0.2">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x14ac:dyDescent="0.2">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x14ac:dyDescent="0.2">
      <c r="A39" s="16"/>
    </row>
    <row r="40" spans="1:29" x14ac:dyDescent="0.2">
      <c r="A40" s="16"/>
    </row>
    <row r="41" spans="1:29" x14ac:dyDescent="0.2">
      <c r="A41" s="16"/>
    </row>
    <row r="42" spans="1:29" x14ac:dyDescent="0.2">
      <c r="A42" s="16"/>
    </row>
    <row r="43" spans="1:29" x14ac:dyDescent="0.2">
      <c r="A43" s="16"/>
    </row>
    <row r="44" spans="1:29" x14ac:dyDescent="0.2">
      <c r="A44" s="16"/>
    </row>
  </sheetData>
  <mergeCells count="32">
    <mergeCell ref="B27:G31"/>
    <mergeCell ref="H27:K31"/>
    <mergeCell ref="L27:N27"/>
    <mergeCell ref="L28:N28"/>
    <mergeCell ref="L29:N29"/>
    <mergeCell ref="L31:N31"/>
    <mergeCell ref="N25:O25"/>
    <mergeCell ref="N14:O14"/>
    <mergeCell ref="N15:O15"/>
    <mergeCell ref="N16:O16"/>
    <mergeCell ref="N17:O17"/>
    <mergeCell ref="N18:O18"/>
    <mergeCell ref="N19:O19"/>
    <mergeCell ref="N20:O20"/>
    <mergeCell ref="N21:O21"/>
    <mergeCell ref="N22:O22"/>
    <mergeCell ref="N23:O23"/>
    <mergeCell ref="N24:O24"/>
    <mergeCell ref="N13:O13"/>
    <mergeCell ref="B3:E4"/>
    <mergeCell ref="L5:P5"/>
    <mergeCell ref="C7:H7"/>
    <mergeCell ref="J7:K7"/>
    <mergeCell ref="L7:O7"/>
    <mergeCell ref="C8:H8"/>
    <mergeCell ref="J8:K8"/>
    <mergeCell ref="L8:O8"/>
    <mergeCell ref="C9:H9"/>
    <mergeCell ref="J9:K9"/>
    <mergeCell ref="L9:O9"/>
    <mergeCell ref="N11:O11"/>
    <mergeCell ref="N12:O12"/>
  </mergeCells>
  <dataValidations count="1">
    <dataValidation type="list" allowBlank="1" showInputMessage="1" sqref="C12:C25" xr:uid="{0879F0B0-BA1C-4A3A-94FA-0452840318D4}">
      <formula1>rooms</formula1>
    </dataValidation>
  </dataValidations>
  <hyperlinks>
    <hyperlink ref="L5" r:id="rId1" xr:uid="{9BD607C6-6C8A-46D1-8AF3-54509935A068}"/>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146F8-862B-4582-8798-A6DC47718AD3}">
  <sheetPr codeName="Sheet17">
    <pageSetUpPr fitToPage="1"/>
  </sheetPr>
  <dimension ref="A1:J19"/>
  <sheetViews>
    <sheetView showGridLines="0" zoomScaleNormal="100" workbookViewId="0">
      <selection activeCell="G10" sqref="G10"/>
    </sheetView>
  </sheetViews>
  <sheetFormatPr defaultColWidth="8.875" defaultRowHeight="13.5" x14ac:dyDescent="0.2"/>
  <cols>
    <col min="1" max="1" width="5.6484375" style="269" customWidth="1"/>
    <col min="2" max="2" width="25.55859375" style="269" customWidth="1"/>
    <col min="3" max="3" width="18.6953125" style="269" customWidth="1"/>
    <col min="4" max="4" width="12.64453125" style="269" customWidth="1"/>
    <col min="5" max="5" width="3.359375" style="269" customWidth="1"/>
    <col min="6" max="6" width="17.3515625" style="269" customWidth="1"/>
    <col min="7" max="9" width="16.27734375" style="269" customWidth="1"/>
    <col min="10" max="10" width="5.6484375" style="269" customWidth="1"/>
    <col min="11" max="11" width="6.3203125" style="269" customWidth="1"/>
    <col min="12" max="16384" width="8.875" style="269"/>
  </cols>
  <sheetData>
    <row r="1" spans="1:10" ht="36.4" customHeight="1" x14ac:dyDescent="0.2">
      <c r="A1" s="971"/>
      <c r="B1" s="971"/>
      <c r="C1" s="971"/>
      <c r="D1" s="971"/>
      <c r="E1" s="971"/>
      <c r="F1" s="971"/>
      <c r="G1" s="971"/>
      <c r="H1" s="971"/>
      <c r="I1" s="971"/>
      <c r="J1" s="971"/>
    </row>
    <row r="2" spans="1:10" ht="124.9" customHeight="1" x14ac:dyDescent="0.2">
      <c r="A2" s="270"/>
      <c r="B2" s="972" t="s">
        <v>132</v>
      </c>
      <c r="C2" s="973"/>
      <c r="D2" s="973"/>
      <c r="E2" s="270"/>
      <c r="F2" s="270"/>
      <c r="G2" s="270"/>
      <c r="H2" s="270"/>
      <c r="I2" s="270"/>
      <c r="J2" s="270"/>
    </row>
    <row r="3" spans="1:10" ht="52.5" customHeight="1" x14ac:dyDescent="0.2">
      <c r="A3" s="270"/>
      <c r="B3" s="270"/>
      <c r="C3" s="270"/>
      <c r="D3" s="270"/>
      <c r="E3" s="270"/>
      <c r="F3" s="270"/>
      <c r="G3" s="270"/>
      <c r="H3" s="270"/>
      <c r="I3" s="270"/>
      <c r="J3" s="270"/>
    </row>
    <row r="4" spans="1:10" ht="18.399999999999999" customHeight="1" x14ac:dyDescent="0.15">
      <c r="A4" s="271"/>
      <c r="B4" s="272"/>
      <c r="C4" s="460" t="s">
        <v>994</v>
      </c>
      <c r="D4" s="974" t="s">
        <v>995</v>
      </c>
      <c r="E4" s="975"/>
      <c r="F4" s="461" t="s">
        <v>996</v>
      </c>
      <c r="G4" s="461" t="s">
        <v>997</v>
      </c>
      <c r="H4" s="461" t="s">
        <v>998</v>
      </c>
      <c r="I4" s="273"/>
      <c r="J4" s="271"/>
    </row>
    <row r="5" spans="1:10" ht="55.15" customHeight="1" x14ac:dyDescent="0.1">
      <c r="A5" s="270"/>
      <c r="B5" s="274" t="s">
        <v>3</v>
      </c>
      <c r="C5" s="275" t="s">
        <v>999</v>
      </c>
      <c r="D5" s="976" t="s">
        <v>1000</v>
      </c>
      <c r="E5" s="977"/>
      <c r="F5" s="275" t="s">
        <v>1001</v>
      </c>
      <c r="G5" s="275" t="s">
        <v>1002</v>
      </c>
      <c r="H5" s="275" t="s">
        <v>1003</v>
      </c>
      <c r="I5" s="275"/>
      <c r="J5" s="270"/>
    </row>
    <row r="6" spans="1:10" ht="19.149999999999999" customHeight="1" x14ac:dyDescent="0.15">
      <c r="A6" s="271"/>
      <c r="B6" s="278" t="s">
        <v>133</v>
      </c>
      <c r="C6" s="280">
        <v>9</v>
      </c>
      <c r="D6" s="978">
        <v>12</v>
      </c>
      <c r="E6" s="979"/>
      <c r="F6" s="280">
        <v>12</v>
      </c>
      <c r="G6" s="280">
        <v>12</v>
      </c>
      <c r="H6" s="280">
        <v>30</v>
      </c>
      <c r="I6" s="280"/>
      <c r="J6" s="271"/>
    </row>
    <row r="7" spans="1:10" ht="19.899999999999999" customHeight="1" x14ac:dyDescent="0.2">
      <c r="A7" s="276"/>
      <c r="B7" s="278" t="s">
        <v>134</v>
      </c>
      <c r="C7" s="467" t="s">
        <v>135</v>
      </c>
      <c r="D7" s="980" t="s">
        <v>135</v>
      </c>
      <c r="E7" s="981"/>
      <c r="F7" s="467" t="s">
        <v>135</v>
      </c>
      <c r="G7" s="467" t="s">
        <v>135</v>
      </c>
      <c r="H7" s="286">
        <v>24</v>
      </c>
      <c r="I7" s="286"/>
      <c r="J7" s="276"/>
    </row>
    <row r="8" spans="1:10" ht="19.899999999999999" customHeight="1" x14ac:dyDescent="0.2">
      <c r="A8" s="276"/>
      <c r="B8" s="278" t="s">
        <v>136</v>
      </c>
      <c r="C8" s="467" t="s">
        <v>135</v>
      </c>
      <c r="D8" s="955" t="s">
        <v>137</v>
      </c>
      <c r="E8" s="982"/>
      <c r="F8" s="468" t="s">
        <v>137</v>
      </c>
      <c r="G8" s="468" t="s">
        <v>137</v>
      </c>
      <c r="H8" s="287" t="s">
        <v>137</v>
      </c>
      <c r="I8" s="277"/>
      <c r="J8" s="276"/>
    </row>
    <row r="9" spans="1:10" ht="20.25" x14ac:dyDescent="0.1">
      <c r="A9" s="270"/>
      <c r="B9" s="274" t="s">
        <v>138</v>
      </c>
      <c r="C9" s="280" t="s">
        <v>139</v>
      </c>
      <c r="D9" s="978" t="s">
        <v>140</v>
      </c>
      <c r="E9" s="979"/>
      <c r="F9" s="280" t="s">
        <v>141</v>
      </c>
      <c r="G9" s="280" t="s">
        <v>140</v>
      </c>
      <c r="H9" s="285" t="s">
        <v>140</v>
      </c>
      <c r="I9" s="285"/>
      <c r="J9" s="270"/>
    </row>
    <row r="10" spans="1:10" ht="67.150000000000006" customHeight="1" x14ac:dyDescent="0.15">
      <c r="A10" s="270"/>
      <c r="B10" s="274" t="s">
        <v>142</v>
      </c>
      <c r="C10" s="274" t="s">
        <v>1004</v>
      </c>
      <c r="D10" s="983" t="s">
        <v>1005</v>
      </c>
      <c r="E10" s="984"/>
      <c r="F10" s="274" t="s">
        <v>1006</v>
      </c>
      <c r="G10" s="275" t="s">
        <v>1007</v>
      </c>
      <c r="H10" s="275" t="s">
        <v>1008</v>
      </c>
      <c r="I10" s="279"/>
      <c r="J10" s="270"/>
    </row>
    <row r="11" spans="1:10" ht="33" x14ac:dyDescent="0.1">
      <c r="A11" s="270"/>
      <c r="B11" s="462" t="s">
        <v>143</v>
      </c>
      <c r="C11" s="280">
        <v>600</v>
      </c>
      <c r="D11" s="985">
        <v>610</v>
      </c>
      <c r="E11" s="986"/>
      <c r="F11" s="280">
        <v>660</v>
      </c>
      <c r="G11" s="280" t="s">
        <v>1009</v>
      </c>
      <c r="H11" s="280">
        <v>660</v>
      </c>
      <c r="I11" s="280"/>
      <c r="J11" s="270"/>
    </row>
    <row r="12" spans="1:10" ht="46.9" customHeight="1" x14ac:dyDescent="0.15">
      <c r="A12" s="270"/>
      <c r="B12" s="278" t="s">
        <v>144</v>
      </c>
      <c r="C12" s="275" t="s">
        <v>145</v>
      </c>
      <c r="D12" s="969" t="s">
        <v>145</v>
      </c>
      <c r="E12" s="970"/>
      <c r="F12" s="275">
        <v>550</v>
      </c>
      <c r="G12" s="275" t="s">
        <v>145</v>
      </c>
      <c r="H12" s="275">
        <v>550</v>
      </c>
      <c r="I12" s="275"/>
      <c r="J12" s="270"/>
    </row>
    <row r="13" spans="1:10" ht="39" customHeight="1" x14ac:dyDescent="0.15">
      <c r="A13" s="270"/>
      <c r="B13" s="278" t="s">
        <v>1010</v>
      </c>
      <c r="C13" s="463">
        <v>2</v>
      </c>
      <c r="D13" s="957">
        <v>2</v>
      </c>
      <c r="E13" s="958"/>
      <c r="F13" s="281">
        <v>4</v>
      </c>
      <c r="G13" s="281">
        <v>2</v>
      </c>
      <c r="H13" s="281">
        <v>4</v>
      </c>
      <c r="I13" s="281"/>
      <c r="J13" s="270"/>
    </row>
    <row r="14" spans="1:10" ht="40.15" customHeight="1" x14ac:dyDescent="0.15">
      <c r="A14" s="270"/>
      <c r="B14" s="274" t="s">
        <v>1011</v>
      </c>
      <c r="C14" s="275" t="s">
        <v>1012</v>
      </c>
      <c r="D14" s="959" t="s">
        <v>1012</v>
      </c>
      <c r="E14" s="960"/>
      <c r="F14" s="275" t="s">
        <v>1012</v>
      </c>
      <c r="G14" s="275" t="s">
        <v>1012</v>
      </c>
      <c r="H14" s="275" t="s">
        <v>1012</v>
      </c>
      <c r="I14" s="275"/>
      <c r="J14" s="270"/>
    </row>
    <row r="15" spans="1:10" ht="22.9" customHeight="1" x14ac:dyDescent="0.2">
      <c r="A15" s="276"/>
      <c r="B15" s="274" t="s">
        <v>1013</v>
      </c>
      <c r="C15" s="282" t="s">
        <v>135</v>
      </c>
      <c r="D15" s="961" t="s">
        <v>135</v>
      </c>
      <c r="E15" s="962"/>
      <c r="F15" s="464" t="s">
        <v>135</v>
      </c>
      <c r="G15" s="283" t="s">
        <v>137</v>
      </c>
      <c r="H15" s="282" t="s">
        <v>135</v>
      </c>
      <c r="I15" s="283"/>
      <c r="J15" s="276"/>
    </row>
    <row r="16" spans="1:10" ht="30.75" x14ac:dyDescent="0.15">
      <c r="A16" s="276"/>
      <c r="B16" s="274" t="s">
        <v>1014</v>
      </c>
      <c r="C16" s="277" t="s">
        <v>135</v>
      </c>
      <c r="D16" s="963" t="s">
        <v>135</v>
      </c>
      <c r="E16" s="964"/>
      <c r="F16" s="277" t="s">
        <v>135</v>
      </c>
      <c r="G16" s="277" t="s">
        <v>135</v>
      </c>
      <c r="H16" s="465" t="s">
        <v>1015</v>
      </c>
      <c r="I16" s="277"/>
      <c r="J16" s="276"/>
    </row>
    <row r="17" spans="1:10" ht="22.9" customHeight="1" x14ac:dyDescent="0.15">
      <c r="A17" s="276"/>
      <c r="B17" s="278" t="s">
        <v>1016</v>
      </c>
      <c r="C17" s="466" t="s">
        <v>1017</v>
      </c>
      <c r="D17" s="965" t="s">
        <v>1018</v>
      </c>
      <c r="E17" s="966"/>
      <c r="F17" s="466" t="s">
        <v>1018</v>
      </c>
      <c r="G17" s="466" t="s">
        <v>1019</v>
      </c>
      <c r="H17" s="466" t="s">
        <v>1018</v>
      </c>
      <c r="I17" s="466"/>
      <c r="J17" s="276"/>
    </row>
    <row r="18" spans="1:10" ht="18" x14ac:dyDescent="0.2">
      <c r="A18" s="276"/>
      <c r="B18" s="278" t="s">
        <v>65</v>
      </c>
      <c r="C18" s="284" t="s">
        <v>137</v>
      </c>
      <c r="D18" s="967" t="s">
        <v>137</v>
      </c>
      <c r="E18" s="968"/>
      <c r="F18" s="284" t="s">
        <v>137</v>
      </c>
      <c r="G18" s="284" t="s">
        <v>137</v>
      </c>
      <c r="H18" s="284" t="s">
        <v>137</v>
      </c>
      <c r="I18" s="284"/>
      <c r="J18" s="276"/>
    </row>
    <row r="19" spans="1:10" ht="21.75" customHeight="1" x14ac:dyDescent="0.2">
      <c r="A19" s="276"/>
      <c r="B19" s="278"/>
      <c r="C19" s="468" t="s">
        <v>137</v>
      </c>
      <c r="D19" s="955" t="s">
        <v>137</v>
      </c>
      <c r="E19" s="956"/>
      <c r="F19" s="468" t="s">
        <v>137</v>
      </c>
      <c r="G19" s="467" t="s">
        <v>135</v>
      </c>
      <c r="H19" s="468" t="s">
        <v>137</v>
      </c>
      <c r="I19" s="284"/>
      <c r="J19" s="276"/>
    </row>
  </sheetData>
  <mergeCells count="18">
    <mergeCell ref="D12:E12"/>
    <mergeCell ref="A1:J1"/>
    <mergeCell ref="B2:D2"/>
    <mergeCell ref="D4:E4"/>
    <mergeCell ref="D5:E5"/>
    <mergeCell ref="D6:E6"/>
    <mergeCell ref="D7:E7"/>
    <mergeCell ref="D8:E8"/>
    <mergeCell ref="D9:E9"/>
    <mergeCell ref="D10:E10"/>
    <mergeCell ref="D11:E11"/>
    <mergeCell ref="D19:E19"/>
    <mergeCell ref="D13:E13"/>
    <mergeCell ref="D14:E14"/>
    <mergeCell ref="D15:E15"/>
    <mergeCell ref="D16:E16"/>
    <mergeCell ref="D17:E17"/>
    <mergeCell ref="D18:E18"/>
  </mergeCells>
  <pageMargins left="0.70866141732283472" right="4.2065625000000004" top="0.74803149606299213" bottom="0.74803149606299213" header="0.31496062992125984" footer="0.31496062992125984"/>
  <pageSetup paperSize="9" scale="61"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0C97-78A2-4EE7-B058-D11411F60B9C}">
  <sheetPr codeName="Sheet2"/>
  <dimension ref="A2:AJ61"/>
  <sheetViews>
    <sheetView zoomScaleNormal="100" workbookViewId="0">
      <selection activeCell="C12" sqref="C12"/>
    </sheetView>
  </sheetViews>
  <sheetFormatPr defaultColWidth="8.875" defaultRowHeight="15" x14ac:dyDescent="0.2"/>
  <cols>
    <col min="1" max="1" width="2.15234375" style="16" customWidth="1"/>
    <col min="2" max="2" width="3.359375" style="16" customWidth="1"/>
    <col min="3" max="3" width="11.8359375" style="16" bestFit="1" customWidth="1"/>
    <col min="4" max="4" width="10.35546875" style="16" bestFit="1" customWidth="1"/>
    <col min="5" max="5" width="8.875" style="16"/>
    <col min="6" max="6" width="6.72265625" style="16" customWidth="1"/>
    <col min="7" max="7" width="9.55078125" style="16" customWidth="1"/>
    <col min="8" max="8" width="10.4921875" style="16" bestFit="1" customWidth="1"/>
    <col min="9" max="9" width="8.875" style="367"/>
    <col min="10" max="10" width="8.875" style="18"/>
    <col min="11" max="16" width="8.875" style="16"/>
    <col min="17" max="17" width="9.953125" style="16" bestFit="1" customWidth="1"/>
    <col min="18" max="18" width="9.953125" style="16" customWidth="1"/>
    <col min="19" max="19" width="5.37890625" style="16" customWidth="1"/>
    <col min="20" max="20" width="6.72265625" style="16" customWidth="1"/>
    <col min="21" max="21" width="6.9921875" style="16" customWidth="1"/>
    <col min="22" max="22" width="5.6484375" style="16" customWidth="1"/>
    <col min="23" max="27" width="6.859375" style="16" customWidth="1"/>
    <col min="28" max="28" width="6.3203125" style="16" customWidth="1"/>
    <col min="29" max="29" width="4.83984375" style="16" customWidth="1"/>
    <col min="30" max="30" width="8.47265625" style="16" bestFit="1" customWidth="1"/>
    <col min="31" max="31" width="11.296875" style="16" bestFit="1" customWidth="1"/>
    <col min="32" max="33" width="8.875" style="16" hidden="1" customWidth="1"/>
    <col min="34" max="34" width="8.875" style="16"/>
    <col min="35" max="36" width="10.625" style="16" bestFit="1" customWidth="1"/>
    <col min="37" max="16384" width="8.875" style="16"/>
  </cols>
  <sheetData>
    <row r="2" spans="1:36" x14ac:dyDescent="0.2">
      <c r="A2" s="17"/>
      <c r="B2" s="17"/>
      <c r="C2" s="17"/>
      <c r="D2" s="17"/>
      <c r="E2" s="17"/>
      <c r="F2" s="17"/>
      <c r="G2" s="17"/>
    </row>
    <row r="3" spans="1:36" x14ac:dyDescent="0.2">
      <c r="A3" s="17"/>
      <c r="B3" s="17"/>
      <c r="C3" s="17"/>
      <c r="D3" s="17"/>
      <c r="E3" s="17"/>
      <c r="F3" s="17"/>
      <c r="G3" s="17"/>
    </row>
    <row r="4" spans="1:36" x14ac:dyDescent="0.2">
      <c r="A4" s="17"/>
      <c r="B4" s="17"/>
      <c r="C4" s="17"/>
      <c r="D4" s="17"/>
      <c r="E4" s="17"/>
      <c r="F4" s="17"/>
      <c r="G4" s="17"/>
    </row>
    <row r="5" spans="1:36" ht="15.75" thickBot="1" x14ac:dyDescent="0.25">
      <c r="R5" s="16" t="str">
        <f>IFERROR(IF(Pricing!P76=0,"",IF(OR(Pricing!P76&gt;=0.05,Pricing!P76&lt;=0.05),"True",IF(Pricing!P76=0,"",""))),"")</f>
        <v/>
      </c>
    </row>
    <row r="6" spans="1:36" ht="15.75" thickTop="1" x14ac:dyDescent="0.2">
      <c r="B6" s="1022" t="s">
        <v>146</v>
      </c>
      <c r="C6" s="1023"/>
      <c r="D6" s="19" t="s">
        <v>83</v>
      </c>
      <c r="E6" s="1027" t="str">
        <f>IF(Pricing!B59="","",Pricing!B59)</f>
        <v/>
      </c>
      <c r="F6" s="1027"/>
      <c r="G6" s="1027"/>
      <c r="H6" s="1028"/>
      <c r="I6" s="368" t="s">
        <v>147</v>
      </c>
      <c r="J6" s="1031" t="str">
        <f>IF(Pricing!E59="","",Pricing!E59)</f>
        <v/>
      </c>
      <c r="K6" s="1031"/>
      <c r="L6" s="1023"/>
      <c r="M6" s="1032" t="s">
        <v>148</v>
      </c>
      <c r="N6" s="1033"/>
      <c r="O6" s="1032" t="s">
        <v>149</v>
      </c>
      <c r="P6" s="1036"/>
      <c r="Q6" s="1036"/>
      <c r="R6" s="1032" t="s">
        <v>137</v>
      </c>
      <c r="S6" s="1036"/>
      <c r="T6" s="1033"/>
      <c r="U6" s="457" t="s">
        <v>781</v>
      </c>
      <c r="V6" s="1020"/>
      <c r="W6" s="1020"/>
      <c r="X6" s="1020"/>
      <c r="Y6" s="1016" t="s">
        <v>963</v>
      </c>
      <c r="Z6" s="1017"/>
      <c r="AA6" s="1065" t="s">
        <v>150</v>
      </c>
      <c r="AB6" s="1066"/>
      <c r="AC6" s="1069" t="s">
        <v>151</v>
      </c>
      <c r="AD6" s="1070"/>
      <c r="AE6" s="207" t="s">
        <v>152</v>
      </c>
    </row>
    <row r="7" spans="1:36" x14ac:dyDescent="0.2">
      <c r="B7" s="1024"/>
      <c r="C7" s="809"/>
      <c r="D7" s="20"/>
      <c r="E7" s="1029"/>
      <c r="F7" s="1029"/>
      <c r="G7" s="1029"/>
      <c r="H7" s="1030"/>
      <c r="I7" s="369"/>
      <c r="J7" s="811"/>
      <c r="K7" s="811"/>
      <c r="L7" s="812"/>
      <c r="M7" s="1034"/>
      <c r="N7" s="1035"/>
      <c r="O7" s="1034"/>
      <c r="P7" s="1037"/>
      <c r="Q7" s="1037"/>
      <c r="R7" s="1034"/>
      <c r="S7" s="1037"/>
      <c r="T7" s="1035"/>
      <c r="U7" s="458"/>
      <c r="V7" s="1021"/>
      <c r="W7" s="1021"/>
      <c r="X7" s="1021"/>
      <c r="Y7" s="1018"/>
      <c r="Z7" s="1019"/>
      <c r="AA7" s="1067"/>
      <c r="AB7" s="1068"/>
      <c r="AC7" s="1071"/>
      <c r="AD7" s="1072"/>
      <c r="AE7" s="208">
        <f>Pricing!AD54</f>
        <v>0</v>
      </c>
    </row>
    <row r="8" spans="1:36" ht="14.45" customHeight="1" x14ac:dyDescent="0.2">
      <c r="B8" s="1024"/>
      <c r="C8" s="809"/>
      <c r="D8" s="21" t="s">
        <v>153</v>
      </c>
      <c r="E8" s="999"/>
      <c r="F8" s="1000"/>
      <c r="G8" s="449" t="s">
        <v>956</v>
      </c>
      <c r="H8" s="450"/>
      <c r="I8" s="370" t="s">
        <v>958</v>
      </c>
      <c r="J8" s="999"/>
      <c r="K8" s="999"/>
      <c r="L8" s="1000"/>
      <c r="M8" s="1038" t="s">
        <v>14</v>
      </c>
      <c r="N8" s="1039"/>
      <c r="O8" s="1040" t="s">
        <v>154</v>
      </c>
      <c r="P8" s="999"/>
      <c r="Q8" s="1000"/>
      <c r="R8" s="990">
        <f>IFERROR("BP: " &amp; ROUND(SUM(Pricing!AA66-SUM(Pricing!N60:N71))/Pricing!AD54,0) &amp; " | " &amp; "SVBP:" &amp; TEXT(Matrix2!AA123+Matrix2!Z136,"#,##0"),0)</f>
        <v>0</v>
      </c>
      <c r="S8" s="1041"/>
      <c r="T8" s="991"/>
      <c r="U8" s="990" t="s">
        <v>155</v>
      </c>
      <c r="V8" s="991"/>
      <c r="W8" s="1003"/>
      <c r="X8" s="1004"/>
      <c r="Y8" s="1007" t="str">
        <f>IF('Install Time'!I26=0,"",'Install Time'!I26)</f>
        <v/>
      </c>
      <c r="Z8" s="1008"/>
      <c r="AA8" s="1073">
        <f>SUM(Matrix2!AD19:AR19)</f>
        <v>0</v>
      </c>
      <c r="AB8" s="1074"/>
      <c r="AC8" s="1077">
        <f>SUM(Matrix2!AD61:AR61)</f>
        <v>0</v>
      </c>
      <c r="AD8" s="1078"/>
      <c r="AE8" s="209" t="s">
        <v>156</v>
      </c>
    </row>
    <row r="9" spans="1:36" ht="15.75" thickBot="1" x14ac:dyDescent="0.25">
      <c r="B9" s="1025"/>
      <c r="C9" s="1026"/>
      <c r="D9" s="23"/>
      <c r="E9" s="1001"/>
      <c r="F9" s="1002"/>
      <c r="G9" s="371" t="s">
        <v>957</v>
      </c>
      <c r="H9" s="451"/>
      <c r="I9" s="371"/>
      <c r="J9" s="1001"/>
      <c r="K9" s="1001"/>
      <c r="L9" s="1002"/>
      <c r="M9" s="994">
        <f>IF(ISERROR( AE13+AE16+AE19+AE22+AE25+AE28+AE31+AE34+AE37+AE40+AE43+AE46+AE49+AE52+AE55),"Square Meters",  AE13+AE16+AE19+AE22+AE25+AE28+AE31+AE34+AE37+AE40+AE43+AE46+AE49+AE52+AE55)</f>
        <v>0</v>
      </c>
      <c r="N9" s="995"/>
      <c r="O9" s="996" t="s">
        <v>25</v>
      </c>
      <c r="P9" s="997"/>
      <c r="Q9" s="998"/>
      <c r="R9" s="992"/>
      <c r="S9" s="1042"/>
      <c r="T9" s="993"/>
      <c r="U9" s="992"/>
      <c r="V9" s="993"/>
      <c r="W9" s="1005"/>
      <c r="X9" s="1006"/>
      <c r="Y9" s="1009"/>
      <c r="Z9" s="1010"/>
      <c r="AA9" s="1075"/>
      <c r="AB9" s="1076"/>
      <c r="AC9" s="996"/>
      <c r="AD9" s="997"/>
      <c r="AE9" s="210">
        <f>M9</f>
        <v>0</v>
      </c>
    </row>
    <row r="10" spans="1:36" ht="16.5" thickTop="1" thickBot="1" x14ac:dyDescent="0.25"/>
    <row r="11" spans="1:36" ht="27.6" customHeight="1" thickTop="1" thickBot="1" x14ac:dyDescent="0.25">
      <c r="B11" s="212"/>
      <c r="C11" s="213" t="s">
        <v>1</v>
      </c>
      <c r="D11" s="213" t="s">
        <v>2</v>
      </c>
      <c r="E11" s="213" t="s">
        <v>3</v>
      </c>
      <c r="F11" s="524" t="s">
        <v>4</v>
      </c>
      <c r="G11" s="525"/>
      <c r="H11" s="217" t="s">
        <v>5</v>
      </c>
      <c r="I11" s="218" t="s">
        <v>6</v>
      </c>
      <c r="J11" s="213" t="s">
        <v>157</v>
      </c>
      <c r="K11" s="213" t="s">
        <v>158</v>
      </c>
      <c r="L11" s="213" t="s">
        <v>7</v>
      </c>
      <c r="M11" s="213" t="s">
        <v>9</v>
      </c>
      <c r="N11" s="213" t="s">
        <v>10</v>
      </c>
      <c r="O11" s="213" t="s">
        <v>11</v>
      </c>
      <c r="P11" s="213" t="s">
        <v>159</v>
      </c>
      <c r="Q11" s="214" t="s">
        <v>160</v>
      </c>
      <c r="R11" s="524" t="s">
        <v>12</v>
      </c>
      <c r="S11" s="526"/>
      <c r="T11" s="526"/>
      <c r="U11" s="526"/>
      <c r="V11" s="526"/>
      <c r="W11" s="526"/>
      <c r="X11" s="526"/>
      <c r="Y11" s="526"/>
      <c r="Z11" s="526"/>
      <c r="AA11" s="526"/>
      <c r="AB11" s="526"/>
      <c r="AC11" s="525"/>
      <c r="AD11" s="219" t="s">
        <v>161</v>
      </c>
      <c r="AE11" s="220"/>
      <c r="AF11" s="16" t="s">
        <v>162</v>
      </c>
      <c r="AG11" s="16" t="s">
        <v>163</v>
      </c>
      <c r="AI11" s="184"/>
      <c r="AJ11" s="184"/>
    </row>
    <row r="12" spans="1:36" ht="15.75" thickTop="1" x14ac:dyDescent="0.2">
      <c r="B12" s="479">
        <v>1</v>
      </c>
      <c r="C12" s="10" t="str">
        <f>IF(Pricing!C8="","",Pricing!C8)</f>
        <v/>
      </c>
      <c r="D12" s="1043" t="str">
        <f>IF(Pricing!D8="","",Pricing!D8)</f>
        <v/>
      </c>
      <c r="E12" s="1046" t="str">
        <f>IF(Pricing!E8="","",Pricing!E8)</f>
        <v/>
      </c>
      <c r="F12" s="1048" t="str">
        <f>IF(Pricing!F8="","",Pricing!F8)</f>
        <v/>
      </c>
      <c r="G12" s="1048"/>
      <c r="H12" s="1011" t="str">
        <f>IF(Pricing!H8="","",Pricing!H8)</f>
        <v/>
      </c>
      <c r="I12" s="1049" t="str">
        <f>IF(Pricing!I8="","",Pricing!I8)</f>
        <v/>
      </c>
      <c r="J12" s="24">
        <v>0</v>
      </c>
      <c r="K12" s="1011"/>
      <c r="L12" s="988" t="str">
        <f>IF(Pricing!J8="","",Pricing!J8)</f>
        <v/>
      </c>
      <c r="M12" s="1011" t="str">
        <f>UPPER(IF(Drawing!$F$2=1,Drawing!D17,IF(Drawing!$Y$2=1,Drawing!W17,IF(Drawing!$F$25=1,Drawing!D40,IF(Drawing!$Y$25=1,Drawing!W40,IF(Drawing!$F$48=1,Drawing!D60,IF(Drawing!$Y$48=1,Drawing!W63,"")))))))</f>
        <v/>
      </c>
      <c r="N12" s="1011" t="str">
        <f>UPPER(IF(Drawing!$F$2=1,Drawing!D19,IF(Drawing!$Y$2=1,Drawing!W19,IF(Drawing!$F$25=1,Drawing!D42,IF(Drawing!$Y$25=1,Drawing!W42,IF(Drawing!$F$48=1,Drawing!D65,IF(Drawing!$Y$48=1,Drawing!W65,"")))))))</f>
        <v/>
      </c>
      <c r="O12" s="1054" t="str">
        <f>UPPER(IF(Drawing!$F$2=1,Drawing!D21,IF(Drawing!$Y$2=1,Drawing!W21,IF(Drawing!$F$25=1,Drawing!D44,IF(Drawing!$Y$25=1,Drawing!W44,IF(Drawing!$F$48=1,Drawing!D67,IF(Drawing!$Y$48=1,Drawing!W67,"")))))))</f>
        <v/>
      </c>
      <c r="P12" s="987"/>
      <c r="Q12" s="1057"/>
      <c r="R12" s="24" t="s">
        <v>164</v>
      </c>
      <c r="S12" s="189" t="str">
        <f>UPPER(IF(Drawing!$F$2=1,Drawing!AW5,IF(Drawing!$Y$2=1,Drawing!AC17,IF(Drawing!$F$25=1,Drawing!J40,IF(Drawing!$Y$25=1,Drawing!AC40,IF(Drawing!$F$48=1,Drawing!J63,IF(Drawing!$Y$48=1,Drawing!AC63,IF(Pricing!Q8="","",Pricing!Q8))))))))</f>
        <v/>
      </c>
      <c r="T12" s="189" t="str">
        <f>UPPER(IF(Drawing!$F$2=1,Drawing!AX5,IF(Drawing!$Y$2=1,Drawing!AD17,IF(Drawing!$F$25=1,Drawing!K40,IF(Drawing!$Y$25=1,Drawing!AD40,IF(Drawing!$F$48=1,Drawing!K63,IF(Drawing!$Y$48=1,Drawing!AD63,IF(Pricing!R8="","",Pricing!R8))))))))</f>
        <v/>
      </c>
      <c r="U12" s="189" t="str">
        <f>UPPER(IF(Drawing!$F$2=1,Drawing!AY5,IF(Drawing!$Y$2=1,Drawing!AE17,IF(Drawing!$F$25=1,Drawing!L40,IF(Drawing!$Y$25=1,Drawing!AE40,IF(Drawing!$F$48=1,Drawing!L63,IF(Drawing!$Y$48=1,Drawing!AE63,IF(Pricing!S8="","",Pricing!S8))))))))</f>
        <v/>
      </c>
      <c r="V12" s="189" t="str">
        <f>UPPER(IF(Drawing!$F$2=1,Drawing!AZ5,IF(Drawing!$Y$2=1,Drawing!AF17,IF(Drawing!$F$25=1,Drawing!M40,IF(Drawing!$Y$25=1,Drawing!AF40,IF(Drawing!$F$48=1,Drawing!M63,IF(Drawing!$Y$48=1,Drawing!AF63,IF(Pricing!T8="","",Pricing!T8))))))))</f>
        <v/>
      </c>
      <c r="W12" s="189" t="str">
        <f>UPPER(IF(Drawing!$F$2=1,Drawing!BA5,IF(Drawing!$Y$2=1,Drawing!AG17,IF(Drawing!$F$25=1,Drawing!N40,IF(Drawing!$Y$25=1,Drawing!AG40,IF(Drawing!$F$48=1,Drawing!N63,IF(Drawing!$Y$48=1,Drawing!AG63,IF(Pricing!U8="","",Pricing!U8))))))))</f>
        <v/>
      </c>
      <c r="X12" s="189" t="str">
        <f>UPPER(IF(Drawing!$F$2=1,Drawing!BB5,IF(Drawing!$Y$2=1,Drawing!AH17,IF(Drawing!$F$25=1,Drawing!O40,IF(Drawing!$Y$25=1,Drawing!AH40,IF(Drawing!$F$48=1,Drawing!O63,IF(Drawing!$Y$48=1,Drawing!AH63,IF(Pricing!V8="","",Pricing!V8))))))))</f>
        <v/>
      </c>
      <c r="Y12" s="189" t="str">
        <f>UPPER(IF(Drawing!$F$2=1,Drawing!BC5,IF(Drawing!$Y$2=1,Drawing!AI17,IF(Drawing!$F$25=1,Drawing!P40,IF(Drawing!$Y$25=1,Drawing!AI40,IF(Drawing!$F$48=1,Drawing!P63,IF(Drawing!$Y$48=1,Drawing!AI63,IF(Pricing!W8="","",Pricing!W8))))))))</f>
        <v/>
      </c>
      <c r="Z12" s="189" t="str">
        <f>UPPER(IF(Drawing!$F$2=1,Drawing!BD5,IF(Drawing!$Y$2=1,Drawing!AJ17,IF(Drawing!$F$25=1,Drawing!Q40,IF(Drawing!$Y$25=1,Drawing!AJ40,IF(Drawing!$F$48=1,Drawing!Q63,IF(Drawing!$Y$48=1,Drawing!AJ63,IF(Pricing!X8="","",Pricing!X8))))))))</f>
        <v/>
      </c>
      <c r="AA12" s="189" t="str">
        <f>UPPER(IF(Drawing!$F$2=1,Drawing!BE5,IF(Drawing!$Y$2=1,Drawing!AK17,IF(Drawing!$F$25=1,Drawing!R40,IF(Drawing!$Y$25=1,Drawing!AK40,IF(Drawing!$F$48=1,Drawing!R63,IF(Drawing!$Y$48=1,Drawing!AK63,IF(Pricing!Y8="","",Pricing!Y8))))))))</f>
        <v/>
      </c>
      <c r="AB12" s="189" t="str">
        <f>UPPER(IF(Drawing!$F$2=1,Drawing!BF5,IF(Drawing!$Y$2=1,Drawing!AL17,IF(Drawing!$F$25=1,Drawing!S40,IF(Drawing!$Y$25=1,Drawing!AL40,IF(Drawing!$F$48=1,Drawing!S63,IF(Drawing!$Y$48=1,Drawing!AL63,IF(Pricing!Z8="","",Pricing!Z8))))))))</f>
        <v/>
      </c>
      <c r="AC12" s="189" t="str">
        <f>UPPER(IF(Drawing!$F$2=1,Drawing!BG5,IF(Drawing!$Y$2=1,Drawing!AM17,IF(Drawing!$F$25=1,Drawing!T40,IF(Drawing!$Y$25=1,Drawing!AM40,IF(Drawing!$F$48=1,Drawing!T63,IF(Drawing!$Y$48=1,Drawing!AM63,IF(Pricing!AA8="","",Pricing!AA8))))))))</f>
        <v/>
      </c>
      <c r="AD12" s="221" t="str">
        <f>IF(Pricing!AD8="Quote","Q","")</f>
        <v/>
      </c>
      <c r="AE12" s="11" t="s">
        <v>21</v>
      </c>
      <c r="AF12" s="16">
        <f>COUNTIF(S12:AC12,"(T)")</f>
        <v>0</v>
      </c>
      <c r="AG12" s="16" t="b">
        <f>OR(COUNTIF(S12:AC12,"*(B)*"),COUNTIF(S12:AC12,"*(CB)*"))</f>
        <v>0</v>
      </c>
      <c r="AH12" s="195"/>
    </row>
    <row r="13" spans="1:36" x14ac:dyDescent="0.2">
      <c r="B13" s="479"/>
      <c r="C13" s="193" t="str">
        <f>IF(Pricing!C9="","",Pricing!C9)</f>
        <v/>
      </c>
      <c r="D13" s="1044"/>
      <c r="E13" s="1014"/>
      <c r="F13" s="528" t="str">
        <f>IF(Pricing!F9="","",Pricing!F9)</f>
        <v/>
      </c>
      <c r="G13" s="527"/>
      <c r="H13" s="1011"/>
      <c r="I13" s="988"/>
      <c r="J13" s="1014"/>
      <c r="K13" s="1011"/>
      <c r="L13" s="988"/>
      <c r="M13" s="1011"/>
      <c r="N13" s="1011"/>
      <c r="O13" s="1055"/>
      <c r="P13" s="988"/>
      <c r="Q13" s="1014"/>
      <c r="R13" s="222" t="s">
        <v>165</v>
      </c>
      <c r="S13" s="359" t="str">
        <f>UPPER(IF(Drawing!$F$2=1,Drawing!J18,IF(Drawing!$Y$2=1,Drawing!AC18,IF(Drawing!$F$25=1,Drawing!J40,IF(Drawing!$Y$25=1,Drawing!AC41,IF(Drawing!$F$48=1,Drawing!J63,IF(Drawing!$Y$48=1,Drawing!AC63,"")))))))</f>
        <v/>
      </c>
      <c r="T13" s="359" t="str">
        <f>UPPER(IF(Drawing!$F$2=1,Drawing!K18,IF(Drawing!$Y$2=1,Drawing!AD18,IF(Drawing!$F$25=1,Drawing!K40,IF(Drawing!$Y$25=1,Drawing!AD41,IF(Drawing!$F$48=1,Drawing!K63,IF(Drawing!$Y$48=1,Drawing!AD63,"")))))))</f>
        <v/>
      </c>
      <c r="U13" s="359" t="str">
        <f>UPPER(IF(Drawing!$F$2=1,Drawing!L18,IF(Drawing!$Y$2=1,Drawing!AE18,IF(Drawing!$F$25=1,Drawing!L40,IF(Drawing!$Y$25=1,Drawing!AE41,IF(Drawing!$F$48=1,Drawing!L63,IF(Drawing!$Y$48=1,Drawing!AE63,"")))))))</f>
        <v/>
      </c>
      <c r="V13" s="359" t="str">
        <f>UPPER(IF(Drawing!$F$2=1,Drawing!M18,IF(Drawing!$Y$2=1,Drawing!AF18,IF(Drawing!$F$25=1,Drawing!M40,IF(Drawing!$Y$25=1,Drawing!AF41,IF(Drawing!$F$48=1,Drawing!M63,IF(Drawing!$Y$48=1,Drawing!AF63,"")))))))</f>
        <v/>
      </c>
      <c r="W13" s="359" t="str">
        <f>UPPER(IF(Drawing!$F$2=1,Drawing!N18,IF(Drawing!$Y$2=1,Drawing!AG18,IF(Drawing!$F$25=1,Drawing!N40,IF(Drawing!$Y$25=1,Drawing!AG41,IF(Drawing!$F$48=1,Drawing!N63,IF(Drawing!$Y$48=1,Drawing!AG63,"")))))))</f>
        <v/>
      </c>
      <c r="X13" s="359" t="str">
        <f>UPPER(IF(Drawing!$F$2=1,Drawing!O18,IF(Drawing!$Y$2=1,Drawing!AH18,IF(Drawing!$F$25=1,Drawing!O40,IF(Drawing!$Y$25=1,Drawing!AH41,IF(Drawing!$F$48=1,Drawing!O63,IF(Drawing!$Y$48=1,Drawing!AH63,"")))))))</f>
        <v/>
      </c>
      <c r="Y13" s="359" t="str">
        <f>UPPER(IF(Drawing!$F$2=1,Drawing!P18,IF(Drawing!$Y$2=1,Drawing!AI18,IF(Drawing!$F$25=1,Drawing!P40,IF(Drawing!$Y$25=1,Drawing!AI41,IF(Drawing!$F$48=1,Drawing!P63,IF(Drawing!$Y$48=1,Drawing!AI63,"")))))))</f>
        <v/>
      </c>
      <c r="Z13" s="359" t="str">
        <f>UPPER(IF(Drawing!$F$2=1,Drawing!Q18,IF(Drawing!$Y$2=1,Drawing!AJ18,IF(Drawing!$F$25=1,Drawing!Q40,IF(Drawing!$Y$25=1,Drawing!AJ41,IF(Drawing!$F$48=1,Drawing!Q63,IF(Drawing!$Y$48=1,Drawing!AJ63,"")))))))</f>
        <v/>
      </c>
      <c r="AA13" s="359" t="str">
        <f>UPPER(IF(Drawing!$F$2=1,Drawing!R18,IF(Drawing!$Y$2=1,Drawing!AK18,IF(Drawing!$F$25=1,Drawing!R40,IF(Drawing!$Y$25=1,Drawing!AK41,IF(Drawing!$F$48=1,Drawing!R63,IF(Drawing!$Y$48=1,Drawing!AK63,"")))))))</f>
        <v/>
      </c>
      <c r="AB13" s="359" t="str">
        <f>UPPER(IF(Drawing!$F$2=1,Drawing!S18,IF(Drawing!$Y$2=1,Drawing!AL18,IF(Drawing!$F$25=1,Drawing!S40,IF(Drawing!$Y$25=1,Drawing!AL41,IF(Drawing!$F$48=1,Drawing!S63,IF(Drawing!$Y$48=1,Drawing!AL63,"")))))))</f>
        <v/>
      </c>
      <c r="AC13" s="12" t="s">
        <v>19</v>
      </c>
      <c r="AD13" s="359" t="s">
        <v>166</v>
      </c>
      <c r="AE13" s="1050">
        <f>IF(ISERROR(M12*N12/1000000),,M12*N12/1000000)</f>
        <v>0</v>
      </c>
    </row>
    <row r="14" spans="1:36" ht="15.75" thickBot="1" x14ac:dyDescent="0.25">
      <c r="B14" s="479"/>
      <c r="C14" s="13" t="str">
        <f>IF(Pricing!C10="","",Pricing!C10)</f>
        <v/>
      </c>
      <c r="D14" s="1045"/>
      <c r="E14" s="1047"/>
      <c r="F14" s="223" t="s">
        <v>28</v>
      </c>
      <c r="G14" s="25" t="str">
        <f>IF(Pricing!G10="","",Pricing!G10)</f>
        <v/>
      </c>
      <c r="H14" s="1012"/>
      <c r="I14" s="988"/>
      <c r="J14" s="1015"/>
      <c r="K14" s="1012"/>
      <c r="L14" s="989"/>
      <c r="M14" s="1012"/>
      <c r="N14" s="1012"/>
      <c r="O14" s="1056"/>
      <c r="P14" s="989"/>
      <c r="Q14" s="26" t="s">
        <v>167</v>
      </c>
      <c r="R14" s="26" t="s">
        <v>168</v>
      </c>
      <c r="S14" s="565" t="str">
        <f>IF(Pricing!Q10="","",IF(AND(K12="Silent",N12&gt;1372,O12="",P12=""),"Midrail or Split Tilt Required",Pricing!Q10))</f>
        <v/>
      </c>
      <c r="T14" s="566"/>
      <c r="U14" s="566"/>
      <c r="V14" s="566"/>
      <c r="W14" s="566"/>
      <c r="X14" s="566"/>
      <c r="Y14" s="566"/>
      <c r="Z14" s="566"/>
      <c r="AA14" s="566"/>
      <c r="AB14" s="566"/>
      <c r="AC14" s="564"/>
      <c r="AD14" s="211"/>
      <c r="AE14" s="1051"/>
    </row>
    <row r="15" spans="1:36" x14ac:dyDescent="0.2">
      <c r="B15" s="479">
        <v>2</v>
      </c>
      <c r="C15" s="159" t="str">
        <f>IF(Pricing!C11="","",Pricing!C11)</f>
        <v/>
      </c>
      <c r="D15" s="1043" t="str">
        <f>IF(Pricing!D11="","",Pricing!D11)</f>
        <v/>
      </c>
      <c r="E15" s="1046" t="str">
        <f>IF(Pricing!E11="","",Pricing!E11)</f>
        <v/>
      </c>
      <c r="F15" s="1052" t="str">
        <f>IF(Pricing!F11="","",Pricing!F11)</f>
        <v/>
      </c>
      <c r="G15" s="1053"/>
      <c r="H15" s="1011" t="str">
        <f>IF(Pricing!H11="","",Pricing!H11)</f>
        <v/>
      </c>
      <c r="I15" s="987" t="str">
        <f>IF(Pricing!I11="","",Pricing!I11)</f>
        <v/>
      </c>
      <c r="J15" s="24">
        <v>0</v>
      </c>
      <c r="K15" s="1011"/>
      <c r="L15" s="988" t="str">
        <f>IF(Pricing!J11="","",Pricing!J11)</f>
        <v/>
      </c>
      <c r="M15" s="1011" t="str">
        <f>UPPER(IF(Drawing!$F$2=2,Drawing!D17,IF(Drawing!$Y$2=2,Drawing!W17,IF(Drawing!$F$25=2,Drawing!D40,IF(Drawing!$Y$25=2,Drawing!W40,IF(Drawing!$F$48=2,Drawing!D63,IF(Drawing!$Y$48=2,Drawing!W63,"")))))))</f>
        <v/>
      </c>
      <c r="N15" s="1011" t="str">
        <f>UPPER(IF(Drawing!$F$2=2,Drawing!D19,IF(Drawing!$Y$2=2,Drawing!W19,IF(Drawing!$F$25=2,Drawing!D42,IF(Drawing!$Y$25=2,Drawing!W42,IF(Drawing!$F$48=2,Drawing!D65,IF(Drawing!$Y$48=2,Drawing!W65,"")))))))</f>
        <v/>
      </c>
      <c r="O15" s="1054" t="str">
        <f>UPPER(IF(Drawing!$F$2=2,Drawing!D21,IF(Drawing!$Y$2=2,Drawing!W21,IF(Drawing!$F$25=2,Drawing!D44,IF(Drawing!$Y$25=2,Drawing!W44,IF(Drawing!$F$48=2,Drawing!D67,IF(Drawing!$Y$48=2,Drawing!W67,"")))))))</f>
        <v/>
      </c>
      <c r="P15" s="987"/>
      <c r="Q15" s="1057"/>
      <c r="R15" s="222" t="s">
        <v>164</v>
      </c>
      <c r="S15" s="190" t="str">
        <f>UPPER(IF(Drawing!$F$2=2,Drawing!AW5,IF(Drawing!$Y$2=2,Drawing!AC17,IF(Drawing!$F$25=2,Drawing!J40,IF(Drawing!$Y$25=2,Drawing!AC40,IF(Drawing!$F$48=2,Drawing!J63,IF(Drawing!$Y$48=2,Drawing!AC63,IF(Pricing!Q11="","",Pricing!Q11))))))))</f>
        <v/>
      </c>
      <c r="T15" s="190" t="str">
        <f>UPPER(IF(Drawing!$F$2=2,Drawing!AX5,IF(Drawing!$Y$2=2,Drawing!AD17,IF(Drawing!$F$25=2,Drawing!K40,IF(Drawing!$Y$25=2,Drawing!AD40,IF(Drawing!$F$48=2,Drawing!K63,IF(Drawing!$Y$48=2,Drawing!AD63,IF(Pricing!R11="","",Pricing!R11))))))))</f>
        <v/>
      </c>
      <c r="U15" s="190" t="str">
        <f>UPPER(IF(Drawing!$F$2=2,Drawing!AY5,IF(Drawing!$Y$2=2,Drawing!AE17,IF(Drawing!$F$25=2,Drawing!L40,IF(Drawing!$Y$25=2,Drawing!AE40,IF(Drawing!$F$48=2,Drawing!L63,IF(Drawing!$Y$48=2,Drawing!AE63,IF(Pricing!S11="","",Pricing!S11))))))))</f>
        <v/>
      </c>
      <c r="V15" s="190" t="str">
        <f>UPPER(IF(Drawing!$F$2=2,Drawing!AZ5,IF(Drawing!$Y$2=2,Drawing!AF17,IF(Drawing!$F$25=2,Drawing!M40,IF(Drawing!$Y$25=2,Drawing!AF40,IF(Drawing!$F$48=2,Drawing!M63,IF(Drawing!$Y$48=2,Drawing!AF63,IF(Pricing!T11="","",Pricing!T11))))))))</f>
        <v/>
      </c>
      <c r="W15" s="190" t="str">
        <f>UPPER(IF(Drawing!$F$2=2,Drawing!BA5,IF(Drawing!$Y$2=2,Drawing!AG17,IF(Drawing!$F$25=2,Drawing!N40,IF(Drawing!$Y$25=2,Drawing!AG40,IF(Drawing!$F$48=2,Drawing!N63,IF(Drawing!$Y$48=2,Drawing!AG63,IF(Pricing!U11="","",Pricing!U11))))))))</f>
        <v/>
      </c>
      <c r="X15" s="190" t="str">
        <f>UPPER(IF(Drawing!$F$2=2,Drawing!BB5,IF(Drawing!$Y$2=2,Drawing!AH17,IF(Drawing!$F$25=2,Drawing!O40,IF(Drawing!$Y$25=2,Drawing!AH40,IF(Drawing!$F$48=2,Drawing!O63,IF(Drawing!$Y$48=2,Drawing!AH63,IF(Pricing!V11="","",Pricing!V11))))))))</f>
        <v/>
      </c>
      <c r="Y15" s="190" t="str">
        <f>UPPER(IF(Drawing!$F$2=2,Drawing!BC5,IF(Drawing!$Y$2=2,Drawing!AI17,IF(Drawing!$F$25=2,Drawing!P40,IF(Drawing!$Y$25=2,Drawing!AI40,IF(Drawing!$F$48=2,Drawing!P63,IF(Drawing!$Y$48=2,Drawing!AI63,IF(Pricing!W11="","",Pricing!W11))))))))</f>
        <v/>
      </c>
      <c r="Z15" s="190" t="str">
        <f>UPPER(IF(Drawing!$F$2=2,Drawing!BD5,IF(Drawing!$Y$2=2,Drawing!AJ17,IF(Drawing!$F$25=2,Drawing!Q40,IF(Drawing!$Y$25=2,Drawing!AJ40,IF(Drawing!$F$48=2,Drawing!Q63,IF(Drawing!$Y$48=2,Drawing!AJ63,IF(Pricing!X11="","",Pricing!X11))))))))</f>
        <v/>
      </c>
      <c r="AA15" s="190" t="str">
        <f>UPPER(IF(Drawing!$F$2=2,Drawing!BE5,IF(Drawing!$Y$2=2,Drawing!AK17,IF(Drawing!$F$25=2,Drawing!R40,IF(Drawing!$Y$25=2,Drawing!AK40,IF(Drawing!$F$48=2,Drawing!R63,IF(Drawing!$Y$48=2,Drawing!AK63,IF(Pricing!Y11="","",Pricing!Y11))))))))</f>
        <v/>
      </c>
      <c r="AB15" s="190" t="str">
        <f>UPPER(IF(Drawing!$F$2=2,Drawing!BF5,IF(Drawing!$Y$2=2,Drawing!AL17,IF(Drawing!$F$25=2,Drawing!S40,IF(Drawing!$Y$25=2,Drawing!AL40,IF(Drawing!$F$48=2,Drawing!S63,IF(Drawing!$Y$48=2,Drawing!AL63,IF(Pricing!Z11="","",Pricing!Z11))))))))</f>
        <v/>
      </c>
      <c r="AC15" s="190" t="str">
        <f>UPPER(IF(Drawing!$F$2=2,Drawing!BG5,IF(Drawing!$Y$2=2,Drawing!AM17,IF(Drawing!$F$25=2,Drawing!T40,IF(Drawing!$Y$25=2,Drawing!AM40,IF(Drawing!$F$48=2,Drawing!T63,IF(Drawing!$Y$48=2,Drawing!AM63,IF(Pricing!AA11="","",Pricing!AA11))))))))</f>
        <v/>
      </c>
      <c r="AD15" s="224" t="str">
        <f>IF(Pricing!AD11="Quote","Q","")</f>
        <v/>
      </c>
      <c r="AE15" s="11" t="s">
        <v>21</v>
      </c>
      <c r="AF15" s="16">
        <f>COUNTIF(S15:AC15,"(T)")</f>
        <v>0</v>
      </c>
      <c r="AG15" s="16" t="b">
        <f>OR(COUNTIF(S15:AC15,"*(B)*"),COUNTIF(S15:AC15,"*(CB)*"))</f>
        <v>0</v>
      </c>
    </row>
    <row r="16" spans="1:36" x14ac:dyDescent="0.2">
      <c r="B16" s="479"/>
      <c r="C16" s="10" t="str">
        <f>IF(Pricing!C12="","",Pricing!C12)</f>
        <v/>
      </c>
      <c r="D16" s="1044"/>
      <c r="E16" s="1014"/>
      <c r="F16" s="528" t="str">
        <f>IF(Pricing!F12="","",Pricing!F12)</f>
        <v/>
      </c>
      <c r="G16" s="527"/>
      <c r="H16" s="1011"/>
      <c r="I16" s="988"/>
      <c r="J16" s="1014"/>
      <c r="K16" s="1011"/>
      <c r="L16" s="988"/>
      <c r="M16" s="1011"/>
      <c r="N16" s="1011"/>
      <c r="O16" s="1055"/>
      <c r="P16" s="988"/>
      <c r="Q16" s="1014"/>
      <c r="R16" s="222" t="s">
        <v>165</v>
      </c>
      <c r="S16" s="359" t="str">
        <f>UPPER(IF(Drawing!$F$2=2,Drawing!J18,IF(Drawing!$Y$2=2,Drawing!AC18,IF(Drawing!$F$25=2,Drawing!J41,IF(Drawing!$Y$25=2,Drawing!AC41,IF(Drawing!$F$48=2,Drawing!J64,IF(Drawing!$Y$48=2,Drawing!AC64,"")))))))</f>
        <v/>
      </c>
      <c r="T16" s="359" t="str">
        <f>UPPER(IF(Drawing!$F$2=2,Drawing!K18,IF(Drawing!$Y$2=2,Drawing!AD18,IF(Drawing!$F$25=2,Drawing!K41,IF(Drawing!$Y$25=2,Drawing!AD41,IF(Drawing!$F$48=2,Drawing!K64,IF(Drawing!$Y$48=2,Drawing!AD64,"")))))))</f>
        <v/>
      </c>
      <c r="U16" s="359" t="str">
        <f>UPPER(IF(Drawing!$F$2=2,Drawing!L18,IF(Drawing!$Y$2=2,Drawing!AE18,IF(Drawing!$F$25=2,Drawing!L41,IF(Drawing!$Y$25=2,Drawing!AE41,IF(Drawing!$F$48=2,Drawing!L64,IF(Drawing!$Y$48=2,Drawing!AE64,"")))))))</f>
        <v/>
      </c>
      <c r="V16" s="359" t="str">
        <f>UPPER(IF(Drawing!$F$2=2,Drawing!M18,IF(Drawing!$Y$2=2,Drawing!AF18,IF(Drawing!$F$25=2,Drawing!M41,IF(Drawing!$Y$25=2,Drawing!AF41,IF(Drawing!$F$48=2,Drawing!M64,IF(Drawing!$Y$48=2,Drawing!AF64,"")))))))</f>
        <v/>
      </c>
      <c r="W16" s="359" t="str">
        <f>UPPER(IF(Drawing!$F$2=2,Drawing!N18,IF(Drawing!$Y$2=2,Drawing!AG18,IF(Drawing!$F$25=2,Drawing!N41,IF(Drawing!$Y$25=2,Drawing!AG41,IF(Drawing!$F$48=2,Drawing!N64,IF(Drawing!$Y$48=2,Drawing!AG64,"")))))))</f>
        <v/>
      </c>
      <c r="X16" s="359" t="str">
        <f>UPPER(IF(Drawing!$F$2=2,Drawing!O18,IF(Drawing!$Y$2=2,Drawing!AH18,IF(Drawing!$F$25=2,Drawing!O41,IF(Drawing!$Y$25=2,Drawing!AH41,IF(Drawing!$F$48=2,Drawing!O64,IF(Drawing!$Y$48=2,Drawing!AH64,"")))))))</f>
        <v/>
      </c>
      <c r="Y16" s="359" t="str">
        <f>UPPER(IF(Drawing!$F$2=2,Drawing!P18,IF(Drawing!$Y$2=2,Drawing!AI18,IF(Drawing!$F$25=2,Drawing!P41,IF(Drawing!$Y$25=2,Drawing!AI41,IF(Drawing!$F$48=2,Drawing!P64,IF(Drawing!$Y$48=2,Drawing!AI64,"")))))))</f>
        <v/>
      </c>
      <c r="Z16" s="359" t="str">
        <f>UPPER(IF(Drawing!$F$2=2,Drawing!Q18,IF(Drawing!$Y$2=2,Drawing!AJ18,IF(Drawing!$F$25=2,Drawing!Q41,IF(Drawing!$Y$25=2,Drawing!AJ41,IF(Drawing!$F$48=2,Drawing!Q64,IF(Drawing!$Y$48=2,Drawing!AJ64,"")))))))</f>
        <v/>
      </c>
      <c r="AA16" s="359" t="str">
        <f>UPPER(IF(Drawing!$F$2=2,Drawing!R18,IF(Drawing!$Y$2=2,Drawing!AK18,IF(Drawing!$F$25=2,Drawing!R41,IF(Drawing!$Y$25=2,Drawing!AK41,IF(Drawing!$F$48=2,Drawing!R64,IF(Drawing!$Y$48=2,Drawing!AK64,"")))))))</f>
        <v/>
      </c>
      <c r="AB16" s="359" t="str">
        <f>UPPER(IF(Drawing!$F$2=2,Drawing!S18,IF(Drawing!$Y$2=2,Drawing!AL18,IF(Drawing!$F$25=2,Drawing!S41,IF(Drawing!$Y$25=2,Drawing!AL41,IF(Drawing!$F$48=2,Drawing!S64,IF(Drawing!$Y$48=2,Drawing!AL64,"")))))))</f>
        <v/>
      </c>
      <c r="AC16" s="12" t="s">
        <v>19</v>
      </c>
      <c r="AD16" s="359" t="s">
        <v>166</v>
      </c>
      <c r="AE16" s="1050">
        <f>IF(ISERROR(M15*N15/1000000),,M15*N15/1000000)</f>
        <v>0</v>
      </c>
    </row>
    <row r="17" spans="2:33" ht="15.75" thickBot="1" x14ac:dyDescent="0.25">
      <c r="B17" s="479"/>
      <c r="C17" s="193" t="str">
        <f>IF(Pricing!C13="","",Pricing!C13)</f>
        <v/>
      </c>
      <c r="D17" s="1045"/>
      <c r="E17" s="1047"/>
      <c r="F17" s="13" t="s">
        <v>28</v>
      </c>
      <c r="G17" s="13" t="str">
        <f>IF(Pricing!G13="","",Pricing!G13)</f>
        <v/>
      </c>
      <c r="H17" s="1012"/>
      <c r="I17" s="989"/>
      <c r="J17" s="1015"/>
      <c r="K17" s="1012"/>
      <c r="L17" s="989"/>
      <c r="M17" s="1012"/>
      <c r="N17" s="1012"/>
      <c r="O17" s="1056"/>
      <c r="P17" s="989"/>
      <c r="Q17" s="26" t="s">
        <v>167</v>
      </c>
      <c r="R17" s="26" t="s">
        <v>168</v>
      </c>
      <c r="S17" s="565" t="str">
        <f>IF(Pricing!Q13="","",Pricing!Q13)</f>
        <v/>
      </c>
      <c r="T17" s="566"/>
      <c r="U17" s="566"/>
      <c r="V17" s="566"/>
      <c r="W17" s="566"/>
      <c r="X17" s="566"/>
      <c r="Y17" s="566"/>
      <c r="Z17" s="566"/>
      <c r="AA17" s="566"/>
      <c r="AB17" s="566"/>
      <c r="AC17" s="564"/>
      <c r="AD17" s="211"/>
      <c r="AE17" s="1051"/>
    </row>
    <row r="18" spans="2:33" x14ac:dyDescent="0.2">
      <c r="B18" s="479">
        <v>3</v>
      </c>
      <c r="C18" s="159" t="str">
        <f>IF(Pricing!C14="","",Pricing!C14)</f>
        <v/>
      </c>
      <c r="D18" s="1043" t="str">
        <f>IF(Pricing!D14="","",Pricing!D14)</f>
        <v/>
      </c>
      <c r="E18" s="1046" t="str">
        <f>IF(Pricing!E14="","",Pricing!E14)</f>
        <v/>
      </c>
      <c r="F18" s="1048" t="str">
        <f>IF(Pricing!F14="","",Pricing!F14)</f>
        <v/>
      </c>
      <c r="G18" s="1048"/>
      <c r="H18" s="1011" t="str">
        <f>IF(Pricing!H14="","",Pricing!H14)</f>
        <v/>
      </c>
      <c r="I18" s="987" t="str">
        <f>IF(Pricing!I14="","",Pricing!I14)</f>
        <v/>
      </c>
      <c r="J18" s="24">
        <v>0</v>
      </c>
      <c r="K18" s="1011"/>
      <c r="L18" s="988" t="str">
        <f>IF(Pricing!J14="","",Pricing!J14)</f>
        <v/>
      </c>
      <c r="M18" s="1011" t="str">
        <f>UPPER(IF(Drawing!$F$2=3,Drawing!D17,IF(Drawing!$Y$2=3,Drawing!W17,IF(Drawing!$F$25=3,Drawing!D40,IF(Drawing!$Y$25=3,Drawing!W40,IF(Drawing!$F$48=3,Drawing!D63,IF(Drawing!$Y$48=3,Drawing!W63,"")))))))</f>
        <v/>
      </c>
      <c r="N18" s="1011" t="str">
        <f>UPPER(IF(Drawing!$F$2=3,Drawing!D19,IF(Drawing!$Y$2=3,Drawing!W19,IF(Drawing!$F$25=3,Drawing!D42,IF(Drawing!$Y$25=3,Drawing!W42,IF(Drawing!$F$48=3,Drawing!D65,IF(Drawing!$Y$48=3,Drawing!W65,"")))))))</f>
        <v/>
      </c>
      <c r="O18" s="1054" t="str">
        <f>UPPER(IF(Drawing!$F$2=3,Drawing!D21,IF(Drawing!$Y$2=3,Drawing!W21,IF(Drawing!$F$25=3,Drawing!D44,IF(Drawing!$Y$25=3,Drawing!W44,IF(Drawing!$F$48=3,Drawing!D67,IF(Drawing!$Y$48=3,Drawing!W67,"")))))))</f>
        <v/>
      </c>
      <c r="P18" s="987"/>
      <c r="Q18" s="1057"/>
      <c r="R18" s="222" t="s">
        <v>164</v>
      </c>
      <c r="S18" s="191" t="str">
        <f>UPPER(IF(Drawing!$F$2=3,Drawing!AW5,IF(Drawing!$Y$2=3,Drawing!AC17,IF(Drawing!$F$25=3,Drawing!J40,IF(Drawing!$Y$25=3,Drawing!AC40,IF(Drawing!$F$48=3,Drawing!J63,IF(Drawing!$Y$48=3,Drawing!AC63,IF(Pricing!Q14="","",Pricing!Q14))))))))</f>
        <v/>
      </c>
      <c r="T18" s="191" t="str">
        <f>UPPER(IF(Drawing!$F$2=3,Drawing!AX5,IF(Drawing!$Y$2=3,Drawing!AD17,IF(Drawing!$F$25=3,Drawing!K40,IF(Drawing!$Y$25=3,Drawing!AD40,IF(Drawing!$F$48=3,Drawing!K63,IF(Drawing!$Y$48=3,Drawing!AD63,IF(Pricing!R14="","",Pricing!R14))))))))</f>
        <v/>
      </c>
      <c r="U18" s="191" t="str">
        <f>UPPER(IF(Drawing!$F$2=3,Drawing!AY5,IF(Drawing!$Y$2=3,Drawing!AE17,IF(Drawing!$F$25=3,Drawing!L40,IF(Drawing!$Y$25=3,Drawing!AE40,IF(Drawing!$F$48=3,Drawing!L63,IF(Drawing!$Y$48=3,Drawing!AE63,IF(Pricing!S14="","",Pricing!S14))))))))</f>
        <v/>
      </c>
      <c r="V18" s="191" t="str">
        <f>UPPER(IF(Drawing!$F$2=3,Drawing!AZ5,IF(Drawing!$Y$2=3,Drawing!AF17,IF(Drawing!$F$25=3,Drawing!M40,IF(Drawing!$Y$25=3,Drawing!AF40,IF(Drawing!$F$48=3,Drawing!M63,IF(Drawing!$Y$48=3,Drawing!AF63,IF(Pricing!T14="","",Pricing!T14))))))))</f>
        <v/>
      </c>
      <c r="W18" s="191" t="str">
        <f>UPPER(IF(Drawing!$F$2=3,Drawing!BA5,IF(Drawing!$Y$2=3,Drawing!AG17,IF(Drawing!$F$25=3,Drawing!N40,IF(Drawing!$Y$25=3,Drawing!AG40,IF(Drawing!$F$48=3,Drawing!N63,IF(Drawing!$Y$48=3,Drawing!AG63,IF(Pricing!U14="","",Pricing!U14))))))))</f>
        <v/>
      </c>
      <c r="X18" s="191" t="str">
        <f>UPPER(IF(Drawing!$F$2=3,Drawing!BB5,IF(Drawing!$Y$2=3,Drawing!AH17,IF(Drawing!$F$25=3,Drawing!O40,IF(Drawing!$Y$25=3,Drawing!AH40,IF(Drawing!$F$48=3,Drawing!O63,IF(Drawing!$Y$48=3,Drawing!AH63,IF(Pricing!V14="","",Pricing!V14))))))))</f>
        <v/>
      </c>
      <c r="Y18" s="191" t="str">
        <f>UPPER(IF(Drawing!$F$2=3,Drawing!BC5,IF(Drawing!$Y$2=3,Drawing!AI17,IF(Drawing!$F$25=3,Drawing!P40,IF(Drawing!$Y$25=3,Drawing!AI40,IF(Drawing!$F$48=3,Drawing!P63,IF(Drawing!$Y$48=3,Drawing!AI63,IF(Pricing!W14="","",Pricing!W14))))))))</f>
        <v/>
      </c>
      <c r="Z18" s="191" t="str">
        <f>UPPER(IF(Drawing!$F$2=3,Drawing!BD5,IF(Drawing!$Y$2=3,Drawing!AJ17,IF(Drawing!$F$25=3,Drawing!Q40,IF(Drawing!$Y$25=3,Drawing!AJ40,IF(Drawing!$F$48=3,Drawing!Q63,IF(Drawing!$Y$48=3,Drawing!AJ63,IF(Pricing!X14="","",Pricing!X14))))))))</f>
        <v/>
      </c>
      <c r="AA18" s="191" t="str">
        <f>UPPER(IF(Drawing!$F$2=3,Drawing!BE5,IF(Drawing!$Y$2=3,Drawing!AK17,IF(Drawing!$F$25=3,Drawing!R40,IF(Drawing!$Y$25=3,Drawing!AK40,IF(Drawing!$F$48=3,Drawing!R63,IF(Drawing!$Y$48=3,Drawing!AK63,IF(Pricing!Y14="","",Pricing!Y14))))))))</f>
        <v/>
      </c>
      <c r="AB18" s="191" t="str">
        <f>UPPER(IF(Drawing!$F$2=3,Drawing!BF5,IF(Drawing!$Y$2=3,Drawing!AL17,IF(Drawing!$F$25=3,Drawing!S40,IF(Drawing!$Y$25=3,Drawing!AL40,IF(Drawing!$F$48=3,Drawing!S63,IF(Drawing!$Y$48=3,Drawing!AL63,IF(Pricing!Z14="","",Pricing!Z14))))))))</f>
        <v/>
      </c>
      <c r="AC18" s="191" t="str">
        <f>UPPER(IF(Drawing!$F$2=3,Drawing!BG5,IF(Drawing!$Y$2=3,Drawing!AM17,IF(Drawing!$F$25=3,Drawing!T40,IF(Drawing!$Y$25=3,Drawing!AM40,IF(Drawing!$F$48=3,Drawing!T63,IF(Drawing!$Y$48=3,Drawing!AM63,IF(Pricing!AA14="","",Pricing!AA14))))))))</f>
        <v/>
      </c>
      <c r="AD18" s="224" t="str">
        <f>IF(Pricing!AD14="Quote","Q","")</f>
        <v/>
      </c>
      <c r="AE18" s="11" t="s">
        <v>21</v>
      </c>
      <c r="AF18" s="16">
        <f>COUNTIF(S18:AC18,"(T)")</f>
        <v>0</v>
      </c>
      <c r="AG18" s="16" t="b">
        <f>OR(COUNTIF(S18:AC18,"*(B)*"),COUNTIF(S18:AC18,"*(CB)*"))</f>
        <v>0</v>
      </c>
    </row>
    <row r="19" spans="2:33" x14ac:dyDescent="0.2">
      <c r="B19" s="479"/>
      <c r="C19" s="10" t="str">
        <f>IF(Pricing!C15="","",Pricing!C15)</f>
        <v/>
      </c>
      <c r="D19" s="1044"/>
      <c r="E19" s="1014"/>
      <c r="F19" s="528" t="str">
        <f>IF(Pricing!F15="","",Pricing!F15)</f>
        <v/>
      </c>
      <c r="G19" s="527"/>
      <c r="H19" s="1011"/>
      <c r="I19" s="988"/>
      <c r="J19" s="1014"/>
      <c r="K19" s="1011"/>
      <c r="L19" s="988"/>
      <c r="M19" s="1011"/>
      <c r="N19" s="1011"/>
      <c r="O19" s="1055"/>
      <c r="P19" s="988"/>
      <c r="Q19" s="1014"/>
      <c r="R19" s="222" t="s">
        <v>165</v>
      </c>
      <c r="S19" s="359" t="str">
        <f>UPPER(IF(Drawing!$F$2=3,Drawing!J18,IF(Drawing!$Y$2=3,Drawing!AC18,IF(Drawing!$F$25=3,Drawing!J41,IF(Drawing!$Y$25=3,Drawing!AC41,IF(Drawing!$F$48=3,Drawing!J64,IF(Drawing!$Y$48=3,Drawing!AC64,"")))))))</f>
        <v/>
      </c>
      <c r="T19" s="359" t="str">
        <f>UPPER(IF(Drawing!$F$2=3,Drawing!K18,IF(Drawing!$Y$2=3,Drawing!AD18,IF(Drawing!$F$25=3,Drawing!K41,IF(Drawing!$Y$25=3,Drawing!AD41,IF(Drawing!$F$48=3,Drawing!K64,IF(Drawing!$Y$48=3,Drawing!AD64,"")))))))</f>
        <v/>
      </c>
      <c r="U19" s="359" t="str">
        <f>UPPER(IF(Drawing!$F$2=3,Drawing!L18,IF(Drawing!$Y$2=3,Drawing!AE18,IF(Drawing!$F$25=3,Drawing!L41,IF(Drawing!$Y$25=3,Drawing!AE41,IF(Drawing!$F$48=3,Drawing!L64,IF(Drawing!$Y$48=3,Drawing!AE64,"")))))))</f>
        <v/>
      </c>
      <c r="V19" s="359" t="str">
        <f>UPPER(IF(Drawing!$F$2=3,Drawing!M18,IF(Drawing!$Y$2=3,Drawing!AF18,IF(Drawing!$F$25=3,Drawing!M41,IF(Drawing!$Y$25=3,Drawing!AF41,IF(Drawing!$F$48=3,Drawing!M64,IF(Drawing!$Y$48=3,Drawing!AF64,"")))))))</f>
        <v/>
      </c>
      <c r="W19" s="359" t="str">
        <f>UPPER(IF(Drawing!$F$2=3,Drawing!N18,IF(Drawing!$Y$2=3,Drawing!AG18,IF(Drawing!$F$25=3,Drawing!N41,IF(Drawing!$Y$25=3,Drawing!AG41,IF(Drawing!$F$48=3,Drawing!N64,IF(Drawing!$Y$48=3,Drawing!AG64,"")))))))</f>
        <v/>
      </c>
      <c r="X19" s="359" t="str">
        <f>UPPER(IF(Drawing!$F$2=3,Drawing!O18,IF(Drawing!$Y$2=3,Drawing!AH18,IF(Drawing!$F$25=3,Drawing!O41,IF(Drawing!$Y$25=3,Drawing!AH41,IF(Drawing!$F$48=3,Drawing!O64,IF(Drawing!$Y$48=3,Drawing!AH64,"")))))))</f>
        <v/>
      </c>
      <c r="Y19" s="359" t="str">
        <f>UPPER(IF(Drawing!$F$2=3,Drawing!P18,IF(Drawing!$Y$2=3,Drawing!AI18,IF(Drawing!$F$25=3,Drawing!P41,IF(Drawing!$Y$25=3,Drawing!AI41,IF(Drawing!$F$48=3,Drawing!P64,IF(Drawing!$Y$48=3,Drawing!AI64,"")))))))</f>
        <v/>
      </c>
      <c r="Z19" s="359" t="str">
        <f>UPPER(IF(Drawing!$F$2=3,Drawing!Q18,IF(Drawing!$Y$2=3,Drawing!AJ18,IF(Drawing!$F$25=3,Drawing!Q41,IF(Drawing!$Y$25=3,Drawing!AJ41,IF(Drawing!$F$48=3,Drawing!Q64,IF(Drawing!$Y$48=3,Drawing!AJ64,"")))))))</f>
        <v/>
      </c>
      <c r="AA19" s="359" t="str">
        <f>UPPER(IF(Drawing!$F$2=3,Drawing!R18,IF(Drawing!$Y$2=3,Drawing!AK18,IF(Drawing!$F$25=3,Drawing!R41,IF(Drawing!$Y$25=3,Drawing!AK41,IF(Drawing!$F$48=3,Drawing!R64,IF(Drawing!$Y$48=3,Drawing!AK64,"")))))))</f>
        <v/>
      </c>
      <c r="AB19" s="359" t="str">
        <f>UPPER(IF(Drawing!$F$2=3,Drawing!S18,IF(Drawing!$Y$2=3,Drawing!AL18,IF(Drawing!$F$25=3,Drawing!S41,IF(Drawing!$Y$25=3,Drawing!AL41,IF(Drawing!$F$48=3,Drawing!S64,IF(Drawing!$Y$48=3,Drawing!AL64,"")))))))</f>
        <v/>
      </c>
      <c r="AC19" s="12" t="s">
        <v>19</v>
      </c>
      <c r="AD19" s="359" t="s">
        <v>166</v>
      </c>
      <c r="AE19" s="1050">
        <f>IF(ISERROR(M18*N18/1000000),,M18*N18/1000000)</f>
        <v>0</v>
      </c>
    </row>
    <row r="20" spans="2:33" ht="15.75" thickBot="1" x14ac:dyDescent="0.25">
      <c r="B20" s="479"/>
      <c r="C20" s="192" t="str">
        <f>IF(Pricing!C16="","",Pricing!C16)</f>
        <v/>
      </c>
      <c r="D20" s="1045"/>
      <c r="E20" s="1015"/>
      <c r="F20" s="194" t="s">
        <v>28</v>
      </c>
      <c r="G20" s="194" t="str">
        <f>IF(Pricing!G16="","",Pricing!G16)</f>
        <v/>
      </c>
      <c r="H20" s="1012"/>
      <c r="I20" s="989"/>
      <c r="J20" s="1015"/>
      <c r="K20" s="1012"/>
      <c r="L20" s="989"/>
      <c r="M20" s="1012"/>
      <c r="N20" s="1012"/>
      <c r="O20" s="1056"/>
      <c r="P20" s="989"/>
      <c r="Q20" s="26" t="s">
        <v>167</v>
      </c>
      <c r="R20" s="26" t="s">
        <v>168</v>
      </c>
      <c r="S20" s="565" t="str">
        <f>IF(Pricing!Q16="","",Pricing!Q16)</f>
        <v/>
      </c>
      <c r="T20" s="566"/>
      <c r="U20" s="566"/>
      <c r="V20" s="566"/>
      <c r="W20" s="566"/>
      <c r="X20" s="566"/>
      <c r="Y20" s="566"/>
      <c r="Z20" s="566"/>
      <c r="AA20" s="566"/>
      <c r="AB20" s="566"/>
      <c r="AC20" s="564"/>
      <c r="AD20" s="211"/>
      <c r="AE20" s="1051"/>
    </row>
    <row r="21" spans="2:33" x14ac:dyDescent="0.2">
      <c r="B21" s="479">
        <v>4</v>
      </c>
      <c r="C21" s="159" t="str">
        <f>IF(Pricing!C17="","",Pricing!C17)</f>
        <v/>
      </c>
      <c r="D21" s="1043" t="str">
        <f>IF(Pricing!D17="","",Pricing!D17)</f>
        <v/>
      </c>
      <c r="E21" s="1046" t="str">
        <f>IF(Pricing!E17="","",Pricing!E17)</f>
        <v/>
      </c>
      <c r="F21" s="1058" t="str">
        <f>IF(Pricing!F17="","",Pricing!F17)</f>
        <v/>
      </c>
      <c r="G21" s="1059"/>
      <c r="H21" s="1011" t="str">
        <f>IF(Pricing!H17="","",Pricing!H17)</f>
        <v/>
      </c>
      <c r="I21" s="987" t="str">
        <f>IF(Pricing!I17="","",Pricing!I17)</f>
        <v/>
      </c>
      <c r="J21" s="24">
        <v>0</v>
      </c>
      <c r="K21" s="1011"/>
      <c r="L21" s="988" t="str">
        <f>IF(Pricing!J17="","",Pricing!J17)</f>
        <v/>
      </c>
      <c r="M21" s="1011" t="str">
        <f>UPPER(IF(Drawing!$F$2=4,Drawing!D17,IF(Drawing!$Y$2=4,Drawing!W17,IF(Drawing!$F$25=4,Drawing!D40,IF(Drawing!$Y$25=4,Drawing!W40,IF(Drawing!$F$48=4,Drawing!D63,IF(Drawing!$Y$48=4,Drawing!W63,"")))))))</f>
        <v/>
      </c>
      <c r="N21" s="1011" t="str">
        <f>UPPER(IF(Drawing!$F$2=4,Drawing!D19,IF(Drawing!$Y$2=4,Drawing!W19,IF(Drawing!$F$25=4,Drawing!D42,IF(Drawing!$Y$25=4,Drawing!W42,IF(Drawing!$F$48=4,Drawing!D65,IF(Drawing!$Y$48=4,Drawing!W65,"")))))))</f>
        <v/>
      </c>
      <c r="O21" s="1055" t="str">
        <f>UPPER(IF(Drawing!$F$2=4,Drawing!D21,IF(Drawing!$Y$2=4,Drawing!W21,IF(Drawing!$F$25=4,Drawing!D44,IF(Drawing!$Y$25=4,Drawing!W44,IF(Drawing!$F$48=4,Drawing!D67,IF(Drawing!$Y$48=4,Drawing!W67,"")))))))</f>
        <v/>
      </c>
      <c r="P21" s="987"/>
      <c r="Q21" s="1057"/>
      <c r="R21" s="222" t="s">
        <v>164</v>
      </c>
      <c r="S21" s="190" t="str">
        <f>UPPER(IF(Drawing!$F$2=4,Drawing!AW5,IF(Drawing!$Y$2=4,Drawing!AC17,IF(Drawing!$F$25=4,Drawing!J40,IF(Drawing!$Y$25=4,Drawing!AC40,IF(Drawing!$F$48=4,Drawing!J63,IF(Drawing!$Y$48=4,Drawing!AC63,IF(Pricing!Q17="","",Pricing!Q17))))))))</f>
        <v/>
      </c>
      <c r="T21" s="190" t="str">
        <f>UPPER(IF(Drawing!$F$2=4,Drawing!AX5,IF(Drawing!$Y$2=4,Drawing!AD17,IF(Drawing!$F$25=4,Drawing!K40,IF(Drawing!$Y$25=4,Drawing!AD40,IF(Drawing!$F$48=4,Drawing!K63,IF(Drawing!$Y$48=4,Drawing!AD63,IF(Pricing!R17="","",Pricing!R17))))))))</f>
        <v/>
      </c>
      <c r="U21" s="190" t="str">
        <f>UPPER(IF(Drawing!$F$2=4,Drawing!AY5,IF(Drawing!$Y$2=4,Drawing!AE17,IF(Drawing!$F$25=4,Drawing!L40,IF(Drawing!$Y$25=4,Drawing!AE40,IF(Drawing!$F$48=4,Drawing!L63,IF(Drawing!$Y$48=4,Drawing!AE63,IF(Pricing!S17="","",Pricing!S17))))))))</f>
        <v/>
      </c>
      <c r="V21" s="190" t="str">
        <f>UPPER(IF(Drawing!$F$2=4,Drawing!AZ5,IF(Drawing!$Y$2=4,Drawing!AF17,IF(Drawing!$F$25=4,Drawing!M40,IF(Drawing!$Y$25=4,Drawing!AF40,IF(Drawing!$F$48=4,Drawing!M63,IF(Drawing!$Y$48=4,Drawing!AF63,IF(Pricing!T17="","",Pricing!T17))))))))</f>
        <v/>
      </c>
      <c r="W21" s="190" t="str">
        <f>UPPER(IF(Drawing!$F$2=4,Drawing!BA5,IF(Drawing!$Y$2=4,Drawing!AG17,IF(Drawing!$F$25=4,Drawing!N40,IF(Drawing!$Y$25=4,Drawing!AG40,IF(Drawing!$F$48=4,Drawing!N63,IF(Drawing!$Y$48=4,Drawing!AG63,IF(Pricing!U17="","",Pricing!U17))))))))</f>
        <v/>
      </c>
      <c r="X21" s="190" t="str">
        <f>UPPER(IF(Drawing!$F$2=4,Drawing!BB5,IF(Drawing!$Y$2=4,Drawing!AH17,IF(Drawing!$F$25=4,Drawing!O40,IF(Drawing!$Y$25=4,Drawing!AH40,IF(Drawing!$F$48=4,Drawing!O63,IF(Drawing!$Y$48=4,Drawing!AH63,IF(Pricing!V17="","",Pricing!V17))))))))</f>
        <v/>
      </c>
      <c r="Y21" s="190" t="str">
        <f>UPPER(IF(Drawing!$F$2=4,Drawing!BC5,IF(Drawing!$Y$2=4,Drawing!AI17,IF(Drawing!$F$25=4,Drawing!P40,IF(Drawing!$Y$25=4,Drawing!AI40,IF(Drawing!$F$48=4,Drawing!P63,IF(Drawing!$Y$48=4,Drawing!AI63,IF(Pricing!W17="","",Pricing!W17))))))))</f>
        <v/>
      </c>
      <c r="Z21" s="190" t="str">
        <f>UPPER(IF(Drawing!$F$2=4,Drawing!BD5,IF(Drawing!$Y$2=4,Drawing!AJ17,IF(Drawing!$F$25=4,Drawing!Q40,IF(Drawing!$Y$25=4,Drawing!AJ40,IF(Drawing!$F$48=4,Drawing!Q63,IF(Drawing!$Y$48=4,Drawing!AJ63,IF(Pricing!X17="","",Pricing!X17))))))))</f>
        <v/>
      </c>
      <c r="AA21" s="190" t="str">
        <f>UPPER(IF(Drawing!$F$2=4,Drawing!BE5,IF(Drawing!$Y$2=4,Drawing!AK17,IF(Drawing!$F$25=4,Drawing!R40,IF(Drawing!$Y$25=4,Drawing!AK40,IF(Drawing!$F$48=4,Drawing!R63,IF(Drawing!$Y$48=4,Drawing!AK63,IF(Pricing!Y17="","",Pricing!Y17))))))))</f>
        <v/>
      </c>
      <c r="AB21" s="190" t="str">
        <f>UPPER(IF(Drawing!$F$2=4,Drawing!BF5,IF(Drawing!$Y$2=4,Drawing!AL17,IF(Drawing!$F$25=4,Drawing!S40,IF(Drawing!$Y$25=4,Drawing!AL40,IF(Drawing!$F$48=4,Drawing!S63,IF(Drawing!$Y$48=4,Drawing!AL63,IF(Pricing!Z17="","",Pricing!Z17))))))))</f>
        <v/>
      </c>
      <c r="AC21" s="190" t="str">
        <f>UPPER(IF(Drawing!$F$2=4,Drawing!BG5,IF(Drawing!$Y$2=4,Drawing!AM17,IF(Drawing!$F$25=4,Drawing!T40,IF(Drawing!$Y$25=4,Drawing!AM40,IF(Drawing!$F$48=4,Drawing!T63,IF(Drawing!$Y$48=4,Drawing!AM63,IF(Pricing!AA17="","",Pricing!AA17))))))))</f>
        <v/>
      </c>
      <c r="AD21" s="224" t="str">
        <f>IF(Pricing!AD17="Quote","Q","")</f>
        <v/>
      </c>
      <c r="AE21" s="11" t="s">
        <v>21</v>
      </c>
      <c r="AF21" s="16">
        <f>COUNTIF(S21:AC21,"(T)")</f>
        <v>0</v>
      </c>
      <c r="AG21" s="16" t="b">
        <f>OR(COUNTIF(S21:AC21,"*(B)*"),COUNTIF(S21:AC21,"*(CB)*"))</f>
        <v>0</v>
      </c>
    </row>
    <row r="22" spans="2:33" x14ac:dyDescent="0.2">
      <c r="B22" s="479"/>
      <c r="C22" s="10" t="str">
        <f>IF(Pricing!C18="","",Pricing!C18)</f>
        <v/>
      </c>
      <c r="D22" s="1044"/>
      <c r="E22" s="1014"/>
      <c r="F22" s="528" t="str">
        <f>IF(Pricing!F18="","",Pricing!F18)</f>
        <v/>
      </c>
      <c r="G22" s="1013"/>
      <c r="H22" s="1011"/>
      <c r="I22" s="988"/>
      <c r="J22" s="1014"/>
      <c r="K22" s="1011"/>
      <c r="L22" s="988"/>
      <c r="M22" s="1011"/>
      <c r="N22" s="1011"/>
      <c r="O22" s="1055"/>
      <c r="P22" s="988"/>
      <c r="Q22" s="1014"/>
      <c r="R22" s="222" t="s">
        <v>165</v>
      </c>
      <c r="S22" s="359" t="str">
        <f>UPPER(IF(Drawing!$F$2=4,Drawing!J18,IF(Drawing!$Y$2=4,Drawing!AC18,IF(Drawing!$F$25=4,Drawing!J41,IF(Drawing!$Y$25=4,Drawing!AC41,IF(Drawing!$F$48=4,Drawing!J64,IF(Drawing!$Y$48=4,Drawing!AC64,"")))))))</f>
        <v/>
      </c>
      <c r="T22" s="359" t="str">
        <f>UPPER(IF(Drawing!$F$2=4,Drawing!K18,IF(Drawing!$Y$2=4,Drawing!AD18,IF(Drawing!$F$25=4,Drawing!K41,IF(Drawing!$Y$25=4,Drawing!AD41,IF(Drawing!$F$48=4,Drawing!K64,IF(Drawing!$Y$48=4,Drawing!AD64,"")))))))</f>
        <v/>
      </c>
      <c r="U22" s="359" t="str">
        <f>UPPER(IF(Drawing!$F$2=4,Drawing!L18,IF(Drawing!$Y$2=4,Drawing!AE18,IF(Drawing!$F$25=4,Drawing!L41,IF(Drawing!$Y$25=4,Drawing!AE41,IF(Drawing!$F$48=4,Drawing!L64,IF(Drawing!$Y$48=4,Drawing!AE64,"")))))))</f>
        <v/>
      </c>
      <c r="V22" s="359" t="str">
        <f>UPPER(IF(Drawing!$F$2=4,Drawing!M18,IF(Drawing!$Y$2=4,Drawing!AF18,IF(Drawing!$F$25=4,Drawing!M41,IF(Drawing!$Y$25=4,Drawing!AF41,IF(Drawing!$F$48=4,Drawing!M64,IF(Drawing!$Y$48=4,Drawing!AF64,"")))))))</f>
        <v/>
      </c>
      <c r="W22" s="359" t="str">
        <f>UPPER(IF(Drawing!$F$2=4,Drawing!N18,IF(Drawing!$Y$2=4,Drawing!AG18,IF(Drawing!$F$25=4,Drawing!N41,IF(Drawing!$Y$25=4,Drawing!AG41,IF(Drawing!$F$48=4,Drawing!N64,IF(Drawing!$Y$48=4,Drawing!AG64,"")))))))</f>
        <v/>
      </c>
      <c r="X22" s="359" t="str">
        <f>UPPER(IF(Drawing!$F$2=4,Drawing!O18,IF(Drawing!$Y$2=4,Drawing!AH18,IF(Drawing!$F$25=4,Drawing!O41,IF(Drawing!$Y$25=4,Drawing!AH41,IF(Drawing!$F$48=4,Drawing!O64,IF(Drawing!$Y$48=4,Drawing!AH64,"")))))))</f>
        <v/>
      </c>
      <c r="Y22" s="359" t="str">
        <f>UPPER(IF(Drawing!$F$2=4,Drawing!P18,IF(Drawing!$Y$2=4,Drawing!AI18,IF(Drawing!$F$25=4,Drawing!P41,IF(Drawing!$Y$25=4,Drawing!AI41,IF(Drawing!$F$48=4,Drawing!P64,IF(Drawing!$Y$48=4,Drawing!AI64,"")))))))</f>
        <v/>
      </c>
      <c r="Z22" s="359" t="str">
        <f>UPPER(IF(Drawing!$F$2=4,Drawing!Q18,IF(Drawing!$Y$2=4,Drawing!AJ18,IF(Drawing!$F$25=4,Drawing!Q41,IF(Drawing!$Y$25=4,Drawing!AJ41,IF(Drawing!$F$48=4,Drawing!Q64,IF(Drawing!$Y$48=4,Drawing!AJ64,"")))))))</f>
        <v/>
      </c>
      <c r="AA22" s="359" t="str">
        <f>UPPER(IF(Drawing!$F$2=4,Drawing!R18,IF(Drawing!$Y$2=4,Drawing!AK18,IF(Drawing!$F$25=4,Drawing!R41,IF(Drawing!$Y$25=4,Drawing!AK41,IF(Drawing!$F$48=4,Drawing!R64,IF(Drawing!$Y$48=4,Drawing!AK64,"")))))))</f>
        <v/>
      </c>
      <c r="AB22" s="359" t="str">
        <f>UPPER(IF(Drawing!$F$2=4,Drawing!S18,IF(Drawing!$Y$2=4,Drawing!AL18,IF(Drawing!$F$25=4,Drawing!S41,IF(Drawing!$Y$25=4,Drawing!AL41,IF(Drawing!$F$48=4,Drawing!S64,IF(Drawing!$Y$48=4,Drawing!AL64,"")))))))</f>
        <v/>
      </c>
      <c r="AC22" s="12" t="s">
        <v>19</v>
      </c>
      <c r="AD22" s="359" t="s">
        <v>166</v>
      </c>
      <c r="AE22" s="1050">
        <f>IF(ISERROR(M21*N21/1000000),,M21*N21/1000000)</f>
        <v>0</v>
      </c>
    </row>
    <row r="23" spans="2:33" ht="15.75" thickBot="1" x14ac:dyDescent="0.25">
      <c r="B23" s="479"/>
      <c r="C23" s="192" t="str">
        <f>IF(Pricing!C19="","",Pricing!C19)</f>
        <v/>
      </c>
      <c r="D23" s="1045"/>
      <c r="E23" s="1015"/>
      <c r="F23" s="13" t="s">
        <v>28</v>
      </c>
      <c r="G23" s="13" t="str">
        <f>IF(Pricing!G19="","",Pricing!G19)</f>
        <v/>
      </c>
      <c r="H23" s="1012"/>
      <c r="I23" s="989"/>
      <c r="J23" s="1015"/>
      <c r="K23" s="1012"/>
      <c r="L23" s="989"/>
      <c r="M23" s="1012"/>
      <c r="N23" s="1012"/>
      <c r="O23" s="1056"/>
      <c r="P23" s="989"/>
      <c r="Q23" s="26" t="s">
        <v>167</v>
      </c>
      <c r="R23" s="26" t="s">
        <v>168</v>
      </c>
      <c r="S23" s="565" t="str">
        <f>IF(Pricing!Q19="","",Pricing!Q19)</f>
        <v/>
      </c>
      <c r="T23" s="566"/>
      <c r="U23" s="566"/>
      <c r="V23" s="566"/>
      <c r="W23" s="566"/>
      <c r="X23" s="566"/>
      <c r="Y23" s="566"/>
      <c r="Z23" s="566"/>
      <c r="AA23" s="566"/>
      <c r="AB23" s="566"/>
      <c r="AC23" s="564"/>
      <c r="AD23" s="211"/>
      <c r="AE23" s="1051"/>
    </row>
    <row r="24" spans="2:33" x14ac:dyDescent="0.2">
      <c r="B24" s="479">
        <v>5</v>
      </c>
      <c r="C24" s="10" t="str">
        <f>IF(Pricing!C20="","",Pricing!C20)</f>
        <v/>
      </c>
      <c r="D24" s="1043" t="str">
        <f>IF(Pricing!D20="","",Pricing!D20)</f>
        <v/>
      </c>
      <c r="E24" s="1046" t="str">
        <f>IF(Pricing!E20="","",Pricing!E20)</f>
        <v/>
      </c>
      <c r="F24" s="1048" t="str">
        <f>IF(Pricing!F20="","",Pricing!F20)</f>
        <v/>
      </c>
      <c r="G24" s="1060"/>
      <c r="H24" s="1011" t="str">
        <f>IF(Pricing!H20="","",Pricing!H20)</f>
        <v/>
      </c>
      <c r="I24" s="987" t="str">
        <f>IF(Pricing!I20="","",Pricing!I20)</f>
        <v/>
      </c>
      <c r="J24" s="24">
        <v>0</v>
      </c>
      <c r="K24" s="1011"/>
      <c r="L24" s="988" t="str">
        <f>IF(Pricing!J20="","",Pricing!J20)</f>
        <v/>
      </c>
      <c r="M24" s="1011" t="str">
        <f>UPPER(IF(Drawing!$F$2=5,Drawing!D17,IF(Drawing!$Y$2=5,Drawing!W17,IF(Drawing!$F$25=5,Drawing!D40,IF(Drawing!$Y$25=5,Drawing!W40,IF(Drawing!$F$48=5,Drawing!D63,IF(Drawing!$Y$48=5,Drawing!W63,"")))))))</f>
        <v/>
      </c>
      <c r="N24" s="1011" t="str">
        <f>UPPER(IF(Drawing!$F$2=5,Drawing!D19,IF(Drawing!$Y$2=5,Drawing!W19,IF(Drawing!$F$25=5,Drawing!D42,IF(Drawing!$Y$25=5,Drawing!W42,IF(Drawing!$F$48=5,Drawing!D65,IF(Drawing!$Y$48=5,Drawing!W65,"")))))))</f>
        <v/>
      </c>
      <c r="O24" s="1055" t="str">
        <f>UPPER(IF(Drawing!$F$2=5,Drawing!D21,IF(Drawing!$Y$2=5,Drawing!W21,IF(Drawing!$F$25=5,Drawing!D44,IF(Drawing!$Y$25=5,Drawing!W44,IF(Drawing!$F$48=5,Drawing!D67,IF(Drawing!$Y$48=5,Drawing!W67,"")))))))</f>
        <v/>
      </c>
      <c r="P24" s="987"/>
      <c r="Q24" s="1057"/>
      <c r="R24" s="222" t="s">
        <v>164</v>
      </c>
      <c r="S24" s="190" t="str">
        <f>UPPER(IF(Drawing!$F$2=5,Drawing!AW5,IF(Drawing!$Y$2=5,Drawing!AC17,IF(Drawing!$F$25=5,Drawing!J40,IF(Drawing!$Y$25=5,Drawing!AC40,IF(Drawing!$F$48=5,Drawing!J63,IF(Drawing!$Y$48=5,Drawing!AC63,IF(Pricing!Q20="","",Pricing!Q20))))))))</f>
        <v/>
      </c>
      <c r="T24" s="190" t="str">
        <f>UPPER(IF(Drawing!$F$2=5,Drawing!AX5,IF(Drawing!$Y$2=5,Drawing!AD17,IF(Drawing!$F$25=5,Drawing!K40,IF(Drawing!$Y$25=5,Drawing!AD40,IF(Drawing!$F$48=5,Drawing!K63,IF(Drawing!$Y$48=5,Drawing!AD63,IF(Pricing!R20="","",Pricing!R20))))))))</f>
        <v/>
      </c>
      <c r="U24" s="190" t="str">
        <f>UPPER(IF(Drawing!$F$2=5,Drawing!AY5,IF(Drawing!$Y$2=5,Drawing!AE17,IF(Drawing!$F$25=5,Drawing!L40,IF(Drawing!$Y$25=5,Drawing!AE40,IF(Drawing!$F$48=5,Drawing!L63,IF(Drawing!$Y$48=5,Drawing!AE63,IF(Pricing!S20="","",Pricing!S20))))))))</f>
        <v/>
      </c>
      <c r="V24" s="190" t="str">
        <f>UPPER(IF(Drawing!$F$2=5,Drawing!AZ5,IF(Drawing!$Y$2=5,Drawing!AF17,IF(Drawing!$F$25=5,Drawing!M40,IF(Drawing!$Y$25=5,Drawing!AF40,IF(Drawing!$F$48=5,Drawing!M63,IF(Drawing!$Y$48=5,Drawing!AF63,IF(Pricing!T20="","",Pricing!T20))))))))</f>
        <v/>
      </c>
      <c r="W24" s="190" t="str">
        <f>UPPER(IF(Drawing!$F$2=5,Drawing!BA5,IF(Drawing!$Y$2=5,Drawing!AG17,IF(Drawing!$F$25=5,Drawing!N40,IF(Drawing!$Y$25=5,Drawing!AG40,IF(Drawing!$F$48=5,Drawing!N63,IF(Drawing!$Y$48=5,Drawing!AG63,IF(Pricing!U20="","",Pricing!U20))))))))</f>
        <v/>
      </c>
      <c r="X24" s="190" t="str">
        <f>UPPER(IF(Drawing!$F$2=5,Drawing!BB5,IF(Drawing!$Y$2=5,Drawing!AH17,IF(Drawing!$F$25=5,Drawing!O40,IF(Drawing!$Y$25=5,Drawing!AH40,IF(Drawing!$F$48=5,Drawing!O63,IF(Drawing!$Y$48=5,Drawing!AH63,IF(Pricing!V20="","",Pricing!V20))))))))</f>
        <v/>
      </c>
      <c r="Y24" s="190" t="str">
        <f>UPPER(IF(Drawing!$F$2=5,Drawing!BC5,IF(Drawing!$Y$2=5,Drawing!AI17,IF(Drawing!$F$25=5,Drawing!P40,IF(Drawing!$Y$25=5,Drawing!AI40,IF(Drawing!$F$48=5,Drawing!P63,IF(Drawing!$Y$48=5,Drawing!AI63,IF(Pricing!W20="","",Pricing!W20))))))))</f>
        <v/>
      </c>
      <c r="Z24" s="190" t="str">
        <f>UPPER(IF(Drawing!$F$2=5,Drawing!BD5,IF(Drawing!$Y$2=5,Drawing!AJ17,IF(Drawing!$F$25=5,Drawing!Q40,IF(Drawing!$Y$25=5,Drawing!AJ40,IF(Drawing!$F$48=5,Drawing!Q63,IF(Drawing!$Y$48=5,Drawing!AJ63,IF(Pricing!X20="","",Pricing!X20))))))))</f>
        <v/>
      </c>
      <c r="AA24" s="190" t="str">
        <f>UPPER(IF(Drawing!$F$2=5,Drawing!BE5,IF(Drawing!$Y$2=5,Drawing!AK17,IF(Drawing!$F$25=5,Drawing!R40,IF(Drawing!$Y$25=5,Drawing!AK40,IF(Drawing!$F$48=5,Drawing!R63,IF(Drawing!$Y$48=5,Drawing!AK63,IF(Pricing!Y20="","",Pricing!Y20))))))))</f>
        <v/>
      </c>
      <c r="AB24" s="190" t="str">
        <f>UPPER(IF(Drawing!$F$2=5,Drawing!BF5,IF(Drawing!$Y$2=5,Drawing!AL17,IF(Drawing!$F$25=5,Drawing!S40,IF(Drawing!$Y$25=5,Drawing!AL40,IF(Drawing!$F$48=5,Drawing!S63,IF(Drawing!$Y$48=5,Drawing!AL63,IF(Pricing!Z20="","",Pricing!Z20))))))))</f>
        <v/>
      </c>
      <c r="AC24" s="190" t="str">
        <f>UPPER(IF(Drawing!$F$2=5,Drawing!BG5,IF(Drawing!$Y$2=5,Drawing!AM17,IF(Drawing!$F$25=5,Drawing!T40,IF(Drawing!$Y$25=5,Drawing!AM40,IF(Drawing!$F$48=5,Drawing!T63,IF(Drawing!$Y$48=5,Drawing!AM63,IF(Pricing!AA20="","",Pricing!AA20))))))))</f>
        <v/>
      </c>
      <c r="AD24" s="224" t="str">
        <f>IF(Pricing!AD20="Quote","Q","")</f>
        <v/>
      </c>
      <c r="AE24" s="11" t="s">
        <v>21</v>
      </c>
      <c r="AF24" s="16">
        <f>COUNTIF(S24:AC24,"(T)")</f>
        <v>0</v>
      </c>
      <c r="AG24" s="16" t="b">
        <f>OR(COUNTIF(S24:AC24,"*(B)*"),COUNTIF(S24:AC24,"*(CB)*"))</f>
        <v>0</v>
      </c>
    </row>
    <row r="25" spans="2:33" x14ac:dyDescent="0.2">
      <c r="B25" s="479"/>
      <c r="C25" s="10" t="str">
        <f>IF(Pricing!C21="","",Pricing!C21)</f>
        <v/>
      </c>
      <c r="D25" s="1044"/>
      <c r="E25" s="1014"/>
      <c r="F25" s="528" t="str">
        <f>IF(Pricing!F21="","",Pricing!F21)</f>
        <v/>
      </c>
      <c r="G25" s="1013"/>
      <c r="H25" s="1011"/>
      <c r="I25" s="988"/>
      <c r="J25" s="1014"/>
      <c r="K25" s="1011"/>
      <c r="L25" s="988"/>
      <c r="M25" s="1011"/>
      <c r="N25" s="1011"/>
      <c r="O25" s="1055"/>
      <c r="P25" s="988"/>
      <c r="Q25" s="1014"/>
      <c r="R25" s="222" t="s">
        <v>165</v>
      </c>
      <c r="S25" s="359" t="str">
        <f>UPPER(IF(Drawing!$F$2=5,Drawing!J18,IF(Drawing!$Y$2=5,Drawing!AC18,IF(Drawing!$F$25=5,Drawing!J40,IF(Drawing!$Y$25=5,Drawing!AC41,IF(Drawing!$F$48=5,Drawing!J63,IF(Drawing!$Y$48=5,Drawing!AC63,"")))))))</f>
        <v/>
      </c>
      <c r="T25" s="359" t="str">
        <f>UPPER(IF(Drawing!$F$2=5,Drawing!K18,IF(Drawing!$Y$2=5,Drawing!AD18,IF(Drawing!$F$25=5,Drawing!K40,IF(Drawing!$Y$25=5,Drawing!AD41,IF(Drawing!$F$48=5,Drawing!K63,IF(Drawing!$Y$48=5,Drawing!AD63,"")))))))</f>
        <v/>
      </c>
      <c r="U25" s="359" t="str">
        <f>UPPER(IF(Drawing!$F$2=5,Drawing!L18,IF(Drawing!$Y$2=5,Drawing!AE18,IF(Drawing!$F$25=5,Drawing!L40,IF(Drawing!$Y$25=5,Drawing!AE41,IF(Drawing!$F$48=5,Drawing!L63,IF(Drawing!$Y$48=5,Drawing!AE63,"")))))))</f>
        <v/>
      </c>
      <c r="V25" s="359" t="str">
        <f>UPPER(IF(Drawing!$F$2=5,Drawing!M18,IF(Drawing!$Y$2=5,Drawing!AF18,IF(Drawing!$F$25=5,Drawing!M40,IF(Drawing!$Y$25=5,Drawing!AF41,IF(Drawing!$F$48=5,Drawing!M63,IF(Drawing!$Y$48=5,Drawing!AF63,"")))))))</f>
        <v/>
      </c>
      <c r="W25" s="359" t="str">
        <f>UPPER(IF(Drawing!$F$2=5,Drawing!N18,IF(Drawing!$Y$2=5,Drawing!AG18,IF(Drawing!$F$25=5,Drawing!N40,IF(Drawing!$Y$25=5,Drawing!AG41,IF(Drawing!$F$48=5,Drawing!N63,IF(Drawing!$Y$48=5,Drawing!AG63,"")))))))</f>
        <v/>
      </c>
      <c r="X25" s="359" t="str">
        <f>UPPER(IF(Drawing!$F$2=5,Drawing!O18,IF(Drawing!$Y$2=5,Drawing!AH18,IF(Drawing!$F$25=5,Drawing!O40,IF(Drawing!$Y$25=5,Drawing!AH41,IF(Drawing!$F$48=5,Drawing!O63,IF(Drawing!$Y$48=5,Drawing!AH63,"")))))))</f>
        <v/>
      </c>
      <c r="Y25" s="359" t="str">
        <f>UPPER(IF(Drawing!$F$2=5,Drawing!P18,IF(Drawing!$Y$2=5,Drawing!AI18,IF(Drawing!$F$25=5,Drawing!P40,IF(Drawing!$Y$25=5,Drawing!AI41,IF(Drawing!$F$48=5,Drawing!P63,IF(Drawing!$Y$48=5,Drawing!AI63,"")))))))</f>
        <v/>
      </c>
      <c r="Z25" s="359" t="str">
        <f>UPPER(IF(Drawing!$F$2=5,Drawing!Q18,IF(Drawing!$Y$2=5,Drawing!AJ18,IF(Drawing!$F$25=5,Drawing!Q40,IF(Drawing!$Y$25=5,Drawing!AJ41,IF(Drawing!$F$48=5,Drawing!Q63,IF(Drawing!$Y$48=5,Drawing!AJ63,"")))))))</f>
        <v/>
      </c>
      <c r="AA25" s="359" t="str">
        <f>UPPER(IF(Drawing!$F$2=5,Drawing!R18,IF(Drawing!$Y$2=5,Drawing!AK18,IF(Drawing!$F$25=5,Drawing!R40,IF(Drawing!$Y$25=5,Drawing!AK41,IF(Drawing!$F$48=5,Drawing!R63,IF(Drawing!$Y$48=5,Drawing!AK63,"")))))))</f>
        <v/>
      </c>
      <c r="AB25" s="359" t="str">
        <f>UPPER(IF(Drawing!$F$2=5,Drawing!S18,IF(Drawing!$Y$2=5,Drawing!AL18,IF(Drawing!$F$25=5,Drawing!S40,IF(Drawing!$Y$25=5,Drawing!AL41,IF(Drawing!$F$48=5,Drawing!S63,IF(Drawing!$Y$48=5,Drawing!AL63,"")))))))</f>
        <v/>
      </c>
      <c r="AC25" s="12" t="s">
        <v>19</v>
      </c>
      <c r="AD25" s="359" t="s">
        <v>166</v>
      </c>
      <c r="AE25" s="1050">
        <f>IF(ISERROR(M24*N24/1000000),,M24*N24/1000000)</f>
        <v>0</v>
      </c>
    </row>
    <row r="26" spans="2:33" ht="15.75" thickBot="1" x14ac:dyDescent="0.25">
      <c r="B26" s="479"/>
      <c r="C26" s="193" t="str">
        <f>IF(Pricing!C22="","",Pricing!C22)</f>
        <v/>
      </c>
      <c r="D26" s="1045"/>
      <c r="E26" s="1015"/>
      <c r="F26" s="13" t="s">
        <v>28</v>
      </c>
      <c r="G26" s="13" t="str">
        <f>IF(Pricing!G22="","",Pricing!G22)</f>
        <v/>
      </c>
      <c r="H26" s="1012"/>
      <c r="I26" s="989"/>
      <c r="J26" s="1015"/>
      <c r="K26" s="1012"/>
      <c r="L26" s="989"/>
      <c r="M26" s="1012"/>
      <c r="N26" s="1012"/>
      <c r="O26" s="1056"/>
      <c r="P26" s="989"/>
      <c r="Q26" s="26" t="s">
        <v>167</v>
      </c>
      <c r="R26" s="26" t="s">
        <v>168</v>
      </c>
      <c r="S26" s="565" t="str">
        <f>IF(Pricing!Q22="","",Pricing!Q22)</f>
        <v/>
      </c>
      <c r="T26" s="566"/>
      <c r="U26" s="566"/>
      <c r="V26" s="566"/>
      <c r="W26" s="566"/>
      <c r="X26" s="566"/>
      <c r="Y26" s="566"/>
      <c r="Z26" s="566"/>
      <c r="AA26" s="566"/>
      <c r="AB26" s="566"/>
      <c r="AC26" s="564"/>
      <c r="AD26" s="211"/>
      <c r="AE26" s="1051"/>
    </row>
    <row r="27" spans="2:33" x14ac:dyDescent="0.2">
      <c r="B27" s="479">
        <v>6</v>
      </c>
      <c r="C27" s="159" t="str">
        <f>IF(Pricing!C23="","",Pricing!C23)</f>
        <v/>
      </c>
      <c r="D27" s="1043" t="str">
        <f>IF(Pricing!D23="","",Pricing!D23)</f>
        <v/>
      </c>
      <c r="E27" s="1057" t="str">
        <f>IF(Pricing!E23="","",Pricing!E23)</f>
        <v/>
      </c>
      <c r="F27" s="1048" t="str">
        <f>IF(Pricing!F23="","",Pricing!F23)</f>
        <v/>
      </c>
      <c r="G27" s="1060"/>
      <c r="H27" s="1011" t="str">
        <f>IF(Pricing!H23="","",Pricing!H23)</f>
        <v/>
      </c>
      <c r="I27" s="987" t="str">
        <f>IF(Pricing!I23="","",Pricing!I23)</f>
        <v/>
      </c>
      <c r="J27" s="24">
        <v>0</v>
      </c>
      <c r="K27" s="1011"/>
      <c r="L27" s="988" t="str">
        <f>IF(Pricing!J23="","",Pricing!J23)</f>
        <v/>
      </c>
      <c r="M27" s="1011" t="str">
        <f>UPPER(IF(Drawing!$F$2=6,Drawing!D17,IF(Drawing!$Y$2=6,Drawing!W17,IF(Drawing!$F$25=6,Drawing!D40,IF(Drawing!$Y$25=6,Drawing!W40,IF(Drawing!$F$48=6,Drawing!D63,IF(Drawing!$Y$48=6,Drawing!W63,"")))))))</f>
        <v/>
      </c>
      <c r="N27" s="1011" t="str">
        <f>UPPER(IF(Drawing!$F$2=6,Drawing!D19,IF(Drawing!$Y$2=6,Drawing!W19,IF(Drawing!$F$25=6,Drawing!D42,IF(Drawing!$Y$25=6,Drawing!W42,IF(Drawing!$F$48=6,Drawing!D65,IF(Drawing!$Y$48=6,Drawing!W65,"")))))))</f>
        <v/>
      </c>
      <c r="O27" s="1055" t="str">
        <f>UPPER(IF(Drawing!$F$2=6,Drawing!D21,IF(Drawing!$Y$2=6,Drawing!W21,IF(Drawing!$F$25=6,Drawing!D44,IF(Drawing!$Y$25=6,Drawing!W44,IF(Drawing!$F$48=6,Drawing!D67,IF(Drawing!$Y$48=6,Drawing!W67,"")))))))</f>
        <v/>
      </c>
      <c r="P27" s="987"/>
      <c r="Q27" s="1057"/>
      <c r="R27" s="222" t="s">
        <v>164</v>
      </c>
      <c r="S27" s="190" t="str">
        <f>UPPER(IF(Drawing!$F$2=6,Drawing!AW5,IF(Drawing!$Y$2=6,Drawing!AC17,IF(Drawing!$F$25=6,Drawing!J40,IF(Drawing!$Y$25=6,Drawing!AC40,IF(Drawing!$F$48=6,Drawing!J63,IF(Drawing!$Y$48=6,Drawing!AC63,IF(Pricing!Q23="","",Pricing!Q23))))))))</f>
        <v/>
      </c>
      <c r="T27" s="190" t="str">
        <f>UPPER(IF(Drawing!$F$2=6,Drawing!AX5,IF(Drawing!$Y$2=6,Drawing!AD17,IF(Drawing!$F$25=6,Drawing!K40,IF(Drawing!$Y$25=6,Drawing!AD40,IF(Drawing!$F$48=6,Drawing!K63,IF(Drawing!$Y$48=6,Drawing!AD63,IF(Pricing!R23="","",Pricing!R23))))))))</f>
        <v/>
      </c>
      <c r="U27" s="190" t="str">
        <f>UPPER(IF(Drawing!$F$2=6,Drawing!AY5,IF(Drawing!$Y$2=6,Drawing!AE17,IF(Drawing!$F$25=6,Drawing!L40,IF(Drawing!$Y$25=6,Drawing!AE40,IF(Drawing!$F$48=6,Drawing!L63,IF(Drawing!$Y$48=6,Drawing!AE63,IF(Pricing!S23="","",Pricing!S23))))))))</f>
        <v/>
      </c>
      <c r="V27" s="190" t="str">
        <f>UPPER(IF(Drawing!$F$2=6,Drawing!AZ5,IF(Drawing!$Y$2=6,Drawing!AF17,IF(Drawing!$F$25=6,Drawing!M40,IF(Drawing!$Y$25=6,Drawing!AF40,IF(Drawing!$F$48=6,Drawing!M63,IF(Drawing!$Y$48=6,Drawing!AF63,IF(Pricing!T23="","",Pricing!T23))))))))</f>
        <v/>
      </c>
      <c r="W27" s="190" t="str">
        <f>UPPER(IF(Drawing!$F$2=6,Drawing!BA5,IF(Drawing!$Y$2=6,Drawing!AG17,IF(Drawing!$F$25=6,Drawing!N40,IF(Drawing!$Y$25=6,Drawing!AG40,IF(Drawing!$F$48=6,Drawing!N63,IF(Drawing!$Y$48=6,Drawing!AG63,IF(Pricing!U23="","",Pricing!U23))))))))</f>
        <v/>
      </c>
      <c r="X27" s="190" t="str">
        <f>UPPER(IF(Drawing!$F$2=6,Drawing!BB5,IF(Drawing!$Y$2=6,Drawing!AH17,IF(Drawing!$F$25=6,Drawing!O40,IF(Drawing!$Y$25=6,Drawing!AH40,IF(Drawing!$F$48=6,Drawing!O63,IF(Drawing!$Y$48=6,Drawing!AH63,IF(Pricing!V23="","",Pricing!V23))))))))</f>
        <v/>
      </c>
      <c r="Y27" s="190" t="str">
        <f>UPPER(IF(Drawing!$F$2=6,Drawing!BC5,IF(Drawing!$Y$2=6,Drawing!AI17,IF(Drawing!$F$25=6,Drawing!P40,IF(Drawing!$Y$25=6,Drawing!AI40,IF(Drawing!$F$48=6,Drawing!P63,IF(Drawing!$Y$48=6,Drawing!AI63,IF(Pricing!W23="","",Pricing!W23))))))))</f>
        <v/>
      </c>
      <c r="Z27" s="190" t="str">
        <f>UPPER(IF(Drawing!$F$2=6,Drawing!BD5,IF(Drawing!$Y$2=6,Drawing!AJ17,IF(Drawing!$F$25=6,Drawing!Q40,IF(Drawing!$Y$25=6,Drawing!AJ40,IF(Drawing!$F$48=6,Drawing!Q63,IF(Drawing!$Y$48=6,Drawing!AJ63,IF(Pricing!X23="","",Pricing!X23))))))))</f>
        <v/>
      </c>
      <c r="AA27" s="190" t="str">
        <f>UPPER(IF(Drawing!$F$2=6,Drawing!BE5,IF(Drawing!$Y$2=6,Drawing!AK17,IF(Drawing!$F$25=6,Drawing!R40,IF(Drawing!$Y$25=6,Drawing!AK40,IF(Drawing!$F$48=6,Drawing!R63,IF(Drawing!$Y$48=6,Drawing!AK63,IF(Pricing!Y23="","",Pricing!Y23))))))))</f>
        <v/>
      </c>
      <c r="AB27" s="190" t="str">
        <f>UPPER(IF(Drawing!$F$2=6,Drawing!BF5,IF(Drawing!$Y$2=6,Drawing!AL17,IF(Drawing!$F$25=6,Drawing!S40,IF(Drawing!$Y$25=6,Drawing!AL40,IF(Drawing!$F$48=6,Drawing!S63,IF(Drawing!$Y$48=6,Drawing!AL63,IF(Pricing!Z23="","",Pricing!Z23))))))))</f>
        <v/>
      </c>
      <c r="AC27" s="190" t="str">
        <f>UPPER(IF(Drawing!$F$2=6,Drawing!BG5,IF(Drawing!$Y$2=6,Drawing!AM17,IF(Drawing!$F$25=6,Drawing!T40,IF(Drawing!$Y$25=6,Drawing!AM40,IF(Drawing!$F$48=6,Drawing!T63,IF(Drawing!$Y$48=6,Drawing!AM63,IF(Pricing!AA23="","",Pricing!AA23))))))))</f>
        <v/>
      </c>
      <c r="AD27" s="224" t="str">
        <f>IF(Pricing!AD23="Quote","Q","")</f>
        <v/>
      </c>
      <c r="AE27" s="11" t="s">
        <v>21</v>
      </c>
      <c r="AF27" s="16">
        <f>COUNTIF(S27:AC27,"(T)")</f>
        <v>0</v>
      </c>
      <c r="AG27" s="16" t="b">
        <f>OR(COUNTIF(S27:AC27,"*(B)*"),COUNTIF(S27:AC27,"*(CB)*"))</f>
        <v>0</v>
      </c>
    </row>
    <row r="28" spans="2:33" x14ac:dyDescent="0.2">
      <c r="B28" s="479"/>
      <c r="C28" s="10" t="str">
        <f>IF(Pricing!C24="","",Pricing!C24)</f>
        <v/>
      </c>
      <c r="D28" s="1044"/>
      <c r="E28" s="1014"/>
      <c r="F28" s="528" t="str">
        <f>IF(Pricing!F24="","",Pricing!F24)</f>
        <v/>
      </c>
      <c r="G28" s="1013"/>
      <c r="H28" s="1011"/>
      <c r="I28" s="988"/>
      <c r="J28" s="1014"/>
      <c r="K28" s="1011"/>
      <c r="L28" s="988"/>
      <c r="M28" s="1011"/>
      <c r="N28" s="1011"/>
      <c r="O28" s="1055"/>
      <c r="P28" s="988"/>
      <c r="Q28" s="1014"/>
      <c r="R28" s="222" t="s">
        <v>165</v>
      </c>
      <c r="S28" s="359" t="str">
        <f>UPPER(IF(Drawing!$F$2=6,Drawing!J18,IF(Drawing!$Y$2=6,Drawing!AC18,IF(Drawing!$F$25=6,Drawing!J40,IF(Drawing!$Y$25=6,Drawing!AC41,IF(Drawing!$F$48=6,Drawing!J63,IF(Drawing!$Y$48=6,Drawing!AC63,"")))))))</f>
        <v/>
      </c>
      <c r="T28" s="359" t="str">
        <f>UPPER(IF(Drawing!$F$2=6,Drawing!K18,IF(Drawing!$Y$2=6,Drawing!AD18,IF(Drawing!$F$25=6,Drawing!K40,IF(Drawing!$Y$25=6,Drawing!AD41,IF(Drawing!$F$48=6,Drawing!K63,IF(Drawing!$Y$48=6,Drawing!AD63,"")))))))</f>
        <v/>
      </c>
      <c r="U28" s="359" t="str">
        <f>UPPER(IF(Drawing!$F$2=6,Drawing!L18,IF(Drawing!$Y$2=6,Drawing!AE18,IF(Drawing!$F$25=6,Drawing!L40,IF(Drawing!$Y$25=6,Drawing!AE41,IF(Drawing!$F$48=6,Drawing!L63,IF(Drawing!$Y$48=6,Drawing!AE63,"")))))))</f>
        <v/>
      </c>
      <c r="V28" s="359" t="str">
        <f>UPPER(IF(Drawing!$F$2=6,Drawing!M18,IF(Drawing!$Y$2=6,Drawing!AF18,IF(Drawing!$F$25=6,Drawing!M40,IF(Drawing!$Y$25=6,Drawing!AF41,IF(Drawing!$F$48=6,Drawing!M63,IF(Drawing!$Y$48=6,Drawing!AF63,"")))))))</f>
        <v/>
      </c>
      <c r="W28" s="359" t="str">
        <f>UPPER(IF(Drawing!$F$2=6,Drawing!N18,IF(Drawing!$Y$2=6,Drawing!AG18,IF(Drawing!$F$25=6,Drawing!N40,IF(Drawing!$Y$25=6,Drawing!AG41,IF(Drawing!$F$48=6,Drawing!N63,IF(Drawing!$Y$48=6,Drawing!AG63,"")))))))</f>
        <v/>
      </c>
      <c r="X28" s="359" t="str">
        <f>UPPER(IF(Drawing!$F$2=6,Drawing!O18,IF(Drawing!$Y$2=6,Drawing!AH18,IF(Drawing!$F$25=6,Drawing!O40,IF(Drawing!$Y$25=6,Drawing!AH41,IF(Drawing!$F$48=6,Drawing!O63,IF(Drawing!$Y$48=6,Drawing!AH63,"")))))))</f>
        <v/>
      </c>
      <c r="Y28" s="359" t="str">
        <f>UPPER(IF(Drawing!$F$2=6,Drawing!P18,IF(Drawing!$Y$2=6,Drawing!AI18,IF(Drawing!$F$25=6,Drawing!P40,IF(Drawing!$Y$25=6,Drawing!AI41,IF(Drawing!$F$48=6,Drawing!P63,IF(Drawing!$Y$48=6,Drawing!AI63,"")))))))</f>
        <v/>
      </c>
      <c r="Z28" s="359" t="str">
        <f>UPPER(IF(Drawing!$F$2=6,Drawing!Q18,IF(Drawing!$Y$2=6,Drawing!AJ18,IF(Drawing!$F$25=6,Drawing!Q40,IF(Drawing!$Y$25=6,Drawing!AJ41,IF(Drawing!$F$48=6,Drawing!Q63,IF(Drawing!$Y$48=6,Drawing!AJ63,"")))))))</f>
        <v/>
      </c>
      <c r="AA28" s="359" t="str">
        <f>UPPER(IF(Drawing!$F$2=6,Drawing!R18,IF(Drawing!$Y$2=6,Drawing!AK18,IF(Drawing!$F$25=6,Drawing!R40,IF(Drawing!$Y$25=6,Drawing!AK41,IF(Drawing!$F$48=6,Drawing!R63,IF(Drawing!$Y$48=6,Drawing!AK63,"")))))))</f>
        <v/>
      </c>
      <c r="AB28" s="359" t="str">
        <f>UPPER(IF(Drawing!$F$2=6,Drawing!S18,IF(Drawing!$Y$2=6,Drawing!AL18,IF(Drawing!$F$25=6,Drawing!S40,IF(Drawing!$Y$25=6,Drawing!AL41,IF(Drawing!$F$48=6,Drawing!S63,IF(Drawing!$Y$48=6,Drawing!AL63,"")))))))</f>
        <v/>
      </c>
      <c r="AC28" s="12" t="s">
        <v>19</v>
      </c>
      <c r="AD28" s="359" t="s">
        <v>166</v>
      </c>
      <c r="AE28" s="1050">
        <f>IF(ISERROR(M27*N27/1000000),,M27*N27/1000000)</f>
        <v>0</v>
      </c>
    </row>
    <row r="29" spans="2:33" ht="15.75" thickBot="1" x14ac:dyDescent="0.25">
      <c r="B29" s="479"/>
      <c r="C29" s="10" t="str">
        <f>IF(Pricing!C25="","",Pricing!C25)</f>
        <v/>
      </c>
      <c r="D29" s="1062"/>
      <c r="E29" s="1047"/>
      <c r="F29" s="13" t="s">
        <v>28</v>
      </c>
      <c r="G29" s="13" t="str">
        <f>IF(Pricing!G25="","",Pricing!G25)</f>
        <v/>
      </c>
      <c r="H29" s="1012"/>
      <c r="I29" s="989"/>
      <c r="J29" s="1015"/>
      <c r="K29" s="1012"/>
      <c r="L29" s="989"/>
      <c r="M29" s="1012"/>
      <c r="N29" s="1012"/>
      <c r="O29" s="1056"/>
      <c r="P29" s="989"/>
      <c r="Q29" s="26" t="s">
        <v>167</v>
      </c>
      <c r="R29" s="26" t="s">
        <v>168</v>
      </c>
      <c r="S29" s="565" t="str">
        <f>IF(Pricing!Q25="","",Pricing!Q25)</f>
        <v/>
      </c>
      <c r="T29" s="566"/>
      <c r="U29" s="566"/>
      <c r="V29" s="566"/>
      <c r="W29" s="566"/>
      <c r="X29" s="566"/>
      <c r="Y29" s="566"/>
      <c r="Z29" s="566"/>
      <c r="AA29" s="566"/>
      <c r="AB29" s="566"/>
      <c r="AC29" s="564"/>
      <c r="AD29" s="211"/>
      <c r="AE29" s="1051"/>
    </row>
    <row r="30" spans="2:33" x14ac:dyDescent="0.2">
      <c r="B30" s="479">
        <v>7</v>
      </c>
      <c r="C30" s="159" t="str">
        <f>IF(Pricing!C26="","",Pricing!C26)</f>
        <v/>
      </c>
      <c r="D30" s="1061" t="str">
        <f>IF(Pricing!D26="","",Pricing!D26)</f>
        <v/>
      </c>
      <c r="E30" s="1046" t="str">
        <f>IF(Pricing!E26="","",Pricing!E26)</f>
        <v/>
      </c>
      <c r="F30" s="1048" t="str">
        <f>IF(Pricing!F26="","",Pricing!F26)</f>
        <v/>
      </c>
      <c r="G30" s="1060"/>
      <c r="H30" s="1011" t="str">
        <f>IF(Pricing!H26="","",Pricing!H26)</f>
        <v/>
      </c>
      <c r="I30" s="987" t="str">
        <f>IF(Pricing!I26="","",Pricing!I26)</f>
        <v/>
      </c>
      <c r="J30" s="24">
        <v>0</v>
      </c>
      <c r="K30" s="1011"/>
      <c r="L30" s="988" t="str">
        <f>IF(Pricing!J26="","",Pricing!J26)</f>
        <v/>
      </c>
      <c r="M30" s="1011" t="str">
        <f>UPPER(IF(Drawing!$F$2=7,Drawing!D17,IF(Drawing!$Y$2=7,Drawing!W17,IF(Drawing!$F$25=7,Drawing!D40,IF(Drawing!$Y$25=7,Drawing!W40,IF(Drawing!$F$48=7,Drawing!D63,IF(Drawing!$Y$48=7,Drawing!W63,"")))))))</f>
        <v/>
      </c>
      <c r="N30" s="1011" t="str">
        <f>UPPER(IF(Drawing!$F$2=7,Drawing!D19,IF(Drawing!$Y$2=7,Drawing!W19,IF(Drawing!$F$25=7,Drawing!D42,IF(Drawing!$Y$25=7,Drawing!W42,IF(Drawing!$F$48=7,Drawing!D65,IF(Drawing!$Y$48=7,Drawing!W65,"")))))))</f>
        <v/>
      </c>
      <c r="O30" s="1055" t="str">
        <f>UPPER(IF(Drawing!$F$2=7,Drawing!D21,IF(Drawing!$Y$2=7,Drawing!W21,IF(Drawing!$F$25=7,Drawing!D44,IF(Drawing!$Y$25=7,Drawing!W44,IF(Drawing!$F$48=7,Drawing!D67,IF(Drawing!$Y$48=7,Drawing!W67,"")))))))</f>
        <v/>
      </c>
      <c r="P30" s="987"/>
      <c r="Q30" s="1057"/>
      <c r="R30" s="222" t="s">
        <v>164</v>
      </c>
      <c r="S30" s="190" t="str">
        <f>UPPER(IF(Drawing!$F$2=7,Drawing!AW5,IF(Drawing!$Y$2=7,Drawing!AC17,IF(Drawing!$F$25=7,Drawing!J40,IF(Drawing!$Y$25=7,Drawing!AC40,IF(Drawing!$F$48=7,Drawing!J63,IF(Drawing!$Y$48=7,Drawing!AC63,IF(Pricing!Q26="","",Pricing!Q26))))))))</f>
        <v/>
      </c>
      <c r="T30" s="190" t="str">
        <f>UPPER(IF(Drawing!$F$2=7,Drawing!AX5,IF(Drawing!$Y$2=7,Drawing!AD17,IF(Drawing!$F$25=7,Drawing!K40,IF(Drawing!$Y$25=7,Drawing!AD40,IF(Drawing!$F$48=7,Drawing!K63,IF(Drawing!$Y$48=7,Drawing!AD63,IF(Pricing!R26="","",Pricing!R26))))))))</f>
        <v/>
      </c>
      <c r="U30" s="190" t="str">
        <f>UPPER(IF(Drawing!$F$2=7,Drawing!AY5,IF(Drawing!$Y$2=7,Drawing!AE17,IF(Drawing!$F$25=7,Drawing!L40,IF(Drawing!$Y$25=7,Drawing!AE40,IF(Drawing!$F$48=7,Drawing!L63,IF(Drawing!$Y$48=7,Drawing!AE63,IF(Pricing!S26="","",Pricing!S26))))))))</f>
        <v/>
      </c>
      <c r="V30" s="190" t="str">
        <f>UPPER(IF(Drawing!$F$2=7,Drawing!AZ5,IF(Drawing!$Y$2=7,Drawing!AF17,IF(Drawing!$F$25=7,Drawing!M40,IF(Drawing!$Y$25=7,Drawing!AF40,IF(Drawing!$F$48=7,Drawing!M63,IF(Drawing!$Y$48=7,Drawing!AF63,IF(Pricing!T26="","",Pricing!T26))))))))</f>
        <v/>
      </c>
      <c r="W30" s="190" t="str">
        <f>UPPER(IF(Drawing!$F$2=7,Drawing!BA5,IF(Drawing!$Y$2=7,Drawing!AG17,IF(Drawing!$F$25=7,Drawing!N40,IF(Drawing!$Y$25=7,Drawing!AG40,IF(Drawing!$F$48=7,Drawing!N63,IF(Drawing!$Y$48=7,Drawing!AG63,IF(Pricing!U26="","",Pricing!U26))))))))</f>
        <v/>
      </c>
      <c r="X30" s="190" t="str">
        <f>UPPER(IF(Drawing!$F$2=7,Drawing!BB5,IF(Drawing!$Y$2=7,Drawing!AH17,IF(Drawing!$F$25=7,Drawing!O40,IF(Drawing!$Y$25=7,Drawing!AH40,IF(Drawing!$F$48=7,Drawing!O63,IF(Drawing!$Y$48=7,Drawing!AH63,IF(Pricing!V26="","",Pricing!V26))))))))</f>
        <v/>
      </c>
      <c r="Y30" s="190" t="str">
        <f>UPPER(IF(Drawing!$F$2=7,Drawing!BC5,IF(Drawing!$Y$2=7,Drawing!AI17,IF(Drawing!$F$25=7,Drawing!P40,IF(Drawing!$Y$25=7,Drawing!AI40,IF(Drawing!$F$48=7,Drawing!P63,IF(Drawing!$Y$48=7,Drawing!AI63,IF(Pricing!W26="","",Pricing!W26))))))))</f>
        <v/>
      </c>
      <c r="Z30" s="190" t="str">
        <f>UPPER(IF(Drawing!$F$2=7,Drawing!BD5,IF(Drawing!$Y$2=7,Drawing!AJ17,IF(Drawing!$F$25=7,Drawing!Q40,IF(Drawing!$Y$25=7,Drawing!AJ40,IF(Drawing!$F$48=7,Drawing!Q63,IF(Drawing!$Y$48=7,Drawing!AJ63,IF(Pricing!X26="","",Pricing!X26))))))))</f>
        <v/>
      </c>
      <c r="AA30" s="190" t="str">
        <f>UPPER(IF(Drawing!$F$2=7,Drawing!BE5,IF(Drawing!$Y$2=7,Drawing!AK17,IF(Drawing!$F$25=7,Drawing!R40,IF(Drawing!$Y$25=7,Drawing!AK40,IF(Drawing!$F$48=7,Drawing!R63,IF(Drawing!$Y$48=7,Drawing!AK63,IF(Pricing!Y26="","",Pricing!Y26))))))))</f>
        <v/>
      </c>
      <c r="AB30" s="190" t="str">
        <f>UPPER(IF(Drawing!$F$2=7,Drawing!BF5,IF(Drawing!$Y$2=7,Drawing!AL17,IF(Drawing!$F$25=7,Drawing!S40,IF(Drawing!$Y$25=7,Drawing!AL40,IF(Drawing!$F$48=7,Drawing!S63,IF(Drawing!$Y$48=7,Drawing!AL63,IF(Pricing!Z26="","",Pricing!Z26))))))))</f>
        <v/>
      </c>
      <c r="AC30" s="190" t="str">
        <f>UPPER(IF(Drawing!$F$2=7,Drawing!BG5,IF(Drawing!$Y$2=7,Drawing!AM17,IF(Drawing!$F$25=7,Drawing!T40,IF(Drawing!$Y$25=7,Drawing!AM40,IF(Drawing!$F$48=7,Drawing!T63,IF(Drawing!$Y$48=7,Drawing!AM63,IF(Pricing!AA26="","",Pricing!AA26))))))))</f>
        <v/>
      </c>
      <c r="AD30" s="224" t="str">
        <f>IF(Pricing!AD26="Quote","Q","")</f>
        <v/>
      </c>
      <c r="AE30" s="11" t="s">
        <v>21</v>
      </c>
      <c r="AF30" s="16">
        <f>COUNTIF(S30:AC30,"(T)")</f>
        <v>0</v>
      </c>
      <c r="AG30" s="16" t="b">
        <f>OR(COUNTIF(S30:AC30,"*(B)*"),COUNTIF(S30:AC30,"*(CB)*"))</f>
        <v>0</v>
      </c>
    </row>
    <row r="31" spans="2:33" x14ac:dyDescent="0.2">
      <c r="B31" s="479"/>
      <c r="C31" s="10" t="str">
        <f>IF(Pricing!C27="","",Pricing!C27)</f>
        <v/>
      </c>
      <c r="D31" s="1044"/>
      <c r="E31" s="1014"/>
      <c r="F31" s="528" t="str">
        <f>IF(Pricing!F27="","",Pricing!F27)</f>
        <v/>
      </c>
      <c r="G31" s="1013"/>
      <c r="H31" s="1011"/>
      <c r="I31" s="988"/>
      <c r="J31" s="1014"/>
      <c r="K31" s="1011"/>
      <c r="L31" s="988"/>
      <c r="M31" s="1011"/>
      <c r="N31" s="1011"/>
      <c r="O31" s="1055"/>
      <c r="P31" s="988"/>
      <c r="Q31" s="1014"/>
      <c r="R31" s="222" t="s">
        <v>165</v>
      </c>
      <c r="S31" s="359" t="str">
        <f>UPPER(IF(Drawing!$F$2=7,Drawing!J18,IF(Drawing!$Y$2=7,Drawing!AC18,IF(Drawing!$F$25=7,Drawing!J40,IF(Drawing!$Y$25=7,Drawing!AC41,IF(Drawing!$F$48=7,Drawing!J63,IF(Drawing!$Y$48=7,Drawing!AC63,"")))))))</f>
        <v/>
      </c>
      <c r="T31" s="359" t="str">
        <f>UPPER(IF(Drawing!$F$2=7,Drawing!K18,IF(Drawing!$Y$2=7,Drawing!AD18,IF(Drawing!$F$25=7,Drawing!K40,IF(Drawing!$Y$25=7,Drawing!AD41,IF(Drawing!$F$48=7,Drawing!K63,IF(Drawing!$Y$48=7,Drawing!AD63,"")))))))</f>
        <v/>
      </c>
      <c r="U31" s="359" t="str">
        <f>UPPER(IF(Drawing!$F$2=7,Drawing!L18,IF(Drawing!$Y$2=7,Drawing!AE18,IF(Drawing!$F$25=7,Drawing!L40,IF(Drawing!$Y$25=7,Drawing!AE41,IF(Drawing!$F$48=7,Drawing!L63,IF(Drawing!$Y$48=7,Drawing!AE63,"")))))))</f>
        <v/>
      </c>
      <c r="V31" s="359" t="str">
        <f>UPPER(IF(Drawing!$F$2=7,Drawing!M18,IF(Drawing!$Y$2=7,Drawing!AF18,IF(Drawing!$F$25=7,Drawing!M40,IF(Drawing!$Y$25=7,Drawing!AF41,IF(Drawing!$F$48=7,Drawing!M63,IF(Drawing!$Y$48=7,Drawing!AF63,"")))))))</f>
        <v/>
      </c>
      <c r="W31" s="359" t="str">
        <f>UPPER(IF(Drawing!$F$2=7,Drawing!N18,IF(Drawing!$Y$2=7,Drawing!AG18,IF(Drawing!$F$25=7,Drawing!N40,IF(Drawing!$Y$25=7,Drawing!AG41,IF(Drawing!$F$48=7,Drawing!N63,IF(Drawing!$Y$48=7,Drawing!AG63,"")))))))</f>
        <v/>
      </c>
      <c r="X31" s="359" t="str">
        <f>UPPER(IF(Drawing!$F$2=7,Drawing!O18,IF(Drawing!$Y$2=7,Drawing!AH18,IF(Drawing!$F$25=7,Drawing!O40,IF(Drawing!$Y$25=7,Drawing!AH41,IF(Drawing!$F$48=7,Drawing!O63,IF(Drawing!$Y$48=7,Drawing!AH63,"")))))))</f>
        <v/>
      </c>
      <c r="Y31" s="359" t="str">
        <f>UPPER(IF(Drawing!$F$2=7,Drawing!P18,IF(Drawing!$Y$2=7,Drawing!AI18,IF(Drawing!$F$25=7,Drawing!P40,IF(Drawing!$Y$25=7,Drawing!AI41,IF(Drawing!$F$48=7,Drawing!P63,IF(Drawing!$Y$48=7,Drawing!AI63,"")))))))</f>
        <v/>
      </c>
      <c r="Z31" s="359" t="str">
        <f>UPPER(IF(Drawing!$F$2=7,Drawing!Q18,IF(Drawing!$Y$2=7,Drawing!AJ18,IF(Drawing!$F$25=7,Drawing!Q40,IF(Drawing!$Y$25=7,Drawing!AJ41,IF(Drawing!$F$48=7,Drawing!Q63,IF(Drawing!$Y$48=7,Drawing!AJ63,"")))))))</f>
        <v/>
      </c>
      <c r="AA31" s="359" t="str">
        <f>UPPER(IF(Drawing!$F$2=7,Drawing!R18,IF(Drawing!$Y$2=7,Drawing!AK18,IF(Drawing!$F$25=7,Drawing!R40,IF(Drawing!$Y$25=7,Drawing!AK41,IF(Drawing!$F$48=7,Drawing!R63,IF(Drawing!$Y$48=7,Drawing!AK63,"")))))))</f>
        <v/>
      </c>
      <c r="AB31" s="359" t="str">
        <f>UPPER(IF(Drawing!$F$2=7,Drawing!S18,IF(Drawing!$Y$2=7,Drawing!AL18,IF(Drawing!$F$25=7,Drawing!S40,IF(Drawing!$Y$25=7,Drawing!AL41,IF(Drawing!$F$48=7,Drawing!S63,IF(Drawing!$Y$48=7,Drawing!AL63,"")))))))</f>
        <v/>
      </c>
      <c r="AC31" s="12" t="s">
        <v>19</v>
      </c>
      <c r="AD31" s="359" t="s">
        <v>166</v>
      </c>
      <c r="AE31" s="1050">
        <f>IF(ISERROR(M30*N30/1000000),,M30*N30/1000000)</f>
        <v>0</v>
      </c>
    </row>
    <row r="32" spans="2:33" ht="15.75" thickBot="1" x14ac:dyDescent="0.25">
      <c r="B32" s="479"/>
      <c r="C32" s="193" t="str">
        <f>IF(Pricing!C28="","",Pricing!C28)</f>
        <v/>
      </c>
      <c r="D32" s="1045"/>
      <c r="E32" s="1015"/>
      <c r="F32" s="13" t="s">
        <v>28</v>
      </c>
      <c r="G32" s="13" t="str">
        <f>IF(Pricing!G28="","",Pricing!G28)</f>
        <v/>
      </c>
      <c r="H32" s="1012"/>
      <c r="I32" s="989"/>
      <c r="J32" s="1015"/>
      <c r="K32" s="1012"/>
      <c r="L32" s="989"/>
      <c r="M32" s="1012"/>
      <c r="N32" s="1012"/>
      <c r="O32" s="1056"/>
      <c r="P32" s="989"/>
      <c r="Q32" s="26" t="s">
        <v>167</v>
      </c>
      <c r="R32" s="26" t="s">
        <v>168</v>
      </c>
      <c r="S32" s="565" t="str">
        <f>IF(Pricing!Q28="","",Pricing!Q28)</f>
        <v/>
      </c>
      <c r="T32" s="566"/>
      <c r="U32" s="566"/>
      <c r="V32" s="566"/>
      <c r="W32" s="566"/>
      <c r="X32" s="566"/>
      <c r="Y32" s="566"/>
      <c r="Z32" s="566"/>
      <c r="AA32" s="566"/>
      <c r="AB32" s="566"/>
      <c r="AC32" s="564"/>
      <c r="AD32" s="211"/>
      <c r="AE32" s="1051"/>
    </row>
    <row r="33" spans="2:33" x14ac:dyDescent="0.2">
      <c r="B33" s="479">
        <v>8</v>
      </c>
      <c r="C33" s="159" t="str">
        <f>IF(Pricing!C29="","",Pricing!C29)</f>
        <v/>
      </c>
      <c r="D33" s="1043" t="str">
        <f>IF(Pricing!D29="","",Pricing!D29)</f>
        <v/>
      </c>
      <c r="E33" s="1057" t="str">
        <f>IF(Pricing!E29="","",Pricing!E29)</f>
        <v/>
      </c>
      <c r="F33" s="1048" t="str">
        <f>IF(Pricing!F29="","",Pricing!F29)</f>
        <v/>
      </c>
      <c r="G33" s="1060"/>
      <c r="H33" s="1011" t="str">
        <f>IF(Pricing!H29="","",Pricing!H29)</f>
        <v/>
      </c>
      <c r="I33" s="987" t="str">
        <f>IF(Pricing!I29="","",Pricing!I29)</f>
        <v/>
      </c>
      <c r="J33" s="24">
        <v>0</v>
      </c>
      <c r="K33" s="1011"/>
      <c r="L33" s="988" t="str">
        <f>IF(Pricing!J29="","",Pricing!J29)</f>
        <v/>
      </c>
      <c r="M33" s="1011" t="str">
        <f>UPPER(IF(Drawing!$F$2=8,Drawing!D17,IF(Drawing!$Y$2=8,Drawing!W17,IF(Drawing!$F$25=8,Drawing!D40,IF(Drawing!$Y$25=8,Drawing!W40,IF(Drawing!$F$48=8,Drawing!D63,IF(Drawing!$Y$48=8,Drawing!W63,"")))))))</f>
        <v/>
      </c>
      <c r="N33" s="1011" t="str">
        <f>UPPER(IF(Drawing!$F$2=8,Drawing!D19,IF(Drawing!$Y$2=8,Drawing!W19,IF(Drawing!$F$25=8,Drawing!D42,IF(Drawing!$Y$25=8,Drawing!W42,IF(Drawing!$F$48=8,Drawing!D65,IF(Drawing!$Y$48=8,Drawing!W65,"")))))))</f>
        <v/>
      </c>
      <c r="O33" s="1055" t="str">
        <f>UPPER(IF(Drawing!$F$2=8,Drawing!D21,IF(Drawing!$Y$2=8,Drawing!W21,IF(Drawing!$F$25=8,Drawing!D44,IF(Drawing!$Y$25=8,Drawing!W44,IF(Drawing!$F$48=8,Drawing!D67,IF(Drawing!$Y$48=8,Drawing!W67,"")))))))</f>
        <v/>
      </c>
      <c r="P33" s="987"/>
      <c r="Q33" s="1057"/>
      <c r="R33" s="222" t="s">
        <v>164</v>
      </c>
      <c r="S33" s="190" t="str">
        <f>UPPER(IF(Drawing!$F$2=8,Drawing!AW5,IF(Drawing!$Y$2=8,Drawing!AC17,IF(Drawing!$F$25=8,Drawing!J40,IF(Drawing!$Y$25=8,Drawing!AC40,IF(Drawing!$F$48=8,Drawing!J63,IF(Drawing!$Y$48=8,Drawing!AC63,IF(Pricing!Q29="","",Pricing!Q29))))))))</f>
        <v/>
      </c>
      <c r="T33" s="190" t="str">
        <f>UPPER(IF(Drawing!$F$2=8,Drawing!AX5,IF(Drawing!$Y$2=8,Drawing!AD17,IF(Drawing!$F$25=8,Drawing!K40,IF(Drawing!$Y$25=8,Drawing!AD40,IF(Drawing!$F$48=8,Drawing!K63,IF(Drawing!$Y$48=8,Drawing!AD63,IF(Pricing!R29="","",Pricing!R29))))))))</f>
        <v/>
      </c>
      <c r="U33" s="190" t="str">
        <f>UPPER(IF(Drawing!$F$2=8,Drawing!AY5,IF(Drawing!$Y$2=8,Drawing!AE17,IF(Drawing!$F$25=8,Drawing!L40,IF(Drawing!$Y$25=8,Drawing!AE40,IF(Drawing!$F$48=8,Drawing!L63,IF(Drawing!$Y$48=8,Drawing!AE63,IF(Pricing!S29="","",Pricing!S29))))))))</f>
        <v/>
      </c>
      <c r="V33" s="190" t="str">
        <f>UPPER(IF(Drawing!$F$2=8,Drawing!AZ5,IF(Drawing!$Y$2=8,Drawing!AF17,IF(Drawing!$F$25=8,Drawing!M40,IF(Drawing!$Y$25=8,Drawing!AF40,IF(Drawing!$F$48=8,Drawing!M63,IF(Drawing!$Y$48=8,Drawing!AF63,IF(Pricing!T29="","",Pricing!T29))))))))</f>
        <v/>
      </c>
      <c r="W33" s="190" t="str">
        <f>UPPER(IF(Drawing!$F$2=8,Drawing!BA5,IF(Drawing!$Y$2=8,Drawing!AG17,IF(Drawing!$F$25=8,Drawing!N40,IF(Drawing!$Y$25=8,Drawing!AG40,IF(Drawing!$F$48=8,Drawing!N63,IF(Drawing!$Y$48=8,Drawing!AG63,IF(Pricing!U29="","",Pricing!U29))))))))</f>
        <v/>
      </c>
      <c r="X33" s="190" t="str">
        <f>UPPER(IF(Drawing!$F$2=8,Drawing!BB5,IF(Drawing!$Y$2=8,Drawing!AH17,IF(Drawing!$F$25=8,Drawing!O40,IF(Drawing!$Y$25=8,Drawing!AH40,IF(Drawing!$F$48=8,Drawing!O63,IF(Drawing!$Y$48=8,Drawing!AH63,IF(Pricing!V29="","",Pricing!V29))))))))</f>
        <v/>
      </c>
      <c r="Y33" s="190" t="str">
        <f>UPPER(IF(Drawing!$F$2=8,Drawing!BC5,IF(Drawing!$Y$2=8,Drawing!AI17,IF(Drawing!$F$25=8,Drawing!P40,IF(Drawing!$Y$25=8,Drawing!AI40,IF(Drawing!$F$48=8,Drawing!P63,IF(Drawing!$Y$48=8,Drawing!AI63,IF(Pricing!W29="","",Pricing!W29))))))))</f>
        <v/>
      </c>
      <c r="Z33" s="190" t="str">
        <f>UPPER(IF(Drawing!$F$2=8,Drawing!BD5,IF(Drawing!$Y$2=8,Drawing!AJ17,IF(Drawing!$F$25=8,Drawing!Q40,IF(Drawing!$Y$25=8,Drawing!AJ40,IF(Drawing!$F$48=8,Drawing!Q63,IF(Drawing!$Y$48=8,Drawing!AJ63,IF(Pricing!X29="","",Pricing!X29))))))))</f>
        <v/>
      </c>
      <c r="AA33" s="190" t="str">
        <f>UPPER(IF(Drawing!$F$2=8,Drawing!BE5,IF(Drawing!$Y$2=8,Drawing!AK17,IF(Drawing!$F$25=8,Drawing!R40,IF(Drawing!$Y$25=8,Drawing!AK40,IF(Drawing!$F$48=8,Drawing!R63,IF(Drawing!$Y$48=8,Drawing!AK63,IF(Pricing!Y29="","",Pricing!Y29))))))))</f>
        <v/>
      </c>
      <c r="AB33" s="190" t="str">
        <f>UPPER(IF(Drawing!$F$2=8,Drawing!BF5,IF(Drawing!$Y$2=8,Drawing!AL17,IF(Drawing!$F$25=8,Drawing!S40,IF(Drawing!$Y$25=8,Drawing!AL40,IF(Drawing!$F$48=8,Drawing!S63,IF(Drawing!$Y$48=8,Drawing!AL63,IF(Pricing!Z29="","",Pricing!Z29))))))))</f>
        <v/>
      </c>
      <c r="AC33" s="190" t="str">
        <f>UPPER(IF(Drawing!$F$2=8,Drawing!BG5,IF(Drawing!$Y$2=8,Drawing!AM17,IF(Drawing!$F$25=8,Drawing!T40,IF(Drawing!$Y$25=8,Drawing!AM40,IF(Drawing!$F$48=8,Drawing!T63,IF(Drawing!$Y$48=8,Drawing!AM63,IF(Pricing!AA29="","",Pricing!AA29))))))))</f>
        <v/>
      </c>
      <c r="AD33" s="224" t="str">
        <f>IF(Pricing!AD29="Quote","Q","")</f>
        <v/>
      </c>
      <c r="AE33" s="11" t="s">
        <v>21</v>
      </c>
      <c r="AF33" s="16">
        <f>COUNTIF(S33:AC33,"(T)")</f>
        <v>0</v>
      </c>
      <c r="AG33" s="16" t="b">
        <f>OR(COUNTIF(S33:AC33,"*(B)*"),COUNTIF(S33:AC33,"*(CB)*"))</f>
        <v>0</v>
      </c>
    </row>
    <row r="34" spans="2:33" x14ac:dyDescent="0.2">
      <c r="B34" s="479"/>
      <c r="C34" s="10" t="str">
        <f>IF(Pricing!C30="","",Pricing!C30)</f>
        <v/>
      </c>
      <c r="D34" s="1044"/>
      <c r="E34" s="1014"/>
      <c r="F34" s="528" t="str">
        <f>IF(Pricing!F30="","",Pricing!F30)</f>
        <v/>
      </c>
      <c r="G34" s="1013"/>
      <c r="H34" s="1011"/>
      <c r="I34" s="988"/>
      <c r="J34" s="1014"/>
      <c r="K34" s="1011"/>
      <c r="L34" s="988"/>
      <c r="M34" s="1011"/>
      <c r="N34" s="1011"/>
      <c r="O34" s="1055"/>
      <c r="P34" s="988"/>
      <c r="Q34" s="1014"/>
      <c r="R34" s="222" t="s">
        <v>165</v>
      </c>
      <c r="S34" s="359" t="str">
        <f>UPPER(IF(Drawing!$F$2=8,Drawing!J18,IF(Drawing!$Y$2=8,Drawing!AC18,IF(Drawing!$F$25=8,Drawing!J40,IF(Drawing!$Y$25=8,Drawing!AC41,IF(Drawing!$F$48=8,Drawing!J63,IF(Drawing!$Y$48=8,Drawing!AC63,"")))))))</f>
        <v/>
      </c>
      <c r="T34" s="359" t="str">
        <f>UPPER(IF(Drawing!$F$2=8,Drawing!K18,IF(Drawing!$Y$2=8,Drawing!AD18,IF(Drawing!$F$25=8,Drawing!K40,IF(Drawing!$Y$25=8,Drawing!AD41,IF(Drawing!$F$48=8,Drawing!K63,IF(Drawing!$Y$48=8,Drawing!AD63,"")))))))</f>
        <v/>
      </c>
      <c r="U34" s="359" t="str">
        <f>UPPER(IF(Drawing!$F$2=8,Drawing!L18,IF(Drawing!$Y$2=8,Drawing!AE18,IF(Drawing!$F$25=8,Drawing!L40,IF(Drawing!$Y$25=8,Drawing!AE41,IF(Drawing!$F$48=8,Drawing!L63,IF(Drawing!$Y$48=8,Drawing!AE63,"")))))))</f>
        <v/>
      </c>
      <c r="V34" s="359" t="str">
        <f>UPPER(IF(Drawing!$F$2=8,Drawing!M18,IF(Drawing!$Y$2=8,Drawing!AF18,IF(Drawing!$F$25=8,Drawing!M40,IF(Drawing!$Y$25=8,Drawing!AF41,IF(Drawing!$F$48=8,Drawing!M63,IF(Drawing!$Y$48=8,Drawing!AF63,"")))))))</f>
        <v/>
      </c>
      <c r="W34" s="359" t="str">
        <f>UPPER(IF(Drawing!$F$2=8,Drawing!N18,IF(Drawing!$Y$2=8,Drawing!AG18,IF(Drawing!$F$25=8,Drawing!N40,IF(Drawing!$Y$25=8,Drawing!AG41,IF(Drawing!$F$48=8,Drawing!N63,IF(Drawing!$Y$48=8,Drawing!AG63,"")))))))</f>
        <v/>
      </c>
      <c r="X34" s="359" t="str">
        <f>UPPER(IF(Drawing!$F$2=8,Drawing!O18,IF(Drawing!$Y$2=8,Drawing!AH18,IF(Drawing!$F$25=8,Drawing!O40,IF(Drawing!$Y$25=8,Drawing!AH41,IF(Drawing!$F$48=8,Drawing!O63,IF(Drawing!$Y$48=8,Drawing!AH63,"")))))))</f>
        <v/>
      </c>
      <c r="Y34" s="359" t="str">
        <f>UPPER(IF(Drawing!$F$2=8,Drawing!P18,IF(Drawing!$Y$2=8,Drawing!AI18,IF(Drawing!$F$25=8,Drawing!P40,IF(Drawing!$Y$25=8,Drawing!AI41,IF(Drawing!$F$48=8,Drawing!P63,IF(Drawing!$Y$48=8,Drawing!AI63,"")))))))</f>
        <v/>
      </c>
      <c r="Z34" s="359" t="str">
        <f>UPPER(IF(Drawing!$F$2=8,Drawing!Q18,IF(Drawing!$Y$2=8,Drawing!AJ18,IF(Drawing!$F$25=8,Drawing!Q40,IF(Drawing!$Y$25=8,Drawing!AJ41,IF(Drawing!$F$48=8,Drawing!Q63,IF(Drawing!$Y$48=8,Drawing!AJ63,"")))))))</f>
        <v/>
      </c>
      <c r="AA34" s="359" t="str">
        <f>UPPER(IF(Drawing!$F$2=8,Drawing!R18,IF(Drawing!$Y$2=8,Drawing!AK18,IF(Drawing!$F$25=8,Drawing!R40,IF(Drawing!$Y$25=8,Drawing!AK41,IF(Drawing!$F$48=8,Drawing!R63,IF(Drawing!$Y$48=8,Drawing!AK63,"")))))))</f>
        <v/>
      </c>
      <c r="AB34" s="359" t="str">
        <f>UPPER(IF(Drawing!$F$2=8,Drawing!S18,IF(Drawing!$Y$2=8,Drawing!AL18,IF(Drawing!$F$25=8,Drawing!S40,IF(Drawing!$Y$25=8,Drawing!AL41,IF(Drawing!$F$48=8,Drawing!S63,IF(Drawing!$Y$48=8,Drawing!AL63,"")))))))</f>
        <v/>
      </c>
      <c r="AC34" s="12" t="s">
        <v>19</v>
      </c>
      <c r="AD34" s="359" t="s">
        <v>166</v>
      </c>
      <c r="AE34" s="1050">
        <f>IF(ISERROR(M33*N33/1000000),,M33*N33/1000000)</f>
        <v>0</v>
      </c>
    </row>
    <row r="35" spans="2:33" ht="15.75" thickBot="1" x14ac:dyDescent="0.25">
      <c r="B35" s="479"/>
      <c r="C35" s="10" t="str">
        <f>IF(Pricing!C31="","",Pricing!C31)</f>
        <v/>
      </c>
      <c r="D35" s="1062"/>
      <c r="E35" s="1047"/>
      <c r="F35" s="13" t="s">
        <v>28</v>
      </c>
      <c r="G35" s="13" t="str">
        <f>IF(Pricing!G31="","",Pricing!G31)</f>
        <v/>
      </c>
      <c r="H35" s="1012"/>
      <c r="I35" s="989"/>
      <c r="J35" s="1015"/>
      <c r="K35" s="1012"/>
      <c r="L35" s="989"/>
      <c r="M35" s="1012"/>
      <c r="N35" s="1012"/>
      <c r="O35" s="1056"/>
      <c r="P35" s="989"/>
      <c r="Q35" s="26" t="s">
        <v>167</v>
      </c>
      <c r="R35" s="26" t="s">
        <v>168</v>
      </c>
      <c r="S35" s="567" t="str">
        <f>IF(Pricing!Q31="","",Pricing!Q31)</f>
        <v/>
      </c>
      <c r="T35" s="568"/>
      <c r="U35" s="568"/>
      <c r="V35" s="568"/>
      <c r="W35" s="568"/>
      <c r="X35" s="568"/>
      <c r="Y35" s="568"/>
      <c r="Z35" s="568"/>
      <c r="AA35" s="568"/>
      <c r="AB35" s="568"/>
      <c r="AC35" s="569"/>
      <c r="AD35" s="211"/>
      <c r="AE35" s="1051"/>
    </row>
    <row r="36" spans="2:33" x14ac:dyDescent="0.2">
      <c r="B36" s="479">
        <v>9</v>
      </c>
      <c r="C36" s="159" t="str">
        <f>IF(Pricing!C32="","",Pricing!C32)</f>
        <v/>
      </c>
      <c r="D36" s="1061" t="str">
        <f>IF(Pricing!D32="","",Pricing!D32)</f>
        <v/>
      </c>
      <c r="E36" s="1046" t="str">
        <f>IF(Pricing!E32="","",Pricing!E32)</f>
        <v/>
      </c>
      <c r="F36" s="1048" t="str">
        <f>IF(Pricing!F32="","",Pricing!F32)</f>
        <v/>
      </c>
      <c r="G36" s="1060"/>
      <c r="H36" s="1011" t="str">
        <f>IF(Pricing!H32="","",Pricing!H32)</f>
        <v/>
      </c>
      <c r="I36" s="987" t="str">
        <f>IF(Pricing!I32="","",Pricing!I32)</f>
        <v/>
      </c>
      <c r="J36" s="24">
        <v>0</v>
      </c>
      <c r="K36" s="1011"/>
      <c r="L36" s="988" t="str">
        <f>IF(Pricing!J32="","",Pricing!J32)</f>
        <v/>
      </c>
      <c r="M36" s="1011" t="str">
        <f>UPPER(IF(Drawing!$F$2=9,Drawing!D17,IF(Drawing!$Y$2=9,Drawing!W17,IF(Drawing!$F$25=9,Drawing!D40,IF(Drawing!$Y$25=9,Drawing!W40,IF(Drawing!$F$48=9,Drawing!D63,IF(Drawing!$Y$48=9,Drawing!W63,"")))))))</f>
        <v/>
      </c>
      <c r="N36" s="1011" t="str">
        <f>UPPER(IF(Drawing!$F$2=9,Drawing!D19,IF(Drawing!$Y$2=9,Drawing!W19,IF(Drawing!$F$25=9,Drawing!D42,IF(Drawing!$Y$25=9,Drawing!W42,IF(Drawing!$F$48=9,Drawing!D65,IF(Drawing!$Y$48=9,Drawing!W65,"")))))))</f>
        <v/>
      </c>
      <c r="O36" s="1055" t="str">
        <f>UPPER(IF(Drawing!$F$2=9,Drawing!D21,IF(Drawing!$Y$2=9,Drawing!W21,IF(Drawing!$F$25=9,Drawing!D44,IF(Drawing!$Y$25=9,Drawing!W44,IF(Drawing!$F$48=9,Drawing!D67,IF(Drawing!$Y$48=9,Drawing!W67,"")))))))</f>
        <v/>
      </c>
      <c r="P36" s="987"/>
      <c r="Q36" s="1057"/>
      <c r="R36" s="222" t="s">
        <v>164</v>
      </c>
      <c r="S36" s="190" t="str">
        <f>UPPER(IF(Drawing!$F$2=9,Drawing!AW5,IF(Drawing!$Y$2=9,Drawing!AC17,IF(Drawing!$F$25=9,Drawing!J40,IF(Drawing!$Y$25=9,Drawing!AC40,IF(Drawing!$F$48=9,Drawing!J63,IF(Drawing!$Y$48=9,Drawing!AC63,IF(Pricing!Q32="","",Pricing!Q32))))))))</f>
        <v/>
      </c>
      <c r="T36" s="190" t="str">
        <f>UPPER(IF(Drawing!$F$2=9,Drawing!AX5,IF(Drawing!$Y$2=9,Drawing!AD17,IF(Drawing!$F$25=9,Drawing!K40,IF(Drawing!$Y$25=9,Drawing!AD40,IF(Drawing!$F$48=9,Drawing!K63,IF(Drawing!$Y$48=9,Drawing!AD63,IF(Pricing!R32="","",Pricing!R32))))))))</f>
        <v/>
      </c>
      <c r="U36" s="190" t="str">
        <f>UPPER(IF(Drawing!$F$2=9,Drawing!AY5,IF(Drawing!$Y$2=9,Drawing!AE17,IF(Drawing!$F$25=9,Drawing!L40,IF(Drawing!$Y$25=9,Drawing!AE40,IF(Drawing!$F$48=9,Drawing!L63,IF(Drawing!$Y$48=9,Drawing!AE63,IF(Pricing!S32="","",Pricing!S32))))))))</f>
        <v/>
      </c>
      <c r="V36" s="190" t="str">
        <f>UPPER(IF(Drawing!$F$2=9,Drawing!AZ5,IF(Drawing!$Y$2=9,Drawing!AF17,IF(Drawing!$F$25=9,Drawing!M40,IF(Drawing!$Y$25=9,Drawing!AF40,IF(Drawing!$F$48=9,Drawing!M63,IF(Drawing!$Y$48=9,Drawing!AF63,IF(Pricing!T32="","",Pricing!T32))))))))</f>
        <v/>
      </c>
      <c r="W36" s="190" t="str">
        <f>UPPER(IF(Drawing!$F$2=9,Drawing!BA5,IF(Drawing!$Y$2=9,Drawing!AG17,IF(Drawing!$F$25=9,Drawing!N40,IF(Drawing!$Y$25=9,Drawing!AG40,IF(Drawing!$F$48=9,Drawing!N63,IF(Drawing!$Y$48=9,Drawing!AG63,IF(Pricing!U32="","",Pricing!U32))))))))</f>
        <v/>
      </c>
      <c r="X36" s="190" t="str">
        <f>UPPER(IF(Drawing!$F$2=9,Drawing!BB5,IF(Drawing!$Y$2=9,Drawing!AH17,IF(Drawing!$F$25=9,Drawing!O40,IF(Drawing!$Y$25=9,Drawing!AH40,IF(Drawing!$F$48=9,Drawing!O63,IF(Drawing!$Y$48=9,Drawing!AH63,IF(Pricing!V32="","",Pricing!V32))))))))</f>
        <v/>
      </c>
      <c r="Y36" s="190" t="str">
        <f>UPPER(IF(Drawing!$F$2=9,Drawing!BC5,IF(Drawing!$Y$2=9,Drawing!AI17,IF(Drawing!$F$25=9,Drawing!P40,IF(Drawing!$Y$25=9,Drawing!AI40,IF(Drawing!$F$48=9,Drawing!P63,IF(Drawing!$Y$48=9,Drawing!AI63,IF(Pricing!W32="","",Pricing!W32))))))))</f>
        <v/>
      </c>
      <c r="Z36" s="190" t="str">
        <f>UPPER(IF(Drawing!$F$2=9,Drawing!BD5,IF(Drawing!$Y$2=9,Drawing!AJ17,IF(Drawing!$F$25=9,Drawing!Q40,IF(Drawing!$Y$25=9,Drawing!AJ40,IF(Drawing!$F$48=9,Drawing!Q63,IF(Drawing!$Y$48=9,Drawing!AJ63,IF(Pricing!X32="","",Pricing!X32))))))))</f>
        <v/>
      </c>
      <c r="AA36" s="190" t="str">
        <f>UPPER(IF(Drawing!$F$2=9,Drawing!BE5,IF(Drawing!$Y$2=9,Drawing!AK17,IF(Drawing!$F$25=9,Drawing!R40,IF(Drawing!$Y$25=9,Drawing!AK40,IF(Drawing!$F$48=9,Drawing!R63,IF(Drawing!$Y$48=9,Drawing!AK63,IF(Pricing!Y32="","",Pricing!Y32))))))))</f>
        <v/>
      </c>
      <c r="AB36" s="190" t="str">
        <f>UPPER(IF(Drawing!$F$2=9,Drawing!BF5,IF(Drawing!$Y$2=9,Drawing!AL17,IF(Drawing!$F$25=9,Drawing!S40,IF(Drawing!$Y$25=9,Drawing!AL40,IF(Drawing!$F$48=9,Drawing!S63,IF(Drawing!$Y$48=9,Drawing!AL63,IF(Pricing!Z32="","",Pricing!Z32))))))))</f>
        <v/>
      </c>
      <c r="AC36" s="190" t="str">
        <f>UPPER(IF(Drawing!$F$2=9,Drawing!BG5,IF(Drawing!$Y$2=9,Drawing!AM17,IF(Drawing!$F$25=9,Drawing!T40,IF(Drawing!$Y$25=9,Drawing!AM40,IF(Drawing!$F$48=9,Drawing!T63,IF(Drawing!$Y$48=9,Drawing!AM63,IF(Pricing!AA32="","",Pricing!AA32))))))))</f>
        <v/>
      </c>
      <c r="AD36" s="224" t="str">
        <f>IF(Pricing!AD32="Quote","Q","")</f>
        <v/>
      </c>
      <c r="AE36" s="11" t="s">
        <v>21</v>
      </c>
      <c r="AF36" s="16">
        <f>COUNTIF(S36:AC36,"(T)")</f>
        <v>0</v>
      </c>
      <c r="AG36" s="16" t="b">
        <f>OR(COUNTIF(S36:AC36,"*(B)*"),COUNTIF(S36:AC36,"*(CB)*"))</f>
        <v>0</v>
      </c>
    </row>
    <row r="37" spans="2:33" x14ac:dyDescent="0.2">
      <c r="B37" s="479"/>
      <c r="C37" s="10" t="str">
        <f>IF(Pricing!C33="","",Pricing!C33)</f>
        <v/>
      </c>
      <c r="D37" s="1044"/>
      <c r="E37" s="1014"/>
      <c r="F37" s="528" t="str">
        <f>IF(Pricing!F33="","",Pricing!F33)</f>
        <v/>
      </c>
      <c r="G37" s="1013"/>
      <c r="H37" s="1011"/>
      <c r="I37" s="988"/>
      <c r="J37" s="1014"/>
      <c r="K37" s="1011"/>
      <c r="L37" s="988"/>
      <c r="M37" s="1011"/>
      <c r="N37" s="1011"/>
      <c r="O37" s="1055"/>
      <c r="P37" s="988"/>
      <c r="Q37" s="1014"/>
      <c r="R37" s="222" t="s">
        <v>165</v>
      </c>
      <c r="S37" s="359" t="str">
        <f>UPPER(IF(Drawing!$F$2=9,Drawing!J18,IF(Drawing!$Y$2=9,Drawing!AC18,IF(Drawing!$F$25=9,Drawing!J40,IF(Drawing!$Y$25=9,Drawing!AC41,IF(Drawing!$F$48=9,Drawing!J63,IF(Drawing!$Y$48=9,Drawing!AC63,"")))))))</f>
        <v/>
      </c>
      <c r="T37" s="359" t="str">
        <f>UPPER(IF(Drawing!$F$2=9,Drawing!K18,IF(Drawing!$Y$2=9,Drawing!AD18,IF(Drawing!$F$25=9,Drawing!K40,IF(Drawing!$Y$25=9,Drawing!AD41,IF(Drawing!$F$48=9,Drawing!K63,IF(Drawing!$Y$48=9,Drawing!AD63,"")))))))</f>
        <v/>
      </c>
      <c r="U37" s="359" t="str">
        <f>UPPER(IF(Drawing!$F$2=9,Drawing!L18,IF(Drawing!$Y$2=9,Drawing!AE18,IF(Drawing!$F$25=9,Drawing!L40,IF(Drawing!$Y$25=9,Drawing!AE41,IF(Drawing!$F$48=9,Drawing!L63,IF(Drawing!$Y$48=9,Drawing!AE63,"")))))))</f>
        <v/>
      </c>
      <c r="V37" s="359" t="str">
        <f>UPPER(IF(Drawing!$F$2=9,Drawing!M18,IF(Drawing!$Y$2=9,Drawing!AF18,IF(Drawing!$F$25=9,Drawing!M40,IF(Drawing!$Y$25=9,Drawing!AF41,IF(Drawing!$F$48=9,Drawing!M63,IF(Drawing!$Y$48=9,Drawing!AF63,"")))))))</f>
        <v/>
      </c>
      <c r="W37" s="359" t="str">
        <f>UPPER(IF(Drawing!$F$2=9,Drawing!N18,IF(Drawing!$Y$2=9,Drawing!AG18,IF(Drawing!$F$25=9,Drawing!N40,IF(Drawing!$Y$25=9,Drawing!AG41,IF(Drawing!$F$48=9,Drawing!N63,IF(Drawing!$Y$48=9,Drawing!AG63,"")))))))</f>
        <v/>
      </c>
      <c r="X37" s="359" t="str">
        <f>UPPER(IF(Drawing!$F$2=9,Drawing!O18,IF(Drawing!$Y$2=9,Drawing!AH18,IF(Drawing!$F$25=9,Drawing!O40,IF(Drawing!$Y$25=9,Drawing!AH41,IF(Drawing!$F$48=9,Drawing!O63,IF(Drawing!$Y$48=9,Drawing!AH63,"")))))))</f>
        <v/>
      </c>
      <c r="Y37" s="359" t="str">
        <f>UPPER(IF(Drawing!$F$2=9,Drawing!P18,IF(Drawing!$Y$2=9,Drawing!AI18,IF(Drawing!$F$25=9,Drawing!P40,IF(Drawing!$Y$25=9,Drawing!AI41,IF(Drawing!$F$48=9,Drawing!P63,IF(Drawing!$Y$48=9,Drawing!AI63,"")))))))</f>
        <v/>
      </c>
      <c r="Z37" s="359" t="str">
        <f>UPPER(IF(Drawing!$F$2=9,Drawing!Q18,IF(Drawing!$Y$2=9,Drawing!AJ18,IF(Drawing!$F$25=9,Drawing!Q40,IF(Drawing!$Y$25=9,Drawing!AJ41,IF(Drawing!$F$48=9,Drawing!Q63,IF(Drawing!$Y$48=9,Drawing!AJ63,"")))))))</f>
        <v/>
      </c>
      <c r="AA37" s="359" t="str">
        <f>UPPER(IF(Drawing!$F$2=9,Drawing!R18,IF(Drawing!$Y$2=9,Drawing!AK18,IF(Drawing!$F$25=9,Drawing!R40,IF(Drawing!$Y$25=9,Drawing!AK41,IF(Drawing!$F$48=9,Drawing!R63,IF(Drawing!$Y$48=9,Drawing!AK63,"")))))))</f>
        <v/>
      </c>
      <c r="AB37" s="359" t="str">
        <f>UPPER(IF(Drawing!$F$2=9,Drawing!S18,IF(Drawing!$Y$2=9,Drawing!AL18,IF(Drawing!$F$25=9,Drawing!S40,IF(Drawing!$Y$25=9,Drawing!AL41,IF(Drawing!$F$48=9,Drawing!S63,IF(Drawing!$Y$48=9,Drawing!AL63,"")))))))</f>
        <v/>
      </c>
      <c r="AC37" s="12" t="s">
        <v>19</v>
      </c>
      <c r="AD37" s="359" t="s">
        <v>166</v>
      </c>
      <c r="AE37" s="1050">
        <f>IF(ISERROR(M36*N36/1000000),,M36*N36/1000000)</f>
        <v>0</v>
      </c>
    </row>
    <row r="38" spans="2:33" ht="15.75" thickBot="1" x14ac:dyDescent="0.25">
      <c r="B38" s="479"/>
      <c r="C38" s="193" t="str">
        <f>IF(Pricing!C34="","",Pricing!C34)</f>
        <v/>
      </c>
      <c r="D38" s="1045"/>
      <c r="E38" s="1015"/>
      <c r="F38" s="225" t="s">
        <v>28</v>
      </c>
      <c r="G38" s="13" t="str">
        <f>IF(Pricing!G34="","",Pricing!G34)</f>
        <v/>
      </c>
      <c r="H38" s="1012"/>
      <c r="I38" s="989"/>
      <c r="J38" s="1015"/>
      <c r="K38" s="1012"/>
      <c r="L38" s="989"/>
      <c r="M38" s="1012"/>
      <c r="N38" s="1012"/>
      <c r="O38" s="1056"/>
      <c r="P38" s="989"/>
      <c r="Q38" s="26" t="s">
        <v>167</v>
      </c>
      <c r="R38" s="26" t="s">
        <v>168</v>
      </c>
      <c r="S38" s="567" t="str">
        <f>IF(Pricing!Q34="","",Pricing!Q34)</f>
        <v/>
      </c>
      <c r="T38" s="568"/>
      <c r="U38" s="568"/>
      <c r="V38" s="568"/>
      <c r="W38" s="568"/>
      <c r="X38" s="568"/>
      <c r="Y38" s="568"/>
      <c r="Z38" s="568"/>
      <c r="AA38" s="568"/>
      <c r="AB38" s="568"/>
      <c r="AC38" s="569"/>
      <c r="AD38" s="211"/>
      <c r="AE38" s="1051"/>
    </row>
    <row r="39" spans="2:33" x14ac:dyDescent="0.2">
      <c r="B39" s="479">
        <v>10</v>
      </c>
      <c r="C39" s="159" t="str">
        <f>IF(Pricing!C35="","",Pricing!C35)</f>
        <v/>
      </c>
      <c r="D39" s="1043" t="str">
        <f>IF(Pricing!D35="","",Pricing!D35)</f>
        <v/>
      </c>
      <c r="E39" s="1057" t="str">
        <f>IF(Pricing!E35="","",Pricing!E35)</f>
        <v/>
      </c>
      <c r="F39" s="1063" t="str">
        <f>IF(Pricing!F35="","",Pricing!F35)</f>
        <v/>
      </c>
      <c r="G39" s="1064"/>
      <c r="H39" s="1011" t="str">
        <f>IF(Pricing!H35="","",Pricing!H35)</f>
        <v/>
      </c>
      <c r="I39" s="987" t="str">
        <f>IF(Pricing!I35="","",Pricing!I35)</f>
        <v/>
      </c>
      <c r="J39" s="24">
        <v>0</v>
      </c>
      <c r="K39" s="1011"/>
      <c r="L39" s="988" t="str">
        <f>IF(Pricing!J35="","",Pricing!J35)</f>
        <v/>
      </c>
      <c r="M39" s="1011" t="str">
        <f>UPPER(IF(Drawing!$F$2=10,Drawing!D17,IF(Drawing!$Y$2=10,Drawing!W17,IF(Drawing!$F$25=10,Drawing!D40,IF(Drawing!$Y$25=10,Drawing!W40,IF(Drawing!$F$48=10,Drawing!D63,IF(Drawing!$Y$48=10,Drawing!W63,"")))))))</f>
        <v/>
      </c>
      <c r="N39" s="1011" t="str">
        <f>UPPER(IF(Drawing!$F$2=10,Drawing!D19,IF(Drawing!$Y$2=10,Drawing!W19,IF(Drawing!$F$25=10,Drawing!D42,IF(Drawing!$Y$25=10,Drawing!W42,IF(Drawing!$F$48=10,Drawing!D65,IF(Drawing!$Y$48=10,Drawing!W65,"")))))))</f>
        <v/>
      </c>
      <c r="O39" s="1055" t="str">
        <f>UPPER(IF(Drawing!$F$2=10,Drawing!D21,IF(Drawing!$Y$2=10,Drawing!W21,IF(Drawing!$F$25=10,Drawing!D44,IF(Drawing!$Y$25=10,Drawing!W44,IF(Drawing!$F$48=10,Drawing!D67,IF(Drawing!$Y$48=10,Drawing!W67,"")))))))</f>
        <v/>
      </c>
      <c r="P39" s="987"/>
      <c r="Q39" s="1057"/>
      <c r="R39" s="222" t="s">
        <v>164</v>
      </c>
      <c r="S39" s="190" t="str">
        <f>UPPER(IF(Drawing!$F$2=10,Drawing!AW5,IF(Drawing!$Y$2=10,Drawing!AC17,IF(Drawing!$F$25=10,Drawing!J40,IF(Drawing!$Y$25=10,Drawing!AC40,IF(Drawing!$F$48=10,Drawing!J63,IF(Drawing!$Y$48=10,Drawing!AC63,IF(Pricing!Q35="","",Pricing!Q35))))))))</f>
        <v/>
      </c>
      <c r="T39" s="190" t="str">
        <f>UPPER(IF(Drawing!$F$2=10,Drawing!AX5,IF(Drawing!$Y$2=10,Drawing!AD17,IF(Drawing!$F$25=10,Drawing!K40,IF(Drawing!$Y$25=10,Drawing!AD40,IF(Drawing!$F$48=10,Drawing!K63,IF(Drawing!$Y$48=10,Drawing!AD63,IF(Pricing!R35="","",Pricing!R35))))))))</f>
        <v/>
      </c>
      <c r="U39" s="190" t="str">
        <f>UPPER(IF(Drawing!$F$2=10,Drawing!AY5,IF(Drawing!$Y$2=10,Drawing!AE17,IF(Drawing!$F$25=10,Drawing!L40,IF(Drawing!$Y$25=10,Drawing!AE40,IF(Drawing!$F$48=10,Drawing!L63,IF(Drawing!$Y$48=10,Drawing!AE63,IF(Pricing!S35="","",Pricing!S35))))))))</f>
        <v/>
      </c>
      <c r="V39" s="190" t="str">
        <f>UPPER(IF(Drawing!$F$2=10,Drawing!AZ5,IF(Drawing!$Y$2=10,Drawing!AF17,IF(Drawing!$F$25=10,Drawing!M40,IF(Drawing!$Y$25=10,Drawing!AF40,IF(Drawing!$F$48=10,Drawing!M63,IF(Drawing!$Y$48=10,Drawing!AF63,IF(Pricing!T35="","",Pricing!T35))))))))</f>
        <v/>
      </c>
      <c r="W39" s="190" t="str">
        <f>UPPER(IF(Drawing!$F$2=10,Drawing!BA5,IF(Drawing!$Y$2=10,Drawing!AG17,IF(Drawing!$F$25=10,Drawing!N40,IF(Drawing!$Y$25=10,Drawing!AG40,IF(Drawing!$F$48=10,Drawing!N63,IF(Drawing!$Y$48=10,Drawing!AG63,IF(Pricing!U35="","",Pricing!U35))))))))</f>
        <v/>
      </c>
      <c r="X39" s="190" t="str">
        <f>UPPER(IF(Drawing!$F$2=10,Drawing!BB5,IF(Drawing!$Y$2=10,Drawing!AH17,IF(Drawing!$F$25=10,Drawing!O40,IF(Drawing!$Y$25=10,Drawing!AH40,IF(Drawing!$F$48=10,Drawing!O63,IF(Drawing!$Y$48=10,Drawing!AH63,IF(Pricing!V35="","",Pricing!V35))))))))</f>
        <v/>
      </c>
      <c r="Y39" s="190" t="str">
        <f>UPPER(IF(Drawing!$F$2=10,Drawing!BC5,IF(Drawing!$Y$2=10,Drawing!AI17,IF(Drawing!$F$25=10,Drawing!P40,IF(Drawing!$Y$25=10,Drawing!AI40,IF(Drawing!$F$48=10,Drawing!P63,IF(Drawing!$Y$48=10,Drawing!AI63,IF(Pricing!W35="","",Pricing!W35))))))))</f>
        <v/>
      </c>
      <c r="Z39" s="190" t="str">
        <f>UPPER(IF(Drawing!$F$2=10,Drawing!BD5,IF(Drawing!$Y$2=10,Drawing!AJ17,IF(Drawing!$F$25=10,Drawing!Q40,IF(Drawing!$Y$25=10,Drawing!AJ40,IF(Drawing!$F$48=10,Drawing!Q63,IF(Drawing!$Y$48=10,Drawing!AJ63,IF(Pricing!X35="","",Pricing!X35))))))))</f>
        <v/>
      </c>
      <c r="AA39" s="190" t="str">
        <f>UPPER(IF(Drawing!$F$2=10,Drawing!BE5,IF(Drawing!$Y$2=10,Drawing!AK17,IF(Drawing!$F$25=10,Drawing!R40,IF(Drawing!$Y$25=10,Drawing!AK40,IF(Drawing!$F$48=10,Drawing!R63,IF(Drawing!$Y$48=10,Drawing!AK63,IF(Pricing!Y35="","",Pricing!Y35))))))))</f>
        <v/>
      </c>
      <c r="AB39" s="190" t="str">
        <f>UPPER(IF(Drawing!$F$2=10,Drawing!BF5,IF(Drawing!$Y$2=10,Drawing!AL17,IF(Drawing!$F$25=10,Drawing!S40,IF(Drawing!$Y$25=10,Drawing!AL40,IF(Drawing!$F$48=10,Drawing!S63,IF(Drawing!$Y$48=10,Drawing!AL63,IF(Pricing!Z35="","",Pricing!Z35))))))))</f>
        <v/>
      </c>
      <c r="AC39" s="190" t="str">
        <f>UPPER(IF(Drawing!$F$2=10,Drawing!BG5,IF(Drawing!$Y$2=10,Drawing!AM17,IF(Drawing!$F$25=10,Drawing!T40,IF(Drawing!$Y$25=10,Drawing!AM40,IF(Drawing!$F$48=10,Drawing!T63,IF(Drawing!$Y$48=10,Drawing!AM63,IF(Pricing!AA35="","",Pricing!AA35))))))))</f>
        <v/>
      </c>
      <c r="AD39" s="224"/>
      <c r="AE39" s="11" t="s">
        <v>21</v>
      </c>
      <c r="AF39" s="16">
        <f>COUNTIF(S39:AC39,"(T)")</f>
        <v>0</v>
      </c>
      <c r="AG39" s="16" t="b">
        <f>OR(COUNTIF(S39:AC39,"*(B)*"),COUNTIF(S39:AC39,"*(CB)*"))</f>
        <v>0</v>
      </c>
    </row>
    <row r="40" spans="2:33" x14ac:dyDescent="0.2">
      <c r="B40" s="479"/>
      <c r="C40" s="10" t="str">
        <f>IF(Pricing!C36="","",Pricing!C36)</f>
        <v/>
      </c>
      <c r="D40" s="1044"/>
      <c r="E40" s="1014"/>
      <c r="F40" s="528" t="str">
        <f>IF(Pricing!F36="","",Pricing!F36)</f>
        <v/>
      </c>
      <c r="G40" s="527"/>
      <c r="H40" s="1011"/>
      <c r="I40" s="988"/>
      <c r="J40" s="1014"/>
      <c r="K40" s="1011"/>
      <c r="L40" s="988"/>
      <c r="M40" s="1011"/>
      <c r="N40" s="1011"/>
      <c r="O40" s="1055"/>
      <c r="P40" s="988"/>
      <c r="Q40" s="1014"/>
      <c r="R40" s="222" t="s">
        <v>165</v>
      </c>
      <c r="S40" s="359" t="str">
        <f>UPPER(IF(Drawing!$F$2=10,Drawing!J18,IF(Drawing!$Y$2=10,Drawing!AC18,IF(Drawing!$F$25=10,Drawing!J40,IF(Drawing!$Y$25=10,Drawing!AC41,IF(Drawing!$F$48=10,Drawing!J63,IF(Drawing!$Y$48=10,Drawing!AC63,"")))))))</f>
        <v/>
      </c>
      <c r="T40" s="359" t="str">
        <f>UPPER(IF(Drawing!$F$2=10,Drawing!K18,IF(Drawing!$Y$2=10,Drawing!AD18,IF(Drawing!$F$25=10,Drawing!K40,IF(Drawing!$Y$25=10,Drawing!AD41,IF(Drawing!$F$48=10,Drawing!K63,IF(Drawing!$Y$48=10,Drawing!AD63,"")))))))</f>
        <v/>
      </c>
      <c r="U40" s="359" t="str">
        <f>UPPER(IF(Drawing!$F$2=10,Drawing!L18,IF(Drawing!$Y$2=10,Drawing!AE18,IF(Drawing!$F$25=10,Drawing!L40,IF(Drawing!$Y$25=10,Drawing!AE41,IF(Drawing!$F$48=10,Drawing!L63,IF(Drawing!$Y$48=10,Drawing!AE63,"")))))))</f>
        <v/>
      </c>
      <c r="V40" s="359" t="str">
        <f>UPPER(IF(Drawing!$F$2=10,Drawing!M18,IF(Drawing!$Y$2=10,Drawing!AF18,IF(Drawing!$F$25=10,Drawing!M40,IF(Drawing!$Y$25=10,Drawing!AF41,IF(Drawing!$F$48=10,Drawing!M63,IF(Drawing!$Y$48=10,Drawing!AF63,"")))))))</f>
        <v/>
      </c>
      <c r="W40" s="359" t="str">
        <f>UPPER(IF(Drawing!$F$2=10,Drawing!N18,IF(Drawing!$Y$2=10,Drawing!AG18,IF(Drawing!$F$25=10,Drawing!N40,IF(Drawing!$Y$25=10,Drawing!AG41,IF(Drawing!$F$48=10,Drawing!N63,IF(Drawing!$Y$48=10,Drawing!AG63,"")))))))</f>
        <v/>
      </c>
      <c r="X40" s="359" t="str">
        <f>UPPER(IF(Drawing!$F$2=10,Drawing!O18,IF(Drawing!$Y$2=10,Drawing!AH18,IF(Drawing!$F$25=10,Drawing!O40,IF(Drawing!$Y$25=10,Drawing!AH41,IF(Drawing!$F$48=10,Drawing!O63,IF(Drawing!$Y$48=10,Drawing!AH63,"")))))))</f>
        <v/>
      </c>
      <c r="Y40" s="359" t="str">
        <f>UPPER(IF(Drawing!$F$2=10,Drawing!P18,IF(Drawing!$Y$2=10,Drawing!AI18,IF(Drawing!$F$25=10,Drawing!P40,IF(Drawing!$Y$25=10,Drawing!AI41,IF(Drawing!$F$48=10,Drawing!P63,IF(Drawing!$Y$48=10,Drawing!AI63,"")))))))</f>
        <v/>
      </c>
      <c r="Z40" s="359" t="str">
        <f>UPPER(IF(Drawing!$F$2=10,Drawing!Q18,IF(Drawing!$Y$2=10,Drawing!AJ18,IF(Drawing!$F$25=10,Drawing!Q40,IF(Drawing!$Y$25=10,Drawing!AJ41,IF(Drawing!$F$48=10,Drawing!Q63,IF(Drawing!$Y$48=10,Drawing!AJ63,"")))))))</f>
        <v/>
      </c>
      <c r="AA40" s="359" t="str">
        <f>UPPER(IF(Drawing!$F$2=10,Drawing!R18,IF(Drawing!$Y$2=10,Drawing!AK18,IF(Drawing!$F$25=10,Drawing!R40,IF(Drawing!$Y$25=10,Drawing!AK41,IF(Drawing!$F$48=10,Drawing!R63,IF(Drawing!$Y$48=10,Drawing!AK63,"")))))))</f>
        <v/>
      </c>
      <c r="AB40" s="359" t="str">
        <f>UPPER(IF(Drawing!$F$2=10,Drawing!S18,IF(Drawing!$Y$2=10,Drawing!AL18,IF(Drawing!$F$25=10,Drawing!S40,IF(Drawing!$Y$25=10,Drawing!AL41,IF(Drawing!$F$48=10,Drawing!S63,IF(Drawing!$Y$48=10,Drawing!AL63,"")))))))</f>
        <v/>
      </c>
      <c r="AC40" s="12" t="s">
        <v>19</v>
      </c>
      <c r="AD40" s="359" t="s">
        <v>166</v>
      </c>
      <c r="AE40" s="1050">
        <f>IF(ISERROR(M39*N39/1000000),,M39*N39/1000000)</f>
        <v>0</v>
      </c>
    </row>
    <row r="41" spans="2:33" ht="15.75" thickBot="1" x14ac:dyDescent="0.25">
      <c r="B41" s="479"/>
      <c r="C41" s="10" t="str">
        <f>IF(Pricing!C37="","",Pricing!C37)</f>
        <v/>
      </c>
      <c r="D41" s="1062"/>
      <c r="E41" s="1047"/>
      <c r="F41" s="223" t="s">
        <v>28</v>
      </c>
      <c r="G41" s="25" t="str">
        <f>IF(Pricing!G37="","",Pricing!G37)</f>
        <v/>
      </c>
      <c r="H41" s="1012"/>
      <c r="I41" s="989"/>
      <c r="J41" s="1015"/>
      <c r="K41" s="1012"/>
      <c r="L41" s="989"/>
      <c r="M41" s="1012"/>
      <c r="N41" s="1012"/>
      <c r="O41" s="1056"/>
      <c r="P41" s="989"/>
      <c r="Q41" s="26" t="s">
        <v>167</v>
      </c>
      <c r="R41" s="26" t="s">
        <v>168</v>
      </c>
      <c r="S41" s="567" t="str">
        <f>IF(Pricing!Q37="","",Pricing!Q37)</f>
        <v/>
      </c>
      <c r="T41" s="568"/>
      <c r="U41" s="568"/>
      <c r="V41" s="568"/>
      <c r="W41" s="568"/>
      <c r="X41" s="568"/>
      <c r="Y41" s="568"/>
      <c r="Z41" s="568"/>
      <c r="AA41" s="568"/>
      <c r="AB41" s="568"/>
      <c r="AC41" s="569"/>
      <c r="AD41" s="211"/>
      <c r="AE41" s="1051"/>
    </row>
    <row r="42" spans="2:33" x14ac:dyDescent="0.2">
      <c r="B42" s="479">
        <v>11</v>
      </c>
      <c r="C42" s="159" t="str">
        <f>IF(Pricing!C38="","",Pricing!C38)</f>
        <v/>
      </c>
      <c r="D42" s="1061" t="str">
        <f>IF(Pricing!D38="","",Pricing!D38)</f>
        <v/>
      </c>
      <c r="E42" s="1046" t="str">
        <f>IF(Pricing!E38="","",Pricing!E38)</f>
        <v/>
      </c>
      <c r="F42" s="1052" t="str">
        <f>IF(Pricing!F38="","",Pricing!F38)</f>
        <v/>
      </c>
      <c r="G42" s="1053"/>
      <c r="H42" s="1011" t="str">
        <f>IF(Pricing!H38="","",Pricing!H38)</f>
        <v/>
      </c>
      <c r="I42" s="987" t="str">
        <f>IF(Pricing!I38="","",Pricing!I38)</f>
        <v/>
      </c>
      <c r="J42" s="24">
        <v>0</v>
      </c>
      <c r="K42" s="1011"/>
      <c r="L42" s="988" t="str">
        <f>IF(Pricing!J38="","",Pricing!J38)</f>
        <v/>
      </c>
      <c r="M42" s="1011" t="str">
        <f>UPPER(IF(Drawing!$F$2=11,Drawing!D17,IF(Drawing!$Y$2=11,Drawing!W17,IF(Drawing!$F$25=11,Drawing!D40,IF(Drawing!$Y$25=11,Drawing!W40,IF(Drawing!$F$48=11,Drawing!D63,IF(Drawing!$Y$48=11,Drawing!W63,"")))))))</f>
        <v/>
      </c>
      <c r="N42" s="1011" t="str">
        <f>UPPER(IF(Drawing!$F$2=11,Drawing!D19,IF(Drawing!$Y$2=11,Drawing!W19,IF(Drawing!$F$25=11,Drawing!D42,IF(Drawing!$Y$25=11,Drawing!W42,IF(Drawing!$F$48=11,Drawing!D65,IF(Drawing!$Y$48=11,Drawing!W65,"")))))))</f>
        <v/>
      </c>
      <c r="O42" s="1055" t="str">
        <f>UPPER(IF(Drawing!$F$2=11,Drawing!D21,IF(Drawing!$Y$2=11,Drawing!W21,IF(Drawing!$F$25=11,Drawing!D44,IF(Drawing!$Y$25=11,Drawing!W44,IF(Drawing!$F$48=11,Drawing!D67,IF(Drawing!$Y$48=11,Drawing!W67,"")))))))</f>
        <v/>
      </c>
      <c r="P42" s="987"/>
      <c r="Q42" s="1057"/>
      <c r="R42" s="222" t="s">
        <v>164</v>
      </c>
      <c r="S42" s="190" t="str">
        <f>UPPER(IF(Drawing!$F$2=11,Drawing!AW5,IF(Drawing!$Y$2=11,Drawing!AC17,IF(Drawing!$F$25=11,Drawing!J40,IF(Drawing!$Y$25=11,Drawing!AC40,IF(Drawing!$F$48=11,Drawing!J63,IF(Drawing!$Y$48=11,Drawing!AC63,IF(Pricing!Q38="","",Pricing!Q38))))))))</f>
        <v/>
      </c>
      <c r="T42" s="190" t="str">
        <f>UPPER(IF(Drawing!$F$2=11,Drawing!AX5,IF(Drawing!$Y$2=11,Drawing!AD17,IF(Drawing!$F$25=11,Drawing!K40,IF(Drawing!$Y$25=11,Drawing!AD40,IF(Drawing!$F$48=11,Drawing!K63,IF(Drawing!$Y$48=11,Drawing!AD63,IF(Pricing!R38="","",Pricing!R38))))))))</f>
        <v/>
      </c>
      <c r="U42" s="190" t="str">
        <f>UPPER(IF(Drawing!$F$2=11,Drawing!AY5,IF(Drawing!$Y$2=11,Drawing!AE17,IF(Drawing!$F$25=11,Drawing!L40,IF(Drawing!$Y$25=11,Drawing!AE40,IF(Drawing!$F$48=11,Drawing!L63,IF(Drawing!$Y$48=11,Drawing!AE63,IF(Pricing!S38="","",Pricing!S38))))))))</f>
        <v/>
      </c>
      <c r="V42" s="190" t="str">
        <f>UPPER(IF(Drawing!$F$2=11,Drawing!AZ5,IF(Drawing!$Y$2=11,Drawing!AF17,IF(Drawing!$F$25=11,Drawing!M40,IF(Drawing!$Y$25=11,Drawing!AF40,IF(Drawing!$F$48=11,Drawing!M63,IF(Drawing!$Y$48=11,Drawing!AF63,IF(Pricing!T38="","",Pricing!T38))))))))</f>
        <v/>
      </c>
      <c r="W42" s="190" t="str">
        <f>UPPER(IF(Drawing!$F$2=11,Drawing!BA5,IF(Drawing!$Y$2=11,Drawing!AG17,IF(Drawing!$F$25=11,Drawing!N40,IF(Drawing!$Y$25=11,Drawing!AG40,IF(Drawing!$F$48=11,Drawing!N63,IF(Drawing!$Y$48=11,Drawing!AG63,IF(Pricing!U38="","",Pricing!U38))))))))</f>
        <v/>
      </c>
      <c r="X42" s="190" t="str">
        <f>UPPER(IF(Drawing!$F$2=11,Drawing!BB5,IF(Drawing!$Y$2=11,Drawing!AH17,IF(Drawing!$F$25=11,Drawing!O40,IF(Drawing!$Y$25=11,Drawing!AH40,IF(Drawing!$F$48=11,Drawing!O63,IF(Drawing!$Y$48=11,Drawing!AH63,IF(Pricing!V38="","",Pricing!V38))))))))</f>
        <v/>
      </c>
      <c r="Y42" s="190" t="str">
        <f>UPPER(IF(Drawing!$F$2=11,Drawing!BC5,IF(Drawing!$Y$2=11,Drawing!AI17,IF(Drawing!$F$25=11,Drawing!P40,IF(Drawing!$Y$25=11,Drawing!AI40,IF(Drawing!$F$48=11,Drawing!P63,IF(Drawing!$Y$48=11,Drawing!AI63,IF(Pricing!W38="","",Pricing!W38))))))))</f>
        <v/>
      </c>
      <c r="Z42" s="190" t="str">
        <f>UPPER(IF(Drawing!$F$2=11,Drawing!BD5,IF(Drawing!$Y$2=11,Drawing!AJ17,IF(Drawing!$F$25=11,Drawing!Q40,IF(Drawing!$Y$25=11,Drawing!AJ40,IF(Drawing!$F$48=11,Drawing!Q63,IF(Drawing!$Y$48=11,Drawing!AJ63,IF(Pricing!X38="","",Pricing!X38))))))))</f>
        <v/>
      </c>
      <c r="AA42" s="190" t="str">
        <f>UPPER(IF(Drawing!$F$2=11,Drawing!BE5,IF(Drawing!$Y$2=11,Drawing!AK17,IF(Drawing!$F$25=11,Drawing!R40,IF(Drawing!$Y$25=11,Drawing!AK40,IF(Drawing!$F$48=11,Drawing!R63,IF(Drawing!$Y$48=11,Drawing!AK63,IF(Pricing!Y38="","",Pricing!Y38))))))))</f>
        <v/>
      </c>
      <c r="AB42" s="190" t="str">
        <f>UPPER(IF(Drawing!$F$2=11,Drawing!BF5,IF(Drawing!$Y$2=11,Drawing!AL17,IF(Drawing!$F$25=11,Drawing!S40,IF(Drawing!$Y$25=11,Drawing!AL40,IF(Drawing!$F$48=11,Drawing!S63,IF(Drawing!$Y$48=11,Drawing!AL63,IF(Pricing!Z38="","",Pricing!Z38))))))))</f>
        <v/>
      </c>
      <c r="AC42" s="190" t="str">
        <f>UPPER(IF(Drawing!$F$2=11,Drawing!BG5,IF(Drawing!$Y$2=11,Drawing!AM17,IF(Drawing!$F$25=11,Drawing!T40,IF(Drawing!$Y$25=11,Drawing!AM40,IF(Drawing!$F$48=11,Drawing!T63,IF(Drawing!$Y$48=11,Drawing!AM63,IF(Pricing!AA38="","",Pricing!AA38))))))))</f>
        <v/>
      </c>
      <c r="AD42" s="224" t="str">
        <f>IF(Pricing!AD38="Quote","Q","")</f>
        <v/>
      </c>
      <c r="AE42" s="11" t="s">
        <v>21</v>
      </c>
      <c r="AF42" s="16">
        <f>COUNTIF(S42:AC42,"(T)")</f>
        <v>0</v>
      </c>
      <c r="AG42" s="16" t="b">
        <f>OR(COUNTIF(S42:AC42,"*(B)*"),COUNTIF(S42:AC42,"*(CB)*"))</f>
        <v>0</v>
      </c>
    </row>
    <row r="43" spans="2:33" x14ac:dyDescent="0.2">
      <c r="B43" s="479"/>
      <c r="C43" s="10" t="str">
        <f>IF(Pricing!C39="","",Pricing!C39)</f>
        <v/>
      </c>
      <c r="D43" s="1044"/>
      <c r="E43" s="1014"/>
      <c r="F43" s="528" t="str">
        <f>IF(Pricing!F39="","",Pricing!F39)</f>
        <v/>
      </c>
      <c r="G43" s="1013"/>
      <c r="H43" s="1011"/>
      <c r="I43" s="988"/>
      <c r="J43" s="1014"/>
      <c r="K43" s="1011"/>
      <c r="L43" s="988"/>
      <c r="M43" s="1011"/>
      <c r="N43" s="1011"/>
      <c r="O43" s="1055"/>
      <c r="P43" s="988"/>
      <c r="Q43" s="1014"/>
      <c r="R43" s="222" t="s">
        <v>165</v>
      </c>
      <c r="S43" s="359" t="str">
        <f>UPPER(IF(Drawing!$F$2=11,Drawing!J18,IF(Drawing!$Y$2=11,Drawing!AC18,IF(Drawing!$F$25=11,Drawing!J40,IF(Drawing!$Y$25=11,Drawing!AC41,IF(Drawing!$F$48=11,Drawing!J63,IF(Drawing!$Y$48=11,Drawing!AC63,"")))))))</f>
        <v/>
      </c>
      <c r="T43" s="359" t="str">
        <f>UPPER(IF(Drawing!$F$2=11,Drawing!K18,IF(Drawing!$Y$2=11,Drawing!AD18,IF(Drawing!$F$25=11,Drawing!K40,IF(Drawing!$Y$25=11,Drawing!AD41,IF(Drawing!$F$48=11,Drawing!K63,IF(Drawing!$Y$48=11,Drawing!AD63,"")))))))</f>
        <v/>
      </c>
      <c r="U43" s="359" t="str">
        <f>UPPER(IF(Drawing!$F$2=11,Drawing!L18,IF(Drawing!$Y$2=11,Drawing!AE18,IF(Drawing!$F$25=11,Drawing!L40,IF(Drawing!$Y$25=11,Drawing!AE41,IF(Drawing!$F$48=11,Drawing!L63,IF(Drawing!$Y$48=11,Drawing!AE63,"")))))))</f>
        <v/>
      </c>
      <c r="V43" s="359" t="str">
        <f>UPPER(IF(Drawing!$F$2=11,Drawing!M18,IF(Drawing!$Y$2=11,Drawing!AF18,IF(Drawing!$F$25=11,Drawing!M40,IF(Drawing!$Y$25=11,Drawing!AF41,IF(Drawing!$F$48=11,Drawing!M63,IF(Drawing!$Y$48=11,Drawing!AF63,"")))))))</f>
        <v/>
      </c>
      <c r="W43" s="359" t="str">
        <f>UPPER(IF(Drawing!$F$2=11,Drawing!N18,IF(Drawing!$Y$2=11,Drawing!AG18,IF(Drawing!$F$25=11,Drawing!N40,IF(Drawing!$Y$25=11,Drawing!AG41,IF(Drawing!$F$48=11,Drawing!N63,IF(Drawing!$Y$48=11,Drawing!AG63,"")))))))</f>
        <v/>
      </c>
      <c r="X43" s="359" t="str">
        <f>UPPER(IF(Drawing!$F$2=11,Drawing!O18,IF(Drawing!$Y$2=11,Drawing!AH18,IF(Drawing!$F$25=11,Drawing!O40,IF(Drawing!$Y$25=11,Drawing!AH41,IF(Drawing!$F$48=11,Drawing!O63,IF(Drawing!$Y$48=11,Drawing!AH63,"")))))))</f>
        <v/>
      </c>
      <c r="Y43" s="359" t="str">
        <f>UPPER(IF(Drawing!$F$2=11,Drawing!P18,IF(Drawing!$Y$2=11,Drawing!AI18,IF(Drawing!$F$25=11,Drawing!P40,IF(Drawing!$Y$25=11,Drawing!AI41,IF(Drawing!$F$48=11,Drawing!P63,IF(Drawing!$Y$48=11,Drawing!AI63,"")))))))</f>
        <v/>
      </c>
      <c r="Z43" s="359" t="str">
        <f>UPPER(IF(Drawing!$F$2=11,Drawing!Q18,IF(Drawing!$Y$2=11,Drawing!AJ18,IF(Drawing!$F$25=11,Drawing!Q40,IF(Drawing!$Y$25=11,Drawing!AJ41,IF(Drawing!$F$48=11,Drawing!Q63,IF(Drawing!$Y$48=11,Drawing!AJ63,"")))))))</f>
        <v/>
      </c>
      <c r="AA43" s="359" t="str">
        <f>UPPER(IF(Drawing!$F$2=11,Drawing!R18,IF(Drawing!$Y$2=11,Drawing!AK18,IF(Drawing!$F$25=11,Drawing!R40,IF(Drawing!$Y$25=11,Drawing!AK41,IF(Drawing!$F$48=11,Drawing!R63,IF(Drawing!$Y$48=11,Drawing!AK63,"")))))))</f>
        <v/>
      </c>
      <c r="AB43" s="359" t="str">
        <f>UPPER(IF(Drawing!$F$2=11,Drawing!S18,IF(Drawing!$Y$2=11,Drawing!AL18,IF(Drawing!$F$25=11,Drawing!S40,IF(Drawing!$Y$25=11,Drawing!AL41,IF(Drawing!$F$48=11,Drawing!S63,IF(Drawing!$Y$48=11,Drawing!AL63,"")))))))</f>
        <v/>
      </c>
      <c r="AC43" s="12" t="s">
        <v>19</v>
      </c>
      <c r="AD43" s="359" t="s">
        <v>166</v>
      </c>
      <c r="AE43" s="1050">
        <f>IF(ISERROR(M42*N42/1000000),,M42*N42/1000000)</f>
        <v>0</v>
      </c>
    </row>
    <row r="44" spans="2:33" ht="15.75" thickBot="1" x14ac:dyDescent="0.25">
      <c r="B44" s="479"/>
      <c r="C44" s="192" t="str">
        <f>IF(Pricing!C40="","",Pricing!C40)</f>
        <v/>
      </c>
      <c r="D44" s="1045"/>
      <c r="E44" s="1015"/>
      <c r="F44" s="225" t="s">
        <v>28</v>
      </c>
      <c r="G44" s="13" t="str">
        <f>IF(Pricing!G40="","",Pricing!G40)</f>
        <v/>
      </c>
      <c r="H44" s="1012"/>
      <c r="I44" s="989"/>
      <c r="J44" s="1015"/>
      <c r="K44" s="1012"/>
      <c r="L44" s="989"/>
      <c r="M44" s="1012"/>
      <c r="N44" s="1012"/>
      <c r="O44" s="1056"/>
      <c r="P44" s="989"/>
      <c r="Q44" s="26" t="s">
        <v>167</v>
      </c>
      <c r="R44" s="26" t="s">
        <v>168</v>
      </c>
      <c r="S44" s="567" t="str">
        <f>IF(Pricing!Q40="","",Pricing!Q40)</f>
        <v/>
      </c>
      <c r="T44" s="568"/>
      <c r="U44" s="568"/>
      <c r="V44" s="568"/>
      <c r="W44" s="568"/>
      <c r="X44" s="568"/>
      <c r="Y44" s="568"/>
      <c r="Z44" s="568"/>
      <c r="AA44" s="568"/>
      <c r="AB44" s="568"/>
      <c r="AC44" s="569"/>
      <c r="AD44" s="211"/>
      <c r="AE44" s="1051"/>
    </row>
    <row r="45" spans="2:33" x14ac:dyDescent="0.2">
      <c r="B45" s="479">
        <v>12</v>
      </c>
      <c r="C45" s="10" t="str">
        <f>IF(Pricing!C41="","",Pricing!C41)</f>
        <v/>
      </c>
      <c r="D45" s="1043" t="str">
        <f>IF(Pricing!D41="","",Pricing!D41)</f>
        <v/>
      </c>
      <c r="E45" s="1057" t="str">
        <f>IF(Pricing!E41="","",Pricing!E41)</f>
        <v/>
      </c>
      <c r="F45" s="1063" t="str">
        <f>IF(Pricing!F41="","",Pricing!F41)</f>
        <v/>
      </c>
      <c r="G45" s="1064"/>
      <c r="H45" s="1011" t="str">
        <f>IF(Pricing!H41="","",Pricing!H41)</f>
        <v/>
      </c>
      <c r="I45" s="987" t="str">
        <f>IF(Pricing!I41="","",Pricing!I41)</f>
        <v/>
      </c>
      <c r="J45" s="24">
        <v>0</v>
      </c>
      <c r="K45" s="1011"/>
      <c r="L45" s="988" t="str">
        <f>IF(Pricing!J41="","",Pricing!J41)</f>
        <v/>
      </c>
      <c r="M45" s="1011" t="str">
        <f>UPPER(IF(Drawing!$F$2=12,Drawing!D17,IF(Drawing!$Y$2=12,Drawing!W17,IF(Drawing!$F$25=12,Drawing!D40,IF(Drawing!$Y$25=12,Drawing!W40,IF(Drawing!$F$48=12,Drawing!D63,IF(Drawing!$Y$48=12,Drawing!W63,"")))))))</f>
        <v/>
      </c>
      <c r="N45" s="1011" t="str">
        <f>UPPER(IF(Drawing!$F$2=12,Drawing!D19,IF(Drawing!$Y$2=12,Drawing!W19,IF(Drawing!$F$25=12,Drawing!D42,IF(Drawing!$Y$25=12,Drawing!W42,IF(Drawing!$F$48=12,Drawing!D65,IF(Drawing!$Y$48=12,Drawing!W65,"")))))))</f>
        <v/>
      </c>
      <c r="O45" s="1055" t="str">
        <f>UPPER(IF(Drawing!$F$2=12,Drawing!D21,IF(Drawing!$Y$2=12,Drawing!W21,IF(Drawing!$F$25=12,Drawing!D44,IF(Drawing!$Y$25=12,Drawing!W44,IF(Drawing!$F$48=12,Drawing!D67,IF(Drawing!$Y$48=12,Drawing!W67,"")))))))</f>
        <v/>
      </c>
      <c r="P45" s="987"/>
      <c r="Q45" s="1057"/>
      <c r="R45" s="222" t="s">
        <v>164</v>
      </c>
      <c r="S45" s="190" t="str">
        <f>UPPER(IF(Drawing!$F$2=12,Drawing!AW5,IF(Drawing!$Y$2=12,Drawing!AC17,IF(Drawing!$F$25=12,Drawing!J40,IF(Drawing!$Y$25=12,Drawing!AC40,IF(Drawing!$F$48=12,Drawing!J63,IF(Drawing!$Y$48=12,Drawing!AC63,IF(Pricing!Q41="","",Pricing!Q41))))))))</f>
        <v/>
      </c>
      <c r="T45" s="190" t="str">
        <f>UPPER(IF(Drawing!$F$2=12,Drawing!AX5,IF(Drawing!$Y$2=12,Drawing!AD17,IF(Drawing!$F$25=12,Drawing!K40,IF(Drawing!$Y$25=12,Drawing!AD40,IF(Drawing!$F$48=12,Drawing!K63,IF(Drawing!$Y$48=12,Drawing!AD63,IF(Pricing!R41="","",Pricing!R41))))))))</f>
        <v/>
      </c>
      <c r="U45" s="190" t="str">
        <f>UPPER(IF(Drawing!$F$2=12,Drawing!AY5,IF(Drawing!$Y$2=12,Drawing!AE17,IF(Drawing!$F$25=12,Drawing!L40,IF(Drawing!$Y$25=12,Drawing!AE40,IF(Drawing!$F$48=12,Drawing!L63,IF(Drawing!$Y$48=12,Drawing!AE63,IF(Pricing!S41="","",Pricing!S41))))))))</f>
        <v/>
      </c>
      <c r="V45" s="190" t="str">
        <f>UPPER(IF(Drawing!$F$2=12,Drawing!AZ5,IF(Drawing!$Y$2=12,Drawing!AF17,IF(Drawing!$F$25=12,Drawing!M40,IF(Drawing!$Y$25=12,Drawing!AF40,IF(Drawing!$F$48=12,Drawing!M63,IF(Drawing!$Y$48=12,Drawing!AF63,IF(Pricing!T41="","",Pricing!T41))))))))</f>
        <v/>
      </c>
      <c r="W45" s="190" t="str">
        <f>UPPER(IF(Drawing!$F$2=12,Drawing!BA5,IF(Drawing!$Y$2=12,Drawing!AG17,IF(Drawing!$F$25=12,Drawing!N40,IF(Drawing!$Y$25=12,Drawing!AG40,IF(Drawing!$F$48=12,Drawing!N63,IF(Drawing!$Y$48=12,Drawing!AG63,IF(Pricing!U41="","",Pricing!U41))))))))</f>
        <v/>
      </c>
      <c r="X45" s="190" t="str">
        <f>UPPER(IF(Drawing!$F$2=12,Drawing!BB5,IF(Drawing!$Y$2=12,Drawing!AH17,IF(Drawing!$F$25=12,Drawing!O40,IF(Drawing!$Y$25=12,Drawing!AH40,IF(Drawing!$F$48=12,Drawing!O63,IF(Drawing!$Y$48=12,Drawing!AH63,IF(Pricing!V41="","",Pricing!V41))))))))</f>
        <v/>
      </c>
      <c r="Y45" s="190" t="str">
        <f>UPPER(IF(Drawing!$F$2=12,Drawing!BC5,IF(Drawing!$Y$2=12,Drawing!AI17,IF(Drawing!$F$25=12,Drawing!P40,IF(Drawing!$Y$25=12,Drawing!AI40,IF(Drawing!$F$48=12,Drawing!P63,IF(Drawing!$Y$48=12,Drawing!AI63,IF(Pricing!W41="","",Pricing!W41))))))))</f>
        <v/>
      </c>
      <c r="Z45" s="190" t="str">
        <f>UPPER(IF(Drawing!$F$2=12,Drawing!BD5,IF(Drawing!$Y$2=12,Drawing!AJ17,IF(Drawing!$F$25=12,Drawing!Q40,IF(Drawing!$Y$25=12,Drawing!AJ40,IF(Drawing!$F$48=12,Drawing!Q63,IF(Drawing!$Y$48=12,Drawing!AJ63,IF(Pricing!X41="","",Pricing!X41))))))))</f>
        <v/>
      </c>
      <c r="AA45" s="190" t="str">
        <f>UPPER(IF(Drawing!$F$2=12,Drawing!BE5,IF(Drawing!$Y$2=12,Drawing!AK17,IF(Drawing!$F$25=12,Drawing!R40,IF(Drawing!$Y$25=12,Drawing!AK40,IF(Drawing!$F$48=12,Drawing!R63,IF(Drawing!$Y$48=12,Drawing!AK63,IF(Pricing!Y41="","",Pricing!Y41))))))))</f>
        <v/>
      </c>
      <c r="AB45" s="190" t="str">
        <f>UPPER(IF(Drawing!$F$2=12,Drawing!BF5,IF(Drawing!$Y$2=12,Drawing!AL17,IF(Drawing!$F$25=12,Drawing!S40,IF(Drawing!$Y$25=12,Drawing!AL40,IF(Drawing!$F$48=12,Drawing!S63,IF(Drawing!$Y$48=12,Drawing!AL63,IF(Pricing!Z41="","",Pricing!Z41))))))))</f>
        <v/>
      </c>
      <c r="AC45" s="190" t="str">
        <f>UPPER(IF(Drawing!$F$2=12,Drawing!BG5,IF(Drawing!$Y$2=12,Drawing!AM17,IF(Drawing!$F$25=12,Drawing!T40,IF(Drawing!$Y$25=12,Drawing!AM40,IF(Drawing!$F$48=12,Drawing!T63,IF(Drawing!$Y$48=12,Drawing!AM63,IF(Pricing!AA41="","",Pricing!AA41))))))))</f>
        <v/>
      </c>
      <c r="AD45" s="224" t="str">
        <f>IF(Pricing!AD41="Quote","Q","")</f>
        <v/>
      </c>
      <c r="AE45" s="11" t="s">
        <v>21</v>
      </c>
      <c r="AF45" s="16">
        <f>COUNTIF(S45:AC45,"(T)")</f>
        <v>0</v>
      </c>
      <c r="AG45" s="16" t="b">
        <f>OR(COUNTIF(S45:AC45,"*(B)*"),COUNTIF(S45:AC45,"*(CB)*"))</f>
        <v>0</v>
      </c>
    </row>
    <row r="46" spans="2:33" x14ac:dyDescent="0.2">
      <c r="B46" s="479"/>
      <c r="C46" s="10" t="str">
        <f>IF(Pricing!C42="","",Pricing!C42)</f>
        <v/>
      </c>
      <c r="D46" s="1044"/>
      <c r="E46" s="1014"/>
      <c r="F46" s="528" t="str">
        <f>IF(Pricing!F42="","",Pricing!F42)</f>
        <v/>
      </c>
      <c r="G46" s="527"/>
      <c r="H46" s="1011"/>
      <c r="I46" s="988"/>
      <c r="J46" s="1014"/>
      <c r="K46" s="1011"/>
      <c r="L46" s="988"/>
      <c r="M46" s="1011"/>
      <c r="N46" s="1011"/>
      <c r="O46" s="1055"/>
      <c r="P46" s="988"/>
      <c r="Q46" s="1014"/>
      <c r="R46" s="222" t="s">
        <v>165</v>
      </c>
      <c r="S46" s="359" t="str">
        <f>UPPER(IF(Drawing!$F$2=12,Drawing!J18,IF(Drawing!$Y$2=12,Drawing!AC18,IF(Drawing!$F$25=12,Drawing!J40,IF(Drawing!$Y$25=12,Drawing!AC41,IF(Drawing!$F$48=12,Drawing!J63,IF(Drawing!$Y$48=12,Drawing!AC63,"")))))))</f>
        <v/>
      </c>
      <c r="T46" s="359" t="str">
        <f>UPPER(IF(Drawing!$F$2=12,Drawing!K18,IF(Drawing!$Y$2=12,Drawing!AD18,IF(Drawing!$F$25=12,Drawing!K40,IF(Drawing!$Y$25=12,Drawing!AD41,IF(Drawing!$F$48=12,Drawing!K63,IF(Drawing!$Y$48=12,Drawing!AD63,"")))))))</f>
        <v/>
      </c>
      <c r="U46" s="359" t="str">
        <f>UPPER(IF(Drawing!$F$2=12,Drawing!L18,IF(Drawing!$Y$2=12,Drawing!AE18,IF(Drawing!$F$25=12,Drawing!L40,IF(Drawing!$Y$25=12,Drawing!AE41,IF(Drawing!$F$48=12,Drawing!L63,IF(Drawing!$Y$48=12,Drawing!AE63,"")))))))</f>
        <v/>
      </c>
      <c r="V46" s="359" t="str">
        <f>UPPER(IF(Drawing!$F$2=12,Drawing!M18,IF(Drawing!$Y$2=12,Drawing!AF18,IF(Drawing!$F$25=12,Drawing!M40,IF(Drawing!$Y$25=12,Drawing!AF41,IF(Drawing!$F$48=12,Drawing!M63,IF(Drawing!$Y$48=12,Drawing!AF63,"")))))))</f>
        <v/>
      </c>
      <c r="W46" s="359" t="str">
        <f>UPPER(IF(Drawing!$F$2=12,Drawing!N18,IF(Drawing!$Y$2=12,Drawing!AG18,IF(Drawing!$F$25=12,Drawing!N40,IF(Drawing!$Y$25=12,Drawing!AG41,IF(Drawing!$F$48=12,Drawing!N63,IF(Drawing!$Y$48=12,Drawing!AG63,"")))))))</f>
        <v/>
      </c>
      <c r="X46" s="359" t="str">
        <f>UPPER(IF(Drawing!$F$2=12,Drawing!O18,IF(Drawing!$Y$2=12,Drawing!AH18,IF(Drawing!$F$25=12,Drawing!O40,IF(Drawing!$Y$25=12,Drawing!AH41,IF(Drawing!$F$48=12,Drawing!O63,IF(Drawing!$Y$48=12,Drawing!AH63,"")))))))</f>
        <v/>
      </c>
      <c r="Y46" s="359" t="str">
        <f>UPPER(IF(Drawing!$F$2=12,Drawing!P18,IF(Drawing!$Y$2=12,Drawing!AI18,IF(Drawing!$F$25=12,Drawing!P40,IF(Drawing!$Y$25=12,Drawing!AI41,IF(Drawing!$F$48=12,Drawing!P63,IF(Drawing!$Y$48=12,Drawing!AI63,"")))))))</f>
        <v/>
      </c>
      <c r="Z46" s="359" t="str">
        <f>UPPER(IF(Drawing!$F$2=12,Drawing!Q18,IF(Drawing!$Y$2=12,Drawing!AJ18,IF(Drawing!$F$25=12,Drawing!Q40,IF(Drawing!$Y$25=12,Drawing!AJ41,IF(Drawing!$F$48=12,Drawing!Q63,IF(Drawing!$Y$48=12,Drawing!AJ63,"")))))))</f>
        <v/>
      </c>
      <c r="AA46" s="359" t="str">
        <f>UPPER(IF(Drawing!$F$2=12,Drawing!R18,IF(Drawing!$Y$2=12,Drawing!AK18,IF(Drawing!$F$25=12,Drawing!R40,IF(Drawing!$Y$25=12,Drawing!AK41,IF(Drawing!$F$48=12,Drawing!R63,IF(Drawing!$Y$48=12,Drawing!AK63,"")))))))</f>
        <v/>
      </c>
      <c r="AB46" s="359" t="str">
        <f>UPPER(IF(Drawing!$F$2=12,Drawing!S18,IF(Drawing!$Y$2=12,Drawing!AL18,IF(Drawing!$F$25=12,Drawing!S40,IF(Drawing!$Y$25=12,Drawing!AL41,IF(Drawing!$F$48=12,Drawing!S63,IF(Drawing!$Y$48=12,Drawing!AL63,"")))))))</f>
        <v/>
      </c>
      <c r="AC46" s="12" t="s">
        <v>19</v>
      </c>
      <c r="AD46" s="359" t="s">
        <v>166</v>
      </c>
      <c r="AE46" s="1050">
        <f>IF(ISERROR(M45*N45/1000000),,M45*N45/1000000)</f>
        <v>0</v>
      </c>
    </row>
    <row r="47" spans="2:33" ht="15.75" thickBot="1" x14ac:dyDescent="0.25">
      <c r="B47" s="479"/>
      <c r="C47" s="193" t="str">
        <f>IF(Pricing!C43="","",Pricing!C43)</f>
        <v/>
      </c>
      <c r="D47" s="1062"/>
      <c r="E47" s="1047"/>
      <c r="F47" s="13" t="s">
        <v>28</v>
      </c>
      <c r="G47" s="13" t="str">
        <f>IF(Pricing!G43="","",Pricing!G43)</f>
        <v/>
      </c>
      <c r="H47" s="1012"/>
      <c r="I47" s="989"/>
      <c r="J47" s="1015"/>
      <c r="K47" s="1012"/>
      <c r="L47" s="989"/>
      <c r="M47" s="1012"/>
      <c r="N47" s="1012"/>
      <c r="O47" s="1056"/>
      <c r="P47" s="989"/>
      <c r="Q47" s="26" t="s">
        <v>167</v>
      </c>
      <c r="R47" s="26" t="s">
        <v>168</v>
      </c>
      <c r="S47" s="567" t="str">
        <f>IF(Pricing!Q43="","",Pricing!Q43)</f>
        <v/>
      </c>
      <c r="T47" s="568"/>
      <c r="U47" s="568"/>
      <c r="V47" s="568"/>
      <c r="W47" s="568"/>
      <c r="X47" s="568"/>
      <c r="Y47" s="568"/>
      <c r="Z47" s="568"/>
      <c r="AA47" s="568"/>
      <c r="AB47" s="568"/>
      <c r="AC47" s="569"/>
      <c r="AD47" s="211"/>
      <c r="AE47" s="1051"/>
    </row>
    <row r="48" spans="2:33" x14ac:dyDescent="0.2">
      <c r="B48" s="479">
        <v>13</v>
      </c>
      <c r="C48" s="159" t="str">
        <f>IF(Pricing!C44="","",Pricing!C44)</f>
        <v/>
      </c>
      <c r="D48" s="1061" t="str">
        <f>IF(Pricing!D44="","",Pricing!D44)</f>
        <v/>
      </c>
      <c r="E48" s="1046" t="str">
        <f>IF(Pricing!E44="","",Pricing!E44)</f>
        <v/>
      </c>
      <c r="F48" s="1063" t="str">
        <f>IF(Pricing!F44="","",Pricing!F44)</f>
        <v/>
      </c>
      <c r="G48" s="1064"/>
      <c r="H48" s="1011" t="str">
        <f>IF(Pricing!H44="","",Pricing!H44)</f>
        <v/>
      </c>
      <c r="I48" s="987" t="str">
        <f>IF(Pricing!I44="","",Pricing!I44)</f>
        <v/>
      </c>
      <c r="J48" s="24">
        <v>0</v>
      </c>
      <c r="K48" s="1011"/>
      <c r="L48" s="988" t="str">
        <f>IF(Pricing!J44="","",Pricing!J44)</f>
        <v/>
      </c>
      <c r="M48" s="1011" t="str">
        <f>UPPER(IF(Drawing!$F$2=13,Drawing!D17,IF(Drawing!$Y$2=13,Drawing!W17,IF(Drawing!$F$25=13,Drawing!D40,IF(Drawing!$Y$25=13,Drawing!W40,IF(Drawing!$F$48=13,Drawing!D63,IF(Drawing!$Y$48=13,Drawing!W63,"")))))))</f>
        <v/>
      </c>
      <c r="N48" s="1011" t="str">
        <f>UPPER(IF(Drawing!$F$2=13,Drawing!D19,IF(Drawing!$Y$2=13,Drawing!W19,IF(Drawing!$F$25=13,Drawing!D42,IF(Drawing!$Y$25=13,Drawing!W42,IF(Drawing!$F$48=13,Drawing!D65,IF(Drawing!$Y$48=13,Drawing!W65,"")))))))</f>
        <v/>
      </c>
      <c r="O48" s="1055" t="str">
        <f>UPPER(IF(Drawing!$F$2=13,Drawing!D21,IF(Drawing!$Y$2=13,Drawing!W21,IF(Drawing!$F$25=13,Drawing!D44,IF(Drawing!$Y$25=13,Drawing!W44,IF(Drawing!$F$48=13,Drawing!D67,IF(Drawing!$Y$48=13,Drawing!W67,"")))))))</f>
        <v/>
      </c>
      <c r="P48" s="987"/>
      <c r="Q48" s="1057"/>
      <c r="R48" s="222" t="s">
        <v>164</v>
      </c>
      <c r="S48" s="190" t="str">
        <f>UPPER(IF(Drawing!$F$2=13,Drawing!AW5,IF(Drawing!$Y$2=13,Drawing!AC17,IF(Drawing!$F$25=13,Drawing!J40,IF(Drawing!$Y$25=13,Drawing!AC40,IF(Drawing!$F$48=13,Drawing!J63,IF(Drawing!$Y$48=13,Drawing!AC63,IF(Pricing!Q44="","",Pricing!Q44))))))))</f>
        <v/>
      </c>
      <c r="T48" s="190" t="str">
        <f>UPPER(IF(Drawing!$F$2=13,Drawing!AX5,IF(Drawing!$Y$2=13,Drawing!AD17,IF(Drawing!$F$25=13,Drawing!K40,IF(Drawing!$Y$25=13,Drawing!AD40,IF(Drawing!$F$48=13,Drawing!K63,IF(Drawing!$Y$48=13,Drawing!AD63,IF(Pricing!R44="","",Pricing!R44))))))))</f>
        <v/>
      </c>
      <c r="U48" s="190" t="str">
        <f>UPPER(IF(Drawing!$F$2=13,Drawing!AY5,IF(Drawing!$Y$2=13,Drawing!AE17,IF(Drawing!$F$25=13,Drawing!L40,IF(Drawing!$Y$25=13,Drawing!AE40,IF(Drawing!$F$48=13,Drawing!L63,IF(Drawing!$Y$48=13,Drawing!AE63,IF(Pricing!S44="","",Pricing!S44))))))))</f>
        <v/>
      </c>
      <c r="V48" s="190" t="str">
        <f>UPPER(IF(Drawing!$F$2=13,Drawing!AZ5,IF(Drawing!$Y$2=13,Drawing!AF17,IF(Drawing!$F$25=13,Drawing!M40,IF(Drawing!$Y$25=13,Drawing!AF40,IF(Drawing!$F$48=13,Drawing!M63,IF(Drawing!$Y$48=13,Drawing!AF63,IF(Pricing!T44="","",Pricing!T44))))))))</f>
        <v/>
      </c>
      <c r="W48" s="190" t="str">
        <f>UPPER(IF(Drawing!$F$2=13,Drawing!BA5,IF(Drawing!$Y$2=13,Drawing!AG17,IF(Drawing!$F$25=13,Drawing!N40,IF(Drawing!$Y$25=13,Drawing!AG40,IF(Drawing!$F$48=13,Drawing!N63,IF(Drawing!$Y$48=13,Drawing!AG63,IF(Pricing!U44="","",Pricing!U44))))))))</f>
        <v/>
      </c>
      <c r="X48" s="190" t="str">
        <f>UPPER(IF(Drawing!$F$2=13,Drawing!BB5,IF(Drawing!$Y$2=13,Drawing!AH17,IF(Drawing!$F$25=13,Drawing!O40,IF(Drawing!$Y$25=13,Drawing!AH40,IF(Drawing!$F$48=13,Drawing!O63,IF(Drawing!$Y$48=13,Drawing!AH63,IF(Pricing!V44="","",Pricing!V44))))))))</f>
        <v/>
      </c>
      <c r="Y48" s="190" t="str">
        <f>UPPER(IF(Drawing!$F$2=13,Drawing!BC5,IF(Drawing!$Y$2=13,Drawing!AI17,IF(Drawing!$F$25=13,Drawing!P40,IF(Drawing!$Y$25=13,Drawing!AI40,IF(Drawing!$F$48=13,Drawing!P63,IF(Drawing!$Y$48=13,Drawing!AI63,IF(Pricing!W44="","",Pricing!W44))))))))</f>
        <v/>
      </c>
      <c r="Z48" s="190" t="str">
        <f>UPPER(IF(Drawing!$F$2=13,Drawing!BD5,IF(Drawing!$Y$2=13,Drawing!AJ17,IF(Drawing!$F$25=13,Drawing!Q40,IF(Drawing!$Y$25=13,Drawing!AJ40,IF(Drawing!$F$48=13,Drawing!Q63,IF(Drawing!$Y$48=13,Drawing!AJ63,IF(Pricing!X44="","",Pricing!X44))))))))</f>
        <v/>
      </c>
      <c r="AA48" s="190" t="str">
        <f>UPPER(IF(Drawing!$F$2=13,Drawing!BE5,IF(Drawing!$Y$2=13,Drawing!AK17,IF(Drawing!$F$25=13,Drawing!R40,IF(Drawing!$Y$25=13,Drawing!AK40,IF(Drawing!$F$48=13,Drawing!R63,IF(Drawing!$Y$48=13,Drawing!AK63,IF(Pricing!Y44="","",Pricing!Y44))))))))</f>
        <v/>
      </c>
      <c r="AB48" s="190" t="str">
        <f>UPPER(IF(Drawing!$F$2=13,Drawing!BF5,IF(Drawing!$Y$2=13,Drawing!AL17,IF(Drawing!$F$25=13,Drawing!S40,IF(Drawing!$Y$25=13,Drawing!AL40,IF(Drawing!$F$48=13,Drawing!S63,IF(Drawing!$Y$48=13,Drawing!AL63,IF(Pricing!Z44="","",Pricing!Z44))))))))</f>
        <v/>
      </c>
      <c r="AC48" s="190" t="str">
        <f>UPPER(IF(Drawing!$F$2=13,Drawing!BG5,IF(Drawing!$Y$2=13,Drawing!AM17,IF(Drawing!$F$25=13,Drawing!T40,IF(Drawing!$Y$25=13,Drawing!AM40,IF(Drawing!$F$48=13,Drawing!T63,IF(Drawing!$Y$48=13,Drawing!AM63,IF(Pricing!AA44="","",Pricing!AA44))))))))</f>
        <v/>
      </c>
      <c r="AD48" s="224" t="str">
        <f>IF(Pricing!AD44="Quote","Q","")</f>
        <v/>
      </c>
      <c r="AE48" s="11" t="s">
        <v>21</v>
      </c>
      <c r="AF48" s="16">
        <f>COUNTIF(S48:AC48,"(T)")</f>
        <v>0</v>
      </c>
      <c r="AG48" s="16" t="b">
        <f>OR(COUNTIF(S48:AC48,"*(B)*"),COUNTIF(S48:AC48,"*(CB)*"))</f>
        <v>0</v>
      </c>
    </row>
    <row r="49" spans="2:33" x14ac:dyDescent="0.2">
      <c r="B49" s="479"/>
      <c r="C49" s="10" t="str">
        <f>IF(Pricing!C45="","",Pricing!C45)</f>
        <v/>
      </c>
      <c r="D49" s="1044"/>
      <c r="E49" s="1014"/>
      <c r="F49" s="528" t="str">
        <f>IF(Pricing!F45="","",Pricing!F45)</f>
        <v/>
      </c>
      <c r="G49" s="1013"/>
      <c r="H49" s="1011"/>
      <c r="I49" s="988"/>
      <c r="J49" s="1014"/>
      <c r="K49" s="1011"/>
      <c r="L49" s="988"/>
      <c r="M49" s="1011"/>
      <c r="N49" s="1011"/>
      <c r="O49" s="1055"/>
      <c r="P49" s="988"/>
      <c r="Q49" s="1014"/>
      <c r="R49" s="222" t="s">
        <v>165</v>
      </c>
      <c r="S49" s="359" t="str">
        <f>UPPER(IF(Drawing!$F$2=13,Drawing!J18,IF(Drawing!$Y$2=13,Drawing!AC18,IF(Drawing!$F$25=13,Drawing!J40,IF(Drawing!$Y$25=13,Drawing!AC41,IF(Drawing!$F$48=13,Drawing!J63,IF(Drawing!$Y$48=13,Drawing!AC63,"")))))))</f>
        <v/>
      </c>
      <c r="T49" s="359" t="str">
        <f>UPPER(IF(Drawing!$F$2=13,Drawing!K18,IF(Drawing!$Y$2=13,Drawing!AD18,IF(Drawing!$F$25=13,Drawing!K40,IF(Drawing!$Y$25=13,Drawing!AD41,IF(Drawing!$F$48=13,Drawing!K63,IF(Drawing!$Y$48=13,Drawing!AD63,"")))))))</f>
        <v/>
      </c>
      <c r="U49" s="359" t="str">
        <f>UPPER(IF(Drawing!$F$2=13,Drawing!L18,IF(Drawing!$Y$2=13,Drawing!AE18,IF(Drawing!$F$25=13,Drawing!L40,IF(Drawing!$Y$25=13,Drawing!AE41,IF(Drawing!$F$48=13,Drawing!L63,IF(Drawing!$Y$48=13,Drawing!AE63,"")))))))</f>
        <v/>
      </c>
      <c r="V49" s="359" t="str">
        <f>UPPER(IF(Drawing!$F$2=13,Drawing!M18,IF(Drawing!$Y$2=13,Drawing!AF18,IF(Drawing!$F$25=13,Drawing!M40,IF(Drawing!$Y$25=13,Drawing!AF41,IF(Drawing!$F$48=13,Drawing!M63,IF(Drawing!$Y$48=13,Drawing!AF63,"")))))))</f>
        <v/>
      </c>
      <c r="W49" s="359" t="str">
        <f>UPPER(IF(Drawing!$F$2=13,Drawing!N18,IF(Drawing!$Y$2=13,Drawing!AG18,IF(Drawing!$F$25=13,Drawing!N40,IF(Drawing!$Y$25=13,Drawing!AG41,IF(Drawing!$F$48=13,Drawing!N63,IF(Drawing!$Y$48=13,Drawing!AG63,"")))))))</f>
        <v/>
      </c>
      <c r="X49" s="359" t="str">
        <f>UPPER(IF(Drawing!$F$2=13,Drawing!O18,IF(Drawing!$Y$2=13,Drawing!AH18,IF(Drawing!$F$25=13,Drawing!O40,IF(Drawing!$Y$25=13,Drawing!AH41,IF(Drawing!$F$48=13,Drawing!O63,IF(Drawing!$Y$48=13,Drawing!AH63,"")))))))</f>
        <v/>
      </c>
      <c r="Y49" s="359" t="str">
        <f>UPPER(IF(Drawing!$F$2=13,Drawing!P18,IF(Drawing!$Y$2=13,Drawing!AI18,IF(Drawing!$F$25=13,Drawing!P40,IF(Drawing!$Y$25=13,Drawing!AI41,IF(Drawing!$F$48=13,Drawing!P63,IF(Drawing!$Y$48=13,Drawing!AI63,"")))))))</f>
        <v/>
      </c>
      <c r="Z49" s="359" t="str">
        <f>UPPER(IF(Drawing!$F$2=13,Drawing!Q18,IF(Drawing!$Y$2=13,Drawing!AJ18,IF(Drawing!$F$25=13,Drawing!Q40,IF(Drawing!$Y$25=13,Drawing!AJ41,IF(Drawing!$F$48=13,Drawing!Q63,IF(Drawing!$Y$48=13,Drawing!AJ63,"")))))))</f>
        <v/>
      </c>
      <c r="AA49" s="359" t="str">
        <f>UPPER(IF(Drawing!$F$2=13,Drawing!R18,IF(Drawing!$Y$2=13,Drawing!AK18,IF(Drawing!$F$25=13,Drawing!R40,IF(Drawing!$Y$25=13,Drawing!AK41,IF(Drawing!$F$48=13,Drawing!R63,IF(Drawing!$Y$48=13,Drawing!AK63,"")))))))</f>
        <v/>
      </c>
      <c r="AB49" s="359" t="str">
        <f>UPPER(IF(Drawing!$F$2=13,Drawing!S18,IF(Drawing!$Y$2=13,Drawing!AL18,IF(Drawing!$F$25=13,Drawing!S40,IF(Drawing!$Y$25=13,Drawing!AL41,IF(Drawing!$F$48=13,Drawing!S63,IF(Drawing!$Y$48=13,Drawing!AL63,"")))))))</f>
        <v/>
      </c>
      <c r="AC49" s="12" t="s">
        <v>19</v>
      </c>
      <c r="AD49" s="359" t="s">
        <v>166</v>
      </c>
      <c r="AE49" s="1050">
        <f>IF(ISERROR(M48*N48/1000000),,M48*N48/1000000)</f>
        <v>0</v>
      </c>
    </row>
    <row r="50" spans="2:33" ht="15.75" thickBot="1" x14ac:dyDescent="0.25">
      <c r="B50" s="479"/>
      <c r="C50" s="192" t="str">
        <f>IF(Pricing!C46="","",Pricing!C46)</f>
        <v/>
      </c>
      <c r="D50" s="1045"/>
      <c r="E50" s="1015"/>
      <c r="F50" s="225" t="s">
        <v>28</v>
      </c>
      <c r="G50" s="13" t="str">
        <f>IF(Pricing!G46="","",Pricing!G46)</f>
        <v/>
      </c>
      <c r="H50" s="1012"/>
      <c r="I50" s="989"/>
      <c r="J50" s="1015"/>
      <c r="K50" s="1012"/>
      <c r="L50" s="989"/>
      <c r="M50" s="1012"/>
      <c r="N50" s="1012"/>
      <c r="O50" s="1056"/>
      <c r="P50" s="989"/>
      <c r="Q50" s="26" t="s">
        <v>167</v>
      </c>
      <c r="R50" s="26" t="s">
        <v>168</v>
      </c>
      <c r="S50" s="567" t="str">
        <f>IF(Pricing!Q46="","",Pricing!Q46)</f>
        <v/>
      </c>
      <c r="T50" s="568"/>
      <c r="U50" s="568"/>
      <c r="V50" s="568"/>
      <c r="W50" s="568"/>
      <c r="X50" s="568"/>
      <c r="Y50" s="568"/>
      <c r="Z50" s="568"/>
      <c r="AA50" s="568"/>
      <c r="AB50" s="568"/>
      <c r="AC50" s="569"/>
      <c r="AD50" s="211"/>
      <c r="AE50" s="1051"/>
    </row>
    <row r="51" spans="2:33" x14ac:dyDescent="0.2">
      <c r="B51" s="479">
        <v>14</v>
      </c>
      <c r="C51" s="10" t="str">
        <f>IF(Pricing!C47="","",Pricing!C47)</f>
        <v/>
      </c>
      <c r="D51" s="1043" t="str">
        <f>IF(Pricing!D47="","",Pricing!D47)</f>
        <v/>
      </c>
      <c r="E51" s="1057" t="str">
        <f>IF(Pricing!E47="","",Pricing!E47)</f>
        <v/>
      </c>
      <c r="F51" s="1063" t="str">
        <f>IF(Pricing!F47="","",Pricing!F47)</f>
        <v/>
      </c>
      <c r="G51" s="1064"/>
      <c r="H51" s="1011" t="str">
        <f>IF(Pricing!H47="","",Pricing!H47)</f>
        <v/>
      </c>
      <c r="I51" s="987" t="str">
        <f>IF(Pricing!I47="","",Pricing!I47)</f>
        <v/>
      </c>
      <c r="J51" s="24">
        <v>0</v>
      </c>
      <c r="K51" s="1011"/>
      <c r="L51" s="988" t="str">
        <f>IF(Pricing!J47="","",Pricing!J47)</f>
        <v/>
      </c>
      <c r="M51" s="1011" t="str">
        <f>UPPER(IF(Drawing!$F$2=14,Drawing!D17,IF(Drawing!$Y$2=14,Drawing!W17,IF(Drawing!$F$25=14,Drawing!D40,IF(Drawing!$Y$25=14,Drawing!W40,IF(Drawing!$F$48=14,Drawing!D63,IF(Drawing!$Y$48=14,Drawing!W63,"")))))))</f>
        <v/>
      </c>
      <c r="N51" s="1011" t="str">
        <f>UPPER(IF(Drawing!$F$2=14,Drawing!D19,IF(Drawing!$Y$2=14,Drawing!W19,IF(Drawing!$F$25=14,Drawing!D42,IF(Drawing!$Y$25=14,Drawing!W42,IF(Drawing!$F$48=14,Drawing!D65,IF(Drawing!$Y$48=14,Drawing!W65,"")))))))</f>
        <v/>
      </c>
      <c r="O51" s="1055" t="str">
        <f>UPPER(IF(Drawing!$F$2=14,Drawing!D21,IF(Drawing!$Y$2=14,Drawing!W21,IF(Drawing!$F$25=14,Drawing!D44,IF(Drawing!$Y$25=14,Drawing!W44,IF(Drawing!$F$48=14,Drawing!D67,IF(Drawing!$Y$48=14,Drawing!W67,"")))))))</f>
        <v/>
      </c>
      <c r="P51" s="987"/>
      <c r="Q51" s="1057"/>
      <c r="R51" s="222" t="s">
        <v>164</v>
      </c>
      <c r="S51" s="190" t="str">
        <f>UPPER(IF(Drawing!$F$2=14,Drawing!AW5,IF(Drawing!$Y$2=14,Drawing!AC17,IF(Drawing!$F$25=14,Drawing!J40,IF(Drawing!$Y$25=14,Drawing!AC40,IF(Drawing!$F$48=14,Drawing!J63,IF(Drawing!$Y$48=14,Drawing!AC63,IF(Pricing!Q47="","",Pricing!Q47))))))))</f>
        <v/>
      </c>
      <c r="T51" s="190" t="str">
        <f>UPPER(IF(Drawing!$F$2=14,Drawing!AX5,IF(Drawing!$Y$2=14,Drawing!AD17,IF(Drawing!$F$25=14,Drawing!K40,IF(Drawing!$Y$25=14,Drawing!AD40,IF(Drawing!$F$48=14,Drawing!K63,IF(Drawing!$Y$48=14,Drawing!AD63,IF(Pricing!R47="","",Pricing!R47))))))))</f>
        <v/>
      </c>
      <c r="U51" s="190" t="str">
        <f>UPPER(IF(Drawing!$F$2=14,Drawing!AY5,IF(Drawing!$Y$2=14,Drawing!AE17,IF(Drawing!$F$25=14,Drawing!L40,IF(Drawing!$Y$25=14,Drawing!AE40,IF(Drawing!$F$48=14,Drawing!L63,IF(Drawing!$Y$48=14,Drawing!AE63,IF(Pricing!S47="","",Pricing!S47))))))))</f>
        <v/>
      </c>
      <c r="V51" s="190" t="str">
        <f>UPPER(IF(Drawing!$F$2=14,Drawing!AZ5,IF(Drawing!$Y$2=14,Drawing!AF17,IF(Drawing!$F$25=14,Drawing!M40,IF(Drawing!$Y$25=14,Drawing!AF40,IF(Drawing!$F$48=14,Drawing!M63,IF(Drawing!$Y$48=14,Drawing!AF63,IF(Pricing!T47="","",Pricing!T47))))))))</f>
        <v/>
      </c>
      <c r="W51" s="190" t="str">
        <f>UPPER(IF(Drawing!$F$2=14,Drawing!BA5,IF(Drawing!$Y$2=14,Drawing!AG17,IF(Drawing!$F$25=14,Drawing!N40,IF(Drawing!$Y$25=14,Drawing!AG40,IF(Drawing!$F$48=14,Drawing!N63,IF(Drawing!$Y$48=14,Drawing!AG63,IF(Pricing!U47="","",Pricing!U47))))))))</f>
        <v/>
      </c>
      <c r="X51" s="190" t="str">
        <f>UPPER(IF(Drawing!$F$2=14,Drawing!BB5,IF(Drawing!$Y$2=14,Drawing!AH17,IF(Drawing!$F$25=14,Drawing!O40,IF(Drawing!$Y$25=14,Drawing!AH40,IF(Drawing!$F$48=14,Drawing!O63,IF(Drawing!$Y$48=14,Drawing!AH63,IF(Pricing!V47="","",Pricing!V47))))))))</f>
        <v/>
      </c>
      <c r="Y51" s="190" t="str">
        <f>UPPER(IF(Drawing!$F$2=14,Drawing!BC5,IF(Drawing!$Y$2=14,Drawing!AI17,IF(Drawing!$F$25=14,Drawing!P40,IF(Drawing!$Y$25=14,Drawing!AI40,IF(Drawing!$F$48=14,Drawing!P63,IF(Drawing!$Y$48=14,Drawing!AI63,IF(Pricing!W47="","",Pricing!W47))))))))</f>
        <v/>
      </c>
      <c r="Z51" s="190" t="str">
        <f>UPPER(IF(Drawing!$F$2=14,Drawing!BD5,IF(Drawing!$Y$2=14,Drawing!AJ17,IF(Drawing!$F$25=14,Drawing!Q40,IF(Drawing!$Y$25=14,Drawing!AJ40,IF(Drawing!$F$48=14,Drawing!Q63,IF(Drawing!$Y$48=14,Drawing!AJ63,IF(Pricing!X47="","",Pricing!X47))))))))</f>
        <v/>
      </c>
      <c r="AA51" s="190" t="str">
        <f>UPPER(IF(Drawing!$F$2=14,Drawing!BE5,IF(Drawing!$Y$2=14,Drawing!AK17,IF(Drawing!$F$25=14,Drawing!R40,IF(Drawing!$Y$25=14,Drawing!AK40,IF(Drawing!$F$48=14,Drawing!R63,IF(Drawing!$Y$48=14,Drawing!AK63,IF(Pricing!Y47="","",Pricing!Y47))))))))</f>
        <v/>
      </c>
      <c r="AB51" s="190" t="str">
        <f>UPPER(IF(Drawing!$F$2=14,Drawing!BF5,IF(Drawing!$Y$2=14,Drawing!AL17,IF(Drawing!$F$25=14,Drawing!S40,IF(Drawing!$Y$25=14,Drawing!AL40,IF(Drawing!$F$48=14,Drawing!S63,IF(Drawing!$Y$48=14,Drawing!AL63,IF(Pricing!Z47="","",Pricing!Z47))))))))</f>
        <v/>
      </c>
      <c r="AC51" s="190" t="str">
        <f>UPPER(IF(Drawing!$F$2=14,Drawing!BG5,IF(Drawing!$Y$2=14,Drawing!AM17,IF(Drawing!$F$25=14,Drawing!T40,IF(Drawing!$Y$25=14,Drawing!AM40,IF(Drawing!$F$48=14,Drawing!T63,IF(Drawing!$Y$48=14,Drawing!AM63,IF(Pricing!AA47="","",Pricing!AA47))))))))</f>
        <v/>
      </c>
      <c r="AD51" s="224" t="str">
        <f>IF(Pricing!AD47="Quote","Q","")</f>
        <v/>
      </c>
      <c r="AE51" s="11" t="s">
        <v>21</v>
      </c>
      <c r="AF51" s="16">
        <f>COUNTIF(S51:AC51,"(T)")</f>
        <v>0</v>
      </c>
      <c r="AG51" s="16" t="b">
        <f>OR(COUNTIF(S51:AC51,"*(B)*"),COUNTIF(S51:AC51,"*(CB)*"))</f>
        <v>0</v>
      </c>
    </row>
    <row r="52" spans="2:33" x14ac:dyDescent="0.2">
      <c r="B52" s="479"/>
      <c r="C52" s="10" t="str">
        <f>IF(Pricing!C48="","",Pricing!C48)</f>
        <v/>
      </c>
      <c r="D52" s="1044"/>
      <c r="E52" s="1014"/>
      <c r="F52" s="528" t="str">
        <f>IF(Pricing!F48="","",Pricing!F48)</f>
        <v/>
      </c>
      <c r="G52" s="1013"/>
      <c r="H52" s="1011"/>
      <c r="I52" s="988"/>
      <c r="J52" s="1014"/>
      <c r="K52" s="1011"/>
      <c r="L52" s="988"/>
      <c r="M52" s="1011"/>
      <c r="N52" s="1011"/>
      <c r="O52" s="1055"/>
      <c r="P52" s="988"/>
      <c r="Q52" s="1014"/>
      <c r="R52" s="222" t="s">
        <v>165</v>
      </c>
      <c r="S52" s="359" t="str">
        <f>UPPER(IF(Drawing!$F$2=14,Drawing!J18,IF(Drawing!$Y$2=14,Drawing!AC18,IF(Drawing!$F$25=14,Drawing!J40,IF(Drawing!$Y$25=14,Drawing!AC41,IF(Drawing!$F$48=14,Drawing!J63,IF(Drawing!$Y$48=14,Drawing!AC63,"")))))))</f>
        <v/>
      </c>
      <c r="T52" s="359" t="str">
        <f>UPPER(IF(Drawing!$F$2=14,Drawing!K18,IF(Drawing!$Y$2=14,Drawing!AD18,IF(Drawing!$F$25=14,Drawing!K40,IF(Drawing!$Y$25=14,Drawing!AD41,IF(Drawing!$F$48=14,Drawing!K63,IF(Drawing!$Y$48=14,Drawing!AD63,"")))))))</f>
        <v/>
      </c>
      <c r="U52" s="359" t="str">
        <f>UPPER(IF(Drawing!$F$2=14,Drawing!L18,IF(Drawing!$Y$2=14,Drawing!AE18,IF(Drawing!$F$25=14,Drawing!L40,IF(Drawing!$Y$25=14,Drawing!AE41,IF(Drawing!$F$48=14,Drawing!L63,IF(Drawing!$Y$48=14,Drawing!AE63,"")))))))</f>
        <v/>
      </c>
      <c r="V52" s="359" t="str">
        <f>UPPER(IF(Drawing!$F$2=14,Drawing!M18,IF(Drawing!$Y$2=14,Drawing!AF18,IF(Drawing!$F$25=14,Drawing!M40,IF(Drawing!$Y$25=14,Drawing!AF41,IF(Drawing!$F$48=14,Drawing!M63,IF(Drawing!$Y$48=14,Drawing!AF63,"")))))))</f>
        <v/>
      </c>
      <c r="W52" s="359" t="str">
        <f>UPPER(IF(Drawing!$F$2=14,Drawing!N18,IF(Drawing!$Y$2=14,Drawing!AG18,IF(Drawing!$F$25=14,Drawing!N40,IF(Drawing!$Y$25=14,Drawing!AG41,IF(Drawing!$F$48=14,Drawing!N63,IF(Drawing!$Y$48=14,Drawing!AG63,"")))))))</f>
        <v/>
      </c>
      <c r="X52" s="359" t="str">
        <f>UPPER(IF(Drawing!$F$2=14,Drawing!O18,IF(Drawing!$Y$2=14,Drawing!AH18,IF(Drawing!$F$25=14,Drawing!O40,IF(Drawing!$Y$25=14,Drawing!AH41,IF(Drawing!$F$48=14,Drawing!O63,IF(Drawing!$Y$48=14,Drawing!AH63,"")))))))</f>
        <v/>
      </c>
      <c r="Y52" s="359" t="str">
        <f>UPPER(IF(Drawing!$F$2=14,Drawing!P18,IF(Drawing!$Y$2=14,Drawing!AI18,IF(Drawing!$F$25=14,Drawing!P40,IF(Drawing!$Y$25=14,Drawing!AI41,IF(Drawing!$F$48=14,Drawing!P63,IF(Drawing!$Y$48=14,Drawing!AI63,"")))))))</f>
        <v/>
      </c>
      <c r="Z52" s="359" t="str">
        <f>UPPER(IF(Drawing!$F$2=14,Drawing!Q18,IF(Drawing!$Y$2=14,Drawing!AJ18,IF(Drawing!$F$25=14,Drawing!Q40,IF(Drawing!$Y$25=14,Drawing!AJ41,IF(Drawing!$F$48=14,Drawing!Q63,IF(Drawing!$Y$48=14,Drawing!AJ63,"")))))))</f>
        <v/>
      </c>
      <c r="AA52" s="359" t="str">
        <f>UPPER(IF(Drawing!$F$2=14,Drawing!R18,IF(Drawing!$Y$2=14,Drawing!AK18,IF(Drawing!$F$25=14,Drawing!R40,IF(Drawing!$Y$25=14,Drawing!AK41,IF(Drawing!$F$48=14,Drawing!R63,IF(Drawing!$Y$48=14,Drawing!AK63,"")))))))</f>
        <v/>
      </c>
      <c r="AB52" s="359" t="str">
        <f>UPPER(IF(Drawing!$F$2=14,Drawing!S18,IF(Drawing!$Y$2=14,Drawing!AL18,IF(Drawing!$F$25=14,Drawing!S40,IF(Drawing!$Y$25=14,Drawing!AL41,IF(Drawing!$F$48=14,Drawing!S63,IF(Drawing!$Y$48=14,Drawing!AL63,"")))))))</f>
        <v/>
      </c>
      <c r="AC52" s="12" t="s">
        <v>19</v>
      </c>
      <c r="AD52" s="359" t="s">
        <v>166</v>
      </c>
      <c r="AE52" s="1050">
        <f>IF(ISERROR(M51*N51/1000000),,M51*N51/1000000)</f>
        <v>0</v>
      </c>
    </row>
    <row r="53" spans="2:33" ht="15.75" thickBot="1" x14ac:dyDescent="0.25">
      <c r="B53" s="479"/>
      <c r="C53" s="192" t="str">
        <f>IF(Pricing!C49="","",Pricing!C49)</f>
        <v/>
      </c>
      <c r="D53" s="1045"/>
      <c r="E53" s="1015"/>
      <c r="F53" s="225" t="s">
        <v>28</v>
      </c>
      <c r="G53" s="13" t="str">
        <f>IF(Pricing!G49="","",Pricing!G49)</f>
        <v/>
      </c>
      <c r="H53" s="1012"/>
      <c r="I53" s="989"/>
      <c r="J53" s="1015"/>
      <c r="K53" s="1012"/>
      <c r="L53" s="989"/>
      <c r="M53" s="1012"/>
      <c r="N53" s="1012"/>
      <c r="O53" s="1056"/>
      <c r="P53" s="989"/>
      <c r="Q53" s="26" t="s">
        <v>167</v>
      </c>
      <c r="R53" s="26" t="s">
        <v>168</v>
      </c>
      <c r="S53" s="567" t="str">
        <f>IF(Pricing!Q49="","",Pricing!Q49)</f>
        <v/>
      </c>
      <c r="T53" s="568"/>
      <c r="U53" s="568"/>
      <c r="V53" s="568"/>
      <c r="W53" s="568"/>
      <c r="X53" s="568"/>
      <c r="Y53" s="568"/>
      <c r="Z53" s="568"/>
      <c r="AA53" s="568"/>
      <c r="AB53" s="568"/>
      <c r="AC53" s="569"/>
      <c r="AD53" s="211"/>
      <c r="AE53" s="1051"/>
    </row>
    <row r="54" spans="2:33" x14ac:dyDescent="0.2">
      <c r="B54" s="479">
        <v>15</v>
      </c>
      <c r="C54" s="10" t="str">
        <f>IF(Pricing!C50="","",Pricing!C50)</f>
        <v/>
      </c>
      <c r="D54" s="988" t="str">
        <f>IF(Pricing!D50="","",Pricing!D50)</f>
        <v/>
      </c>
      <c r="E54" s="1011" t="str">
        <f>IF(Pricing!E50="","",Pricing!E50)</f>
        <v/>
      </c>
      <c r="F54" s="1063" t="str">
        <f>IF(Pricing!F50="","",Pricing!F50)</f>
        <v/>
      </c>
      <c r="G54" s="1064"/>
      <c r="H54" s="1011" t="str">
        <f>IF(Pricing!H50="","",Pricing!H50)</f>
        <v/>
      </c>
      <c r="I54" s="987" t="str">
        <f>IF(Pricing!I50="","",Pricing!I50)</f>
        <v/>
      </c>
      <c r="J54" s="24">
        <v>0</v>
      </c>
      <c r="K54" s="1011"/>
      <c r="L54" s="988" t="str">
        <f>IF(Pricing!J50="","",Pricing!J50)</f>
        <v/>
      </c>
      <c r="M54" s="1011" t="str">
        <f>UPPER(IF(Drawing!$F$2=15,Drawing!D17,IF(Drawing!$Y$2=15,Drawing!W17,IF(Drawing!$F$25=15,Drawing!D40,IF(Drawing!$Y$25=15,Drawing!W40,IF(Drawing!$F$48=15,Drawing!D63,IF(Drawing!$Y$48=15,Drawing!W63,"")))))))</f>
        <v/>
      </c>
      <c r="N54" s="1011" t="str">
        <f>UPPER(IF(Drawing!$F$2=15,Drawing!D19,IF(Drawing!$Y$2=15,Drawing!W19,IF(Drawing!$F$25=15,Drawing!D42,IF(Drawing!$Y$25=15,Drawing!W42,IF(Drawing!$F$48=15,Drawing!D65,IF(Drawing!$Y$48=15,Drawing!W65,"")))))))</f>
        <v/>
      </c>
      <c r="O54" s="1055" t="str">
        <f>UPPER(IF(Drawing!$F$2=15,Drawing!D21,IF(Drawing!$Y$2=15,Drawing!W21,IF(Drawing!$F$25=15,Drawing!D44,IF(Drawing!$Y$25=15,Drawing!W44,IF(Drawing!$F$48=15,Drawing!D67,IF(Drawing!$Y$48=15,Drawing!W67,"")))))))</f>
        <v/>
      </c>
      <c r="P54" s="987"/>
      <c r="Q54" s="1057"/>
      <c r="R54" s="222" t="s">
        <v>164</v>
      </c>
      <c r="S54" s="190" t="str">
        <f>UPPER(IF(Drawing!$F$2=15,Drawing!AW5,IF(Drawing!$Y$2=15,Drawing!AC17,IF(Drawing!$F$25=15,Drawing!J40,IF(Drawing!$Y$25=15,Drawing!AC40,IF(Drawing!$F$48=15,Drawing!J63,IF(Drawing!$Y$48=15,Drawing!AC63,IF(Pricing!Q50="","",Pricing!Q50))))))))</f>
        <v/>
      </c>
      <c r="T54" s="190" t="str">
        <f>UPPER(IF(Drawing!$F$2=15,Drawing!AX5,IF(Drawing!$Y$2=15,Drawing!AD17,IF(Drawing!$F$25=15,Drawing!K40,IF(Drawing!$Y$25=15,Drawing!AD40,IF(Drawing!$F$48=15,Drawing!K63,IF(Drawing!$Y$48=15,Drawing!AD63,IF(Pricing!R50="","",Pricing!R50))))))))</f>
        <v/>
      </c>
      <c r="U54" s="190" t="str">
        <f>UPPER(IF(Drawing!$F$2=15,Drawing!AY5,IF(Drawing!$Y$2=15,Drawing!AE17,IF(Drawing!$F$25=15,Drawing!L40,IF(Drawing!$Y$25=15,Drawing!AE40,IF(Drawing!$F$48=15,Drawing!L63,IF(Drawing!$Y$48=15,Drawing!AE63,IF(Pricing!S50="","",Pricing!S50))))))))</f>
        <v/>
      </c>
      <c r="V54" s="190" t="str">
        <f>UPPER(IF(Drawing!$F$2=15,Drawing!AZ5,IF(Drawing!$Y$2=15,Drawing!AF17,IF(Drawing!$F$25=15,Drawing!M40,IF(Drawing!$Y$25=15,Drawing!AF40,IF(Drawing!$F$48=15,Drawing!M63,IF(Drawing!$Y$48=15,Drawing!AF63,IF(Pricing!T50="","",Pricing!T50))))))))</f>
        <v/>
      </c>
      <c r="W54" s="190" t="str">
        <f>UPPER(IF(Drawing!$F$2=15,Drawing!BA5,IF(Drawing!$Y$2=15,Drawing!AG17,IF(Drawing!$F$25=15,Drawing!N40,IF(Drawing!$Y$25=15,Drawing!AG40,IF(Drawing!$F$48=15,Drawing!N63,IF(Drawing!$Y$48=15,Drawing!AG63,IF(Pricing!U50="","",Pricing!U50))))))))</f>
        <v/>
      </c>
      <c r="X54" s="190" t="str">
        <f>UPPER(IF(Drawing!$F$2=15,Drawing!BB5,IF(Drawing!$Y$2=15,Drawing!AH17,IF(Drawing!$F$25=15,Drawing!O40,IF(Drawing!$Y$25=15,Drawing!AH40,IF(Drawing!$F$48=15,Drawing!O63,IF(Drawing!$Y$48=15,Drawing!AH63,IF(Pricing!V50="","",Pricing!V50))))))))</f>
        <v/>
      </c>
      <c r="Y54" s="190" t="str">
        <f>UPPER(IF(Drawing!$F$2=15,Drawing!BC5,IF(Drawing!$Y$2=15,Drawing!AI17,IF(Drawing!$F$25=15,Drawing!P40,IF(Drawing!$Y$25=15,Drawing!AI40,IF(Drawing!$F$48=15,Drawing!P63,IF(Drawing!$Y$48=15,Drawing!AI63,IF(Pricing!W50="","",Pricing!W50))))))))</f>
        <v/>
      </c>
      <c r="Z54" s="190" t="str">
        <f>UPPER(IF(Drawing!$F$2=15,Drawing!BD5,IF(Drawing!$Y$2=15,Drawing!AJ17,IF(Drawing!$F$25=15,Drawing!Q40,IF(Drawing!$Y$25=15,Drawing!AJ40,IF(Drawing!$F$48=15,Drawing!Q63,IF(Drawing!$Y$48=15,Drawing!AJ63,IF(Pricing!X50="","",Pricing!X50))))))))</f>
        <v/>
      </c>
      <c r="AA54" s="190" t="str">
        <f>UPPER(IF(Drawing!$F$2=15,Drawing!BE5,IF(Drawing!$Y$2=15,Drawing!AK17,IF(Drawing!$F$25=15,Drawing!R40,IF(Drawing!$Y$25=15,Drawing!AK40,IF(Drawing!$F$48=15,Drawing!R63,IF(Drawing!$Y$48=15,Drawing!AK63,IF(Pricing!Y50="","",Pricing!Y50))))))))</f>
        <v/>
      </c>
      <c r="AB54" s="190" t="str">
        <f>UPPER(IF(Drawing!$F$2=15,Drawing!BF5,IF(Drawing!$Y$2=15,Drawing!AL17,IF(Drawing!$F$25=15,Drawing!S40,IF(Drawing!$Y$25=15,Drawing!AL40,IF(Drawing!$F$48=15,Drawing!S63,IF(Drawing!$Y$48=15,Drawing!AL63,IF(Pricing!Z50="","",Pricing!Z50))))))))</f>
        <v/>
      </c>
      <c r="AC54" s="190" t="str">
        <f>UPPER(IF(Drawing!$F$2=15,Drawing!BG5,IF(Drawing!$Y$2=15,Drawing!AM17,IF(Drawing!$F$25=15,Drawing!T40,IF(Drawing!$Y$25=15,Drawing!AM40,IF(Drawing!$F$48=15,Drawing!T63,IF(Drawing!$Y$48=15,Drawing!AM63,IF(Pricing!AA50="","",Pricing!AA50))))))))</f>
        <v/>
      </c>
      <c r="AD54" s="224" t="str">
        <f>IF(Pricing!AD50="Quote","Q","")</f>
        <v/>
      </c>
      <c r="AE54" s="11" t="s">
        <v>21</v>
      </c>
      <c r="AF54" s="16">
        <f>COUNTIF(S54:AC54,"(T)")</f>
        <v>0</v>
      </c>
      <c r="AG54" s="16" t="b">
        <f>OR(COUNTIF(S54:AC54,"*(B)*"),COUNTIF(S54:AC54,"*(CB)*"))</f>
        <v>0</v>
      </c>
    </row>
    <row r="55" spans="2:33" x14ac:dyDescent="0.2">
      <c r="B55" s="479"/>
      <c r="C55" s="10" t="str">
        <f>IF(Pricing!C51="","",Pricing!C51)</f>
        <v/>
      </c>
      <c r="D55" s="988"/>
      <c r="E55" s="1011"/>
      <c r="F55" s="528" t="str">
        <f>IF(Pricing!F51="","",Pricing!F51)</f>
        <v/>
      </c>
      <c r="G55" s="527"/>
      <c r="H55" s="1011"/>
      <c r="I55" s="988"/>
      <c r="J55" s="1014"/>
      <c r="K55" s="1011"/>
      <c r="L55" s="988"/>
      <c r="M55" s="1011"/>
      <c r="N55" s="1011"/>
      <c r="O55" s="1055"/>
      <c r="P55" s="988"/>
      <c r="Q55" s="1014"/>
      <c r="R55" s="222" t="s">
        <v>165</v>
      </c>
      <c r="S55" s="359" t="str">
        <f>UPPER(IF(Drawing!$F$2=15,Drawing!J18,IF(Drawing!$Y$2=15,Drawing!AC18,IF(Drawing!$F$25=15,Drawing!J40,IF(Drawing!$Y$25=15,Drawing!AC41,IF(Drawing!$F$48=15,Drawing!J63,IF(Drawing!$Y$48=15,Drawing!AC63,"")))))))</f>
        <v/>
      </c>
      <c r="T55" s="359" t="str">
        <f>UPPER(IF(Drawing!$F$2=15,Drawing!K18,IF(Drawing!$Y$2=15,Drawing!AD18,IF(Drawing!$F$25=15,Drawing!K40,IF(Drawing!$Y$25=15,Drawing!AD41,IF(Drawing!$F$48=15,Drawing!K63,IF(Drawing!$Y$48=15,Drawing!AD63,"")))))))</f>
        <v/>
      </c>
      <c r="U55" s="359" t="str">
        <f>UPPER(IF(Drawing!$F$2=15,Drawing!L18,IF(Drawing!$Y$2=15,Drawing!AE18,IF(Drawing!$F$25=15,Drawing!L40,IF(Drawing!$Y$25=15,Drawing!AE41,IF(Drawing!$F$48=15,Drawing!L63,IF(Drawing!$Y$48=15,Drawing!AE63,"")))))))</f>
        <v/>
      </c>
      <c r="V55" s="359" t="str">
        <f>UPPER(IF(Drawing!$F$2=15,Drawing!M18,IF(Drawing!$Y$2=15,Drawing!AF18,IF(Drawing!$F$25=15,Drawing!M40,IF(Drawing!$Y$25=15,Drawing!AF41,IF(Drawing!$F$48=15,Drawing!M63,IF(Drawing!$Y$48=15,Drawing!AF63,"")))))))</f>
        <v/>
      </c>
      <c r="W55" s="359" t="str">
        <f>UPPER(IF(Drawing!$F$2=15,Drawing!N18,IF(Drawing!$Y$2=15,Drawing!AG18,IF(Drawing!$F$25=15,Drawing!N40,IF(Drawing!$Y$25=15,Drawing!AG41,IF(Drawing!$F$48=15,Drawing!N63,IF(Drawing!$Y$48=15,Drawing!AG63,"")))))))</f>
        <v/>
      </c>
      <c r="X55" s="359" t="str">
        <f>UPPER(IF(Drawing!$F$2=15,Drawing!O18,IF(Drawing!$Y$2=15,Drawing!AH18,IF(Drawing!$F$25=15,Drawing!O40,IF(Drawing!$Y$25=15,Drawing!AH41,IF(Drawing!$F$48=15,Drawing!O63,IF(Drawing!$Y$48=15,Drawing!AH63,"")))))))</f>
        <v/>
      </c>
      <c r="Y55" s="359" t="str">
        <f>UPPER(IF(Drawing!$F$2=15,Drawing!P18,IF(Drawing!$Y$2=15,Drawing!AI18,IF(Drawing!$F$25=15,Drawing!P40,IF(Drawing!$Y$25=15,Drawing!AI41,IF(Drawing!$F$48=15,Drawing!P63,IF(Drawing!$Y$48=15,Drawing!AI63,"")))))))</f>
        <v/>
      </c>
      <c r="Z55" s="359" t="str">
        <f>UPPER(IF(Drawing!$F$2=15,Drawing!Q18,IF(Drawing!$Y$2=15,Drawing!AJ18,IF(Drawing!$F$25=15,Drawing!Q40,IF(Drawing!$Y$25=15,Drawing!AJ41,IF(Drawing!$F$48=15,Drawing!Q63,IF(Drawing!$Y$48=15,Drawing!AJ63,"")))))))</f>
        <v/>
      </c>
      <c r="AA55" s="359" t="str">
        <f>UPPER(IF(Drawing!$F$2=15,Drawing!R18,IF(Drawing!$Y$2=15,Drawing!AK18,IF(Drawing!$F$25=15,Drawing!R40,IF(Drawing!$Y$25=15,Drawing!AK41,IF(Drawing!$F$48=15,Drawing!R63,IF(Drawing!$Y$48=15,Drawing!AK63,"")))))))</f>
        <v/>
      </c>
      <c r="AB55" s="359" t="str">
        <f>UPPER(IF(Drawing!$F$2=15,Drawing!S18,IF(Drawing!$Y$2=15,Drawing!AL18,IF(Drawing!$F$25=15,Drawing!S40,IF(Drawing!$Y$25=15,Drawing!AL41,IF(Drawing!$F$48=15,Drawing!S63,IF(Drawing!$Y$48=15,Drawing!AL63,"")))))))</f>
        <v/>
      </c>
      <c r="AC55" s="12" t="s">
        <v>19</v>
      </c>
      <c r="AD55" s="359" t="s">
        <v>166</v>
      </c>
      <c r="AE55" s="1050">
        <f>IF(ISERROR(M54*N54/1000000),,M54*N54/1000000)</f>
        <v>0</v>
      </c>
    </row>
    <row r="56" spans="2:33" ht="15.75" thickBot="1" x14ac:dyDescent="0.25">
      <c r="B56" s="479"/>
      <c r="C56" s="10" t="str">
        <f>IF(Pricing!C52="","",Pricing!C52)</f>
        <v/>
      </c>
      <c r="D56" s="989"/>
      <c r="E56" s="1011"/>
      <c r="F56" s="223" t="s">
        <v>28</v>
      </c>
      <c r="G56" s="25" t="str">
        <f>IF(Pricing!G52="","",Pricing!G52)</f>
        <v/>
      </c>
      <c r="H56" s="1012"/>
      <c r="I56" s="989"/>
      <c r="J56" s="1015"/>
      <c r="K56" s="1012"/>
      <c r="L56" s="989"/>
      <c r="M56" s="1012"/>
      <c r="N56" s="1012"/>
      <c r="O56" s="1056"/>
      <c r="P56" s="989"/>
      <c r="Q56" s="26" t="s">
        <v>167</v>
      </c>
      <c r="R56" s="26" t="s">
        <v>168</v>
      </c>
      <c r="S56" s="567" t="str">
        <f>IF(Pricing!Q52="","",Pricing!Q52)</f>
        <v/>
      </c>
      <c r="T56" s="568"/>
      <c r="U56" s="568"/>
      <c r="V56" s="568"/>
      <c r="W56" s="568"/>
      <c r="X56" s="568"/>
      <c r="Y56" s="568"/>
      <c r="Z56" s="568"/>
      <c r="AA56" s="568"/>
      <c r="AB56" s="568"/>
      <c r="AC56" s="569"/>
      <c r="AD56" s="211"/>
      <c r="AE56" s="1051"/>
    </row>
    <row r="57" spans="2:33" x14ac:dyDescent="0.2">
      <c r="B57" s="553" t="s">
        <v>962</v>
      </c>
      <c r="C57" s="554"/>
      <c r="D57" s="555"/>
      <c r="E57" s="562"/>
      <c r="F57" s="563"/>
      <c r="G57" s="563"/>
      <c r="H57" s="563"/>
      <c r="I57" s="566"/>
      <c r="J57" s="563"/>
      <c r="K57" s="563"/>
      <c r="L57" s="563"/>
      <c r="M57" s="563"/>
      <c r="N57" s="563"/>
      <c r="O57" s="563"/>
      <c r="P57" s="563"/>
      <c r="Q57" s="563"/>
      <c r="R57" s="563"/>
      <c r="S57" s="563"/>
      <c r="T57" s="563"/>
      <c r="U57" s="563"/>
      <c r="V57" s="563"/>
      <c r="W57" s="563"/>
      <c r="X57" s="563"/>
      <c r="Y57" s="563"/>
      <c r="Z57" s="563"/>
      <c r="AA57" s="563"/>
      <c r="AB57" s="563"/>
      <c r="AC57" s="563"/>
      <c r="AD57" s="563"/>
      <c r="AE57" s="1079"/>
    </row>
    <row r="58" spans="2:33" x14ac:dyDescent="0.2">
      <c r="B58" s="556"/>
      <c r="C58" s="557"/>
      <c r="D58" s="558"/>
      <c r="E58" s="565"/>
      <c r="F58" s="566"/>
      <c r="G58" s="566"/>
      <c r="H58" s="566"/>
      <c r="I58" s="566"/>
      <c r="J58" s="566"/>
      <c r="K58" s="566"/>
      <c r="L58" s="566"/>
      <c r="M58" s="566"/>
      <c r="N58" s="566"/>
      <c r="O58" s="566"/>
      <c r="P58" s="566"/>
      <c r="Q58" s="566"/>
      <c r="R58" s="566"/>
      <c r="S58" s="566"/>
      <c r="T58" s="566"/>
      <c r="U58" s="566"/>
      <c r="V58" s="566"/>
      <c r="W58" s="566"/>
      <c r="X58" s="566"/>
      <c r="Y58" s="566"/>
      <c r="Z58" s="566"/>
      <c r="AA58" s="566"/>
      <c r="AB58" s="566"/>
      <c r="AC58" s="566"/>
      <c r="AD58" s="566"/>
      <c r="AE58" s="1080"/>
    </row>
    <row r="59" spans="2:33" ht="15.75" thickBot="1" x14ac:dyDescent="0.25">
      <c r="B59" s="559"/>
      <c r="C59" s="560"/>
      <c r="D59" s="561"/>
      <c r="E59" s="567"/>
      <c r="F59" s="568"/>
      <c r="G59" s="568"/>
      <c r="H59" s="568"/>
      <c r="I59" s="568"/>
      <c r="J59" s="568"/>
      <c r="K59" s="568"/>
      <c r="L59" s="568"/>
      <c r="M59" s="568"/>
      <c r="N59" s="568"/>
      <c r="O59" s="568"/>
      <c r="P59" s="568"/>
      <c r="Q59" s="568"/>
      <c r="R59" s="568"/>
      <c r="S59" s="568"/>
      <c r="T59" s="568"/>
      <c r="U59" s="568"/>
      <c r="V59" s="568"/>
      <c r="W59" s="568"/>
      <c r="X59" s="568"/>
      <c r="Y59" s="568"/>
      <c r="Z59" s="568"/>
      <c r="AA59" s="568"/>
      <c r="AB59" s="568"/>
      <c r="AC59" s="568"/>
      <c r="AD59" s="568"/>
      <c r="AE59" s="1081"/>
    </row>
    <row r="60" spans="2:33" ht="15.75" thickBot="1" x14ac:dyDescent="0.25">
      <c r="B60" s="1082"/>
      <c r="C60" s="1083"/>
      <c r="D60" s="1083"/>
      <c r="E60" s="1083"/>
      <c r="F60" s="1083"/>
      <c r="G60" s="1083"/>
      <c r="H60" s="1083"/>
      <c r="I60" s="1083"/>
      <c r="J60" s="1083"/>
      <c r="K60" s="1083"/>
      <c r="L60" s="1083"/>
      <c r="M60" s="1083"/>
      <c r="N60" s="1083"/>
      <c r="O60" s="1083"/>
      <c r="P60" s="1083"/>
      <c r="Q60" s="1083"/>
      <c r="R60" s="1083"/>
      <c r="S60" s="1083"/>
      <c r="T60" s="1083"/>
      <c r="U60" s="1083"/>
      <c r="V60" s="1083"/>
      <c r="W60" s="1083"/>
      <c r="X60" s="1083"/>
      <c r="Y60" s="1083"/>
      <c r="Z60" s="1083"/>
      <c r="AA60" s="1083"/>
      <c r="AB60" s="1083"/>
      <c r="AC60" s="1083"/>
      <c r="AD60" s="1083"/>
      <c r="AE60" s="1084"/>
    </row>
    <row r="61" spans="2:33" ht="15.75" thickTop="1" x14ac:dyDescent="0.2"/>
  </sheetData>
  <dataConsolidate/>
  <mergeCells count="282">
    <mergeCell ref="AA6:AB7"/>
    <mergeCell ref="AC6:AD7"/>
    <mergeCell ref="AA8:AB9"/>
    <mergeCell ref="AC8:AD9"/>
    <mergeCell ref="AE55:AE56"/>
    <mergeCell ref="S56:AC56"/>
    <mergeCell ref="B57:D59"/>
    <mergeCell ref="E57:AE59"/>
    <mergeCell ref="B60:AE60"/>
    <mergeCell ref="M54:M56"/>
    <mergeCell ref="N54:N56"/>
    <mergeCell ref="O54:O56"/>
    <mergeCell ref="Q54:Q55"/>
    <mergeCell ref="F55:G55"/>
    <mergeCell ref="J55:J56"/>
    <mergeCell ref="B54:B56"/>
    <mergeCell ref="D54:D56"/>
    <mergeCell ref="E54:E56"/>
    <mergeCell ref="F54:G54"/>
    <mergeCell ref="H54:H56"/>
    <mergeCell ref="I54:I56"/>
    <mergeCell ref="K54:K56"/>
    <mergeCell ref="L54:L56"/>
    <mergeCell ref="P54:P56"/>
    <mergeCell ref="AE49:AE50"/>
    <mergeCell ref="S50:AC50"/>
    <mergeCell ref="B51:B53"/>
    <mergeCell ref="D51:D53"/>
    <mergeCell ref="E51:E53"/>
    <mergeCell ref="F51:G51"/>
    <mergeCell ref="H51:H53"/>
    <mergeCell ref="I51:I53"/>
    <mergeCell ref="K51:K53"/>
    <mergeCell ref="L51:L53"/>
    <mergeCell ref="M48:M50"/>
    <mergeCell ref="N48:N50"/>
    <mergeCell ref="O48:O50"/>
    <mergeCell ref="Q48:Q49"/>
    <mergeCell ref="F49:G49"/>
    <mergeCell ref="J49:J50"/>
    <mergeCell ref="AE52:AE53"/>
    <mergeCell ref="S53:AC53"/>
    <mergeCell ref="N51:N53"/>
    <mergeCell ref="O51:O53"/>
    <mergeCell ref="Q51:Q52"/>
    <mergeCell ref="AE46:AE47"/>
    <mergeCell ref="S47:AC47"/>
    <mergeCell ref="N45:N47"/>
    <mergeCell ref="O45:O47"/>
    <mergeCell ref="Q45:Q46"/>
    <mergeCell ref="B42:B44"/>
    <mergeCell ref="D42:D44"/>
    <mergeCell ref="E42:E44"/>
    <mergeCell ref="B48:B50"/>
    <mergeCell ref="D48:D50"/>
    <mergeCell ref="E48:E50"/>
    <mergeCell ref="F48:G48"/>
    <mergeCell ref="H48:H50"/>
    <mergeCell ref="I48:I50"/>
    <mergeCell ref="K48:K50"/>
    <mergeCell ref="L48:L50"/>
    <mergeCell ref="M45:M47"/>
    <mergeCell ref="F46:G46"/>
    <mergeCell ref="J46:J47"/>
    <mergeCell ref="B45:B47"/>
    <mergeCell ref="D45:D47"/>
    <mergeCell ref="E45:E47"/>
    <mergeCell ref="F45:G45"/>
    <mergeCell ref="H45:H47"/>
    <mergeCell ref="AE37:AE38"/>
    <mergeCell ref="S38:AC38"/>
    <mergeCell ref="N36:N38"/>
    <mergeCell ref="O36:O38"/>
    <mergeCell ref="Q36:Q37"/>
    <mergeCell ref="AE40:AE41"/>
    <mergeCell ref="S41:AC41"/>
    <mergeCell ref="N39:N41"/>
    <mergeCell ref="O39:O41"/>
    <mergeCell ref="Q39:Q40"/>
    <mergeCell ref="P36:P38"/>
    <mergeCell ref="AE43:AE44"/>
    <mergeCell ref="S44:AC44"/>
    <mergeCell ref="N42:N44"/>
    <mergeCell ref="O42:O44"/>
    <mergeCell ref="Q42:Q43"/>
    <mergeCell ref="B39:B41"/>
    <mergeCell ref="D39:D41"/>
    <mergeCell ref="E39:E41"/>
    <mergeCell ref="F39:G39"/>
    <mergeCell ref="H39:H41"/>
    <mergeCell ref="I39:I41"/>
    <mergeCell ref="K39:K41"/>
    <mergeCell ref="L39:L41"/>
    <mergeCell ref="M39:M41"/>
    <mergeCell ref="F40:G40"/>
    <mergeCell ref="J40:J41"/>
    <mergeCell ref="P39:P41"/>
    <mergeCell ref="P42:P44"/>
    <mergeCell ref="M42:M44"/>
    <mergeCell ref="F43:G43"/>
    <mergeCell ref="J43:J44"/>
    <mergeCell ref="F42:G42"/>
    <mergeCell ref="H42:H44"/>
    <mergeCell ref="I42:I44"/>
    <mergeCell ref="B36:B38"/>
    <mergeCell ref="D36:D38"/>
    <mergeCell ref="E36:E38"/>
    <mergeCell ref="F36:G36"/>
    <mergeCell ref="H36:H38"/>
    <mergeCell ref="I36:I38"/>
    <mergeCell ref="K36:K38"/>
    <mergeCell ref="L36:L38"/>
    <mergeCell ref="M33:M35"/>
    <mergeCell ref="F34:G34"/>
    <mergeCell ref="J34:J35"/>
    <mergeCell ref="M36:M38"/>
    <mergeCell ref="F37:G37"/>
    <mergeCell ref="J37:J38"/>
    <mergeCell ref="AE31:AE32"/>
    <mergeCell ref="S32:AC32"/>
    <mergeCell ref="B33:B35"/>
    <mergeCell ref="D33:D35"/>
    <mergeCell ref="E33:E35"/>
    <mergeCell ref="F33:G33"/>
    <mergeCell ref="H33:H35"/>
    <mergeCell ref="I33:I35"/>
    <mergeCell ref="K33:K35"/>
    <mergeCell ref="L33:L35"/>
    <mergeCell ref="M30:M32"/>
    <mergeCell ref="N30:N32"/>
    <mergeCell ref="O30:O32"/>
    <mergeCell ref="Q30:Q31"/>
    <mergeCell ref="F31:G31"/>
    <mergeCell ref="J31:J32"/>
    <mergeCell ref="AE34:AE35"/>
    <mergeCell ref="S35:AC35"/>
    <mergeCell ref="N33:N35"/>
    <mergeCell ref="O33:O35"/>
    <mergeCell ref="Q33:Q34"/>
    <mergeCell ref="P30:P32"/>
    <mergeCell ref="P33:P35"/>
    <mergeCell ref="AE28:AE29"/>
    <mergeCell ref="S29:AC29"/>
    <mergeCell ref="N27:N29"/>
    <mergeCell ref="O27:O29"/>
    <mergeCell ref="Q27:Q28"/>
    <mergeCell ref="B24:B26"/>
    <mergeCell ref="D24:D26"/>
    <mergeCell ref="E24:E26"/>
    <mergeCell ref="B30:B32"/>
    <mergeCell ref="D30:D32"/>
    <mergeCell ref="E30:E32"/>
    <mergeCell ref="F30:G30"/>
    <mergeCell ref="H30:H32"/>
    <mergeCell ref="I30:I32"/>
    <mergeCell ref="K30:K32"/>
    <mergeCell ref="L30:L32"/>
    <mergeCell ref="M27:M29"/>
    <mergeCell ref="F28:G28"/>
    <mergeCell ref="J28:J29"/>
    <mergeCell ref="B27:B29"/>
    <mergeCell ref="D27:D29"/>
    <mergeCell ref="E27:E29"/>
    <mergeCell ref="F27:G27"/>
    <mergeCell ref="H27:H29"/>
    <mergeCell ref="AE19:AE20"/>
    <mergeCell ref="S20:AC20"/>
    <mergeCell ref="N18:N20"/>
    <mergeCell ref="O18:O20"/>
    <mergeCell ref="Q18:Q19"/>
    <mergeCell ref="AE22:AE23"/>
    <mergeCell ref="S23:AC23"/>
    <mergeCell ref="N21:N23"/>
    <mergeCell ref="O21:O23"/>
    <mergeCell ref="Q21:Q22"/>
    <mergeCell ref="P18:P20"/>
    <mergeCell ref="AE25:AE26"/>
    <mergeCell ref="S26:AC26"/>
    <mergeCell ref="N24:N26"/>
    <mergeCell ref="O24:O26"/>
    <mergeCell ref="Q24:Q25"/>
    <mergeCell ref="B21:B23"/>
    <mergeCell ref="D21:D23"/>
    <mergeCell ref="E21:E23"/>
    <mergeCell ref="F21:G21"/>
    <mergeCell ref="H21:H23"/>
    <mergeCell ref="I21:I23"/>
    <mergeCell ref="K21:K23"/>
    <mergeCell ref="L21:L23"/>
    <mergeCell ref="M21:M23"/>
    <mergeCell ref="F22:G22"/>
    <mergeCell ref="J22:J23"/>
    <mergeCell ref="P21:P23"/>
    <mergeCell ref="P24:P26"/>
    <mergeCell ref="M24:M26"/>
    <mergeCell ref="F25:G25"/>
    <mergeCell ref="J25:J26"/>
    <mergeCell ref="F24:G24"/>
    <mergeCell ref="H24:H26"/>
    <mergeCell ref="I24:I26"/>
    <mergeCell ref="B18:B20"/>
    <mergeCell ref="D18:D20"/>
    <mergeCell ref="E18:E20"/>
    <mergeCell ref="F18:G18"/>
    <mergeCell ref="H18:H20"/>
    <mergeCell ref="I18:I20"/>
    <mergeCell ref="K18:K20"/>
    <mergeCell ref="L18:L20"/>
    <mergeCell ref="M15:M17"/>
    <mergeCell ref="F16:G16"/>
    <mergeCell ref="J16:J17"/>
    <mergeCell ref="M18:M20"/>
    <mergeCell ref="F19:G19"/>
    <mergeCell ref="J19:J20"/>
    <mergeCell ref="AE13:AE14"/>
    <mergeCell ref="S14:AC14"/>
    <mergeCell ref="B15:B17"/>
    <mergeCell ref="D15:D17"/>
    <mergeCell ref="E15:E17"/>
    <mergeCell ref="F15:G15"/>
    <mergeCell ref="H15:H17"/>
    <mergeCell ref="I15:I17"/>
    <mergeCell ref="K15:K17"/>
    <mergeCell ref="L15:L17"/>
    <mergeCell ref="M12:M14"/>
    <mergeCell ref="N12:N14"/>
    <mergeCell ref="O12:O14"/>
    <mergeCell ref="Q12:Q13"/>
    <mergeCell ref="F13:G13"/>
    <mergeCell ref="J13:J14"/>
    <mergeCell ref="AE16:AE17"/>
    <mergeCell ref="S17:AC17"/>
    <mergeCell ref="N15:N17"/>
    <mergeCell ref="O15:O17"/>
    <mergeCell ref="Q15:Q16"/>
    <mergeCell ref="P15:P17"/>
    <mergeCell ref="Y6:Z7"/>
    <mergeCell ref="V6:X7"/>
    <mergeCell ref="P27:P29"/>
    <mergeCell ref="B6:C9"/>
    <mergeCell ref="E6:H7"/>
    <mergeCell ref="J6:L7"/>
    <mergeCell ref="M6:N7"/>
    <mergeCell ref="O6:Q7"/>
    <mergeCell ref="R6:T7"/>
    <mergeCell ref="J8:L9"/>
    <mergeCell ref="M8:N8"/>
    <mergeCell ref="O8:Q8"/>
    <mergeCell ref="R8:T9"/>
    <mergeCell ref="F11:G11"/>
    <mergeCell ref="R11:AC11"/>
    <mergeCell ref="B12:B14"/>
    <mergeCell ref="D12:D14"/>
    <mergeCell ref="E12:E14"/>
    <mergeCell ref="F12:G12"/>
    <mergeCell ref="H12:H14"/>
    <mergeCell ref="I12:I14"/>
    <mergeCell ref="K12:K14"/>
    <mergeCell ref="L12:L14"/>
    <mergeCell ref="P12:P14"/>
    <mergeCell ref="P45:P47"/>
    <mergeCell ref="P48:P50"/>
    <mergeCell ref="P51:P53"/>
    <mergeCell ref="U8:V9"/>
    <mergeCell ref="M9:N9"/>
    <mergeCell ref="O9:Q9"/>
    <mergeCell ref="E8:F9"/>
    <mergeCell ref="W8:X9"/>
    <mergeCell ref="Y8:Z9"/>
    <mergeCell ref="I27:I29"/>
    <mergeCell ref="K27:K29"/>
    <mergeCell ref="L27:L29"/>
    <mergeCell ref="K24:K26"/>
    <mergeCell ref="L24:L26"/>
    <mergeCell ref="I45:I47"/>
    <mergeCell ref="K45:K47"/>
    <mergeCell ref="L45:L47"/>
    <mergeCell ref="K42:K44"/>
    <mergeCell ref="L42:L44"/>
    <mergeCell ref="M51:M53"/>
    <mergeCell ref="F52:G52"/>
    <mergeCell ref="J52:J53"/>
  </mergeCells>
  <conditionalFormatting sqref="J13:J14 J34:J35">
    <cfRule type="expression" dxfId="727" priority="741">
      <formula>$J12&gt;=4</formula>
    </cfRule>
  </conditionalFormatting>
  <conditionalFormatting sqref="C21:AE23">
    <cfRule type="expression" dxfId="726" priority="723">
      <formula>$AD$21="Q"</formula>
    </cfRule>
  </conditionalFormatting>
  <conditionalFormatting sqref="C12:AE14">
    <cfRule type="expression" dxfId="725" priority="329">
      <formula>$AD$12="Q"</formula>
    </cfRule>
  </conditionalFormatting>
  <conditionalFormatting sqref="C15:AE17 D12:D14">
    <cfRule type="expression" dxfId="724" priority="721">
      <formula>$AD$15="Q"</formula>
    </cfRule>
  </conditionalFormatting>
  <conditionalFormatting sqref="C24:AE26">
    <cfRule type="expression" dxfId="723" priority="720">
      <formula>$AD$24="Q"</formula>
    </cfRule>
  </conditionalFormatting>
  <conditionalFormatting sqref="C30:AE32">
    <cfRule type="expression" dxfId="722" priority="719">
      <formula>$AD$30="Q"</formula>
    </cfRule>
  </conditionalFormatting>
  <conditionalFormatting sqref="J16:J17">
    <cfRule type="expression" dxfId="721" priority="713">
      <formula>$J15&gt;=4</formula>
    </cfRule>
  </conditionalFormatting>
  <conditionalFormatting sqref="J19:J20">
    <cfRule type="expression" dxfId="720" priority="693">
      <formula>$J18&gt;=4</formula>
    </cfRule>
  </conditionalFormatting>
  <conditionalFormatting sqref="N18:N20">
    <cfRule type="expression" dxfId="719" priority="678">
      <formula>AND($N18&gt;3657,$E18="Antigua")</formula>
    </cfRule>
    <cfRule type="expression" dxfId="718" priority="679">
      <formula>AND($N18&gt;3657,$E18="Bermuda")</formula>
    </cfRule>
    <cfRule type="expression" dxfId="717" priority="680">
      <formula>AND($N18&gt;3657,$E18="Cuba")</formula>
    </cfRule>
    <cfRule type="expression" dxfId="716" priority="681">
      <formula>AND($N18&gt;3657,$E18="Java")</formula>
    </cfRule>
    <cfRule type="expression" dxfId="715" priority="682">
      <formula>AND($N18&gt;3000,$E18="Fiji")</formula>
    </cfRule>
    <cfRule type="expression" dxfId="714" priority="683">
      <formula>AND($N18&gt;3657,$E18="Samoa")</formula>
    </cfRule>
  </conditionalFormatting>
  <conditionalFormatting sqref="M18:M20">
    <cfRule type="expression" dxfId="713" priority="676">
      <formula>AND($E18="Antigua",$H18="47mm",$M18&gt;644,$AB$11="R")</formula>
    </cfRule>
    <cfRule type="expression" dxfId="712" priority="677">
      <formula>AND($E18="Antigua",$H18="47mm",$M18&gt;644,$AB$11="L")</formula>
    </cfRule>
  </conditionalFormatting>
  <conditionalFormatting sqref="M18:M20">
    <cfRule type="expression" dxfId="711" priority="694">
      <formula>AND($E18="Antigua",$H18="47mm",$M18&gt;644,$AB$11="L")</formula>
    </cfRule>
  </conditionalFormatting>
  <conditionalFormatting sqref="M18:M20">
    <cfRule type="expression" dxfId="710" priority="695">
      <formula>AND($E18="Antigua",$H18="47mm",$M18&gt;644,$AB$11="R")</formula>
    </cfRule>
  </conditionalFormatting>
  <conditionalFormatting sqref="J22:J23">
    <cfRule type="expression" dxfId="709" priority="673">
      <formula>$J21&gt;=4</formula>
    </cfRule>
  </conditionalFormatting>
  <conditionalFormatting sqref="N21:N23">
    <cfRule type="expression" dxfId="708" priority="658">
      <formula>AND($N21&gt;3657,$E21="Antigua")</formula>
    </cfRule>
    <cfRule type="expression" dxfId="707" priority="659">
      <formula>AND($N21&gt;3657,$E21="Bermuda")</formula>
    </cfRule>
    <cfRule type="expression" dxfId="706" priority="660">
      <formula>AND($N21&gt;3657,$E21="Cuba")</formula>
    </cfRule>
    <cfRule type="expression" dxfId="705" priority="661">
      <formula>AND($N21&gt;3657,$E21="Java")</formula>
    </cfRule>
    <cfRule type="expression" dxfId="704" priority="662">
      <formula>AND($N21&gt;3000,$E21="Fiji")</formula>
    </cfRule>
    <cfRule type="expression" dxfId="703" priority="663">
      <formula>AND($N21&gt;3657,$E21="Samoa")</formula>
    </cfRule>
  </conditionalFormatting>
  <conditionalFormatting sqref="J25:J26">
    <cfRule type="expression" dxfId="702" priority="653">
      <formula>$J24&gt;=4</formula>
    </cfRule>
  </conditionalFormatting>
  <conditionalFormatting sqref="N24:N26">
    <cfRule type="expression" dxfId="701" priority="638">
      <formula>AND($N24&gt;3657,$E24="Antigua")</formula>
    </cfRule>
    <cfRule type="expression" dxfId="700" priority="639">
      <formula>AND($N24&gt;3657,$E24="Bermuda")</formula>
    </cfRule>
    <cfRule type="expression" dxfId="699" priority="640">
      <formula>AND($N24&gt;3657,$E24="Cuba")</formula>
    </cfRule>
    <cfRule type="expression" dxfId="698" priority="641">
      <formula>AND($N24&gt;3657,$E24="Java")</formula>
    </cfRule>
    <cfRule type="expression" dxfId="697" priority="642">
      <formula>AND($N24&gt;3000,$E24="Fiji")</formula>
    </cfRule>
    <cfRule type="expression" dxfId="696" priority="643">
      <formula>AND($N24&gt;3657,$E24="Samoa")</formula>
    </cfRule>
  </conditionalFormatting>
  <conditionalFormatting sqref="J28:J29">
    <cfRule type="expression" dxfId="695" priority="633">
      <formula>$J27&gt;=4</formula>
    </cfRule>
  </conditionalFormatting>
  <conditionalFormatting sqref="N27:N29">
    <cfRule type="expression" dxfId="694" priority="618">
      <formula>AND($N27&gt;3657,$E27="Antigua")</formula>
    </cfRule>
    <cfRule type="expression" dxfId="693" priority="619">
      <formula>AND($N27&gt;3657,$E27="Bermuda")</formula>
    </cfRule>
    <cfRule type="expression" dxfId="692" priority="620">
      <formula>AND($N27&gt;3657,$E27="Cuba")</formula>
    </cfRule>
    <cfRule type="expression" dxfId="691" priority="621">
      <formula>AND($N27&gt;3657,$E27="Java")</formula>
    </cfRule>
    <cfRule type="expression" dxfId="690" priority="622">
      <formula>AND($N27&gt;3000,$E27="Fiji")</formula>
    </cfRule>
    <cfRule type="expression" dxfId="689" priority="623">
      <formula>AND($N27&gt;3657,$E27="Samoa")</formula>
    </cfRule>
  </conditionalFormatting>
  <conditionalFormatting sqref="J31:J32">
    <cfRule type="expression" dxfId="688" priority="613">
      <formula>$J30&gt;=4</formula>
    </cfRule>
  </conditionalFormatting>
  <conditionalFormatting sqref="L12:L32">
    <cfRule type="expression" dxfId="687" priority="609">
      <formula>AND($H12="89mm",$N12-$O12&lt;370)</formula>
    </cfRule>
    <cfRule type="expression" dxfId="686" priority="610">
      <formula>AND($H12="63mm",$N12-$O12&lt;290)</formula>
    </cfRule>
    <cfRule type="expression" dxfId="685" priority="611">
      <formula>AND($H12="76mm",$N$12-$O$12&lt;370)</formula>
    </cfRule>
  </conditionalFormatting>
  <conditionalFormatting sqref="N30:N32">
    <cfRule type="expression" dxfId="684" priority="598">
      <formula>AND($N30&gt;3657,$E30="Antigua")</formula>
    </cfRule>
    <cfRule type="expression" dxfId="683" priority="599">
      <formula>AND($N30&gt;3657,$E30="Bermuda")</formula>
    </cfRule>
    <cfRule type="expression" dxfId="682" priority="600">
      <formula>AND($N30&gt;3657,$E30="Cuba")</formula>
    </cfRule>
    <cfRule type="expression" dxfId="681" priority="601">
      <formula>AND($N30&gt;3657,$E30="Java")</formula>
    </cfRule>
    <cfRule type="expression" dxfId="680" priority="602">
      <formula>AND($N30&gt;3000,$E30="Fiji")</formula>
    </cfRule>
    <cfRule type="expression" dxfId="679" priority="603">
      <formula>AND($N30&gt;3657,$E30="Samoa")</formula>
    </cfRule>
  </conditionalFormatting>
  <conditionalFormatting sqref="L33:L35">
    <cfRule type="expression" dxfId="678" priority="590">
      <formula>AND($H33="89mm",$N33-$O33&lt;370)</formula>
    </cfRule>
    <cfRule type="expression" dxfId="677" priority="591">
      <formula>AND($H33="63mm",$N33-$O33&lt;290)</formula>
    </cfRule>
    <cfRule type="expression" dxfId="676" priority="592">
      <formula>AND($H33="76mm",$N$12-$O$12&lt;370)</formula>
    </cfRule>
  </conditionalFormatting>
  <conditionalFormatting sqref="N33:N35">
    <cfRule type="expression" dxfId="675" priority="579">
      <formula>AND($N33&gt;3657,$E33="Antigua")</formula>
    </cfRule>
    <cfRule type="expression" dxfId="674" priority="580">
      <formula>AND($N33&gt;3657,$E33="Bermuda")</formula>
    </cfRule>
    <cfRule type="expression" dxfId="673" priority="581">
      <formula>AND($N33&gt;3657,$E33="Cuba")</formula>
    </cfRule>
    <cfRule type="expression" dxfId="672" priority="582">
      <formula>AND($N33&gt;3657,$E33="Java")</formula>
    </cfRule>
    <cfRule type="expression" dxfId="671" priority="583">
      <formula>AND($N33&gt;3000,$E33="Fiji")</formula>
    </cfRule>
    <cfRule type="expression" dxfId="670" priority="584">
      <formula>AND($N33&gt;3657,$E33="Samoa")</formula>
    </cfRule>
  </conditionalFormatting>
  <conditionalFormatting sqref="C18:AE20">
    <cfRule type="expression" dxfId="669" priority="576">
      <formula>$AD$18="Q"</formula>
    </cfRule>
  </conditionalFormatting>
  <conditionalFormatting sqref="M29">
    <cfRule type="expression" dxfId="668" priority="746">
      <formula>AND($E29="Antigua",$H29="47mm",$M29&gt;644,$X$11="R")</formula>
    </cfRule>
    <cfRule type="expression" dxfId="667" priority="747">
      <formula>AND($E29="Antigua",$H29&lt;&gt;"47mm",$M29&gt;794,$X28="L")</formula>
    </cfRule>
  </conditionalFormatting>
  <conditionalFormatting sqref="M30">
    <cfRule type="expression" dxfId="666" priority="68">
      <formula>AND(D30="Tier on Tier",VALUE(M30)&gt;1219)</formula>
    </cfRule>
    <cfRule type="expression" dxfId="665" priority="596">
      <formula>AND($E30="Antigua",$H30="47mm",$M30&gt;644,$AB$11="R")</formula>
    </cfRule>
    <cfRule type="expression" dxfId="664" priority="597">
      <formula>AND($E30="Antigua",$H30="47mm",$M30&gt;644,$AB$11="L")</formula>
    </cfRule>
    <cfRule type="expression" dxfId="663" priority="614">
      <formula>AND($E30="Antigua",$H30="47mm",$M30&gt;644,$AB$11="L")</formula>
    </cfRule>
    <cfRule type="expression" dxfId="662" priority="615">
      <formula>AND($E30="Antigua",$H30="47mm",$M30&gt;644,$AB$11="R")</formula>
    </cfRule>
    <cfRule type="expression" dxfId="661" priority="751">
      <formula>AND($E30="Antigua",$H30="47mm",$M30&gt;644,$AG$11="R")</formula>
    </cfRule>
    <cfRule type="expression" dxfId="660" priority="753">
      <formula>AND($E30="Bermuda",$H30="47mm",$M30&gt;654,$AG$11="R")</formula>
    </cfRule>
    <cfRule type="expression" dxfId="659" priority="770">
      <formula>AND($E30="Antigua",$H30="47mm",$M30&gt;644,$AG$11="R")</formula>
    </cfRule>
    <cfRule type="expression" dxfId="658" priority="783">
      <formula>AND($E30="Antigua",$H30="47mm",$M30&gt;644,$AG$11="R")</formula>
    </cfRule>
  </conditionalFormatting>
  <conditionalFormatting sqref="M32">
    <cfRule type="expression" dxfId="657" priority="754">
      <formula>AND($E32="Bermuda",$H32="47mm",$M32&gt;654,$AG$11="R")</formula>
    </cfRule>
    <cfRule type="expression" dxfId="656" priority="757">
      <formula>AND($E32="Bermuda",$H32="47mm",$M32&gt;654,$AG$11="R")</formula>
    </cfRule>
    <cfRule type="expression" dxfId="655" priority="760">
      <formula>AND($E32="Bermuda",$H32="47mm",$M32&gt;654,$AG$11="L")</formula>
    </cfRule>
    <cfRule type="expression" dxfId="654" priority="763">
      <formula>AND($E32="Bermuda",$H32="47mm",$M32&gt;654,$AG$11="R")</formula>
    </cfRule>
    <cfRule type="expression" dxfId="653" priority="766">
      <formula>AND($E32="Bermuda",$H32="47mm",$M32&gt;654,$AG$11="R")</formula>
    </cfRule>
    <cfRule type="expression" dxfId="652" priority="772">
      <formula>AND($E32="Bermuda",$H32="47mm",$M32&gt;654,$AG$11="R")</formula>
    </cfRule>
    <cfRule type="expression" dxfId="651" priority="776">
      <formula>AND($E32="Bermuda",$H32="47mm",$M32&gt;654,$AG$11="L")</formula>
    </cfRule>
    <cfRule type="expression" dxfId="650" priority="777">
      <formula>AND($E32="Bermuda",$H32="47mm",$M32&gt;654,$AG$11="R")</formula>
    </cfRule>
    <cfRule type="expression" dxfId="649" priority="785">
      <formula>AND($E32="Bermuda",$H32="47mm",$M32&gt;654,$AG$11="R")</formula>
    </cfRule>
  </conditionalFormatting>
  <conditionalFormatting sqref="M31">
    <cfRule type="expression" dxfId="648" priority="755">
      <formula>AND($E31="Bermuda",$H31="47mm",$M31&gt;654,$AG$11="R")</formula>
    </cfRule>
  </conditionalFormatting>
  <conditionalFormatting sqref="M30">
    <cfRule type="expression" dxfId="647" priority="756">
      <formula>AND($E30="Bermuda",$H30="47mm",$M30&gt;654,$AG$11="R")</formula>
    </cfRule>
  </conditionalFormatting>
  <conditionalFormatting sqref="M31">
    <cfRule type="expression" dxfId="646" priority="758">
      <formula>AND($E31="Bermuda",$H31="47mm",$M31&gt;654,$AG$11="R")</formula>
    </cfRule>
  </conditionalFormatting>
  <conditionalFormatting sqref="M30">
    <cfRule type="expression" dxfId="645" priority="759">
      <formula>AND($E30="Bermuda",$H30="47mm",$M30&gt;654,$AG$11="L")</formula>
    </cfRule>
    <cfRule type="expression" dxfId="644" priority="762">
      <formula>AND($E30="Bermuda",$H30="47mm",$M30&gt;654,$AG$11="R")</formula>
    </cfRule>
  </conditionalFormatting>
  <conditionalFormatting sqref="M31">
    <cfRule type="expression" dxfId="643" priority="761">
      <formula>AND($E31="Bermuda",$H31="47mm",$M31&gt;654,$AG$11="L")</formula>
    </cfRule>
    <cfRule type="expression" dxfId="642" priority="764">
      <formula>AND($E31="Bermuda",$H31="47mm",$M31&gt;654,$AG$11="R")</formula>
    </cfRule>
  </conditionalFormatting>
  <conditionalFormatting sqref="M30">
    <cfRule type="expression" dxfId="641" priority="765">
      <formula>AND($E30="Bermuda",$H30="47mm",$M30&gt;654,$AG$11="R")</formula>
    </cfRule>
  </conditionalFormatting>
  <conditionalFormatting sqref="M31">
    <cfRule type="expression" dxfId="640" priority="767">
      <formula>AND($E31="Bermuda",$H31="47mm",$M31&gt;654,$AG$11="R")</formula>
    </cfRule>
  </conditionalFormatting>
  <conditionalFormatting sqref="M30">
    <cfRule type="expression" dxfId="639" priority="771">
      <formula>AND($E30="Bermuda",$H30="47mm",$M30&gt;654,$AG$11="R")</formula>
    </cfRule>
  </conditionalFormatting>
  <conditionalFormatting sqref="M31">
    <cfRule type="expression" dxfId="638" priority="773">
      <formula>AND($E31="Bermuda",$H31="47mm",$M31&gt;654,$AG$11="R")</formula>
    </cfRule>
  </conditionalFormatting>
  <conditionalFormatting sqref="M30">
    <cfRule type="expression" dxfId="637" priority="774">
      <formula>AND($E30="Bermuda",$H30="47mm",$M30&gt;654,$AG$11="L")</formula>
    </cfRule>
    <cfRule type="expression" dxfId="636" priority="775">
      <formula>AND($E30="Bermuda",$H30="47mm",$M30&gt;654,$AG$11="R")</formula>
    </cfRule>
  </conditionalFormatting>
  <conditionalFormatting sqref="M31">
    <cfRule type="expression" dxfId="635" priority="778">
      <formula>AND($E31="Bermuda",$H31="47mm",$M31&gt;654,$AG$11="L")</formula>
    </cfRule>
    <cfRule type="expression" dxfId="634" priority="779">
      <formula>AND($E31="Bermuda",$H31="47mm",$M31&gt;654,$AG$11="R")</formula>
    </cfRule>
  </conditionalFormatting>
  <conditionalFormatting sqref="M30">
    <cfRule type="expression" dxfId="633" priority="784">
      <formula>AND($E30="Bermuda",$H30="47mm",$M30&gt;654,$AG$11="R")</formula>
    </cfRule>
  </conditionalFormatting>
  <conditionalFormatting sqref="M31">
    <cfRule type="expression" dxfId="632" priority="786">
      <formula>AND($E31="Bermuda",$H31="47mm",$M31&gt;654,$AG$11="R")</formula>
    </cfRule>
  </conditionalFormatting>
  <conditionalFormatting sqref="J37:J38">
    <cfRule type="expression" dxfId="631" priority="562">
      <formula>$J36&gt;=4</formula>
    </cfRule>
  </conditionalFormatting>
  <conditionalFormatting sqref="L36:L38">
    <cfRule type="expression" dxfId="630" priority="555">
      <formula>AND($H36="89mm",$N36-$O36&lt;370)</formula>
    </cfRule>
    <cfRule type="expression" dxfId="629" priority="556">
      <formula>AND($H36="63mm",$N36-$O36&lt;290)</formula>
    </cfRule>
    <cfRule type="expression" dxfId="628" priority="557">
      <formula>AND($H36="76mm",$N$12-$O$12&lt;370)</formula>
    </cfRule>
  </conditionalFormatting>
  <conditionalFormatting sqref="N36:N38">
    <cfRule type="expression" dxfId="627" priority="544">
      <formula>AND($N36&gt;3657,$E36="Antigua")</formula>
    </cfRule>
    <cfRule type="expression" dxfId="626" priority="545">
      <formula>AND($N36&gt;3657,$E36="Bermuda")</formula>
    </cfRule>
    <cfRule type="expression" dxfId="625" priority="546">
      <formula>AND($N36&gt;3657,$E36="Cuba")</formula>
    </cfRule>
    <cfRule type="expression" dxfId="624" priority="547">
      <formula>AND($N36&gt;3657,$E36="Java")</formula>
    </cfRule>
    <cfRule type="expression" dxfId="623" priority="548">
      <formula>AND($N36&gt;3000,$E36="Fiji")</formula>
    </cfRule>
    <cfRule type="expression" dxfId="622" priority="549">
      <formula>AND($N36&gt;3657,$E36="Samoa")</formula>
    </cfRule>
  </conditionalFormatting>
  <conditionalFormatting sqref="J40:J41">
    <cfRule type="expression" dxfId="621" priority="528">
      <formula>$J39&gt;=4</formula>
    </cfRule>
  </conditionalFormatting>
  <conditionalFormatting sqref="L39:L41">
    <cfRule type="expression" dxfId="620" priority="521">
      <formula>AND($H39="89mm",$N39-$O39&lt;370)</formula>
    </cfRule>
    <cfRule type="expression" dxfId="619" priority="522">
      <formula>AND($H39="63mm",$N39-$O39&lt;290)</formula>
    </cfRule>
    <cfRule type="expression" dxfId="618" priority="523">
      <formula>AND($H39="76mm",$N$12-$O$12&lt;370)</formula>
    </cfRule>
  </conditionalFormatting>
  <conditionalFormatting sqref="N39:N41">
    <cfRule type="expression" dxfId="617" priority="510">
      <formula>AND($N39&gt;3657,$E39="Antigua")</formula>
    </cfRule>
    <cfRule type="expression" dxfId="616" priority="511">
      <formula>AND($N39&gt;3657,$E39="Bermuda")</formula>
    </cfRule>
    <cfRule type="expression" dxfId="615" priority="512">
      <formula>AND($N39&gt;3657,$E39="Cuba")</formula>
    </cfRule>
    <cfRule type="expression" dxfId="614" priority="513">
      <formula>AND($N39&gt;3657,$E39="Java")</formula>
    </cfRule>
    <cfRule type="expression" dxfId="613" priority="514">
      <formula>AND($N39&gt;3000,$E39="Fiji")</formula>
    </cfRule>
    <cfRule type="expression" dxfId="612" priority="515">
      <formula>AND($N39&gt;3657,$E39="Samoa")</formula>
    </cfRule>
  </conditionalFormatting>
  <conditionalFormatting sqref="J43:J44">
    <cfRule type="expression" dxfId="611" priority="494">
      <formula>$J42&gt;=4</formula>
    </cfRule>
  </conditionalFormatting>
  <conditionalFormatting sqref="L42:L44">
    <cfRule type="expression" dxfId="610" priority="487">
      <formula>AND($H42="89mm",$N42-$O42&lt;370)</formula>
    </cfRule>
    <cfRule type="expression" dxfId="609" priority="488">
      <formula>AND($H42="63mm",$N42-$O42&lt;290)</formula>
    </cfRule>
    <cfRule type="expression" dxfId="608" priority="489">
      <formula>AND($H42="76mm",$N$12-$O$12&lt;370)</formula>
    </cfRule>
  </conditionalFormatting>
  <conditionalFormatting sqref="N42:N44">
    <cfRule type="expression" dxfId="607" priority="476">
      <formula>AND($N42&gt;3657,$E42="Antigua")</formula>
    </cfRule>
    <cfRule type="expression" dxfId="606" priority="477">
      <formula>AND($N42&gt;3657,$E42="Bermuda")</formula>
    </cfRule>
    <cfRule type="expression" dxfId="605" priority="478">
      <formula>AND($N42&gt;3657,$E42="Cuba")</formula>
    </cfRule>
    <cfRule type="expression" dxfId="604" priority="479">
      <formula>AND($N42&gt;3657,$E42="Java")</formula>
    </cfRule>
    <cfRule type="expression" dxfId="603" priority="480">
      <formula>AND($N42&gt;3000,$E42="Fiji")</formula>
    </cfRule>
    <cfRule type="expression" dxfId="602" priority="481">
      <formula>AND($N42&gt;3657,$E42="Samoa")</formula>
    </cfRule>
  </conditionalFormatting>
  <conditionalFormatting sqref="J46:J47">
    <cfRule type="expression" dxfId="601" priority="460">
      <formula>$J45&gt;=4</formula>
    </cfRule>
  </conditionalFormatting>
  <conditionalFormatting sqref="L45:L47">
    <cfRule type="expression" dxfId="600" priority="453">
      <formula>AND($H45="89mm",$N45-$O45&lt;370)</formula>
    </cfRule>
    <cfRule type="expression" dxfId="599" priority="454">
      <formula>AND($H45="63mm",$N45-$O45&lt;290)</formula>
    </cfRule>
    <cfRule type="expression" dxfId="598" priority="455">
      <formula>AND($H45="76mm",$N$12-$O$12&lt;370)</formula>
    </cfRule>
  </conditionalFormatting>
  <conditionalFormatting sqref="N45:N47">
    <cfRule type="expression" dxfId="597" priority="442">
      <formula>AND($N45&gt;3657,$E45="Antigua")</formula>
    </cfRule>
    <cfRule type="expression" dxfId="596" priority="443">
      <formula>AND($N45&gt;3657,$E45="Bermuda")</formula>
    </cfRule>
    <cfRule type="expression" dxfId="595" priority="444">
      <formula>AND($N45&gt;3657,$E45="Cuba")</formula>
    </cfRule>
    <cfRule type="expression" dxfId="594" priority="445">
      <formula>AND($N45&gt;3657,$E45="Java")</formula>
    </cfRule>
    <cfRule type="expression" dxfId="593" priority="446">
      <formula>AND($N45&gt;3000,$E45="Fiji")</formula>
    </cfRule>
    <cfRule type="expression" dxfId="592" priority="447">
      <formula>AND($N45&gt;3657,$E45="Samoa")</formula>
    </cfRule>
  </conditionalFormatting>
  <conditionalFormatting sqref="J49:J50">
    <cfRule type="expression" dxfId="591" priority="426">
      <formula>$J48&gt;=4</formula>
    </cfRule>
  </conditionalFormatting>
  <conditionalFormatting sqref="L48:L50">
    <cfRule type="expression" dxfId="590" priority="419">
      <formula>AND($H48="89mm",$N48-$O48&lt;370)</formula>
    </cfRule>
    <cfRule type="expression" dxfId="589" priority="420">
      <formula>AND($H48="63mm",$N48-$O48&lt;290)</formula>
    </cfRule>
    <cfRule type="expression" dxfId="588" priority="421">
      <formula>AND($H48="76mm",$N$12-$O$12&lt;370)</formula>
    </cfRule>
  </conditionalFormatting>
  <conditionalFormatting sqref="N48:N50">
    <cfRule type="expression" dxfId="587" priority="408">
      <formula>AND($N48&gt;3657,$E48="Antigua")</formula>
    </cfRule>
    <cfRule type="expression" dxfId="586" priority="409">
      <formula>AND($N48&gt;3657,$E48="Bermuda")</formula>
    </cfRule>
    <cfRule type="expression" dxfId="585" priority="410">
      <formula>AND($N48&gt;3657,$E48="Cuba")</formula>
    </cfRule>
    <cfRule type="expression" dxfId="584" priority="411">
      <formula>AND($N48&gt;3657,$E48="Java")</formula>
    </cfRule>
    <cfRule type="expression" dxfId="583" priority="412">
      <formula>AND($N48&gt;3000,$E48="Fiji")</formula>
    </cfRule>
    <cfRule type="expression" dxfId="582" priority="413">
      <formula>AND($N48&gt;3657,$E48="Samoa")</formula>
    </cfRule>
  </conditionalFormatting>
  <conditionalFormatting sqref="J52:J53">
    <cfRule type="expression" dxfId="581" priority="392">
      <formula>$J51&gt;=4</formula>
    </cfRule>
  </conditionalFormatting>
  <conditionalFormatting sqref="L51:L53">
    <cfRule type="expression" dxfId="580" priority="385">
      <formula>AND($H51="89mm",$N51-$O51&lt;370)</formula>
    </cfRule>
    <cfRule type="expression" dxfId="579" priority="386">
      <formula>AND($H51="63mm",$N51-$O51&lt;290)</formula>
    </cfRule>
    <cfRule type="expression" dxfId="578" priority="387">
      <formula>AND($H51="76mm",$N$12-$O$12&lt;370)</formula>
    </cfRule>
  </conditionalFormatting>
  <conditionalFormatting sqref="N51:N53">
    <cfRule type="expression" dxfId="577" priority="374">
      <formula>AND($N51&gt;3657,$E51="Antigua")</formula>
    </cfRule>
    <cfRule type="expression" dxfId="576" priority="375">
      <formula>AND($N51&gt;3657,$E51="Bermuda")</formula>
    </cfRule>
    <cfRule type="expression" dxfId="575" priority="376">
      <formula>AND($N51&gt;3657,$E51="Cuba")</formula>
    </cfRule>
    <cfRule type="expression" dxfId="574" priority="377">
      <formula>AND($N51&gt;3657,$E51="Java")</formula>
    </cfRule>
    <cfRule type="expression" dxfId="573" priority="378">
      <formula>AND($N51&gt;3000,$E51="Fiji")</formula>
    </cfRule>
    <cfRule type="expression" dxfId="572" priority="379">
      <formula>AND($N51&gt;3657,$E51="Samoa")</formula>
    </cfRule>
  </conditionalFormatting>
  <conditionalFormatting sqref="J55:J56">
    <cfRule type="expression" dxfId="571" priority="358">
      <formula>$J54&gt;=4</formula>
    </cfRule>
  </conditionalFormatting>
  <conditionalFormatting sqref="L54:L56">
    <cfRule type="expression" dxfId="570" priority="351">
      <formula>AND($H54="89mm",$N54-$O54&lt;370)</formula>
    </cfRule>
    <cfRule type="expression" dxfId="569" priority="352">
      <formula>AND($H54="63mm",$N54-$O54&lt;290)</formula>
    </cfRule>
    <cfRule type="expression" dxfId="568" priority="353">
      <formula>AND($H54="76mm",$N$12-$O$12&lt;370)</formula>
    </cfRule>
  </conditionalFormatting>
  <conditionalFormatting sqref="N54:N56">
    <cfRule type="expression" dxfId="567" priority="340">
      <formula>AND($N54&gt;3657,$E54="Antigua")</formula>
    </cfRule>
    <cfRule type="expression" dxfId="566" priority="341">
      <formula>AND($N54&gt;3657,$E54="Bermuda")</formula>
    </cfRule>
    <cfRule type="expression" dxfId="565" priority="342">
      <formula>AND($N54&gt;3657,$E54="Cuba")</formula>
    </cfRule>
    <cfRule type="expression" dxfId="564" priority="343">
      <formula>AND($N54&gt;3657,$E54="Java")</formula>
    </cfRule>
    <cfRule type="expression" dxfId="563" priority="344">
      <formula>AND($N54&gt;3000,$E54="Fiji")</formula>
    </cfRule>
    <cfRule type="expression" dxfId="562" priority="345">
      <formula>AND($N54&gt;3657,$E54="Samoa")</formula>
    </cfRule>
  </conditionalFormatting>
  <conditionalFormatting sqref="C33:AE35">
    <cfRule type="expression" dxfId="561" priority="337">
      <formula>$AD$33="Q"</formula>
    </cfRule>
  </conditionalFormatting>
  <conditionalFormatting sqref="C36:AE38">
    <cfRule type="expression" dxfId="560" priority="336">
      <formula>$AD$36="Q"</formula>
    </cfRule>
  </conditionalFormatting>
  <conditionalFormatting sqref="C42:AE44">
    <cfRule type="expression" dxfId="559" priority="334">
      <formula>$AD$42="Q"</formula>
    </cfRule>
  </conditionalFormatting>
  <conditionalFormatting sqref="C45:AE47">
    <cfRule type="expression" dxfId="558" priority="333">
      <formula>$AD$45="Q"</formula>
    </cfRule>
  </conditionalFormatting>
  <conditionalFormatting sqref="C48:AE50">
    <cfRule type="expression" dxfId="557" priority="332">
      <formula>$AD$48="Q"</formula>
    </cfRule>
  </conditionalFormatting>
  <conditionalFormatting sqref="C51:AE53">
    <cfRule type="expression" dxfId="556" priority="331">
      <formula>$AD$51="Q"</formula>
    </cfRule>
  </conditionalFormatting>
  <conditionalFormatting sqref="C54:AE56">
    <cfRule type="expression" dxfId="555" priority="330">
      <formula>$AD$54="Q"</formula>
    </cfRule>
  </conditionalFormatting>
  <conditionalFormatting sqref="AE9">
    <cfRule type="expression" dxfId="554" priority="178">
      <formula>OR((AE9-AE7)&lt;=-0.05,(AE9-AE7)&gt;=0.05)</formula>
    </cfRule>
  </conditionalFormatting>
  <conditionalFormatting sqref="S26:AC26">
    <cfRule type="cellIs" dxfId="553" priority="167" operator="greaterThan">
      <formula>""""""</formula>
    </cfRule>
  </conditionalFormatting>
  <conditionalFormatting sqref="N12:N17">
    <cfRule type="expression" dxfId="552" priority="698">
      <formula>AND($N15&gt;3657,$E15="Antigua")</formula>
    </cfRule>
    <cfRule type="expression" dxfId="551" priority="699">
      <formula>AND($N15&gt;3657,$E15="Bermuda")</formula>
    </cfRule>
    <cfRule type="expression" dxfId="550" priority="700">
      <formula>AND($N15&gt;3657,$E15="Cuba")</formula>
    </cfRule>
    <cfRule type="expression" dxfId="549" priority="701">
      <formula>AND($N12&gt;3657,$E12="Java")</formula>
    </cfRule>
    <cfRule type="expression" dxfId="548" priority="702">
      <formula>AND($N12&gt;3000,$E12="Fiji")</formula>
    </cfRule>
    <cfRule type="expression" dxfId="547" priority="703">
      <formula>AND($N15&gt;3657,$E15="Samoa")</formula>
    </cfRule>
  </conditionalFormatting>
  <conditionalFormatting sqref="O54">
    <cfRule type="expression" dxfId="546" priority="90">
      <formula>AND(VALUE(N54)&gt;1372,P54="")</formula>
    </cfRule>
    <cfRule type="expression" dxfId="545" priority="346">
      <formula>AND($N$54&gt;2133,$E54="Samoa",$O$54 ="")</formula>
    </cfRule>
    <cfRule type="expression" dxfId="544" priority="347">
      <formula>AND($N54&gt;1981,$E54="Fiji",$O$54="")</formula>
    </cfRule>
    <cfRule type="expression" dxfId="543" priority="348">
      <formula>AND($N$54&gt;1828,$E54="Java",$O$54 ="")</formula>
    </cfRule>
    <cfRule type="expression" dxfId="542" priority="349">
      <formula>AND($N$54&gt;1981,$E54="Cuba",$O$54 ="")</formula>
    </cfRule>
    <cfRule type="expression" dxfId="541" priority="350">
      <formula>AND($N$54&gt;1981,$E54="Bermuda",$O$54 ="")</formula>
    </cfRule>
    <cfRule type="expression" dxfId="540" priority="354">
      <formula>AND($N$54&gt;1879,$E54="Antigua",$O$54 ="")</formula>
    </cfRule>
  </conditionalFormatting>
  <conditionalFormatting sqref="P54">
    <cfRule type="expression" dxfId="539" priority="75">
      <formula>AND(VALUE(N54)&gt;1372,O54="")</formula>
    </cfRule>
    <cfRule type="expression" dxfId="538" priority="138">
      <formula>AND($N$54&gt;2133,$E54="Samoa",$O$54 ="")</formula>
    </cfRule>
    <cfRule type="expression" dxfId="537" priority="139">
      <formula>AND($N54&gt;1981,$E54="Fiji",$O$54 ="")</formula>
    </cfRule>
    <cfRule type="expression" dxfId="536" priority="140">
      <formula>AND($N$54&gt;1828,$E54="Java",$O$54 ="")</formula>
    </cfRule>
    <cfRule type="expression" dxfId="535" priority="141">
      <formula>AND($N$54&gt;1981,$E54="Cuba",$O$54 ="")</formula>
    </cfRule>
    <cfRule type="expression" dxfId="534" priority="142">
      <formula>AND($N$54&gt;1981,$E54="Bermuda",$O$54 ="")</formula>
    </cfRule>
    <cfRule type="expression" dxfId="533" priority="143">
      <formula>AND(VALUE($N$54)&gt;1879,$E54="Antigua",$O$54 ="")</formula>
    </cfRule>
  </conditionalFormatting>
  <conditionalFormatting sqref="P15">
    <cfRule type="expression" dxfId="532" priority="88">
      <formula>AND(VALUE(N15)&gt;1372,O15="")</formula>
    </cfRule>
    <cfRule type="expression" dxfId="531" priority="145">
      <formula>AND($N$15&gt;2133,$E18="Samoa",$O$15 ="")</formula>
    </cfRule>
    <cfRule type="expression" dxfId="530" priority="146">
      <formula>AND($N15&gt;1981,$E15="Fiji",$O$15 ="")</formula>
    </cfRule>
    <cfRule type="expression" dxfId="529" priority="147">
      <formula>AND($N$15&gt;1828,$E15="Java",$O$15 ="")</formula>
    </cfRule>
    <cfRule type="expression" dxfId="528" priority="148">
      <formula>AND($N$15&gt;1981,$E15="Cuba",$O$15 ="")</formula>
    </cfRule>
    <cfRule type="expression" dxfId="527" priority="149">
      <formula>AND($N$15&gt;1981,$E18="Bermuda",$O$15 ="")</formula>
    </cfRule>
    <cfRule type="expression" dxfId="526" priority="150">
      <formula>AND(VALUE($N$15)&gt;1879,$E15="Antigua",$O$15 ="")</formula>
    </cfRule>
  </conditionalFormatting>
  <conditionalFormatting sqref="P12">
    <cfRule type="expression" dxfId="525" priority="89">
      <formula>AND(VALUE(N12)&gt;1372,O12="")</formula>
    </cfRule>
    <cfRule type="expression" dxfId="524" priority="131">
      <formula>AND($N$12&gt;2133,$E12="Samoa",$O$12 ="")</formula>
    </cfRule>
    <cfRule type="expression" dxfId="523" priority="132">
      <formula>AND($N12&gt;1981,$E12="Fiji",$O$12 ="")</formula>
    </cfRule>
    <cfRule type="expression" dxfId="522" priority="133">
      <formula>AND($N$12&gt;1828,$E12="Java",$O$12 ="")</formula>
    </cfRule>
    <cfRule type="expression" dxfId="521" priority="134">
      <formula>AND($N$12&gt;1981,$E12="Cuba",$O$12 ="")</formula>
    </cfRule>
    <cfRule type="expression" dxfId="520" priority="135">
      <formula>AND($N$12&gt;1981,$E12="Bermuda",$O$12 ="")</formula>
    </cfRule>
    <cfRule type="expression" dxfId="519" priority="136">
      <formula>AND(VALUE($N$12)&gt;1879,$E12="Antigua",$O$12 ="")</formula>
    </cfRule>
  </conditionalFormatting>
  <conditionalFormatting sqref="D12:D56">
    <cfRule type="expression" dxfId="518" priority="129">
      <formula>$D12="Tracked"</formula>
    </cfRule>
  </conditionalFormatting>
  <conditionalFormatting sqref="I12:I56">
    <cfRule type="expression" dxfId="517" priority="122">
      <formula>AND($D12&lt;&gt;"S/Shade",$I12="FFrame")</formula>
    </cfRule>
    <cfRule type="expression" dxfId="516" priority="123">
      <formula>AND($D12="S/Shade",$I12&lt;&gt;"FFrame")</formula>
    </cfRule>
    <cfRule type="expression" dxfId="515" priority="124">
      <formula>OR(AND($D12="Tracked",I12="M Track"),AND($D12="Tracked",$I12="Track and Board"),AND($D12="Tracked",$I12="Top Track Only"))</formula>
    </cfRule>
    <cfRule type="expression" dxfId="514" priority="125">
      <formula>OR(AND($D12="Tracked",I12&lt;&gt;"M Track"),AND($D12="Tracked",$I12&lt;&gt;"Track and Board"),AND($D12="Tracked",$I12&lt;&gt;"Top Track Only"))</formula>
    </cfRule>
    <cfRule type="expression" dxfId="513" priority="126">
      <formula>OR(AND($D12&lt;&gt;"Tracked",I12="M Track"),AND($D12&lt;&gt;"Tracked",$I12="Track and Board"),AND($D12&lt;&gt;"Tracked",$I12="Top Track Only"))</formula>
    </cfRule>
  </conditionalFormatting>
  <conditionalFormatting sqref="AC1:AC1048576">
    <cfRule type="containsText" dxfId="512" priority="120" operator="containsText" text="LOR">
      <formula>NOT(ISERROR(SEARCH("LOR",AC1)))</formula>
    </cfRule>
  </conditionalFormatting>
  <conditionalFormatting sqref="Q14">
    <cfRule type="expression" dxfId="511" priority="119">
      <formula>$Q$12&lt;&gt;""</formula>
    </cfRule>
  </conditionalFormatting>
  <conditionalFormatting sqref="Q17">
    <cfRule type="expression" dxfId="510" priority="118">
      <formula>$Q$15&lt;&gt;""</formula>
    </cfRule>
  </conditionalFormatting>
  <conditionalFormatting sqref="Q20">
    <cfRule type="expression" dxfId="509" priority="117">
      <formula>$Q$18</formula>
    </cfRule>
  </conditionalFormatting>
  <conditionalFormatting sqref="Q23">
    <cfRule type="expression" dxfId="508" priority="116">
      <formula>$Q$21&lt;&gt;""</formula>
    </cfRule>
  </conditionalFormatting>
  <conditionalFormatting sqref="Q26">
    <cfRule type="expression" dxfId="507" priority="115">
      <formula>$Q$24&lt;&gt;""</formula>
    </cfRule>
  </conditionalFormatting>
  <conditionalFormatting sqref="Q29">
    <cfRule type="expression" dxfId="506" priority="114">
      <formula>$Q$27&lt;&gt;""</formula>
    </cfRule>
  </conditionalFormatting>
  <conditionalFormatting sqref="Q32">
    <cfRule type="expression" dxfId="505" priority="113">
      <formula>$Q$30&lt;&gt;""</formula>
    </cfRule>
  </conditionalFormatting>
  <conditionalFormatting sqref="Q35">
    <cfRule type="expression" dxfId="504" priority="112">
      <formula>$Q$33&lt;&gt;""</formula>
    </cfRule>
  </conditionalFormatting>
  <conditionalFormatting sqref="Q38">
    <cfRule type="expression" dxfId="503" priority="111">
      <formula>$Q$36&lt;&gt;""</formula>
    </cfRule>
  </conditionalFormatting>
  <conditionalFormatting sqref="Q41">
    <cfRule type="expression" dxfId="502" priority="110">
      <formula>$Q$39&lt;&gt;""</formula>
    </cfRule>
  </conditionalFormatting>
  <conditionalFormatting sqref="Q44">
    <cfRule type="expression" dxfId="501" priority="109">
      <formula>$Q$42&lt;&gt;""</formula>
    </cfRule>
  </conditionalFormatting>
  <conditionalFormatting sqref="Q47">
    <cfRule type="expression" dxfId="500" priority="108">
      <formula>$Q$45&lt;&gt;""</formula>
    </cfRule>
  </conditionalFormatting>
  <conditionalFormatting sqref="Q50">
    <cfRule type="expression" dxfId="499" priority="107">
      <formula>$Q$48&lt;&gt;""</formula>
    </cfRule>
  </conditionalFormatting>
  <conditionalFormatting sqref="Q53">
    <cfRule type="expression" dxfId="498" priority="106">
      <formula>$Q$51&lt;&gt;""</formula>
    </cfRule>
  </conditionalFormatting>
  <conditionalFormatting sqref="Q56">
    <cfRule type="expression" dxfId="497" priority="105">
      <formula>$Q$54&lt;&gt;""</formula>
    </cfRule>
  </conditionalFormatting>
  <conditionalFormatting sqref="O12">
    <cfRule type="expression" dxfId="496" priority="104">
      <formula>AND(VALUE(N12)&gt;1372,P12="")</formula>
    </cfRule>
  </conditionalFormatting>
  <conditionalFormatting sqref="O15">
    <cfRule type="expression" dxfId="495" priority="103">
      <formula>AND(VALUE(N15)&gt;1372,P15="")</formula>
    </cfRule>
    <cfRule type="expression" dxfId="494" priority="169">
      <formula>AND($N$12&gt;2133,$E15="Samoa",$O$12 ="")</formula>
    </cfRule>
    <cfRule type="expression" dxfId="493" priority="170">
      <formula>AND($N15&gt;1981,$E15="Fiji",$O$12 ="")</formula>
    </cfRule>
    <cfRule type="expression" dxfId="492" priority="171">
      <formula>AND($N$12&gt;1828,$E15="Java",$O$12 ="")</formula>
    </cfRule>
    <cfRule type="expression" dxfId="491" priority="172">
      <formula>AND($N$12&gt;1981,$E15="Cuba",$O$12 ="")</formula>
    </cfRule>
    <cfRule type="expression" dxfId="490" priority="173">
      <formula>AND($N$12&gt;1981,$E15="Bermuda",$O$12 ="")</formula>
    </cfRule>
    <cfRule type="expression" dxfId="489" priority="174">
      <formula>AND($N$12&gt;1879,$E15="Antigua",$O$12 ="")</formula>
    </cfRule>
  </conditionalFormatting>
  <conditionalFormatting sqref="O18">
    <cfRule type="expression" dxfId="488" priority="102">
      <formula>AND(VALUE(N18)&gt;1372,P18="")</formula>
    </cfRule>
    <cfRule type="expression" dxfId="487" priority="684">
      <formula>AND($N$12&gt;2133,$E18="Samoa",$O$12 ="")</formula>
    </cfRule>
    <cfRule type="expression" dxfId="486" priority="685">
      <formula>AND($N18&gt;1981,$E18="Fiji",$O$12 ="")</formula>
    </cfRule>
    <cfRule type="expression" dxfId="485" priority="686">
      <formula>AND($N$12&gt;1828,$E18="Java",$O$12 ="")</formula>
    </cfRule>
    <cfRule type="expression" dxfId="484" priority="687">
      <formula>AND($N$12&gt;1981,$E18="Cuba",$O$12 ="")</formula>
    </cfRule>
    <cfRule type="expression" dxfId="483" priority="688">
      <formula>AND($N$12&gt;1981,$E18="Bermuda",$O$12 ="")</formula>
    </cfRule>
    <cfRule type="expression" dxfId="482" priority="692">
      <formula>AND($N$12&gt;1879,$E18="Antigua",$O$12 ="")</formula>
    </cfRule>
  </conditionalFormatting>
  <conditionalFormatting sqref="O21">
    <cfRule type="expression" dxfId="481" priority="101">
      <formula>AND(VALUE(N21)&gt;1372,P21="")</formula>
    </cfRule>
    <cfRule type="expression" dxfId="480" priority="664">
      <formula>AND($N$12&gt;2133,$E21="Samoa",$O$12 ="")</formula>
    </cfRule>
    <cfRule type="expression" dxfId="479" priority="665">
      <formula>AND($N21&gt;1981,$E21="Fiji",$O$12 ="")</formula>
    </cfRule>
    <cfRule type="expression" dxfId="478" priority="666">
      <formula>AND($N$12&gt;1828,$E21="Java",$O$12 ="")</formula>
    </cfRule>
    <cfRule type="expression" dxfId="477" priority="667">
      <formula>AND($N$12&gt;1981,$E21="Cuba",$O$12 ="")</formula>
    </cfRule>
    <cfRule type="expression" dxfId="476" priority="668">
      <formula>AND($N$12&gt;1981,$E21="Bermuda",$O$12 ="")</formula>
    </cfRule>
    <cfRule type="expression" dxfId="475" priority="672">
      <formula>AND($N$12&gt;1879,$E21="Antigua",$O$12 ="")</formula>
    </cfRule>
  </conditionalFormatting>
  <conditionalFormatting sqref="O24">
    <cfRule type="expression" dxfId="474" priority="100">
      <formula>AND(VALUE(N24)&gt;1372,P24="")</formula>
    </cfRule>
    <cfRule type="expression" dxfId="473" priority="644">
      <formula>AND($N$12&gt;2133,$E24="Samoa",$O$12 ="")</formula>
    </cfRule>
    <cfRule type="expression" dxfId="472" priority="645">
      <formula>AND($N24&gt;1981,$E24="Fiji",$O$12 ="")</formula>
    </cfRule>
    <cfRule type="expression" dxfId="471" priority="646">
      <formula>AND($N$12&gt;1828,$E24="Java",$O$12 ="")</formula>
    </cfRule>
    <cfRule type="expression" dxfId="470" priority="647">
      <formula>AND($N$12&gt;1981,$E24="Cuba",$O$12 ="")</formula>
    </cfRule>
    <cfRule type="expression" dxfId="469" priority="648">
      <formula>AND($N$12&gt;1981,$E24="Bermuda",$O$12 ="")</formula>
    </cfRule>
    <cfRule type="expression" dxfId="468" priority="652">
      <formula>AND($N$12&gt;1879,$E24="Antigua",$O$12 ="")</formula>
    </cfRule>
  </conditionalFormatting>
  <conditionalFormatting sqref="O27">
    <cfRule type="expression" dxfId="467" priority="99">
      <formula>AND(VALUE(N27)&gt;1372,P27="")</formula>
    </cfRule>
    <cfRule type="expression" dxfId="466" priority="624">
      <formula>AND($N$12&gt;2133,$E27="Samoa",$O$12 ="")</formula>
    </cfRule>
    <cfRule type="expression" dxfId="465" priority="625">
      <formula>AND($N27&gt;1981,$E27="Fiji",$O$12 ="")</formula>
    </cfRule>
    <cfRule type="expression" dxfId="464" priority="626">
      <formula>AND($N$12&gt;1828,$E27="Java",$O$12 ="")</formula>
    </cfRule>
    <cfRule type="expression" dxfId="463" priority="627">
      <formula>AND($N$12&gt;1981,$E27="Cuba",$O$12 ="")</formula>
    </cfRule>
    <cfRule type="expression" dxfId="462" priority="628">
      <formula>AND($N$12&gt;1981,$E27="Bermuda",$O$12 ="")</formula>
    </cfRule>
    <cfRule type="expression" dxfId="461" priority="632">
      <formula>AND($N$12&gt;1879,$E27="Antigua",$O$12 ="")</formula>
    </cfRule>
  </conditionalFormatting>
  <conditionalFormatting sqref="O30">
    <cfRule type="expression" dxfId="460" priority="98">
      <formula>AND(VALUE(N30)&gt;1372,P30="")</formula>
    </cfRule>
    <cfRule type="expression" dxfId="459" priority="604">
      <formula>AND($N$12&gt;2133,$E30="Samoa",$O$12 ="")</formula>
    </cfRule>
    <cfRule type="expression" dxfId="458" priority="605">
      <formula>AND($N30&gt;1981,$E30="Fiji",$O$12 ="")</formula>
    </cfRule>
    <cfRule type="expression" dxfId="457" priority="606">
      <formula>AND($N$12&gt;1828,$E30="Java",$O$12 ="")</formula>
    </cfRule>
    <cfRule type="expression" dxfId="456" priority="607">
      <formula>AND($N$12&gt;1981,$E30="Cuba",$O$12 ="")</formula>
    </cfRule>
    <cfRule type="expression" dxfId="455" priority="608">
      <formula>AND($N$12&gt;1981,$E30="Bermuda",$O$12 ="")</formula>
    </cfRule>
    <cfRule type="expression" dxfId="454" priority="612">
      <formula>AND($N$12&gt;1879,$E30="Antigua",$O$12 ="")</formula>
    </cfRule>
  </conditionalFormatting>
  <conditionalFormatting sqref="O33">
    <cfRule type="expression" dxfId="453" priority="97">
      <formula>AND(VALUE(N33)&gt;1372,P33="")</formula>
    </cfRule>
    <cfRule type="expression" dxfId="452" priority="585">
      <formula>AND($N$12&gt;2133,$E33="Samoa",$O$12 ="")</formula>
    </cfRule>
    <cfRule type="expression" dxfId="451" priority="586">
      <formula>AND($N33&gt;1981,$E33="Fiji",$O$12 ="")</formula>
    </cfRule>
    <cfRule type="expression" dxfId="450" priority="587">
      <formula>AND($N$12&gt;1828,$E33="Java",$O$12 ="")</formula>
    </cfRule>
    <cfRule type="expression" dxfId="449" priority="588">
      <formula>AND($N$12&gt;1981,$E33="Cuba",$O$12 ="")</formula>
    </cfRule>
    <cfRule type="expression" dxfId="448" priority="589">
      <formula>AND($N$12&gt;1981,$E33="Bermuda",$O$12 ="")</formula>
    </cfRule>
    <cfRule type="expression" dxfId="447" priority="593">
      <formula>AND($N$12&gt;1879,$E33="Antigua",$O$12 ="")</formula>
    </cfRule>
  </conditionalFormatting>
  <conditionalFormatting sqref="O36">
    <cfRule type="expression" dxfId="446" priority="96">
      <formula>AND(VALUE(N36)&gt;1372,P36="")</formula>
    </cfRule>
    <cfRule type="expression" dxfId="445" priority="550">
      <formula>AND($N$12&gt;2133,$E36="Samoa",$O$12 ="")</formula>
    </cfRule>
    <cfRule type="expression" dxfId="444" priority="551">
      <formula>AND($N36&gt;1981,$E36="Fiji",$O$12 ="")</formula>
    </cfRule>
    <cfRule type="expression" dxfId="443" priority="552">
      <formula>AND($N$12&gt;1828,$E36="Java",$O$12 ="")</formula>
    </cfRule>
    <cfRule type="expression" dxfId="442" priority="553">
      <formula>AND($N$12&gt;1981,$E36="Cuba",$O$12 ="")</formula>
    </cfRule>
    <cfRule type="expression" dxfId="441" priority="554">
      <formula>AND($N$12&gt;1981,$E36="Bermuda",$O$12 ="")</formula>
    </cfRule>
    <cfRule type="expression" dxfId="440" priority="558">
      <formula>AND($N$12&gt;1879,$E36="Antigua",$O$12 ="")</formula>
    </cfRule>
  </conditionalFormatting>
  <conditionalFormatting sqref="O39">
    <cfRule type="expression" dxfId="439" priority="95">
      <formula>AND(VALUE(N39)&gt;1372,P39="")</formula>
    </cfRule>
    <cfRule type="expression" dxfId="438" priority="516">
      <formula>AND($N$12&gt;2133,$E39="Samoa",$O$12 ="")</formula>
    </cfRule>
    <cfRule type="expression" dxfId="437" priority="517">
      <formula>AND($N39&gt;1981,$E39="Fiji",$O$12 ="")</formula>
    </cfRule>
    <cfRule type="expression" dxfId="436" priority="518">
      <formula>AND($N$12&gt;1828,$E39="Java",$O$12 ="")</formula>
    </cfRule>
    <cfRule type="expression" dxfId="435" priority="519">
      <formula>AND($N$12&gt;1981,$E39="Cuba",$O$12 ="")</formula>
    </cfRule>
    <cfRule type="expression" dxfId="434" priority="520">
      <formula>AND($N$12&gt;1981,$E39="Bermuda",$O$12 ="")</formula>
    </cfRule>
    <cfRule type="expression" dxfId="433" priority="524">
      <formula>AND($N$12&gt;1879,$E39="Antigua",$O$12 ="")</formula>
    </cfRule>
  </conditionalFormatting>
  <conditionalFormatting sqref="O42">
    <cfRule type="expression" dxfId="432" priority="94">
      <formula>AND(VALUE(N42)&gt;1372,P42="")</formula>
    </cfRule>
    <cfRule type="expression" dxfId="431" priority="482">
      <formula>AND($N$12&gt;2133,$E42="Samoa",$O$12 ="")</formula>
    </cfRule>
    <cfRule type="expression" dxfId="430" priority="483">
      <formula>AND($N42&gt;1981,$E42="Fiji",$O$12 ="")</formula>
    </cfRule>
    <cfRule type="expression" dxfId="429" priority="484">
      <formula>AND($N$12&gt;1828,$E42="Java",$O$12 ="")</formula>
    </cfRule>
    <cfRule type="expression" dxfId="428" priority="485">
      <formula>AND($N$12&gt;1981,$E42="Cuba",$O$12 ="")</formula>
    </cfRule>
    <cfRule type="expression" dxfId="427" priority="486">
      <formula>AND($N$12&gt;1981,$E42="Bermuda",$O$12 ="")</formula>
    </cfRule>
    <cfRule type="expression" dxfId="426" priority="490">
      <formula>AND($N$12&gt;1879,$E42="Antigua",$O$12 ="")</formula>
    </cfRule>
  </conditionalFormatting>
  <conditionalFormatting sqref="O45">
    <cfRule type="expression" dxfId="425" priority="93">
      <formula>AND(VALUE(N45)&gt;1372,P45="")</formula>
    </cfRule>
    <cfRule type="expression" dxfId="424" priority="448">
      <formula>AND($N$12&gt;2133,$E45="Samoa",$O$12 ="")</formula>
    </cfRule>
    <cfRule type="expression" dxfId="423" priority="449">
      <formula>AND($N45&gt;1981,$E45="Fiji",$O$12 ="")</formula>
    </cfRule>
    <cfRule type="expression" dxfId="422" priority="450">
      <formula>AND($N$12&gt;1828,$E45="Java",$O$12 ="")</formula>
    </cfRule>
    <cfRule type="expression" dxfId="421" priority="451">
      <formula>AND($N$12&gt;1981,$E45="Cuba",$O$12 ="")</formula>
    </cfRule>
    <cfRule type="expression" dxfId="420" priority="452">
      <formula>AND($N$12&gt;1981,$E45="Bermuda",$O$12 ="")</formula>
    </cfRule>
    <cfRule type="expression" dxfId="419" priority="456">
      <formula>AND($N$12&gt;1879,$E45="Antigua",$O$12 ="")</formula>
    </cfRule>
  </conditionalFormatting>
  <conditionalFormatting sqref="O48">
    <cfRule type="expression" dxfId="418" priority="92">
      <formula>AND(VALUE(N48)&gt;1372,P48="")</formula>
    </cfRule>
    <cfRule type="expression" dxfId="417" priority="414">
      <formula>AND($N$12&gt;2133,$E48="Samoa",$O$12 ="")</formula>
    </cfRule>
    <cfRule type="expression" dxfId="416" priority="415">
      <formula>AND($N48&gt;1981,$E48="Fiji",$O$12 ="")</formula>
    </cfRule>
    <cfRule type="expression" dxfId="415" priority="416">
      <formula>AND($N$12&gt;1828,$E48="Java",$O$12 ="")</formula>
    </cfRule>
    <cfRule type="expression" dxfId="414" priority="417">
      <formula>AND($N$12&gt;1981,$E48="Cuba",$O$12 ="")</formula>
    </cfRule>
    <cfRule type="expression" dxfId="413" priority="418">
      <formula>AND($N$12&gt;1981,$E48="Bermuda",$O$12 ="")</formula>
    </cfRule>
    <cfRule type="expression" dxfId="412" priority="422">
      <formula>AND($N$12&gt;1879,$E48="Antigua",$O$12 ="")</formula>
    </cfRule>
  </conditionalFormatting>
  <conditionalFormatting sqref="O51">
    <cfRule type="expression" dxfId="411" priority="91">
      <formula>AND(VALUE(N51)&gt;1372,P51="")</formula>
    </cfRule>
    <cfRule type="expression" dxfId="410" priority="380">
      <formula>AND($N$12&gt;2133,$E51="Samoa",$O$12 ="")</formula>
    </cfRule>
    <cfRule type="expression" dxfId="409" priority="381">
      <formula>AND($N51&gt;1981,$E51="Fiji",$O$12 ="")</formula>
    </cfRule>
    <cfRule type="expression" dxfId="408" priority="382">
      <formula>AND($N$12&gt;1828,$E51="Java",$O$12 ="")</formula>
    </cfRule>
    <cfRule type="expression" dxfId="407" priority="383">
      <formula>AND($N$12&gt;1981,$E51="Cuba",$O$12 ="")</formula>
    </cfRule>
    <cfRule type="expression" dxfId="406" priority="384">
      <formula>AND($N$12&gt;1981,$E51="Bermuda",$O$12 ="")</formula>
    </cfRule>
    <cfRule type="expression" dxfId="405" priority="388">
      <formula>AND($N$12&gt;1879,$E51="Antigua",$O$12 ="")</formula>
    </cfRule>
  </conditionalFormatting>
  <conditionalFormatting sqref="P18">
    <cfRule type="expression" dxfId="404" priority="87">
      <formula>AND(VALUE(N18)&gt;1372,O18="")</formula>
    </cfRule>
  </conditionalFormatting>
  <conditionalFormatting sqref="P21">
    <cfRule type="expression" dxfId="403" priority="86">
      <formula>AND(VALUE(N21)&gt;1372,O21="")</formula>
    </cfRule>
  </conditionalFormatting>
  <conditionalFormatting sqref="P24">
    <cfRule type="expression" dxfId="402" priority="85">
      <formula>AND(VALUE(N24)&gt;1372,O24="")</formula>
    </cfRule>
  </conditionalFormatting>
  <conditionalFormatting sqref="P27:P29">
    <cfRule type="expression" dxfId="401" priority="84">
      <formula>AND(VALUE(N27)&gt;1372,O27="")</formula>
    </cfRule>
  </conditionalFormatting>
  <conditionalFormatting sqref="P30">
    <cfRule type="expression" dxfId="400" priority="83">
      <formula>AND(VALUE(N30)&gt;1372,O30="")</formula>
    </cfRule>
  </conditionalFormatting>
  <conditionalFormatting sqref="P33">
    <cfRule type="expression" dxfId="399" priority="82">
      <formula>AND(VALUE(N33)&gt;1372,O33="")</formula>
    </cfRule>
  </conditionalFormatting>
  <conditionalFormatting sqref="P36">
    <cfRule type="expression" dxfId="398" priority="81">
      <formula>AND(VALUE(N36)&gt;1372,O36="")</formula>
    </cfRule>
  </conditionalFormatting>
  <conditionalFormatting sqref="P39">
    <cfRule type="expression" dxfId="397" priority="80">
      <formula>AND(VALUE(N39)&gt;1372,O39="")</formula>
    </cfRule>
  </conditionalFormatting>
  <conditionalFormatting sqref="P42">
    <cfRule type="expression" dxfId="396" priority="79">
      <formula>AND(VALUE(N42)&gt;1372,O42="")</formula>
    </cfRule>
  </conditionalFormatting>
  <conditionalFormatting sqref="P45">
    <cfRule type="expression" dxfId="395" priority="78">
      <formula>AND(VALUE(N45)&gt;1372,O45="")</formula>
    </cfRule>
  </conditionalFormatting>
  <conditionalFormatting sqref="P48">
    <cfRule type="expression" dxfId="394" priority="77">
      <formula>AND(VALUE(N48)&gt;1372,O48="")</formula>
    </cfRule>
  </conditionalFormatting>
  <conditionalFormatting sqref="P51">
    <cfRule type="expression" dxfId="393" priority="76">
      <formula>AND(VALUE(N51)&gt;1372,O51="")</formula>
    </cfRule>
  </conditionalFormatting>
  <conditionalFormatting sqref="M12">
    <cfRule type="expression" dxfId="392" priority="74">
      <formula>AND(D12="Tier on Tier",VALUE(M12)&gt;1219)</formula>
    </cfRule>
    <cfRule type="expression" dxfId="391" priority="158">
      <formula>AND($E12="Antigua",$H12="47mm",$M12&gt;644,$AB$12="R")</formula>
    </cfRule>
    <cfRule type="expression" dxfId="390" priority="159">
      <formula>AND($E12="Antigua",$H12="47mm",$M12&gt;644,$AB$12="L")</formula>
    </cfRule>
    <cfRule type="expression" dxfId="389" priority="160">
      <formula>AND($E12="Antigua",$H12="47mm",$M12&gt;644,$AB$12="L")</formula>
    </cfRule>
    <cfRule type="expression" dxfId="388" priority="161">
      <formula>AND($E12="Antigua",$H12="47mm",$M12&gt;644,$AB$12="R")</formula>
    </cfRule>
    <cfRule type="expression" dxfId="387" priority="162">
      <formula>AND($E12="Antigua",$H12="47mm",$M12&gt;644,$AB$12="R")</formula>
    </cfRule>
    <cfRule type="expression" dxfId="386" priority="163">
      <formula>AND($E12="Antigua",$H12="47mm",$M12&gt;644,$AG$12="R")</formula>
    </cfRule>
    <cfRule type="expression" dxfId="385" priority="164">
      <formula>AND($E12="Antigua",$H12&lt;&gt;"47mm",$M12&gt;794,$AG12="L")</formula>
    </cfRule>
    <cfRule type="expression" dxfId="384" priority="165">
      <formula>AND($E12="Antigua",$H12="47mm",$M12&gt;644,$AG$12="R")</formula>
    </cfRule>
    <cfRule type="expression" dxfId="383" priority="696">
      <formula>AND($E15="Antigua",$H15="47mm",$M12&gt;644,$AB$11="R")</formula>
    </cfRule>
    <cfRule type="expression" dxfId="382" priority="697">
      <formula>AND($E15="Antigua",$H15="47mm",$M15&gt;644,$AB$15="L")</formula>
    </cfRule>
    <cfRule type="expression" dxfId="381" priority="714">
      <formula>AND($E15="Antigua",$H15="47mm",$M15&gt;644,$AB$15="L")</formula>
    </cfRule>
    <cfRule type="expression" dxfId="380" priority="715">
      <formula>AND($E15="Antigua",$H15="47mm",$M15&gt;644,$AB$15="R")</formula>
    </cfRule>
    <cfRule type="expression" dxfId="379" priority="716">
      <formula>AND($E15="Antigua",$H15="47mm",$M15&gt;644,$AB$15="R")</formula>
    </cfRule>
    <cfRule type="expression" dxfId="378" priority="750">
      <formula>AND($E15="Antigua",$H15="47mm",$M15&gt;644,$AG$15="R")</formula>
    </cfRule>
    <cfRule type="expression" dxfId="377" priority="752">
      <formula>AND($E15="Antigua",$H15&lt;&gt;"47mm",$M15&gt;794,$AG15="L")</formula>
    </cfRule>
    <cfRule type="expression" dxfId="376" priority="769">
      <formula>AND($E12="Antigua",$H12="47mm",$M12&gt;644,$AG$12="R")</formula>
    </cfRule>
    <cfRule type="expression" dxfId="375" priority="781">
      <formula>AND($E15="Antigua",$H15="47mm",$M15&gt;644,$AG$15="R")</formula>
    </cfRule>
  </conditionalFormatting>
  <conditionalFormatting sqref="C27">
    <cfRule type="expression" dxfId="374" priority="179">
      <formula>$AD$27="Q"</formula>
    </cfRule>
  </conditionalFormatting>
  <conditionalFormatting sqref="M15">
    <cfRule type="expression" dxfId="373" priority="73">
      <formula>AND(D15="Tier on Tier",VALUE(M15)&gt;1219)</formula>
    </cfRule>
  </conditionalFormatting>
  <conditionalFormatting sqref="M18">
    <cfRule type="expression" dxfId="372" priority="72">
      <formula>AND(D18="Tier on Tier",VALUE(M18)&gt;1219)</formula>
    </cfRule>
  </conditionalFormatting>
  <conditionalFormatting sqref="M21">
    <cfRule type="expression" dxfId="371" priority="71">
      <formula>AND(D21="Tier on Tier",VALUE(M21)&gt;1219)</formula>
    </cfRule>
    <cfRule type="expression" dxfId="370" priority="656">
      <formula>AND($E21="Antigua",$H21="47mm",$M21&gt;644,$AB$11="R")</formula>
    </cfRule>
    <cfRule type="expression" dxfId="369" priority="657">
      <formula>AND($E21="Antigua",$H21="47mm",$M21&gt;644,$AB$11="L")</formula>
    </cfRule>
    <cfRule type="expression" dxfId="368" priority="674">
      <formula>AND($E21="Antigua",$H21="47mm",$M21&gt;644,$AB$11="L")</formula>
    </cfRule>
    <cfRule type="expression" dxfId="367" priority="675">
      <formula>AND($E21="Antigua",$H21="47mm",$M21&gt;644,$AB$11="R")</formula>
    </cfRule>
    <cfRule type="expression" dxfId="366" priority="782">
      <formula>AND($E21="Antigua",$H21="47mm",$M21&gt;644,$AG$11="R")</formula>
    </cfRule>
  </conditionalFormatting>
  <conditionalFormatting sqref="M24">
    <cfRule type="expression" dxfId="365" priority="70">
      <formula>AND(D24="Tier on Tier",VALUE(M24)&gt;1219)</formula>
    </cfRule>
    <cfRule type="expression" dxfId="364" priority="636">
      <formula>AND($E24="Antigua",$H24="47mm",$M24&gt;644,$AB$11="R")</formula>
    </cfRule>
    <cfRule type="expression" dxfId="363" priority="637">
      <formula>AND($E24="Antigua",$H24="47mm",$M24&gt;644,$AB$11="L")</formula>
    </cfRule>
    <cfRule type="expression" dxfId="362" priority="654">
      <formula>AND($E24="Antigua",$H24="47mm",$M24&gt;644,$AB$11="L")</formula>
    </cfRule>
    <cfRule type="expression" dxfId="361" priority="655">
      <formula>AND($E24="Antigua",$H24="47mm",$M24&gt;644,$AB$11="R")</formula>
    </cfRule>
  </conditionalFormatting>
  <conditionalFormatting sqref="M27">
    <cfRule type="expression" dxfId="360" priority="69">
      <formula>AND(D27="Tier on Tier",VALUE(M27)&gt;1219)</formula>
    </cfRule>
    <cfRule type="expression" dxfId="359" priority="616">
      <formula>AND($E27="Antigua",$H27="47mm",$M27&gt;644,$AB$11="R")</formula>
    </cfRule>
    <cfRule type="expression" dxfId="358" priority="617">
      <formula>AND($E27="Antigua",$H27="47mm",$M27&gt;644,$AB$11="L")</formula>
    </cfRule>
    <cfRule type="expression" dxfId="357" priority="634">
      <formula>AND($E27="Antigua",$H27="47mm",$M27&gt;644,$AB$11="L")</formula>
    </cfRule>
    <cfRule type="expression" dxfId="356" priority="635">
      <formula>AND($E27="Antigua",$H27="47mm",$M27&gt;644,$AB$11="R")</formula>
    </cfRule>
  </conditionalFormatting>
  <conditionalFormatting sqref="M33">
    <cfRule type="expression" dxfId="355" priority="67">
      <formula>AND(D33="Tier on Tier",VALUE(M33)&gt;1219)</formula>
    </cfRule>
    <cfRule type="expression" dxfId="354" priority="577">
      <formula>AND($E33="Antigua",$H33="47mm",$M33&gt;644,$AB$11="R")</formula>
    </cfRule>
    <cfRule type="expression" dxfId="353" priority="578">
      <formula>AND($E33="Antigua",$H33="47mm",$M33&gt;644,$AB$11="L")</formula>
    </cfRule>
    <cfRule type="expression" dxfId="352" priority="594">
      <formula>AND($E33="Antigua",$H33="47mm",$M33&gt;644,$AB$11="L")</formula>
    </cfRule>
    <cfRule type="expression" dxfId="351" priority="595">
      <formula>AND($E33="Antigua",$H33="47mm",$M33&gt;644,$AB$11="R")</formula>
    </cfRule>
  </conditionalFormatting>
  <conditionalFormatting sqref="M36">
    <cfRule type="expression" dxfId="350" priority="66">
      <formula>AND(D36="Tier on Tier",VALUE(M36)&gt;1219)</formula>
    </cfRule>
    <cfRule type="expression" dxfId="349" priority="542">
      <formula>AND($E36="Antigua",$H36="47mm",$M36&gt;644,$AB$11="R")</formula>
    </cfRule>
    <cfRule type="expression" dxfId="348" priority="543">
      <formula>AND($E36="Antigua",$H36="47mm",$M36&gt;644,$AB$11="L")</formula>
    </cfRule>
    <cfRule type="expression" dxfId="347" priority="559">
      <formula>AND($E36="Antigua",$H36="47mm",$M36&gt;644,$AB$11="L")</formula>
    </cfRule>
    <cfRule type="expression" dxfId="346" priority="560">
      <formula>AND($E36="Antigua",$H36="47mm",$M36&gt;644,$AB$11="R")</formula>
    </cfRule>
    <cfRule type="expression" dxfId="345" priority="561">
      <formula>AND($E36="Antigua",$H36="47mm",$M36&gt;644,$AB$11="R")</formula>
    </cfRule>
    <cfRule type="expression" dxfId="344" priority="563">
      <formula>AND($E36="Antigua",$H36="47mm",$M36&gt;644,$X$11="R")</formula>
    </cfRule>
    <cfRule type="expression" dxfId="343" priority="564">
      <formula>AND($E36="Antigua",$H36="47mm",$M36&gt;644,$AG$11="R")</formula>
    </cfRule>
    <cfRule type="expression" dxfId="342" priority="565">
      <formula>AND($E36="Bermuda",$H36="47mm",$M36&gt;654,$AG$11="R")</formula>
    </cfRule>
    <cfRule type="expression" dxfId="341" priority="566">
      <formula>AND($E36="Bermuda",$H36="47mm",$M36&gt;654,$AG$11="R")</formula>
    </cfRule>
    <cfRule type="expression" dxfId="340" priority="567">
      <formula>AND($E36="Bermuda",$H36="47mm",$M36&gt;654,$AG$11="L")</formula>
    </cfRule>
    <cfRule type="expression" dxfId="339" priority="568">
      <formula>AND($E36="Bermuda",$H36="47mm",$M36&gt;654,$AG$11="R")</formula>
    </cfRule>
    <cfRule type="expression" dxfId="338" priority="569">
      <formula>AND($E36="Bermuda",$H36="47mm",$M36&gt;654,$AG$11="R")</formula>
    </cfRule>
    <cfRule type="expression" dxfId="337" priority="570">
      <formula>AND($E36="Antigua",$H36="47mm",$M36&gt;644,$AG$11="R")</formula>
    </cfRule>
    <cfRule type="expression" dxfId="336" priority="571">
      <formula>AND($E36="Bermuda",$H36="47mm",$M36&gt;654,$AG$11="R")</formula>
    </cfRule>
    <cfRule type="expression" dxfId="335" priority="572">
      <formula>AND($E36="Bermuda",$H36="47mm",$M36&gt;654,$AG$11="L")</formula>
    </cfRule>
    <cfRule type="expression" dxfId="334" priority="573">
      <formula>AND($E36="Bermuda",$H36="47mm",$M36&gt;654,$AG$11="R")</formula>
    </cfRule>
    <cfRule type="expression" dxfId="333" priority="574">
      <formula>AND($E36="Antigua",$H36="47mm",$M36&gt;644,$AG$11="R")</formula>
    </cfRule>
    <cfRule type="expression" dxfId="332" priority="575">
      <formula>AND($E36="Bermuda",$H36="47mm",$M36&gt;654,$AG$11="R")</formula>
    </cfRule>
  </conditionalFormatting>
  <conditionalFormatting sqref="M39">
    <cfRule type="expression" dxfId="331" priority="65">
      <formula>AND(D39="Tier on Tier",VALUE(M39)&gt;1219)</formula>
    </cfRule>
    <cfRule type="expression" dxfId="330" priority="508">
      <formula>AND($E39="Antigua",$H39="47mm",$M39&gt;644,$AB$11="R")</formula>
    </cfRule>
    <cfRule type="expression" dxfId="329" priority="509">
      <formula>AND($E39="Antigua",$H39="47mm",$M39&gt;644,$AB$11="L")</formula>
    </cfRule>
    <cfRule type="expression" dxfId="328" priority="525">
      <formula>AND($E39="Antigua",$H39="47mm",$M39&gt;644,$AB$11="L")</formula>
    </cfRule>
    <cfRule type="expression" dxfId="327" priority="526">
      <formula>AND($E39="Antigua",$H39="47mm",$M39&gt;644,$AB$11="R")</formula>
    </cfRule>
    <cfRule type="expression" dxfId="326" priority="527">
      <formula>AND($E39="Antigua",$H39="47mm",$M39&gt;644,$AB$11="R")</formula>
    </cfRule>
    <cfRule type="expression" dxfId="325" priority="529">
      <formula>AND($E39="Antigua",$H39="47mm",$M39&gt;644,$X$11="R")</formula>
    </cfRule>
    <cfRule type="expression" dxfId="324" priority="530">
      <formula>AND($E39="Antigua",$H39="47mm",$M39&gt;644,$AG$11="R")</formula>
    </cfRule>
    <cfRule type="expression" dxfId="323" priority="531">
      <formula>AND($E39="Bermuda",$H39="47mm",$M39&gt;654,$AG$11="R")</formula>
    </cfRule>
    <cfRule type="expression" dxfId="322" priority="532">
      <formula>AND($E39="Bermuda",$H39="47mm",$M39&gt;654,$AG$11="R")</formula>
    </cfRule>
    <cfRule type="expression" dxfId="321" priority="533">
      <formula>AND($E39="Bermuda",$H39="47mm",$M39&gt;654,$AG$11="L")</formula>
    </cfRule>
    <cfRule type="expression" dxfId="320" priority="534">
      <formula>AND($E39="Bermuda",$H39="47mm",$M39&gt;654,$AG$11="R")</formula>
    </cfRule>
    <cfRule type="expression" dxfId="319" priority="535">
      <formula>AND($E39="Bermuda",$H39="47mm",$M39&gt;654,$AG$11="R")</formula>
    </cfRule>
    <cfRule type="expression" dxfId="318" priority="536">
      <formula>AND($E39="Antigua",$H39="47mm",$M39&gt;644,$AG$11="R")</formula>
    </cfRule>
    <cfRule type="expression" dxfId="317" priority="537">
      <formula>AND($E39="Bermuda",$H39="47mm",$M39&gt;654,$AG$11="R")</formula>
    </cfRule>
    <cfRule type="expression" dxfId="316" priority="538">
      <formula>AND($E39="Bermuda",$H39="47mm",$M39&gt;654,$AG$11="L")</formula>
    </cfRule>
    <cfRule type="expression" dxfId="315" priority="539">
      <formula>AND($E39="Bermuda",$H39="47mm",$M39&gt;654,$AG$11="R")</formula>
    </cfRule>
    <cfRule type="expression" dxfId="314" priority="540">
      <formula>AND($E39="Antigua",$H39="47mm",$M39&gt;644,$AG$11="R")</formula>
    </cfRule>
    <cfRule type="expression" dxfId="313" priority="541">
      <formula>AND($E39="Bermuda",$H39="47mm",$M39&gt;654,$AG$11="R")</formula>
    </cfRule>
  </conditionalFormatting>
  <conditionalFormatting sqref="M42">
    <cfRule type="expression" dxfId="312" priority="64">
      <formula>AND(D42="Tier on Tier",VALUE(M42)&gt;1219)</formula>
    </cfRule>
    <cfRule type="expression" dxfId="311" priority="474">
      <formula>AND($E42="Antigua",$H42="47mm",$M42&gt;644,$AB$11="R")</formula>
    </cfRule>
    <cfRule type="expression" dxfId="310" priority="475">
      <formula>AND($E42="Antigua",$H42="47mm",$M42&gt;644,$AB$11="L")</formula>
    </cfRule>
    <cfRule type="expression" dxfId="309" priority="491">
      <formula>AND($E42="Antigua",$H42="47mm",$M42&gt;644,$AB$11="L")</formula>
    </cfRule>
    <cfRule type="expression" dxfId="308" priority="492">
      <formula>AND($E42="Antigua",$H42="47mm",$M42&gt;644,$AB$11="R")</formula>
    </cfRule>
    <cfRule type="expression" dxfId="307" priority="493">
      <formula>AND($E42="Antigua",$H42="47mm",$M42&gt;644,$AB$11="R")</formula>
    </cfRule>
    <cfRule type="expression" dxfId="306" priority="495">
      <formula>AND($E42="Antigua",$H42="47mm",$M42&gt;644,$X$11="R")</formula>
    </cfRule>
    <cfRule type="expression" dxfId="305" priority="496">
      <formula>AND($E42="Antigua",$H42="47mm",$M42&gt;644,$AG$11="R")</formula>
    </cfRule>
    <cfRule type="expression" dxfId="304" priority="497">
      <formula>AND($E42="Bermuda",$H42="47mm",$M42&gt;654,$AG$11="R")</formula>
    </cfRule>
    <cfRule type="expression" dxfId="303" priority="498">
      <formula>AND($E42="Bermuda",$H42="47mm",$M42&gt;654,$AG$11="R")</formula>
    </cfRule>
    <cfRule type="expression" dxfId="302" priority="499">
      <formula>AND($E42="Bermuda",$H42="47mm",$M42&gt;654,$AG$11="L")</formula>
    </cfRule>
    <cfRule type="expression" dxfId="301" priority="500">
      <formula>AND($E42="Bermuda",$H42="47mm",$M42&gt;654,$AG$11="R")</formula>
    </cfRule>
    <cfRule type="expression" dxfId="300" priority="501">
      <formula>AND($E42="Bermuda",$H42="47mm",$M42&gt;654,$AG$11="R")</formula>
    </cfRule>
    <cfRule type="expression" dxfId="299" priority="502">
      <formula>AND($E42="Antigua",$H42="47mm",$M42&gt;644,$AG$11="R")</formula>
    </cfRule>
    <cfRule type="expression" dxfId="298" priority="503">
      <formula>AND($E42="Bermuda",$H42="47mm",$M42&gt;654,$AG$11="R")</formula>
    </cfRule>
    <cfRule type="expression" dxfId="297" priority="504">
      <formula>AND($E42="Bermuda",$H42="47mm",$M42&gt;654,$AG$11="L")</formula>
    </cfRule>
    <cfRule type="expression" dxfId="296" priority="505">
      <formula>AND($E42="Bermuda",$H42="47mm",$M42&gt;654,$AG$11="R")</formula>
    </cfRule>
    <cfRule type="expression" dxfId="295" priority="506">
      <formula>AND($E42="Antigua",$H42="47mm",$M42&gt;644,$AG$11="R")</formula>
    </cfRule>
    <cfRule type="expression" dxfId="294" priority="507">
      <formula>AND($E42="Bermuda",$H42="47mm",$M42&gt;654,$AG$11="R")</formula>
    </cfRule>
  </conditionalFormatting>
  <conditionalFormatting sqref="M45">
    <cfRule type="expression" dxfId="293" priority="63">
      <formula>AND(D45="Tier on Tier",VALUE(M45)&gt;1219)</formula>
    </cfRule>
    <cfRule type="expression" dxfId="292" priority="440">
      <formula>AND($E45="Antigua",$H45="47mm",$M45&gt;644,$AB$11="R")</formula>
    </cfRule>
    <cfRule type="expression" dxfId="291" priority="441">
      <formula>AND($E45="Antigua",$H45="47mm",$M45&gt;644,$AB$11="L")</formula>
    </cfRule>
    <cfRule type="expression" dxfId="290" priority="457">
      <formula>AND($E45="Antigua",$H45="47mm",$M45&gt;644,$AB$11="L")</formula>
    </cfRule>
    <cfRule type="expression" dxfId="289" priority="458">
      <formula>AND($E45="Antigua",$H45="47mm",$M45&gt;644,$AB$11="R")</formula>
    </cfRule>
    <cfRule type="expression" dxfId="288" priority="459">
      <formula>AND($E45="Antigua",$H45="47mm",$M45&gt;644,$AB$11="R")</formula>
    </cfRule>
    <cfRule type="expression" dxfId="287" priority="461">
      <formula>AND($E45="Antigua",$H45="47mm",$M45&gt;644,$X$11="R")</formula>
    </cfRule>
    <cfRule type="expression" dxfId="286" priority="462">
      <formula>AND($E45="Antigua",$H45="47mm",$M45&gt;644,$AG$11="R")</formula>
    </cfRule>
    <cfRule type="expression" dxfId="285" priority="463">
      <formula>AND($E45="Bermuda",$H45="47mm",$M45&gt;654,$AG$11="R")</formula>
    </cfRule>
    <cfRule type="expression" dxfId="284" priority="464">
      <formula>AND($E45="Bermuda",$H45="47mm",$M45&gt;654,$AG$11="R")</formula>
    </cfRule>
    <cfRule type="expression" dxfId="283" priority="465">
      <formula>AND($E45="Bermuda",$H45="47mm",$M45&gt;654,$AG$11="L")</formula>
    </cfRule>
    <cfRule type="expression" dxfId="282" priority="466">
      <formula>AND($E45="Bermuda",$H45="47mm",$M45&gt;654,$AG$11="R")</formula>
    </cfRule>
    <cfRule type="expression" dxfId="281" priority="467">
      <formula>AND($E45="Bermuda",$H45="47mm",$M45&gt;654,$AG$11="R")</formula>
    </cfRule>
    <cfRule type="expression" dxfId="280" priority="468">
      <formula>AND($E45="Antigua",$H45="47mm",$M45&gt;644,$AG$11="R")</formula>
    </cfRule>
    <cfRule type="expression" dxfId="279" priority="469">
      <formula>AND($E45="Bermuda",$H45="47mm",$M45&gt;654,$AG$11="R")</formula>
    </cfRule>
    <cfRule type="expression" dxfId="278" priority="470">
      <formula>AND($E45="Bermuda",$H45="47mm",$M45&gt;654,$AG$11="L")</formula>
    </cfRule>
    <cfRule type="expression" dxfId="277" priority="471">
      <formula>AND($E45="Bermuda",$H45="47mm",$M45&gt;654,$AG$11="R")</formula>
    </cfRule>
    <cfRule type="expression" dxfId="276" priority="472">
      <formula>AND($E45="Antigua",$H45="47mm",$M45&gt;644,$AG$11="R")</formula>
    </cfRule>
    <cfRule type="expression" dxfId="275" priority="473">
      <formula>AND($E45="Bermuda",$H45="47mm",$M45&gt;654,$AG$11="R")</formula>
    </cfRule>
  </conditionalFormatting>
  <conditionalFormatting sqref="M48">
    <cfRule type="expression" dxfId="274" priority="62">
      <formula>AND(D48="Tier on Tier",VALUE(M48)&gt;1219)</formula>
    </cfRule>
    <cfRule type="expression" dxfId="273" priority="406">
      <formula>AND($E48="Antigua",$H48="47mm",$M48&gt;644,$AB$11="R")</formula>
    </cfRule>
    <cfRule type="expression" dxfId="272" priority="407">
      <formula>AND($E48="Antigua",$H48="47mm",$M48&gt;644,$AB$11="L")</formula>
    </cfRule>
    <cfRule type="expression" dxfId="271" priority="423">
      <formula>AND($E48="Antigua",$H48="47mm",$M48&gt;644,$AB$11="L")</formula>
    </cfRule>
    <cfRule type="expression" dxfId="270" priority="424">
      <formula>AND($E48="Antigua",$H48="47mm",$M48&gt;644,$AB$11="R")</formula>
    </cfRule>
    <cfRule type="expression" dxfId="269" priority="425">
      <formula>AND($E48="Antigua",$H48="47mm",$M48&gt;644,$AB$11="R")</formula>
    </cfRule>
    <cfRule type="expression" dxfId="268" priority="427">
      <formula>AND($E48="Antigua",$H48="47mm",$M48&gt;644,$X$11="R")</formula>
    </cfRule>
    <cfRule type="expression" dxfId="267" priority="428">
      <formula>AND($E48="Antigua",$H48="47mm",$M48&gt;644,$AG$11="R")</formula>
    </cfRule>
    <cfRule type="expression" dxfId="266" priority="429">
      <formula>AND($E48="Bermuda",$H48="47mm",$M48&gt;654,$AG$11="R")</formula>
    </cfRule>
    <cfRule type="expression" dxfId="265" priority="430">
      <formula>AND($E48="Bermuda",$H48="47mm",$M48&gt;654,$AG$11="R")</formula>
    </cfRule>
    <cfRule type="expression" dxfId="264" priority="431">
      <formula>AND($E48="Bermuda",$H48="47mm",$M48&gt;654,$AG$11="L")</formula>
    </cfRule>
    <cfRule type="expression" dxfId="263" priority="432">
      <formula>AND($E48="Bermuda",$H48="47mm",$M48&gt;654,$AG$11="R")</formula>
    </cfRule>
    <cfRule type="expression" dxfId="262" priority="433">
      <formula>AND($E48="Bermuda",$H48="47mm",$M48&gt;654,$AG$11="R")</formula>
    </cfRule>
    <cfRule type="expression" dxfId="261" priority="434">
      <formula>AND($E48="Antigua",$H48="47mm",$M48&gt;644,$AG$11="R")</formula>
    </cfRule>
    <cfRule type="expression" dxfId="260" priority="435">
      <formula>AND($E48="Bermuda",$H48="47mm",$M48&gt;654,$AG$11="R")</formula>
    </cfRule>
    <cfRule type="expression" dxfId="259" priority="436">
      <formula>AND($E48="Bermuda",$H48="47mm",$M48&gt;654,$AG$11="L")</formula>
    </cfRule>
    <cfRule type="expression" dxfId="258" priority="437">
      <formula>AND($E48="Bermuda",$H48="47mm",$M48&gt;654,$AG$11="R")</formula>
    </cfRule>
    <cfRule type="expression" dxfId="257" priority="438">
      <formula>AND($E48="Antigua",$H48="47mm",$M48&gt;644,$AG$11="R")</formula>
    </cfRule>
    <cfRule type="expression" dxfId="256" priority="439">
      <formula>AND($E48="Bermuda",$H48="47mm",$M48&gt;654,$AG$11="R")</formula>
    </cfRule>
  </conditionalFormatting>
  <conditionalFormatting sqref="M51">
    <cfRule type="expression" dxfId="255" priority="61">
      <formula>AND(D51="Tier on Tier",VALUE(M51)&gt;1219)</formula>
    </cfRule>
    <cfRule type="expression" dxfId="254" priority="372">
      <formula>AND($E51="Antigua",$H51="47mm",$M51&gt;644,$AB$11="R")</formula>
    </cfRule>
    <cfRule type="expression" dxfId="253" priority="373">
      <formula>AND($E51="Antigua",$H51="47mm",$M51&gt;644,$AB$11="L")</formula>
    </cfRule>
    <cfRule type="expression" dxfId="252" priority="389">
      <formula>AND($E51="Antigua",$H51="47mm",$M51&gt;644,$AB$11="L")</formula>
    </cfRule>
    <cfRule type="expression" dxfId="251" priority="390">
      <formula>AND($E51="Antigua",$H51="47mm",$M51&gt;644,$AB$11="R")</formula>
    </cfRule>
    <cfRule type="expression" dxfId="250" priority="391">
      <formula>AND($E51="Antigua",$H51="47mm",$M51&gt;644,$AB$11="R")</formula>
    </cfRule>
    <cfRule type="expression" dxfId="249" priority="393">
      <formula>AND($E51="Antigua",$H51="47mm",$M51&gt;644,$X$11="R")</formula>
    </cfRule>
    <cfRule type="expression" dxfId="248" priority="394">
      <formula>AND($E51="Antigua",$H51="47mm",$M51&gt;644,$AG$11="R")</formula>
    </cfRule>
    <cfRule type="expression" dxfId="247" priority="395">
      <formula>AND($E51="Bermuda",$H51="47mm",$M51&gt;654,$AG$11="R")</formula>
    </cfRule>
    <cfRule type="expression" dxfId="246" priority="396">
      <formula>AND($E51="Bermuda",$H51="47mm",$M51&gt;654,$AG$11="R")</formula>
    </cfRule>
    <cfRule type="expression" dxfId="245" priority="397">
      <formula>AND($E51="Bermuda",$H51="47mm",$M51&gt;654,$AG$11="L")</formula>
    </cfRule>
    <cfRule type="expression" dxfId="244" priority="398">
      <formula>AND($E51="Bermuda",$H51="47mm",$M51&gt;654,$AG$11="R")</formula>
    </cfRule>
    <cfRule type="expression" dxfId="243" priority="399">
      <formula>AND($E51="Bermuda",$H51="47mm",$M51&gt;654,$AG$11="R")</formula>
    </cfRule>
    <cfRule type="expression" dxfId="242" priority="400">
      <formula>AND($E51="Antigua",$H51="47mm",$M51&gt;644,$AG$11="R")</formula>
    </cfRule>
    <cfRule type="expression" dxfId="241" priority="401">
      <formula>AND($E51="Bermuda",$H51="47mm",$M51&gt;654,$AG$11="R")</formula>
    </cfRule>
    <cfRule type="expression" dxfId="240" priority="402">
      <formula>AND($E51="Bermuda",$H51="47mm",$M51&gt;654,$AG$11="L")</formula>
    </cfRule>
    <cfRule type="expression" dxfId="239" priority="403">
      <formula>AND($E51="Bermuda",$H51="47mm",$M51&gt;654,$AG$11="R")</formula>
    </cfRule>
    <cfRule type="expression" dxfId="238" priority="404">
      <formula>AND($E51="Antigua",$H51="47mm",$M51&gt;644,$AG$11="R")</formula>
    </cfRule>
    <cfRule type="expression" dxfId="237" priority="405">
      <formula>AND($E51="Bermuda",$H51="47mm",$M51&gt;654,$AG$11="R")</formula>
    </cfRule>
  </conditionalFormatting>
  <conditionalFormatting sqref="M54">
    <cfRule type="expression" dxfId="236" priority="60">
      <formula>AND(D54="Tier on Tier",VALUE(M54)&gt;1219)</formula>
    </cfRule>
    <cfRule type="expression" dxfId="235" priority="338">
      <formula>AND($E54="Antigua",$H54="47mm",$M54&gt;644,$AB$11="R")</formula>
    </cfRule>
    <cfRule type="expression" dxfId="234" priority="339">
      <formula>AND($E54="Antigua",$H54="47mm",$M54&gt;644,$AB$11="L")</formula>
    </cfRule>
    <cfRule type="expression" dxfId="233" priority="355">
      <formula>AND($E54="Antigua",$H54="47mm",$M54&gt;644,$AB$11="L")</formula>
    </cfRule>
    <cfRule type="expression" dxfId="232" priority="356">
      <formula>AND($E54="Antigua",$H54="47mm",$M54&gt;644,$AB$11="R")</formula>
    </cfRule>
    <cfRule type="expression" dxfId="231" priority="357">
      <formula>AND($E54="Antigua",$H54="47mm",$M54&gt;644,$AB$11="R")</formula>
    </cfRule>
    <cfRule type="expression" dxfId="230" priority="359">
      <formula>AND($E54="Antigua",$H54="47mm",$M54&gt;644,$X$11="R")</formula>
    </cfRule>
    <cfRule type="expression" dxfId="229" priority="360">
      <formula>AND($E54="Antigua",$H54="47mm",$M54&gt;644,$AG$11="R")</formula>
    </cfRule>
    <cfRule type="expression" dxfId="228" priority="361">
      <formula>AND($E54="Bermuda",$H54="47mm",$M54&gt;654,$AG$11="R")</formula>
    </cfRule>
    <cfRule type="expression" dxfId="227" priority="362">
      <formula>AND($E54="Bermuda",$H54="47mm",$M54&gt;654,$AG$11="R")</formula>
    </cfRule>
    <cfRule type="expression" dxfId="226" priority="363">
      <formula>AND($E54="Bermuda",$H54="47mm",$M54&gt;654,$AG$11="L")</formula>
    </cfRule>
    <cfRule type="expression" dxfId="225" priority="364">
      <formula>AND($E54="Bermuda",$H54="47mm",$M54&gt;654,$AG$11="R")</formula>
    </cfRule>
    <cfRule type="expression" dxfId="224" priority="365">
      <formula>AND($E54="Bermuda",$H54="47mm",$M54&gt;654,$AG$11="R")</formula>
    </cfRule>
    <cfRule type="expression" dxfId="223" priority="366">
      <formula>AND($E54="Antigua",$H54="47mm",$M54&gt;644,$AG$11="R")</formula>
    </cfRule>
    <cfRule type="expression" dxfId="222" priority="367">
      <formula>AND($E54="Bermuda",$H54="47mm",$M54&gt;654,$AG$11="R")</formula>
    </cfRule>
    <cfRule type="expression" dxfId="221" priority="368">
      <formula>AND($E54="Bermuda",$H54="47mm",$M54&gt;654,$AG$11="L")</formula>
    </cfRule>
    <cfRule type="expression" dxfId="220" priority="369">
      <formula>AND($E54="Bermuda",$H54="47mm",$M54&gt;654,$AG$11="R")</formula>
    </cfRule>
    <cfRule type="expression" dxfId="219" priority="370">
      <formula>AND($E54="Antigua",$H54="47mm",$M54&gt;644,$AG$11="R")</formula>
    </cfRule>
    <cfRule type="expression" dxfId="218" priority="371">
      <formula>AND($E54="Bermuda",$H54="47mm",$M54&gt;654,$AG$11="R")</formula>
    </cfRule>
  </conditionalFormatting>
  <conditionalFormatting sqref="C39:AE41">
    <cfRule type="expression" dxfId="217" priority="48">
      <formula>$AD$39="Q"</formula>
    </cfRule>
  </conditionalFormatting>
  <conditionalFormatting sqref="S13:AB13">
    <cfRule type="expression" dxfId="216" priority="41">
      <formula>AND(ISNUMBER(SEARCH("(",S12)),S13="")</formula>
    </cfRule>
  </conditionalFormatting>
  <conditionalFormatting sqref="S16:AB16">
    <cfRule type="expression" dxfId="215" priority="40">
      <formula>AND(ISNUMBER(SEARCH("(",S15)),S16="")</formula>
    </cfRule>
  </conditionalFormatting>
  <conditionalFormatting sqref="S19:AB19">
    <cfRule type="expression" dxfId="214" priority="39">
      <formula>AND(ISNUMBER(SEARCH("(",S18)),S19="")</formula>
    </cfRule>
  </conditionalFormatting>
  <conditionalFormatting sqref="S22:AB22">
    <cfRule type="expression" dxfId="213" priority="38">
      <formula>AND(ISNUMBER(SEARCH("(",S21)),S22="")</formula>
    </cfRule>
  </conditionalFormatting>
  <conditionalFormatting sqref="S25:AB25">
    <cfRule type="expression" dxfId="212" priority="37">
      <formula>AND(ISNUMBER(SEARCH("(",S24)),S25="")</formula>
    </cfRule>
  </conditionalFormatting>
  <conditionalFormatting sqref="S28:AB28">
    <cfRule type="expression" dxfId="211" priority="36">
      <formula>AND(ISNUMBER(SEARCH("(",S27)),S28="")</formula>
    </cfRule>
  </conditionalFormatting>
  <conditionalFormatting sqref="S31:AB31">
    <cfRule type="expression" dxfId="210" priority="35">
      <formula>AND(ISNUMBER(SEARCH("(",S30)),S31="")</formula>
    </cfRule>
  </conditionalFormatting>
  <conditionalFormatting sqref="S34:AB34">
    <cfRule type="expression" dxfId="209" priority="34">
      <formula>AND(ISNUMBER(SEARCH("(",S33)),S34="")</formula>
    </cfRule>
  </conditionalFormatting>
  <conditionalFormatting sqref="S37:AB37">
    <cfRule type="expression" dxfId="208" priority="33">
      <formula>AND(ISNUMBER(SEARCH("(",S36)),S37="")</formula>
    </cfRule>
  </conditionalFormatting>
  <conditionalFormatting sqref="S40:AB40">
    <cfRule type="expression" dxfId="207" priority="32">
      <formula>AND(ISNUMBER(SEARCH("(",S39)),$S$40="")</formula>
    </cfRule>
  </conditionalFormatting>
  <conditionalFormatting sqref="S43:AB43">
    <cfRule type="expression" dxfId="206" priority="31">
      <formula>AND(ISNUMBER(SEARCH("(",S42)),S43="")</formula>
    </cfRule>
  </conditionalFormatting>
  <conditionalFormatting sqref="S46:AB46">
    <cfRule type="expression" dxfId="205" priority="30">
      <formula>AND(ISNUMBER(SEARCH("(",S45)),S46="")</formula>
    </cfRule>
  </conditionalFormatting>
  <conditionalFormatting sqref="S49:AB49">
    <cfRule type="expression" dxfId="204" priority="29">
      <formula>AND(ISNUMBER(SEARCH("(",S48)),S49="")</formula>
    </cfRule>
  </conditionalFormatting>
  <conditionalFormatting sqref="S52:AB52">
    <cfRule type="expression" dxfId="203" priority="28">
      <formula>AND(ISNUMBER(SEARCH("(",S51)),S52="")</formula>
    </cfRule>
  </conditionalFormatting>
  <conditionalFormatting sqref="S55:AB55">
    <cfRule type="expression" dxfId="202" priority="27">
      <formula>AND(ISNUMBER(SEARCH("(",S54)),S55="")</formula>
    </cfRule>
  </conditionalFormatting>
  <conditionalFormatting sqref="C27:AE29">
    <cfRule type="expression" dxfId="201" priority="26">
      <formula>$AD$27="Q"</formula>
    </cfRule>
  </conditionalFormatting>
  <conditionalFormatting sqref="E12:E56">
    <cfRule type="expression" dxfId="200" priority="1">
      <formula>$E12="Antigua"</formula>
    </cfRule>
    <cfRule type="expression" dxfId="199" priority="2">
      <formula>$E12="Bermuda"</formula>
    </cfRule>
    <cfRule type="expression" dxfId="198" priority="3">
      <formula>$E12="Cuba"</formula>
    </cfRule>
    <cfRule type="expression" dxfId="197" priority="4">
      <formula>$E12="Java"</formula>
    </cfRule>
    <cfRule type="expression" dxfId="196" priority="5">
      <formula>$E12="Fiji"</formula>
    </cfRule>
    <cfRule type="expression" dxfId="195" priority="6">
      <formula>$E12="Hampton"</formula>
    </cfRule>
    <cfRule type="expression" dxfId="194" priority="7">
      <formula>$E12="Aruba"</formula>
    </cfRule>
  </conditionalFormatting>
  <dataValidations count="52">
    <dataValidation type="list" allowBlank="1" showInputMessage="1" sqref="L12:L56" xr:uid="{A287C2E5-47FA-4494-BC32-07C6781FD1B7}">
      <formula1>TiltRod</formula1>
    </dataValidation>
    <dataValidation type="list" allowBlank="1" showInputMessage="1" sqref="AD15 AD18 AD21 AD27 AD30 AD33 AD36 AD39 AD42 AD45 AD48 AD51 AD54" xr:uid="{33FE0209-6A0B-4BAB-A4BA-450AF5DB058A}">
      <formula1>"Q"</formula1>
    </dataValidation>
    <dataValidation type="list" allowBlank="1" showInputMessage="1" sqref="F12:G12 F15:G15" xr:uid="{82017E4F-D34D-4F12-AC73-771A29CB862C}">
      <formula1>INDIRECT(E12)</formula1>
    </dataValidation>
    <dataValidation type="list" allowBlank="1" showInputMessage="1" sqref="D12:D56" xr:uid="{BD311E8B-CFD7-4C98-BABB-59F2DBB6CAA7}">
      <formula1>Shuttype</formula1>
    </dataValidation>
    <dataValidation type="list" allowBlank="1" showInputMessage="1" showErrorMessage="1" sqref="S12:AC12 S51:AC51 S45:AC45 S48:AC48 S54:AC54 S18:AC18 S21:AC21 S15:AC15 S27:AC27 S30:AC30 S33:AC33 S24:AC24 S39:AC39 S42:AC42 S36:AC36" xr:uid="{00A3AC23-35A9-404A-9982-B05373861955}">
      <formula1>Config</formula1>
    </dataValidation>
    <dataValidation type="list" allowBlank="1" showInputMessage="1" sqref="H12:H56" xr:uid="{4668DA88-419A-4577-83A9-6FF90C27F039}">
      <formula1>INDIRECT(E12 &amp; "L")</formula1>
    </dataValidation>
    <dataValidation type="list" allowBlank="1" showInputMessage="1" sqref="AD24" xr:uid="{A8867EE6-6721-48B5-840A-79028D39AA48}">
      <formula1>"Q,"""""</formula1>
    </dataValidation>
    <dataValidation type="list" allowBlank="1" showInputMessage="1" sqref="AD12" xr:uid="{E6E248B9-FC87-42D1-940B-53DABBAD5A45}">
      <formula1>"Q, "" """</formula1>
    </dataValidation>
    <dataValidation type="list" allowBlank="1" showInputMessage="1" sqref="J12 J21 J30 J15 J18 J27 J24 J33 J36 J39 J42 J45 J48 J51 J54" xr:uid="{52A89117-0CEB-4838-B2C2-8E9D539630D2}">
      <formula1>"1,2,3,4,5"</formula1>
    </dataValidation>
    <dataValidation type="list" allowBlank="1" showInputMessage="1" showErrorMessage="1" sqref="W8" xr:uid="{8D6DE7E2-EC56-4DA9-8786-8DAA93910EB7}">
      <formula1>Surveyors</formula1>
    </dataValidation>
    <dataValidation type="list" allowBlank="1" showInputMessage="1" sqref="J55:J56 J13:J14 J16:J17 J19:J20 J22:J23 J25:J26 J28:J29 J31:J32 J34:J35 J37:J38 J43:J44 J40:J41 J46:J47 J49:J50 J52:J53" xr:uid="{9442E82C-E096-4BA3-9485-3CCD416CCF48}">
      <formula1>Sides</formula1>
    </dataValidation>
    <dataValidation type="list" allowBlank="1" showInputMessage="1" showErrorMessage="1" sqref="AC13 AC28 AC31 AC55 AC19 AC22 AC25 AC34 AC37 AC40 AC43 AC46 AC49 AC52 AC16" xr:uid="{CCDFF681-708A-47A2-AA3F-06F8B7B11BC1}">
      <formula1>"LOR, ROL"</formula1>
    </dataValidation>
    <dataValidation type="list" allowBlank="1" showInputMessage="1" showErrorMessage="1" sqref="G56 G29 G32 G17 G20 G23 G26 G35 G38 G41 G44 G47 G50 G53" xr:uid="{41192733-2E09-4F3C-B381-E85702648BA7}">
      <formula1>INDIRECT(E15 &amp; "H")</formula1>
    </dataValidation>
    <dataValidation type="list" allowBlank="1" showInputMessage="1" showErrorMessage="1" sqref="O9:Q9" xr:uid="{D13A4B8B-0346-4EBD-BBBE-BA288B0CD0BC}">
      <formula1>"Please Select,1,2,3,4"</formula1>
    </dataValidation>
    <dataValidation type="list" allowBlank="1" showInputMessage="1" showErrorMessage="1" sqref="Q14 Q17 Q20 Q23 Q26 Q29 Q32 Q35 Q38 Q41 Q44 Q47 Q50 Q53 Q56" xr:uid="{A310CE92-45F2-4BE3-BD21-DAD87BA57461}">
      <formula1>HorizontalPost</formula1>
    </dataValidation>
    <dataValidation type="list" allowBlank="1" showInputMessage="1" sqref="K12:K56" xr:uid="{7516A68C-953E-43C4-B055-7D7CBA978573}">
      <formula1>Style</formula1>
    </dataValidation>
    <dataValidation type="list" allowBlank="1" showInputMessage="1" showErrorMessage="1" sqref="F33:G33 F30:G30 F27:G27 F18:G18 F21:G21 F24:G24 F36:G36 F39:G39 F42:G42 F45:G45 F48:G48 F51:G51 F54:G54" xr:uid="{8838DA1E-908F-491F-8FBA-FC9D3DAFC091}">
      <formula1>INDIRECT(E18)</formula1>
    </dataValidation>
    <dataValidation type="list" allowBlank="1" showInputMessage="1" sqref="C55 C19 C22 C25:C26 C28:C29 C31:C32 C34:C35 C37:C38 C40:C41 C43 C46 C49 C52 C13" xr:uid="{4BFB10E6-6921-479B-B38C-67EA0319C5DE}">
      <formula1>RoomLoc</formula1>
    </dataValidation>
    <dataValidation type="list" allowBlank="1" showInputMessage="1" sqref="C54 C15 C51 C18 C21 C24 C27 C30 C33 C36 C39 C42 C48 C45 C12" xr:uid="{B13E9DD2-21D1-482C-8E2C-2C704E9C5D8D}">
      <formula1>rooms</formula1>
    </dataValidation>
    <dataValidation type="list" allowBlank="1" showInputMessage="1" sqref="E54:E56" xr:uid="{011DBE14-02E8-4443-807D-B76DC5D6B155}">
      <formula1>IF(OR($D$54="Shape",$D$54="French Door Cutout"),Shapes,MMaterial)</formula1>
    </dataValidation>
    <dataValidation type="list" allowBlank="1" showInputMessage="1" sqref="C14 C17 C56 C20 C23 C50 C53 C47 C44" xr:uid="{2435A238-92E8-4368-9B20-A0C9DF26679A}">
      <formula1>"Left, Centre, Right"</formula1>
    </dataValidation>
    <dataValidation type="list" allowBlank="1" showInputMessage="1" showErrorMessage="1" sqref="C16" xr:uid="{F8F1EB1A-25D2-4C01-A083-67DA24D96128}">
      <formula1>RoomLoc</formula1>
    </dataValidation>
    <dataValidation type="list" allowBlank="1" showInputMessage="1" sqref="G14" xr:uid="{D9633426-4EEF-47CF-A5BA-DC9737DF02F1}">
      <formula1>INDIRECT(E12 &amp; "H")</formula1>
    </dataValidation>
    <dataValidation type="list" allowBlank="1" showInputMessage="1" showErrorMessage="1" sqref="I12:I14" xr:uid="{BADBF588-DEE4-46D3-8268-314DA228428A}">
      <formula1>IF($D$12="Tracked",TFrame,IF($D$12="S/Shade",SSFrame,Frame))</formula1>
    </dataValidation>
    <dataValidation type="list" allowBlank="1" showInputMessage="1" showErrorMessage="1" sqref="I15:I17" xr:uid="{D127BA2E-3CCD-4CBF-B99F-4191EF14A95C}">
      <formula1>IF($D$15="Tracked",TFrame,IF($D$15="S/Shade",SSFrame,Frame))</formula1>
    </dataValidation>
    <dataValidation type="list" allowBlank="1" showInputMessage="1" showErrorMessage="1" sqref="I18:I20" xr:uid="{7B431E05-E125-42C2-8F83-D80A3A56EC64}">
      <formula1>IF($D$18="Tracked",TFrame,IF($D$18="S/Shade",SSFrame,Frame))</formula1>
    </dataValidation>
    <dataValidation type="list" allowBlank="1" showInputMessage="1" showErrorMessage="1" sqref="I21:I23" xr:uid="{B3A2106B-76C0-4DDE-AD73-B41C7954182A}">
      <formula1>IF($D$21="Tracked",TFrame,IF($D$21="S/Shade",SSFrame,Frame))</formula1>
    </dataValidation>
    <dataValidation type="list" allowBlank="1" showInputMessage="1" showErrorMessage="1" sqref="I24:I26" xr:uid="{7AC92DC5-3512-4301-AC45-AB38799C1584}">
      <formula1>IF($D$24="Tracked",TFrame,IF($D$24="S/Shade",SSFrame,Frame))</formula1>
    </dataValidation>
    <dataValidation type="list" allowBlank="1" showInputMessage="1" showErrorMessage="1" sqref="I27:I29" xr:uid="{9520CA13-46A2-4B2B-8DC1-289E8B8CFD2D}">
      <formula1>IF($D$27="Tracked",TFrame,IF($D$27="S/Shade",SSFrame,Frame))</formula1>
    </dataValidation>
    <dataValidation type="list" allowBlank="1" showInputMessage="1" showErrorMessage="1" sqref="I30:I32" xr:uid="{18015057-8534-4451-A2EF-BBFE5864CCA5}">
      <formula1>IF($D$30="Tracked",TFrame,IF($D$30="S/Shade",SSFrame,Frame))</formula1>
    </dataValidation>
    <dataValidation type="list" allowBlank="1" showInputMessage="1" showErrorMessage="1" sqref="I33:I35" xr:uid="{46BE3CBB-D2B5-4FB0-91C0-B52F6DD3E30E}">
      <formula1>IF($D$33="Tracked",TFrame,IF($D$33="S/Shade",SSFrame,Frame))</formula1>
    </dataValidation>
    <dataValidation type="list" allowBlank="1" showInputMessage="1" showErrorMessage="1" sqref="I36:I38" xr:uid="{AEA4832F-8FC9-4490-BDCE-8AEF699BD46E}">
      <formula1>IF($D$36="Tracked",TFrame,IF($D$36="S/Shade",SSFrame,Frame))</formula1>
    </dataValidation>
    <dataValidation type="list" allowBlank="1" showInputMessage="1" showErrorMessage="1" sqref="I39:I41" xr:uid="{05219BED-496B-41B8-A2BF-51F555C0D9EC}">
      <formula1>IF($D$39="Tracked",TFrame,IF($D$39="S/Shade",SSFrame,Frame))</formula1>
    </dataValidation>
    <dataValidation type="list" allowBlank="1" showInputMessage="1" showErrorMessage="1" sqref="I42:I44" xr:uid="{61EAC4F1-C7F8-4D8E-9626-00DAEDE61DEE}">
      <formula1>IF($D$42="Tracked",TFrame,IF($D$42="S/Shade",SSFrame,Frame))</formula1>
    </dataValidation>
    <dataValidation type="list" allowBlank="1" showInputMessage="1" showErrorMessage="1" sqref="I45:I47" xr:uid="{EAF3BF47-142E-428E-A6E3-0FE4C3F68671}">
      <formula1>IF($D$45="Tracked",TFrame,IF($D$45="S/Shade",SSFrame,Frame))</formula1>
    </dataValidation>
    <dataValidation type="list" allowBlank="1" showInputMessage="1" showErrorMessage="1" sqref="I48:I50" xr:uid="{A92FC6B4-FFEA-4C68-906E-5AE6116E3C88}">
      <formula1>IF($D$48="Tracked",TFrame,IF($D$48="S/Shade",SSFrame,Frame))</formula1>
    </dataValidation>
    <dataValidation type="list" allowBlank="1" showInputMessage="1" showErrorMessage="1" sqref="I51:I53" xr:uid="{A91DD53D-424D-4DF8-B5A4-F51EF4ADB710}">
      <formula1>IF($D$51="Tracked",TFrame,IF($D$51="S/Shade",SSFrame,Frame))</formula1>
    </dataValidation>
    <dataValidation type="list" allowBlank="1" showInputMessage="1" showErrorMessage="1" sqref="I54:I56" xr:uid="{7FFCBDE1-A620-4423-93CA-C70F1F798C05}">
      <formula1>IF($D$54="Tracked",TFrame,IF($D$54="S/Shade",SSFrame,Frame))</formula1>
    </dataValidation>
    <dataValidation type="list" allowBlank="1" showInputMessage="1" sqref="E12:E14" xr:uid="{7F8DB598-983C-41E5-9BD1-CA1C29232343}">
      <formula1>IF(OR($D$12="Shape",$D$12="French Door Cutout"),Shapes,MMaterial)</formula1>
    </dataValidation>
    <dataValidation type="list" allowBlank="1" showInputMessage="1" sqref="E15:E17" xr:uid="{FBC0355F-BC9A-4DDA-AC2F-E14E4FE9721B}">
      <formula1>IF(OR($D$15="Shape",$D$15="French Door Cutout"),Shapes,MMaterial)</formula1>
    </dataValidation>
    <dataValidation type="list" allowBlank="1" showInputMessage="1" sqref="E18:E20" xr:uid="{AF542309-31FF-46B7-997D-63871BAC08ED}">
      <formula1>IF(OR($D$18="Shape",$D$18="French Door Cutout"),Shapes,MMaterial)</formula1>
    </dataValidation>
    <dataValidation type="list" allowBlank="1" showInputMessage="1" sqref="E21:E23" xr:uid="{D2EBE50E-D2BA-451D-BD26-F12736EC6C7D}">
      <formula1>IF(OR($D$21="Shape",$D$21="French Door Cutout"),Shapes,MMaterial)</formula1>
    </dataValidation>
    <dataValidation type="list" allowBlank="1" showInputMessage="1" sqref="E24:E26" xr:uid="{A941B231-A0ED-404A-BB8F-79A93F345340}">
      <formula1>IF(OR($D$24="Shape",$D$24="French Door Cutout"),Shapes,MMaterial)</formula1>
    </dataValidation>
    <dataValidation type="list" allowBlank="1" showInputMessage="1" sqref="E27:E29" xr:uid="{E719F0FB-A10B-4B6A-9B76-73DA43BBB599}">
      <formula1>IF(OR($D$27="Shape",$D$27="French Door Cutout"),Shapes,MMaterial)</formula1>
    </dataValidation>
    <dataValidation type="list" allowBlank="1" showInputMessage="1" sqref="E30:E32" xr:uid="{601EF00B-016B-42EE-896D-EB0BBA772C96}">
      <formula1>IF(OR($D$30="Shape",$D$30="French Door Cutout"),Shapes,MMaterial)</formula1>
    </dataValidation>
    <dataValidation type="list" allowBlank="1" showInputMessage="1" sqref="E33:E35" xr:uid="{E86130B8-4963-474F-BFA3-75540C202749}">
      <formula1>IF(OR($D$33="Shape",$D$33="French Door Cutout"),Shapes,MMaterial)</formula1>
    </dataValidation>
    <dataValidation type="list" allowBlank="1" showInputMessage="1" sqref="E36:E38" xr:uid="{14C073CB-8A64-438A-87F8-6528D26EAF79}">
      <formula1>IF(OR($D$36="Shape",$D$36="French Door Cutout"),Shapes,MMaterial)</formula1>
    </dataValidation>
    <dataValidation type="list" allowBlank="1" showInputMessage="1" sqref="E39:E41" xr:uid="{7B7966ED-42F1-4AC1-AF52-459EAECBBED0}">
      <formula1>IF(OR($D$39="Shape",$D$39="French Door Cutout"),Shapes,MMaterial)</formula1>
    </dataValidation>
    <dataValidation type="list" allowBlank="1" showInputMessage="1" sqref="E42:E44" xr:uid="{C2C7CE1E-81C2-4F7B-8457-71BE742FCADD}">
      <formula1>IF(OR($D$42="Shape",$D$42="French Door Cutout"),Shapes,MMaterial)</formula1>
    </dataValidation>
    <dataValidation type="list" allowBlank="1" showInputMessage="1" sqref="E45:E47" xr:uid="{37401C09-DC4A-42EB-81AA-985EFF7FA472}">
      <formula1>IF(OR($D$45="Shape",$D$45="French Door Cutout"),Shapes,MMaterial)</formula1>
    </dataValidation>
    <dataValidation type="list" allowBlank="1" showInputMessage="1" sqref="E48:E50" xr:uid="{C7C8C738-0D46-4796-A687-8F6C9D52FC8B}">
      <formula1>IF(OR($D$48="Shape",$D$48="French Door Cutout"),Shapes,MMaterial)</formula1>
    </dataValidation>
    <dataValidation type="list" allowBlank="1" showInputMessage="1" sqref="E51:E53" xr:uid="{2CEC976F-067C-48F9-B102-69FFEFB23275}">
      <formula1>IF(OR($D$51="Shape",$D$51="French Door Cutout"),Shapes,MMaterial)</formula1>
    </dataValidation>
  </dataValidations>
  <pageMargins left="0.7" right="0.7" top="0.75" bottom="0.75" header="0.3" footer="0.3"/>
  <pageSetup paperSize="9" scale="58"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88" id="{8660DC10-0B35-4BF4-B4E5-1C3AFFEBC8EA}">
            <xm:f>$L$30&lt;&gt;Pricing!$J$26</xm:f>
            <x14:dxf>
              <font>
                <color theme="5"/>
              </font>
              <fill>
                <patternFill>
                  <bgColor theme="7" tint="0.79998168889431442"/>
                </patternFill>
              </fill>
            </x14:dxf>
          </x14:cfRule>
          <xm:sqref>L12:L32</xm:sqref>
        </x14:conditionalFormatting>
        <x14:conditionalFormatting xmlns:xm="http://schemas.microsoft.com/office/excel/2006/main">
          <x14:cfRule type="expression" priority="187" id="{400167A3-5E9A-4759-960D-7BF2CC12D8EF}">
            <xm:f>$L$33&lt;&gt;Pricing!$J$29</xm:f>
            <x14:dxf>
              <font>
                <color theme="5"/>
              </font>
              <fill>
                <patternFill>
                  <bgColor theme="7" tint="0.79998168889431442"/>
                </patternFill>
              </fill>
            </x14:dxf>
          </x14:cfRule>
          <xm:sqref>L33:L35</xm:sqref>
        </x14:conditionalFormatting>
        <x14:conditionalFormatting xmlns:xm="http://schemas.microsoft.com/office/excel/2006/main">
          <x14:cfRule type="expression" priority="186" id="{6E75DCEF-E748-455A-8E0F-9EFBC9F27C1C}">
            <xm:f>$L$36&lt;&gt;Pricing!$J$32</xm:f>
            <x14:dxf>
              <font>
                <color theme="5"/>
              </font>
              <fill>
                <patternFill>
                  <bgColor theme="7" tint="0.79998168889431442"/>
                </patternFill>
              </fill>
            </x14:dxf>
          </x14:cfRule>
          <xm:sqref>L36:L38</xm:sqref>
        </x14:conditionalFormatting>
        <x14:conditionalFormatting xmlns:xm="http://schemas.microsoft.com/office/excel/2006/main">
          <x14:cfRule type="expression" priority="185" id="{C3E4091E-9971-4DB5-8F71-6AC028A8F1C9}">
            <xm:f>$L$39&lt;&gt;Pricing!$J$35</xm:f>
            <x14:dxf>
              <font>
                <color theme="5"/>
              </font>
              <fill>
                <patternFill>
                  <bgColor theme="7" tint="0.79998168889431442"/>
                </patternFill>
              </fill>
            </x14:dxf>
          </x14:cfRule>
          <xm:sqref>L39:L41</xm:sqref>
        </x14:conditionalFormatting>
        <x14:conditionalFormatting xmlns:xm="http://schemas.microsoft.com/office/excel/2006/main">
          <x14:cfRule type="expression" priority="184" id="{49F630ED-3ACA-4A6E-B868-B700AEF4ABD7}">
            <xm:f>$L$42&lt;&gt;Pricing!$J$38</xm:f>
            <x14:dxf>
              <font>
                <color theme="5"/>
              </font>
              <fill>
                <patternFill>
                  <bgColor theme="7" tint="0.79998168889431442"/>
                </patternFill>
              </fill>
            </x14:dxf>
          </x14:cfRule>
          <xm:sqref>L42:L44</xm:sqref>
        </x14:conditionalFormatting>
        <x14:conditionalFormatting xmlns:xm="http://schemas.microsoft.com/office/excel/2006/main">
          <x14:cfRule type="expression" priority="183" id="{C388AF0D-A910-4881-BC99-EA1F014BDDA5}">
            <xm:f>$L$45&lt;&gt;Pricing!$J$41</xm:f>
            <x14:dxf>
              <font>
                <color theme="5"/>
              </font>
              <fill>
                <patternFill>
                  <bgColor theme="7" tint="0.79998168889431442"/>
                </patternFill>
              </fill>
            </x14:dxf>
          </x14:cfRule>
          <xm:sqref>L45:L47</xm:sqref>
        </x14:conditionalFormatting>
        <x14:conditionalFormatting xmlns:xm="http://schemas.microsoft.com/office/excel/2006/main">
          <x14:cfRule type="expression" priority="182" id="{95112C4E-4EC5-4C44-87F0-D369C6F157F7}">
            <xm:f>$L$48&lt;&gt;Pricing!$J$44</xm:f>
            <x14:dxf>
              <font>
                <color theme="5"/>
              </font>
              <fill>
                <patternFill>
                  <bgColor theme="7" tint="0.79998168889431442"/>
                </patternFill>
              </fill>
            </x14:dxf>
          </x14:cfRule>
          <xm:sqref>L48:L50</xm:sqref>
        </x14:conditionalFormatting>
        <x14:conditionalFormatting xmlns:xm="http://schemas.microsoft.com/office/excel/2006/main">
          <x14:cfRule type="expression" priority="181" id="{C9EA7A92-79CA-4ED6-A61E-2F177E19CF89}">
            <xm:f>$L$51&lt;&gt;Pricing!$J$47</xm:f>
            <x14:dxf>
              <font>
                <color theme="5"/>
              </font>
              <fill>
                <patternFill>
                  <bgColor theme="7" tint="0.79998168889431442"/>
                </patternFill>
              </fill>
            </x14:dxf>
          </x14:cfRule>
          <xm:sqref>L51:L53</xm:sqref>
        </x14:conditionalFormatting>
        <x14:conditionalFormatting xmlns:xm="http://schemas.microsoft.com/office/excel/2006/main">
          <x14:cfRule type="expression" priority="180" id="{8FF9F1BF-7E2B-425C-BD2F-F10E78876EBB}">
            <xm:f>$L$54&lt;&gt;Pricing!$J$50</xm:f>
            <x14:dxf>
              <font>
                <color theme="5"/>
              </font>
              <fill>
                <patternFill>
                  <bgColor theme="7" tint="0.79998168889431442"/>
                </patternFill>
              </fill>
            </x14:dxf>
          </x14:cfRule>
          <xm:sqref>L54:L56</xm:sqref>
        </x14:conditionalFormatting>
        <x14:conditionalFormatting xmlns:xm="http://schemas.microsoft.com/office/excel/2006/main">
          <x14:cfRule type="expression" priority="328" id="{A84E8D38-E30F-4524-870A-DD260D400F2F}">
            <xm:f>$C$12&lt;&gt;Pricing!$C$8</xm:f>
            <x14:dxf>
              <font>
                <color theme="5"/>
              </font>
              <fill>
                <patternFill>
                  <bgColor theme="7" tint="0.79998168889431442"/>
                </patternFill>
              </fill>
            </x14:dxf>
          </x14:cfRule>
          <xm:sqref>C12</xm:sqref>
        </x14:conditionalFormatting>
        <x14:conditionalFormatting xmlns:xm="http://schemas.microsoft.com/office/excel/2006/main">
          <x14:cfRule type="expression" priority="326" id="{39F681EF-0861-4E99-B041-1A1F3FB04FB9}">
            <xm:f>$C$14&lt;&gt;Pricing!$C10</xm:f>
            <x14:dxf>
              <font>
                <color theme="5"/>
              </font>
              <fill>
                <patternFill>
                  <bgColor theme="7" tint="0.79998168889431442"/>
                </patternFill>
              </fill>
            </x14:dxf>
          </x14:cfRule>
          <xm:sqref>C14</xm:sqref>
        </x14:conditionalFormatting>
        <x14:conditionalFormatting xmlns:xm="http://schemas.microsoft.com/office/excel/2006/main">
          <x14:cfRule type="expression" priority="325" id="{0E9DE7D7-A76A-40CA-AE56-E6BEEC4595D9}">
            <xm:f>$C$17&lt;&gt;Pricing!$C$13</xm:f>
            <x14:dxf>
              <font>
                <color theme="5"/>
              </font>
              <fill>
                <patternFill>
                  <bgColor theme="7" tint="0.79998168889431442"/>
                </patternFill>
              </fill>
            </x14:dxf>
          </x14:cfRule>
          <xm:sqref>C17</xm:sqref>
        </x14:conditionalFormatting>
        <x14:conditionalFormatting xmlns:xm="http://schemas.microsoft.com/office/excel/2006/main">
          <x14:cfRule type="expression" priority="324" id="{F48BEBE4-3B95-412E-9679-446E24CEB49B}">
            <xm:f>$C$20&lt;&gt;Pricing!$C$16</xm:f>
            <x14:dxf>
              <font>
                <color theme="5"/>
              </font>
              <fill>
                <patternFill>
                  <bgColor theme="7" tint="0.79998168889431442"/>
                </patternFill>
              </fill>
            </x14:dxf>
          </x14:cfRule>
          <xm:sqref>C20</xm:sqref>
        </x14:conditionalFormatting>
        <x14:conditionalFormatting xmlns:xm="http://schemas.microsoft.com/office/excel/2006/main">
          <x14:cfRule type="expression" priority="323" id="{99A0328F-2F33-4A6B-8247-DEDCC5EA3A48}">
            <xm:f>$C$23&lt;&gt;Pricing!$C$19</xm:f>
            <x14:dxf>
              <font>
                <color theme="5"/>
              </font>
              <fill>
                <patternFill>
                  <bgColor theme="7" tint="0.79998168889431442"/>
                </patternFill>
              </fill>
            </x14:dxf>
          </x14:cfRule>
          <xm:sqref>C23</xm:sqref>
        </x14:conditionalFormatting>
        <x14:conditionalFormatting xmlns:xm="http://schemas.microsoft.com/office/excel/2006/main">
          <x14:cfRule type="expression" priority="322" id="{762D8CF2-0CF1-4CDD-B40D-6A69F5A4155A}">
            <xm:f>$C$26&lt;&gt;Pricing!$C$22</xm:f>
            <x14:dxf>
              <font>
                <color theme="5"/>
              </font>
              <fill>
                <patternFill>
                  <bgColor theme="7" tint="0.79998168889431442"/>
                </patternFill>
              </fill>
            </x14:dxf>
          </x14:cfRule>
          <xm:sqref>C26</xm:sqref>
        </x14:conditionalFormatting>
        <x14:conditionalFormatting xmlns:xm="http://schemas.microsoft.com/office/excel/2006/main">
          <x14:cfRule type="expression" priority="321" id="{73ABD93E-EAFC-43C9-8CB0-6A8BBA5D14FC}">
            <xm:f>$C$29&lt;&gt;Pricing!$C$25</xm:f>
            <x14:dxf>
              <font>
                <color theme="5"/>
              </font>
              <fill>
                <patternFill>
                  <bgColor theme="7" tint="0.79998168889431442"/>
                </patternFill>
              </fill>
            </x14:dxf>
          </x14:cfRule>
          <xm:sqref>C29</xm:sqref>
        </x14:conditionalFormatting>
        <x14:conditionalFormatting xmlns:xm="http://schemas.microsoft.com/office/excel/2006/main">
          <x14:cfRule type="expression" priority="320" id="{61D4C69E-C0A2-458C-B9DA-E7E89FCE2FEC}">
            <xm:f>$C$32&lt;&gt;Pricing!$C$28</xm:f>
            <x14:dxf>
              <font>
                <color theme="5"/>
              </font>
              <fill>
                <patternFill>
                  <bgColor theme="7" tint="0.79998168889431442"/>
                </patternFill>
              </fill>
            </x14:dxf>
          </x14:cfRule>
          <xm:sqref>C32</xm:sqref>
        </x14:conditionalFormatting>
        <x14:conditionalFormatting xmlns:xm="http://schemas.microsoft.com/office/excel/2006/main">
          <x14:cfRule type="expression" priority="319" id="{7E935AC9-936B-4430-9793-D741DD5AF23F}">
            <xm:f>$C$35&lt;&gt;Pricing!$C$31</xm:f>
            <x14:dxf>
              <font>
                <color theme="5"/>
              </font>
              <fill>
                <patternFill>
                  <bgColor theme="7" tint="0.79998168889431442"/>
                </patternFill>
              </fill>
            </x14:dxf>
          </x14:cfRule>
          <xm:sqref>C35</xm:sqref>
        </x14:conditionalFormatting>
        <x14:conditionalFormatting xmlns:xm="http://schemas.microsoft.com/office/excel/2006/main">
          <x14:cfRule type="expression" priority="318" id="{186FBEAC-19EC-4B68-AD68-0F39B80D8AD9}">
            <xm:f>$C$38&lt;&gt;Pricing!$C$34</xm:f>
            <x14:dxf>
              <font>
                <color theme="5"/>
              </font>
              <fill>
                <patternFill>
                  <bgColor theme="7" tint="0.79998168889431442"/>
                </patternFill>
              </fill>
            </x14:dxf>
          </x14:cfRule>
          <xm:sqref>C38</xm:sqref>
        </x14:conditionalFormatting>
        <x14:conditionalFormatting xmlns:xm="http://schemas.microsoft.com/office/excel/2006/main">
          <x14:cfRule type="expression" priority="317" id="{0D6304EA-ECC7-4DB6-A122-949C140D44D4}">
            <xm:f>$C$41&lt;&gt;Pricing!$C$37</xm:f>
            <x14:dxf>
              <font>
                <color theme="5"/>
              </font>
              <fill>
                <patternFill>
                  <bgColor theme="7" tint="0.79998168889431442"/>
                </patternFill>
              </fill>
            </x14:dxf>
          </x14:cfRule>
          <xm:sqref>C41</xm:sqref>
        </x14:conditionalFormatting>
        <x14:conditionalFormatting xmlns:xm="http://schemas.microsoft.com/office/excel/2006/main">
          <x14:cfRule type="expression" priority="316" id="{DECEEFF2-C120-4E3F-8FEB-62116F2F280B}">
            <xm:f>$C$44&lt;&gt;Pricing!$C$40</xm:f>
            <x14:dxf>
              <font>
                <color theme="5"/>
              </font>
              <fill>
                <patternFill>
                  <bgColor theme="7" tint="0.79998168889431442"/>
                </patternFill>
              </fill>
            </x14:dxf>
          </x14:cfRule>
          <xm:sqref>C44</xm:sqref>
        </x14:conditionalFormatting>
        <x14:conditionalFormatting xmlns:xm="http://schemas.microsoft.com/office/excel/2006/main">
          <x14:cfRule type="expression" priority="315" id="{09FA11DC-77AC-4FB2-B33C-664C79092647}">
            <xm:f>$C$47&lt;&gt;Pricing!$C$43</xm:f>
            <x14:dxf>
              <font>
                <color theme="5"/>
              </font>
              <fill>
                <patternFill>
                  <bgColor theme="7" tint="0.79998168889431442"/>
                </patternFill>
              </fill>
            </x14:dxf>
          </x14:cfRule>
          <xm:sqref>C47</xm:sqref>
        </x14:conditionalFormatting>
        <x14:conditionalFormatting xmlns:xm="http://schemas.microsoft.com/office/excel/2006/main">
          <x14:cfRule type="expression" priority="314" id="{527CB8A0-81A6-4D8D-8918-96662CB79801}">
            <xm:f>$C$53&lt;&gt;Pricing!$C$49</xm:f>
            <x14:dxf>
              <font>
                <color theme="5"/>
              </font>
              <fill>
                <patternFill>
                  <bgColor theme="7" tint="0.79998168889431442"/>
                </patternFill>
              </fill>
            </x14:dxf>
          </x14:cfRule>
          <xm:sqref>C53</xm:sqref>
        </x14:conditionalFormatting>
        <x14:conditionalFormatting xmlns:xm="http://schemas.microsoft.com/office/excel/2006/main">
          <x14:cfRule type="expression" priority="313" id="{A6992DE1-FD89-43C9-A79B-CB2D4D67C297}">
            <xm:f>$C$50&lt;&gt;Pricing!$C$46</xm:f>
            <x14:dxf>
              <font>
                <color theme="5"/>
              </font>
              <fill>
                <patternFill>
                  <bgColor theme="7" tint="0.79998168889431442"/>
                </patternFill>
              </fill>
            </x14:dxf>
          </x14:cfRule>
          <xm:sqref>C50</xm:sqref>
        </x14:conditionalFormatting>
        <x14:conditionalFormatting xmlns:xm="http://schemas.microsoft.com/office/excel/2006/main">
          <x14:cfRule type="expression" priority="312" id="{7F7C7DDD-BC49-494C-A9F3-5940F9A264F0}">
            <xm:f>$C$56&lt;&gt;Pricing!$C$52</xm:f>
            <x14:dxf>
              <font>
                <color theme="5"/>
              </font>
              <fill>
                <patternFill>
                  <bgColor theme="7" tint="0.79998168889431442"/>
                </patternFill>
              </fill>
            </x14:dxf>
          </x14:cfRule>
          <xm:sqref>C56</xm:sqref>
        </x14:conditionalFormatting>
        <x14:conditionalFormatting xmlns:xm="http://schemas.microsoft.com/office/excel/2006/main">
          <x14:cfRule type="expression" priority="311" id="{8A48B596-B587-4BF7-9518-0000B48FAC89}">
            <xm:f>$C$16&lt;&gt;Pricing!$C$12</xm:f>
            <x14:dxf>
              <font>
                <color theme="5"/>
              </font>
              <fill>
                <patternFill>
                  <bgColor theme="7" tint="0.79998168889431442"/>
                </patternFill>
              </fill>
            </x14:dxf>
          </x14:cfRule>
          <xm:sqref>C16</xm:sqref>
        </x14:conditionalFormatting>
        <x14:conditionalFormatting xmlns:xm="http://schemas.microsoft.com/office/excel/2006/main">
          <x14:cfRule type="expression" priority="310" id="{0EF8717C-46FE-462C-A76C-C91CC9AFF5C2}">
            <xm:f>$C$15&lt;&gt;Pricing!$C$11</xm:f>
            <x14:dxf>
              <font>
                <color theme="5"/>
              </font>
              <fill>
                <patternFill>
                  <bgColor theme="7" tint="0.79998168889431442"/>
                </patternFill>
              </fill>
            </x14:dxf>
          </x14:cfRule>
          <xm:sqref>C15</xm:sqref>
        </x14:conditionalFormatting>
        <x14:conditionalFormatting xmlns:xm="http://schemas.microsoft.com/office/excel/2006/main">
          <x14:cfRule type="expression" priority="309" id="{C072EDAA-4131-4660-A708-FA8F21FED002}">
            <xm:f>$C$18&lt;&gt;Pricing!$C$14</xm:f>
            <x14:dxf>
              <font>
                <color theme="5"/>
              </font>
              <fill>
                <patternFill>
                  <bgColor theme="7" tint="0.79998168889431442"/>
                </patternFill>
              </fill>
            </x14:dxf>
          </x14:cfRule>
          <xm:sqref>C18</xm:sqref>
        </x14:conditionalFormatting>
        <x14:conditionalFormatting xmlns:xm="http://schemas.microsoft.com/office/excel/2006/main">
          <x14:cfRule type="expression" priority="308" id="{A388E597-458D-4E5A-BD76-9F294BE27F07}">
            <xm:f>$C$19&lt;&gt;Pricing!$C$15</xm:f>
            <x14:dxf>
              <font>
                <color theme="5"/>
              </font>
              <fill>
                <patternFill>
                  <bgColor theme="7" tint="0.79998168889431442"/>
                </patternFill>
              </fill>
            </x14:dxf>
          </x14:cfRule>
          <xm:sqref>C19</xm:sqref>
        </x14:conditionalFormatting>
        <x14:conditionalFormatting xmlns:xm="http://schemas.microsoft.com/office/excel/2006/main">
          <x14:cfRule type="expression" priority="307" id="{FE20B26E-858E-4D32-A349-12D3A86FB10C}">
            <xm:f>$C$21&lt;&gt;Pricing!$C$17</xm:f>
            <x14:dxf>
              <font>
                <color theme="5"/>
              </font>
              <fill>
                <patternFill>
                  <bgColor theme="7" tint="0.79998168889431442"/>
                </patternFill>
              </fill>
            </x14:dxf>
          </x14:cfRule>
          <xm:sqref>C21</xm:sqref>
        </x14:conditionalFormatting>
        <x14:conditionalFormatting xmlns:xm="http://schemas.microsoft.com/office/excel/2006/main">
          <x14:cfRule type="expression" priority="306" id="{AE923154-FDBC-40E0-A5F6-CEC1A3369BC6}">
            <xm:f>$C$22&lt;&gt;Pricing!$C$18</xm:f>
            <x14:dxf>
              <font>
                <color theme="5"/>
              </font>
              <fill>
                <patternFill>
                  <bgColor theme="7" tint="0.79998168889431442"/>
                </patternFill>
              </fill>
            </x14:dxf>
          </x14:cfRule>
          <xm:sqref>C22</xm:sqref>
        </x14:conditionalFormatting>
        <x14:conditionalFormatting xmlns:xm="http://schemas.microsoft.com/office/excel/2006/main">
          <x14:cfRule type="expression" priority="305" id="{E8510432-DDEE-468E-BC4A-4D4D8B135288}">
            <xm:f>$C$24&lt;&gt;Pricing!$C$20</xm:f>
            <x14:dxf>
              <font>
                <color theme="5"/>
              </font>
              <fill>
                <patternFill>
                  <bgColor theme="7" tint="0.79998168889431442"/>
                </patternFill>
              </fill>
            </x14:dxf>
          </x14:cfRule>
          <xm:sqref>C24</xm:sqref>
        </x14:conditionalFormatting>
        <x14:conditionalFormatting xmlns:xm="http://schemas.microsoft.com/office/excel/2006/main">
          <x14:cfRule type="expression" priority="304" id="{1F179138-1A0E-4B21-B7E0-EF1EA84458CE}">
            <xm:f>$C$25&lt;&gt;Pricing!$C$21</xm:f>
            <x14:dxf>
              <font>
                <color theme="5"/>
              </font>
              <fill>
                <patternFill>
                  <bgColor theme="7" tint="0.79998168889431442"/>
                </patternFill>
              </fill>
            </x14:dxf>
          </x14:cfRule>
          <xm:sqref>C25</xm:sqref>
        </x14:conditionalFormatting>
        <x14:conditionalFormatting xmlns:xm="http://schemas.microsoft.com/office/excel/2006/main">
          <x14:cfRule type="expression" priority="303" id="{ABEBE3EA-6766-4CAC-B436-00C84691F0FF}">
            <xm:f>$C$27&lt;&gt;Pricing!$C$23</xm:f>
            <x14:dxf>
              <font>
                <color theme="5"/>
              </font>
              <fill>
                <patternFill>
                  <bgColor theme="7" tint="0.79998168889431442"/>
                </patternFill>
              </fill>
            </x14:dxf>
          </x14:cfRule>
          <xm:sqref>C27</xm:sqref>
        </x14:conditionalFormatting>
        <x14:conditionalFormatting xmlns:xm="http://schemas.microsoft.com/office/excel/2006/main">
          <x14:cfRule type="expression" priority="302" id="{2C4E91D6-3D78-4A07-B078-4D0A4C45C728}">
            <xm:f>$C$28&lt;&gt;Pricing!$C$24</xm:f>
            <x14:dxf>
              <font>
                <color theme="5"/>
              </font>
              <fill>
                <patternFill>
                  <bgColor theme="7" tint="0.79998168889431442"/>
                </patternFill>
              </fill>
            </x14:dxf>
          </x14:cfRule>
          <xm:sqref>C28</xm:sqref>
        </x14:conditionalFormatting>
        <x14:conditionalFormatting xmlns:xm="http://schemas.microsoft.com/office/excel/2006/main">
          <x14:cfRule type="expression" priority="301" id="{E5E9CA95-1D59-40AF-9BD9-B827B71DF7A9}">
            <xm:f>$C$30&lt;&gt;Pricing!$C$26</xm:f>
            <x14:dxf>
              <font>
                <color theme="5"/>
              </font>
              <fill>
                <patternFill>
                  <bgColor theme="7" tint="0.79998168889431442"/>
                </patternFill>
              </fill>
            </x14:dxf>
          </x14:cfRule>
          <xm:sqref>C30</xm:sqref>
        </x14:conditionalFormatting>
        <x14:conditionalFormatting xmlns:xm="http://schemas.microsoft.com/office/excel/2006/main">
          <x14:cfRule type="expression" priority="299" id="{5328211A-CA46-41AB-9930-7A6E0D433249}">
            <xm:f>$C$31&lt;&gt;Pricing!$C$27</xm:f>
            <x14:dxf>
              <font>
                <color theme="5"/>
              </font>
              <fill>
                <patternFill>
                  <bgColor theme="7" tint="0.79998168889431442"/>
                </patternFill>
              </fill>
            </x14:dxf>
          </x14:cfRule>
          <xm:sqref>C31</xm:sqref>
        </x14:conditionalFormatting>
        <x14:conditionalFormatting xmlns:xm="http://schemas.microsoft.com/office/excel/2006/main">
          <x14:cfRule type="expression" priority="298" id="{4873EEDC-2044-4FE1-AEF9-4601A75290E8}">
            <xm:f>$C$33&lt;&gt;Pricing!$C$29</xm:f>
            <x14:dxf>
              <font>
                <color theme="5"/>
              </font>
              <fill>
                <patternFill>
                  <bgColor theme="7" tint="0.79998168889431442"/>
                </patternFill>
              </fill>
            </x14:dxf>
          </x14:cfRule>
          <xm:sqref>C33</xm:sqref>
        </x14:conditionalFormatting>
        <x14:conditionalFormatting xmlns:xm="http://schemas.microsoft.com/office/excel/2006/main">
          <x14:cfRule type="expression" priority="297" id="{BA53EE30-1DC2-43EA-8C4F-870D8EF95507}">
            <xm:f>$C$34&lt;&gt;Pricing!$C$30</xm:f>
            <x14:dxf>
              <font>
                <color theme="5"/>
              </font>
              <fill>
                <patternFill>
                  <bgColor theme="7" tint="0.79998168889431442"/>
                </patternFill>
              </fill>
            </x14:dxf>
          </x14:cfRule>
          <xm:sqref>C34</xm:sqref>
        </x14:conditionalFormatting>
        <x14:conditionalFormatting xmlns:xm="http://schemas.microsoft.com/office/excel/2006/main">
          <x14:cfRule type="expression" priority="296" id="{ADB0D424-8B7A-4220-9610-2F3C5D9358DC}">
            <xm:f>$C$36&lt;&gt;Pricing!$C$32</xm:f>
            <x14:dxf>
              <font>
                <color theme="5"/>
              </font>
              <fill>
                <patternFill>
                  <bgColor theme="7" tint="0.79998168889431442"/>
                </patternFill>
              </fill>
            </x14:dxf>
          </x14:cfRule>
          <xm:sqref>C36</xm:sqref>
        </x14:conditionalFormatting>
        <x14:conditionalFormatting xmlns:xm="http://schemas.microsoft.com/office/excel/2006/main">
          <x14:cfRule type="expression" priority="295" id="{A5717F31-D36A-4D49-BD22-507873125B5C}">
            <xm:f>$C$37&lt;&gt;Pricing!$C$33</xm:f>
            <x14:dxf>
              <font>
                <color theme="5"/>
              </font>
              <fill>
                <patternFill>
                  <bgColor theme="7" tint="0.79998168889431442"/>
                </patternFill>
              </fill>
            </x14:dxf>
          </x14:cfRule>
          <xm:sqref>C37</xm:sqref>
        </x14:conditionalFormatting>
        <x14:conditionalFormatting xmlns:xm="http://schemas.microsoft.com/office/excel/2006/main">
          <x14:cfRule type="expression" priority="294" id="{CB78998C-F0A1-4218-A606-0D3093AC2667}">
            <xm:f>$C$39&lt;&gt;Pricing!$C$35</xm:f>
            <x14:dxf>
              <font>
                <color theme="5"/>
              </font>
              <fill>
                <patternFill>
                  <bgColor theme="7" tint="0.79998168889431442"/>
                </patternFill>
              </fill>
            </x14:dxf>
          </x14:cfRule>
          <xm:sqref>C39</xm:sqref>
        </x14:conditionalFormatting>
        <x14:conditionalFormatting xmlns:xm="http://schemas.microsoft.com/office/excel/2006/main">
          <x14:cfRule type="expression" priority="292" id="{9D143606-47E9-4F24-AF4C-ED2F017E78B1}">
            <xm:f>$C$40&lt;&gt;Pricing!$C$36</xm:f>
            <x14:dxf>
              <font>
                <color theme="5"/>
              </font>
              <fill>
                <patternFill>
                  <bgColor theme="7" tint="0.79998168889431442"/>
                </patternFill>
              </fill>
            </x14:dxf>
          </x14:cfRule>
          <xm:sqref>C40</xm:sqref>
        </x14:conditionalFormatting>
        <x14:conditionalFormatting xmlns:xm="http://schemas.microsoft.com/office/excel/2006/main">
          <x14:cfRule type="expression" priority="291" id="{F834669E-D791-44BC-95B4-B9A0CC54ECDC}">
            <xm:f>$C$42&lt;&gt;Pricing!$C$38</xm:f>
            <x14:dxf>
              <font>
                <color theme="5"/>
              </font>
              <fill>
                <patternFill>
                  <bgColor theme="7" tint="0.79998168889431442"/>
                </patternFill>
              </fill>
            </x14:dxf>
          </x14:cfRule>
          <xm:sqref>C42</xm:sqref>
        </x14:conditionalFormatting>
        <x14:conditionalFormatting xmlns:xm="http://schemas.microsoft.com/office/excel/2006/main">
          <x14:cfRule type="expression" priority="290" id="{783A0720-7BDF-44D5-BA53-BF5C0409E86F}">
            <xm:f>$C$43&lt;&gt;Pricing!$C$39</xm:f>
            <x14:dxf>
              <font>
                <color theme="5"/>
              </font>
              <fill>
                <patternFill>
                  <bgColor theme="7" tint="0.79998168889431442"/>
                </patternFill>
              </fill>
            </x14:dxf>
          </x14:cfRule>
          <xm:sqref>C43</xm:sqref>
        </x14:conditionalFormatting>
        <x14:conditionalFormatting xmlns:xm="http://schemas.microsoft.com/office/excel/2006/main">
          <x14:cfRule type="expression" priority="289" id="{209727EB-FACA-498B-9853-D5726FCFC742}">
            <xm:f>$C$45&lt;&gt;Pricing!$C$41</xm:f>
            <x14:dxf>
              <font>
                <color theme="5"/>
              </font>
              <fill>
                <patternFill>
                  <bgColor theme="7" tint="0.79998168889431442"/>
                </patternFill>
              </fill>
            </x14:dxf>
          </x14:cfRule>
          <xm:sqref>C45</xm:sqref>
        </x14:conditionalFormatting>
        <x14:conditionalFormatting xmlns:xm="http://schemas.microsoft.com/office/excel/2006/main">
          <x14:cfRule type="expression" priority="288" id="{A9A9292A-62E2-4634-AEC7-66B902598F64}">
            <xm:f>$C$46&lt;&gt;Pricing!$C$42</xm:f>
            <x14:dxf>
              <font>
                <color theme="5"/>
              </font>
              <fill>
                <patternFill>
                  <bgColor theme="7" tint="0.79998168889431442"/>
                </patternFill>
              </fill>
            </x14:dxf>
          </x14:cfRule>
          <xm:sqref>C46</xm:sqref>
        </x14:conditionalFormatting>
        <x14:conditionalFormatting xmlns:xm="http://schemas.microsoft.com/office/excel/2006/main">
          <x14:cfRule type="expression" priority="287" id="{5ABA23DD-7221-44C6-B33F-3DC0FF11565D}">
            <xm:f>$C$48&lt;&gt;Pricing!$C$44</xm:f>
            <x14:dxf>
              <font>
                <color theme="5"/>
              </font>
              <fill>
                <patternFill>
                  <bgColor theme="7" tint="0.79998168889431442"/>
                </patternFill>
              </fill>
            </x14:dxf>
          </x14:cfRule>
          <xm:sqref>C48</xm:sqref>
        </x14:conditionalFormatting>
        <x14:conditionalFormatting xmlns:xm="http://schemas.microsoft.com/office/excel/2006/main">
          <x14:cfRule type="expression" priority="286" id="{B874EAFF-0D0B-42E6-8779-A760A1851FB0}">
            <xm:f>$C$49&lt;&gt;Pricing!$C$45</xm:f>
            <x14:dxf>
              <font>
                <color theme="5"/>
              </font>
              <fill>
                <patternFill>
                  <bgColor theme="7" tint="0.79998168889431442"/>
                </patternFill>
              </fill>
            </x14:dxf>
          </x14:cfRule>
          <xm:sqref>C49</xm:sqref>
        </x14:conditionalFormatting>
        <x14:conditionalFormatting xmlns:xm="http://schemas.microsoft.com/office/excel/2006/main">
          <x14:cfRule type="expression" priority="285" id="{D4866EC9-F162-4A14-A0AC-F0C6239D2550}">
            <xm:f>$C$51&lt;&gt;Pricing!$C$47</xm:f>
            <x14:dxf>
              <font>
                <color theme="5"/>
              </font>
              <fill>
                <patternFill>
                  <bgColor theme="7" tint="0.79998168889431442"/>
                </patternFill>
              </fill>
            </x14:dxf>
          </x14:cfRule>
          <xm:sqref>C51</xm:sqref>
        </x14:conditionalFormatting>
        <x14:conditionalFormatting xmlns:xm="http://schemas.microsoft.com/office/excel/2006/main">
          <x14:cfRule type="expression" priority="284" id="{6780D84F-0DFF-4063-A184-BF81FA0ECDF7}">
            <xm:f>$C$52&lt;&gt;Pricing!$C$48</xm:f>
            <x14:dxf>
              <font>
                <color theme="5"/>
              </font>
              <fill>
                <patternFill>
                  <bgColor theme="7" tint="0.79998168889431442"/>
                </patternFill>
              </fill>
            </x14:dxf>
          </x14:cfRule>
          <xm:sqref>C52</xm:sqref>
        </x14:conditionalFormatting>
        <x14:conditionalFormatting xmlns:xm="http://schemas.microsoft.com/office/excel/2006/main">
          <x14:cfRule type="expression" priority="282" id="{C35853EE-F847-46C6-87AF-8F1BADB80640}">
            <xm:f>$C$54&lt;&gt;Pricing!$C$50</xm:f>
            <x14:dxf>
              <font>
                <color theme="5"/>
              </font>
              <fill>
                <patternFill>
                  <bgColor theme="7" tint="0.79998168889431442"/>
                </patternFill>
              </fill>
            </x14:dxf>
          </x14:cfRule>
          <xm:sqref>C54</xm:sqref>
        </x14:conditionalFormatting>
        <x14:conditionalFormatting xmlns:xm="http://schemas.microsoft.com/office/excel/2006/main">
          <x14:cfRule type="expression" priority="281" id="{F333D11D-74DF-4A2C-8249-AE0864F00160}">
            <xm:f>$C$55&lt;&gt;Pricing!$C$51</xm:f>
            <x14:dxf>
              <font>
                <color theme="5"/>
              </font>
              <fill>
                <patternFill>
                  <bgColor theme="7" tint="0.79998168889431442"/>
                </patternFill>
              </fill>
            </x14:dxf>
          </x14:cfRule>
          <xm:sqref>C55</xm:sqref>
        </x14:conditionalFormatting>
        <x14:conditionalFormatting xmlns:xm="http://schemas.microsoft.com/office/excel/2006/main">
          <x14:cfRule type="expression" priority="279" id="{0616EFC3-4516-4620-A127-AE6FCEFA6016}">
            <xm:f>$D$15&lt;&gt;Pricing!$D$11</xm:f>
            <x14:dxf>
              <font>
                <color theme="5"/>
              </font>
              <fill>
                <patternFill>
                  <bgColor theme="7" tint="0.79998168889431442"/>
                </patternFill>
              </fill>
            </x14:dxf>
          </x14:cfRule>
          <xm:sqref>D15 D12</xm:sqref>
        </x14:conditionalFormatting>
        <x14:conditionalFormatting xmlns:xm="http://schemas.microsoft.com/office/excel/2006/main">
          <x14:cfRule type="expression" priority="278" id="{A79B6B45-2890-49FD-913C-970751BC469D}">
            <xm:f>$D$18&lt;&gt;Pricing!$D$14</xm:f>
            <x14:dxf>
              <font>
                <color theme="5"/>
              </font>
              <fill>
                <patternFill>
                  <bgColor theme="7" tint="0.79998168889431442"/>
                </patternFill>
              </fill>
            </x14:dxf>
          </x14:cfRule>
          <xm:sqref>D18:D20</xm:sqref>
        </x14:conditionalFormatting>
        <x14:conditionalFormatting xmlns:xm="http://schemas.microsoft.com/office/excel/2006/main">
          <x14:cfRule type="expression" priority="277" id="{DFCCAE3A-E8E3-4AB0-8F4A-FC7FA36F9A2E}">
            <xm:f>$D$21&lt;&gt;Pricing!$D$17</xm:f>
            <x14:dxf>
              <font>
                <color theme="5"/>
              </font>
              <fill>
                <patternFill>
                  <bgColor theme="7" tint="0.79998168889431442"/>
                </patternFill>
              </fill>
            </x14:dxf>
          </x14:cfRule>
          <xm:sqref>D21:D23</xm:sqref>
        </x14:conditionalFormatting>
        <x14:conditionalFormatting xmlns:xm="http://schemas.microsoft.com/office/excel/2006/main">
          <x14:cfRule type="expression" priority="276" id="{32CF3EDE-7FD2-45AF-BA91-F9D0B1CA47A8}">
            <xm:f>$D$24&lt;&gt;Pricing!$D$20</xm:f>
            <x14:dxf>
              <font>
                <color theme="5"/>
              </font>
              <fill>
                <patternFill>
                  <bgColor theme="7" tint="0.79998168889431442"/>
                </patternFill>
              </fill>
            </x14:dxf>
          </x14:cfRule>
          <xm:sqref>D12:D26</xm:sqref>
        </x14:conditionalFormatting>
        <x14:conditionalFormatting xmlns:xm="http://schemas.microsoft.com/office/excel/2006/main">
          <x14:cfRule type="expression" priority="275" id="{D500E46B-7627-463B-BB14-FF86129CFAF2}">
            <xm:f>$D$27&lt;&gt;Pricing!$D$23</xm:f>
            <x14:dxf>
              <font>
                <color theme="5"/>
              </font>
              <fill>
                <patternFill>
                  <bgColor theme="7" tint="0.79998168889431442"/>
                </patternFill>
              </fill>
            </x14:dxf>
          </x14:cfRule>
          <xm:sqref>D27:D29</xm:sqref>
        </x14:conditionalFormatting>
        <x14:conditionalFormatting xmlns:xm="http://schemas.microsoft.com/office/excel/2006/main">
          <x14:cfRule type="expression" priority="274" id="{60698B85-A98F-4C19-91F2-FE4F526143F8}">
            <xm:f>$D$30&lt;&gt;Pricing!$D$26</xm:f>
            <x14:dxf>
              <font>
                <color theme="5"/>
              </font>
              <fill>
                <patternFill>
                  <bgColor theme="7" tint="0.79998168889431442"/>
                </patternFill>
              </fill>
            </x14:dxf>
          </x14:cfRule>
          <xm:sqref>D30:D32</xm:sqref>
        </x14:conditionalFormatting>
        <x14:conditionalFormatting xmlns:xm="http://schemas.microsoft.com/office/excel/2006/main">
          <x14:cfRule type="expression" priority="273" id="{8D70337A-B336-411A-92BC-476FA76E8B61}">
            <xm:f>$D$33&lt;&gt;Pricing!$D$29</xm:f>
            <x14:dxf>
              <font>
                <color theme="5"/>
              </font>
              <fill>
                <patternFill>
                  <bgColor theme="7" tint="0.79998168889431442"/>
                </patternFill>
              </fill>
            </x14:dxf>
          </x14:cfRule>
          <xm:sqref>D33:D35</xm:sqref>
        </x14:conditionalFormatting>
        <x14:conditionalFormatting xmlns:xm="http://schemas.microsoft.com/office/excel/2006/main">
          <x14:cfRule type="expression" priority="272" id="{2539131B-E2E9-414E-9950-3512B90F4017}">
            <xm:f>$D$36&lt;&gt;Pricing!$D$32</xm:f>
            <x14:dxf>
              <font>
                <color theme="5"/>
              </font>
              <fill>
                <patternFill>
                  <bgColor theme="7" tint="0.79998168889431442"/>
                </patternFill>
              </fill>
            </x14:dxf>
          </x14:cfRule>
          <xm:sqref>D36:D38</xm:sqref>
        </x14:conditionalFormatting>
        <x14:conditionalFormatting xmlns:xm="http://schemas.microsoft.com/office/excel/2006/main">
          <x14:cfRule type="expression" priority="271" id="{3423981E-BD0E-47F6-AB85-B5CDE68E31D6}">
            <xm:f>$D$39&lt;&gt;Pricing!$D$35</xm:f>
            <x14:dxf>
              <font>
                <color theme="5"/>
              </font>
              <fill>
                <patternFill>
                  <bgColor theme="7" tint="0.79998168889431442"/>
                </patternFill>
              </fill>
            </x14:dxf>
          </x14:cfRule>
          <xm:sqref>D39:D41</xm:sqref>
        </x14:conditionalFormatting>
        <x14:conditionalFormatting xmlns:xm="http://schemas.microsoft.com/office/excel/2006/main">
          <x14:cfRule type="expression" priority="270" id="{5944592A-4459-4A82-8099-287A2D037F21}">
            <xm:f>$D$42:$D$44&lt;&gt;Pricing!$D$38</xm:f>
            <x14:dxf>
              <font>
                <color theme="5"/>
              </font>
              <fill>
                <patternFill>
                  <bgColor theme="7" tint="0.79998168889431442"/>
                </patternFill>
              </fill>
            </x14:dxf>
          </x14:cfRule>
          <xm:sqref>D42:D44</xm:sqref>
        </x14:conditionalFormatting>
        <x14:conditionalFormatting xmlns:xm="http://schemas.microsoft.com/office/excel/2006/main">
          <x14:cfRule type="expression" priority="269" id="{694E7EE7-E2B9-4A2D-B122-5FD20E08878F}">
            <xm:f>$D$45&lt;&gt;Pricing!$D$41</xm:f>
            <x14:dxf>
              <font>
                <color theme="5"/>
              </font>
              <fill>
                <patternFill>
                  <bgColor theme="7" tint="0.79998168889431442"/>
                </patternFill>
              </fill>
            </x14:dxf>
          </x14:cfRule>
          <xm:sqref>D45:D47</xm:sqref>
        </x14:conditionalFormatting>
        <x14:conditionalFormatting xmlns:xm="http://schemas.microsoft.com/office/excel/2006/main">
          <x14:cfRule type="expression" priority="268" id="{C5CFEACA-8146-4730-8211-9EDB4EE8756C}">
            <xm:f>$D$48&lt;&gt;Pricing!$D$44</xm:f>
            <x14:dxf>
              <font>
                <color theme="5"/>
              </font>
              <fill>
                <patternFill>
                  <bgColor theme="7" tint="0.79998168889431442"/>
                </patternFill>
              </fill>
            </x14:dxf>
          </x14:cfRule>
          <xm:sqref>D48:D50</xm:sqref>
        </x14:conditionalFormatting>
        <x14:conditionalFormatting xmlns:xm="http://schemas.microsoft.com/office/excel/2006/main">
          <x14:cfRule type="expression" priority="267" id="{2317BE45-DF11-41C8-B98D-0AB937E55741}">
            <xm:f>$D$51&lt;&gt;Pricing!$D$47</xm:f>
            <x14:dxf>
              <font>
                <color theme="5"/>
              </font>
              <fill>
                <patternFill>
                  <bgColor theme="7" tint="0.79998168889431442"/>
                </patternFill>
              </fill>
            </x14:dxf>
          </x14:cfRule>
          <xm:sqref>D51:D53</xm:sqref>
        </x14:conditionalFormatting>
        <x14:conditionalFormatting xmlns:xm="http://schemas.microsoft.com/office/excel/2006/main">
          <x14:cfRule type="expression" priority="266" id="{D5CDD245-775E-4C1F-B618-3C10883F3C8E}">
            <xm:f>$D$54&lt;&gt;Pricing!$D$50</xm:f>
            <x14:dxf>
              <font>
                <color theme="5"/>
              </font>
              <fill>
                <patternFill>
                  <bgColor theme="7" tint="0.79998168889431442"/>
                </patternFill>
              </fill>
            </x14:dxf>
          </x14:cfRule>
          <xm:sqref>D54:D56</xm:sqref>
        </x14:conditionalFormatting>
        <x14:conditionalFormatting xmlns:xm="http://schemas.microsoft.com/office/excel/2006/main">
          <x14:cfRule type="expression" priority="263" id="{D58FE8B3-57BC-4345-8A92-CA3853772A1B}">
            <xm:f>$E$18&lt;&gt;Pricing!$E$14</xm:f>
            <x14:dxf>
              <font>
                <color theme="5"/>
              </font>
              <fill>
                <patternFill>
                  <bgColor theme="7" tint="0.79998168889431442"/>
                </patternFill>
              </fill>
            </x14:dxf>
          </x14:cfRule>
          <xm:sqref>E12:E20</xm:sqref>
        </x14:conditionalFormatting>
        <x14:conditionalFormatting xmlns:xm="http://schemas.microsoft.com/office/excel/2006/main">
          <x14:cfRule type="expression" priority="262" id="{331BDEE4-BE82-4944-85C4-8C100D6539E5}">
            <xm:f>$E$21&lt;&gt;Pricing!$E$17</xm:f>
            <x14:dxf>
              <font>
                <color theme="5"/>
              </font>
              <fill>
                <patternFill>
                  <bgColor theme="7" tint="0.79998168889431442"/>
                </patternFill>
              </fill>
            </x14:dxf>
          </x14:cfRule>
          <xm:sqref>E21:E26</xm:sqref>
        </x14:conditionalFormatting>
        <x14:conditionalFormatting xmlns:xm="http://schemas.microsoft.com/office/excel/2006/main">
          <x14:cfRule type="expression" priority="259" id="{3CA3437D-F24E-4845-A1CA-176389BFA2B3}">
            <xm:f>$E$27&lt;&gt;Pricing!$E$23</xm:f>
            <x14:dxf>
              <font>
                <color theme="5"/>
              </font>
              <fill>
                <patternFill>
                  <bgColor theme="7" tint="0.79998168889431442"/>
                </patternFill>
              </fill>
            </x14:dxf>
          </x14:cfRule>
          <xm:sqref>E27:E29</xm:sqref>
        </x14:conditionalFormatting>
        <x14:conditionalFormatting xmlns:xm="http://schemas.microsoft.com/office/excel/2006/main">
          <x14:cfRule type="expression" priority="258" id="{7B166CED-69D3-4E69-948C-8161DA7B2B52}">
            <xm:f>$E$30&lt;&gt;Pricing!$E$26</xm:f>
            <x14:dxf>
              <font>
                <color theme="5"/>
              </font>
              <fill>
                <patternFill>
                  <bgColor theme="7" tint="0.79998168889431442"/>
                </patternFill>
              </fill>
            </x14:dxf>
          </x14:cfRule>
          <xm:sqref>E30:E32</xm:sqref>
        </x14:conditionalFormatting>
        <x14:conditionalFormatting xmlns:xm="http://schemas.microsoft.com/office/excel/2006/main">
          <x14:cfRule type="expression" priority="257" id="{5D629F3E-2F99-4151-9DCA-E79194205853}">
            <xm:f>$E$33&lt;&gt;Pricing!$E$29</xm:f>
            <x14:dxf>
              <font>
                <color theme="5"/>
              </font>
              <fill>
                <patternFill>
                  <bgColor theme="7" tint="0.79998168889431442"/>
                </patternFill>
              </fill>
            </x14:dxf>
          </x14:cfRule>
          <xm:sqref>E33:E35</xm:sqref>
        </x14:conditionalFormatting>
        <x14:conditionalFormatting xmlns:xm="http://schemas.microsoft.com/office/excel/2006/main">
          <x14:cfRule type="expression" priority="256" id="{8F357B47-3537-45B2-8F8B-18C4BE6E17AD}">
            <xm:f>$E$36&lt;&gt;Pricing!$E$32</xm:f>
            <x14:dxf>
              <font>
                <color theme="5"/>
              </font>
              <fill>
                <patternFill>
                  <bgColor theme="7" tint="0.79998168889431442"/>
                </patternFill>
              </fill>
            </x14:dxf>
          </x14:cfRule>
          <xm:sqref>E36:E38</xm:sqref>
        </x14:conditionalFormatting>
        <x14:conditionalFormatting xmlns:xm="http://schemas.microsoft.com/office/excel/2006/main">
          <x14:cfRule type="expression" priority="255" id="{2504D56E-971D-4AC1-B4AC-C6249812C45B}">
            <xm:f>$E$39&lt;&gt;Pricing!$E$35</xm:f>
            <x14:dxf>
              <font>
                <color theme="5"/>
              </font>
              <fill>
                <patternFill>
                  <bgColor theme="7" tint="0.79998168889431442"/>
                </patternFill>
              </fill>
            </x14:dxf>
          </x14:cfRule>
          <xm:sqref>E39:E41</xm:sqref>
        </x14:conditionalFormatting>
        <x14:conditionalFormatting xmlns:xm="http://schemas.microsoft.com/office/excel/2006/main">
          <x14:cfRule type="expression" priority="254" id="{7DB7E9C6-EA8E-42C9-AE10-46A4C61257D0}">
            <xm:f>$E$42&lt;&gt;Pricing!$E$38</xm:f>
            <x14:dxf>
              <font>
                <color theme="5"/>
              </font>
              <fill>
                <patternFill>
                  <bgColor theme="7" tint="0.79998168889431442"/>
                </patternFill>
              </fill>
            </x14:dxf>
          </x14:cfRule>
          <xm:sqref>E42:E44</xm:sqref>
        </x14:conditionalFormatting>
        <x14:conditionalFormatting xmlns:xm="http://schemas.microsoft.com/office/excel/2006/main">
          <x14:cfRule type="expression" priority="253" id="{CF2A895F-B4AD-48BC-8478-C5D093FEC435}">
            <xm:f>$E$45&lt;&gt;Pricing!$E$41</xm:f>
            <x14:dxf>
              <font>
                <color theme="5"/>
              </font>
              <fill>
                <patternFill>
                  <bgColor theme="7" tint="0.79998168889431442"/>
                </patternFill>
              </fill>
            </x14:dxf>
          </x14:cfRule>
          <xm:sqref>E45:E47</xm:sqref>
        </x14:conditionalFormatting>
        <x14:conditionalFormatting xmlns:xm="http://schemas.microsoft.com/office/excel/2006/main">
          <x14:cfRule type="expression" priority="252" id="{473DDC12-4FED-452A-A4B8-06203DAB5450}">
            <xm:f>$E$48&lt;&gt;Pricing!$E$44</xm:f>
            <x14:dxf>
              <font>
                <color theme="5"/>
              </font>
              <fill>
                <patternFill>
                  <bgColor theme="7" tint="0.79998168889431442"/>
                </patternFill>
              </fill>
            </x14:dxf>
          </x14:cfRule>
          <xm:sqref>E48:E50</xm:sqref>
        </x14:conditionalFormatting>
        <x14:conditionalFormatting xmlns:xm="http://schemas.microsoft.com/office/excel/2006/main">
          <x14:cfRule type="expression" priority="250" id="{F2B1B795-E44B-4E92-9099-CE74532AA930}">
            <xm:f>$E$51&lt;&gt;Pricing!$E$47</xm:f>
            <x14:dxf>
              <font>
                <color theme="5"/>
              </font>
              <fill>
                <patternFill>
                  <bgColor theme="7" tint="0.79998168889431442"/>
                </patternFill>
              </fill>
            </x14:dxf>
          </x14:cfRule>
          <xm:sqref>E51:E53</xm:sqref>
        </x14:conditionalFormatting>
        <x14:conditionalFormatting xmlns:xm="http://schemas.microsoft.com/office/excel/2006/main">
          <x14:cfRule type="expression" priority="249" id="{4AFEF432-9052-4A7D-95B1-544ED3DBC500}">
            <xm:f>$E$54&lt;&gt;Pricing!$E$50</xm:f>
            <x14:dxf>
              <font>
                <color theme="5"/>
              </font>
              <fill>
                <patternFill>
                  <bgColor theme="7" tint="0.79998168889431442"/>
                </patternFill>
              </fill>
            </x14:dxf>
          </x14:cfRule>
          <xm:sqref>E54:E56</xm:sqref>
        </x14:conditionalFormatting>
        <x14:conditionalFormatting xmlns:xm="http://schemas.microsoft.com/office/excel/2006/main">
          <x14:cfRule type="expression" priority="246" id="{D5252F1B-EA55-4C36-9C0C-D30927E82E25}">
            <xm:f>$F$12&lt;&gt;Pricing!$F$8</xm:f>
            <x14:dxf>
              <font>
                <color theme="5"/>
              </font>
              <fill>
                <patternFill>
                  <bgColor theme="7" tint="0.79998168889431442"/>
                </patternFill>
              </fill>
            </x14:dxf>
          </x14:cfRule>
          <xm:sqref>F12:G12</xm:sqref>
        </x14:conditionalFormatting>
        <x14:conditionalFormatting xmlns:xm="http://schemas.microsoft.com/office/excel/2006/main">
          <x14:cfRule type="expression" priority="245" id="{C0DBAD90-F16D-48EE-9CBC-0E6FDE1BB050}">
            <xm:f>$F$13&lt;&gt;Pricing!$F$9</xm:f>
            <x14:dxf>
              <font>
                <color theme="5"/>
              </font>
              <fill>
                <patternFill>
                  <bgColor theme="7" tint="0.79998168889431442"/>
                </patternFill>
              </fill>
            </x14:dxf>
          </x14:cfRule>
          <xm:sqref>F13:G13</xm:sqref>
        </x14:conditionalFormatting>
        <x14:conditionalFormatting xmlns:xm="http://schemas.microsoft.com/office/excel/2006/main">
          <x14:cfRule type="expression" priority="244" id="{7F2DC94D-3768-4A44-9161-3BA3CB58A213}">
            <xm:f>$G$14&lt;&gt;Pricing!$G$10</xm:f>
            <x14:dxf>
              <font>
                <color theme="5"/>
              </font>
              <fill>
                <patternFill>
                  <bgColor theme="7" tint="0.79998168889431442"/>
                </patternFill>
              </fill>
            </x14:dxf>
          </x14:cfRule>
          <xm:sqref>G14</xm:sqref>
        </x14:conditionalFormatting>
        <x14:conditionalFormatting xmlns:xm="http://schemas.microsoft.com/office/excel/2006/main">
          <x14:cfRule type="expression" priority="243" id="{AD115903-AF2E-43ED-92F3-4DEBAC5D954B}">
            <xm:f>$F$15&lt;&gt;Pricing!$F$11</xm:f>
            <x14:dxf>
              <font>
                <color theme="5"/>
              </font>
              <fill>
                <patternFill>
                  <bgColor theme="7" tint="0.79998168889431442"/>
                </patternFill>
              </fill>
            </x14:dxf>
          </x14:cfRule>
          <xm:sqref>F15:G15</xm:sqref>
        </x14:conditionalFormatting>
        <x14:conditionalFormatting xmlns:xm="http://schemas.microsoft.com/office/excel/2006/main">
          <x14:cfRule type="expression" priority="242" id="{11FD08ED-0BEE-4E1A-9CF2-44E36AD09C97}">
            <xm:f>$F$16&lt;&gt;Pricing!$F$12</xm:f>
            <x14:dxf>
              <font>
                <color theme="5"/>
              </font>
              <fill>
                <patternFill>
                  <bgColor theme="7" tint="0.79998168889431442"/>
                </patternFill>
              </fill>
            </x14:dxf>
          </x14:cfRule>
          <xm:sqref>F16:G16</xm:sqref>
        </x14:conditionalFormatting>
        <x14:conditionalFormatting xmlns:xm="http://schemas.microsoft.com/office/excel/2006/main">
          <x14:cfRule type="expression" priority="241" id="{427B4FA5-D273-4542-BA7A-601BC0DDCC23}">
            <xm:f>$G$17&lt;&gt;Pricing!$G$13</xm:f>
            <x14:dxf>
              <font>
                <color theme="5"/>
              </font>
              <fill>
                <patternFill>
                  <bgColor theme="7" tint="0.79998168889431442"/>
                </patternFill>
              </fill>
            </x14:dxf>
          </x14:cfRule>
          <xm:sqref>G17</xm:sqref>
        </x14:conditionalFormatting>
        <x14:conditionalFormatting xmlns:xm="http://schemas.microsoft.com/office/excel/2006/main">
          <x14:cfRule type="expression" priority="240" id="{463B9679-06E4-4B29-ACBA-46E91BD5734D}">
            <xm:f>$F$18&lt;&gt;Pricing!$F$14</xm:f>
            <x14:dxf>
              <font>
                <color theme="5"/>
              </font>
              <fill>
                <patternFill>
                  <bgColor theme="7" tint="0.79998168889431442"/>
                </patternFill>
              </fill>
            </x14:dxf>
          </x14:cfRule>
          <xm:sqref>F18:G18</xm:sqref>
        </x14:conditionalFormatting>
        <x14:conditionalFormatting xmlns:xm="http://schemas.microsoft.com/office/excel/2006/main">
          <x14:cfRule type="expression" priority="239" id="{A4B04795-69C0-457D-9A28-DB0316A7F70F}">
            <xm:f>$F$19&lt;&gt;Pricing!$F$15</xm:f>
            <x14:dxf>
              <font>
                <color theme="5"/>
              </font>
              <fill>
                <patternFill>
                  <bgColor theme="7" tint="0.79998168889431442"/>
                </patternFill>
              </fill>
            </x14:dxf>
          </x14:cfRule>
          <xm:sqref>F19:G19</xm:sqref>
        </x14:conditionalFormatting>
        <x14:conditionalFormatting xmlns:xm="http://schemas.microsoft.com/office/excel/2006/main">
          <x14:cfRule type="expression" priority="237" id="{84B78545-7611-4A89-874B-1E7D71B63699}">
            <xm:f>$G$20&lt;&gt;Pricing!$G$16</xm:f>
            <x14:dxf>
              <font>
                <color theme="5"/>
              </font>
              <fill>
                <patternFill>
                  <bgColor theme="7" tint="0.79998168889431442"/>
                </patternFill>
              </fill>
            </x14:dxf>
          </x14:cfRule>
          <xm:sqref>G20</xm:sqref>
        </x14:conditionalFormatting>
        <x14:conditionalFormatting xmlns:xm="http://schemas.microsoft.com/office/excel/2006/main">
          <x14:cfRule type="expression" priority="236" id="{2E18F051-A0A3-4666-AF34-A7664487F069}">
            <xm:f>$F$21&lt;&gt;Pricing!$F$17</xm:f>
            <x14:dxf>
              <font>
                <color theme="5"/>
              </font>
              <fill>
                <patternFill>
                  <bgColor theme="7" tint="0.79998168889431442"/>
                </patternFill>
              </fill>
            </x14:dxf>
          </x14:cfRule>
          <xm:sqref>F21:G21</xm:sqref>
        </x14:conditionalFormatting>
        <x14:conditionalFormatting xmlns:xm="http://schemas.microsoft.com/office/excel/2006/main">
          <x14:cfRule type="expression" priority="235" id="{5037E709-3493-423A-99FE-796EC39CED44}">
            <xm:f>$F$22&lt;&gt;Pricing!$F$18</xm:f>
            <x14:dxf>
              <font>
                <color theme="5"/>
              </font>
              <fill>
                <patternFill>
                  <bgColor theme="7" tint="0.79998168889431442"/>
                </patternFill>
              </fill>
            </x14:dxf>
          </x14:cfRule>
          <xm:sqref>F22:G22</xm:sqref>
        </x14:conditionalFormatting>
        <x14:conditionalFormatting xmlns:xm="http://schemas.microsoft.com/office/excel/2006/main">
          <x14:cfRule type="expression" priority="234" id="{325E5525-E06C-4E57-9A8F-E24B021F6985}">
            <xm:f>$G$23&lt;&gt;Pricing!$G$19</xm:f>
            <x14:dxf>
              <font>
                <color theme="5"/>
              </font>
              <fill>
                <patternFill>
                  <bgColor theme="7" tint="0.79998168889431442"/>
                </patternFill>
              </fill>
            </x14:dxf>
          </x14:cfRule>
          <xm:sqref>G23</xm:sqref>
        </x14:conditionalFormatting>
        <x14:conditionalFormatting xmlns:xm="http://schemas.microsoft.com/office/excel/2006/main">
          <x14:cfRule type="expression" priority="233" id="{61C26554-DFB0-4CFB-BAA6-1F96996B9060}">
            <xm:f>$F$24&lt;&gt;Pricing!$F$20</xm:f>
            <x14:dxf>
              <font>
                <color theme="5"/>
              </font>
              <fill>
                <patternFill>
                  <bgColor theme="7" tint="0.79998168889431442"/>
                </patternFill>
              </fill>
            </x14:dxf>
          </x14:cfRule>
          <xm:sqref>F24:G24</xm:sqref>
        </x14:conditionalFormatting>
        <x14:conditionalFormatting xmlns:xm="http://schemas.microsoft.com/office/excel/2006/main">
          <x14:cfRule type="expression" priority="232" id="{B969516E-35C8-4E78-972B-3CBA26CF61B1}">
            <xm:f>$F$25&lt;&gt;Pricing!$F$21</xm:f>
            <x14:dxf>
              <font>
                <color theme="5"/>
              </font>
              <fill>
                <patternFill>
                  <bgColor theme="7" tint="0.79998168889431442"/>
                </patternFill>
              </fill>
            </x14:dxf>
          </x14:cfRule>
          <xm:sqref>F25:G25</xm:sqref>
        </x14:conditionalFormatting>
        <x14:conditionalFormatting xmlns:xm="http://schemas.microsoft.com/office/excel/2006/main">
          <x14:cfRule type="expression" priority="231" id="{F8F10BDD-20F5-427B-AB6C-506F988A7D5B}">
            <xm:f>$G$26&lt;&gt;Pricing!$G$22</xm:f>
            <x14:dxf>
              <font>
                <color theme="5"/>
              </font>
              <fill>
                <patternFill>
                  <bgColor theme="7" tint="0.79998168889431442"/>
                </patternFill>
              </fill>
            </x14:dxf>
          </x14:cfRule>
          <xm:sqref>G26</xm:sqref>
        </x14:conditionalFormatting>
        <x14:conditionalFormatting xmlns:xm="http://schemas.microsoft.com/office/excel/2006/main">
          <x14:cfRule type="expression" priority="230" id="{0149D033-B91D-4D69-92A1-E80331AA637D}">
            <xm:f>$F$27&lt;&gt;Pricing!$F$23</xm:f>
            <x14:dxf>
              <font>
                <color theme="5"/>
              </font>
              <fill>
                <patternFill>
                  <bgColor theme="7" tint="0.79998168889431442"/>
                </patternFill>
              </fill>
            </x14:dxf>
          </x14:cfRule>
          <xm:sqref>F27:G27</xm:sqref>
        </x14:conditionalFormatting>
        <x14:conditionalFormatting xmlns:xm="http://schemas.microsoft.com/office/excel/2006/main">
          <x14:cfRule type="expression" priority="229" id="{C08430AC-2D86-49C7-9E15-E7EDAF86E6C4}">
            <xm:f>$F$28&lt;&gt;Pricing!$F$24</xm:f>
            <x14:dxf>
              <font>
                <color theme="5"/>
              </font>
              <fill>
                <patternFill>
                  <bgColor theme="7" tint="0.79998168889431442"/>
                </patternFill>
              </fill>
            </x14:dxf>
          </x14:cfRule>
          <xm:sqref>F28:G28</xm:sqref>
        </x14:conditionalFormatting>
        <x14:conditionalFormatting xmlns:xm="http://schemas.microsoft.com/office/excel/2006/main">
          <x14:cfRule type="expression" priority="228" id="{F1A3302E-071D-485C-86EE-B42601EF6282}">
            <xm:f>$G$29&lt;&gt;Pricing!$G$25</xm:f>
            <x14:dxf>
              <font>
                <color theme="5"/>
              </font>
              <fill>
                <patternFill>
                  <bgColor theme="7" tint="0.79998168889431442"/>
                </patternFill>
              </fill>
            </x14:dxf>
          </x14:cfRule>
          <xm:sqref>G29</xm:sqref>
        </x14:conditionalFormatting>
        <x14:conditionalFormatting xmlns:xm="http://schemas.microsoft.com/office/excel/2006/main">
          <x14:cfRule type="expression" priority="227" id="{09B1BC9D-B178-4212-8C18-DC71A69A63D4}">
            <xm:f>$F$30&lt;&gt;Pricing!$F$26</xm:f>
            <x14:dxf>
              <font>
                <color theme="5"/>
              </font>
              <fill>
                <patternFill>
                  <bgColor theme="7" tint="0.79998168889431442"/>
                </patternFill>
              </fill>
            </x14:dxf>
          </x14:cfRule>
          <xm:sqref>F30:G30</xm:sqref>
        </x14:conditionalFormatting>
        <x14:conditionalFormatting xmlns:xm="http://schemas.microsoft.com/office/excel/2006/main">
          <x14:cfRule type="expression" priority="226" id="{086B21F6-D34E-46B5-BB55-33220148E9FB}">
            <xm:f>$F$31&lt;&gt;Pricing!$F$27</xm:f>
            <x14:dxf>
              <font>
                <color theme="5"/>
              </font>
              <fill>
                <patternFill>
                  <bgColor theme="7" tint="0.79998168889431442"/>
                </patternFill>
              </fill>
            </x14:dxf>
          </x14:cfRule>
          <xm:sqref>F31:G31</xm:sqref>
        </x14:conditionalFormatting>
        <x14:conditionalFormatting xmlns:xm="http://schemas.microsoft.com/office/excel/2006/main">
          <x14:cfRule type="expression" priority="225" id="{20CF34AA-9AA4-4839-B3BE-846FE1074A9F}">
            <xm:f>$G$32&lt;&gt;Pricing!$G$28</xm:f>
            <x14:dxf>
              <font>
                <color theme="5"/>
              </font>
              <fill>
                <patternFill>
                  <bgColor theme="7" tint="0.79998168889431442"/>
                </patternFill>
              </fill>
            </x14:dxf>
          </x14:cfRule>
          <xm:sqref>G32</xm:sqref>
        </x14:conditionalFormatting>
        <x14:conditionalFormatting xmlns:xm="http://schemas.microsoft.com/office/excel/2006/main">
          <x14:cfRule type="expression" priority="222" id="{A121958B-C7CF-44EA-9DF7-7A33BCA0AE18}">
            <xm:f>$H$18&lt;&gt;Pricing!$H$14</xm:f>
            <x14:dxf>
              <font>
                <color theme="5"/>
              </font>
              <fill>
                <patternFill>
                  <bgColor theme="7" tint="0.79998168889431442"/>
                </patternFill>
              </fill>
            </x14:dxf>
          </x14:cfRule>
          <xm:sqref>H12:H20</xm:sqref>
        </x14:conditionalFormatting>
        <x14:conditionalFormatting xmlns:xm="http://schemas.microsoft.com/office/excel/2006/main">
          <x14:cfRule type="expression" priority="221" id="{5A25A55F-7754-4343-80D0-BDC4256E490C}">
            <xm:f>$H$21&lt;&gt;Pricing!$H$17</xm:f>
            <x14:dxf>
              <font>
                <color theme="5"/>
              </font>
              <fill>
                <patternFill>
                  <bgColor theme="7" tint="0.79998168889431442"/>
                </patternFill>
              </fill>
            </x14:dxf>
          </x14:cfRule>
          <xm:sqref>H21:H23</xm:sqref>
        </x14:conditionalFormatting>
        <x14:conditionalFormatting xmlns:xm="http://schemas.microsoft.com/office/excel/2006/main">
          <x14:cfRule type="expression" priority="220" id="{81B212DE-6E52-4F48-887F-2E565D648B0E}">
            <xm:f>$H$24&lt;&gt;Pricing!$H$20</xm:f>
            <x14:dxf>
              <font>
                <color theme="5"/>
              </font>
              <fill>
                <patternFill>
                  <bgColor theme="7" tint="0.79998168889431442"/>
                </patternFill>
              </fill>
            </x14:dxf>
          </x14:cfRule>
          <xm:sqref>H24:H26</xm:sqref>
        </x14:conditionalFormatting>
        <x14:conditionalFormatting xmlns:xm="http://schemas.microsoft.com/office/excel/2006/main">
          <x14:cfRule type="expression" priority="219" id="{C05D7341-6B05-496D-88DA-E71CECA4B050}">
            <xm:f>$H$27&lt;&gt;Pricing!$H$23</xm:f>
            <x14:dxf>
              <font>
                <color theme="5"/>
              </font>
              <fill>
                <patternFill>
                  <bgColor theme="7" tint="0.79998168889431442"/>
                </patternFill>
              </fill>
            </x14:dxf>
          </x14:cfRule>
          <xm:sqref>H27:H32</xm:sqref>
        </x14:conditionalFormatting>
        <x14:conditionalFormatting xmlns:xm="http://schemas.microsoft.com/office/excel/2006/main">
          <x14:cfRule type="expression" priority="217" id="{1DD80CC7-591F-4EDF-9F48-E51A2F1DB4FE}">
            <xm:f>$H$33&lt;&gt;Pricing!$H$29</xm:f>
            <x14:dxf>
              <font>
                <color theme="5"/>
              </font>
              <fill>
                <patternFill>
                  <bgColor theme="7" tint="0.79998168889431442"/>
                </patternFill>
              </fill>
            </x14:dxf>
          </x14:cfRule>
          <xm:sqref>H33:H35</xm:sqref>
        </x14:conditionalFormatting>
        <x14:conditionalFormatting xmlns:xm="http://schemas.microsoft.com/office/excel/2006/main">
          <x14:cfRule type="expression" priority="216" id="{F163460D-8EBA-4F49-A716-8DC5AAF1AD34}">
            <xm:f>$H$36&lt;&gt;Pricing!$H$32</xm:f>
            <x14:dxf>
              <font>
                <color theme="5"/>
              </font>
              <fill>
                <patternFill>
                  <bgColor theme="7" tint="0.79998168889431442"/>
                </patternFill>
              </fill>
            </x14:dxf>
          </x14:cfRule>
          <xm:sqref>H36:H38</xm:sqref>
        </x14:conditionalFormatting>
        <x14:conditionalFormatting xmlns:xm="http://schemas.microsoft.com/office/excel/2006/main">
          <x14:cfRule type="expression" priority="215" id="{88C6A7A8-3507-4ECB-AAEC-15834B8F675B}">
            <xm:f>$H$39&lt;&gt;Pricing!$H$35</xm:f>
            <x14:dxf>
              <font>
                <color theme="5"/>
              </font>
              <fill>
                <patternFill>
                  <bgColor theme="7" tint="0.79998168889431442"/>
                </patternFill>
              </fill>
            </x14:dxf>
          </x14:cfRule>
          <xm:sqref>H39:H41</xm:sqref>
        </x14:conditionalFormatting>
        <x14:conditionalFormatting xmlns:xm="http://schemas.microsoft.com/office/excel/2006/main">
          <x14:cfRule type="expression" priority="214" id="{790DDBA2-A7EF-4505-8AC4-601175CA7744}">
            <xm:f>$H$42&lt;&gt;Pricing!$H$38</xm:f>
            <x14:dxf>
              <font>
                <color theme="5"/>
              </font>
              <fill>
                <patternFill>
                  <bgColor theme="7" tint="0.79998168889431442"/>
                </patternFill>
              </fill>
            </x14:dxf>
          </x14:cfRule>
          <xm:sqref>H42:H44</xm:sqref>
        </x14:conditionalFormatting>
        <x14:conditionalFormatting xmlns:xm="http://schemas.microsoft.com/office/excel/2006/main">
          <x14:cfRule type="expression" priority="213" id="{7CADF51A-574B-4570-AB4F-CC795314D70D}">
            <xm:f>$H$45&lt;&gt;Pricing!$H$41</xm:f>
            <x14:dxf>
              <font>
                <color theme="5"/>
              </font>
              <fill>
                <patternFill>
                  <bgColor theme="7" tint="0.79998168889431442"/>
                </patternFill>
              </fill>
            </x14:dxf>
          </x14:cfRule>
          <xm:sqref>H45:H47</xm:sqref>
        </x14:conditionalFormatting>
        <x14:conditionalFormatting xmlns:xm="http://schemas.microsoft.com/office/excel/2006/main">
          <x14:cfRule type="expression" priority="212" id="{FD32880B-3725-435E-BA9B-45B514F9BDBB}">
            <xm:f>$H$48&lt;&gt;Pricing!$H$44</xm:f>
            <x14:dxf>
              <font>
                <color theme="5"/>
              </font>
              <fill>
                <patternFill>
                  <bgColor theme="7" tint="0.79998168889431442"/>
                </patternFill>
              </fill>
            </x14:dxf>
          </x14:cfRule>
          <xm:sqref>H48:H50</xm:sqref>
        </x14:conditionalFormatting>
        <x14:conditionalFormatting xmlns:xm="http://schemas.microsoft.com/office/excel/2006/main">
          <x14:cfRule type="expression" priority="211" id="{01322818-2D1C-4ECB-A949-70F3EC3A2C9C}">
            <xm:f>$H$51&lt;&gt;Pricing!$H$47</xm:f>
            <x14:dxf>
              <font>
                <color theme="5"/>
              </font>
              <fill>
                <patternFill>
                  <bgColor theme="7" tint="0.79998168889431442"/>
                </patternFill>
              </fill>
            </x14:dxf>
          </x14:cfRule>
          <xm:sqref>H51:H53</xm:sqref>
        </x14:conditionalFormatting>
        <x14:conditionalFormatting xmlns:xm="http://schemas.microsoft.com/office/excel/2006/main">
          <x14:cfRule type="expression" priority="210" id="{3F0E6F51-A243-4207-A813-E87F820465B0}">
            <xm:f>$H$54&lt;&gt;Pricing!$H$50</xm:f>
            <x14:dxf>
              <font>
                <color theme="5"/>
              </font>
              <fill>
                <patternFill>
                  <bgColor theme="7" tint="0.79998168889431442"/>
                </patternFill>
              </fill>
            </x14:dxf>
          </x14:cfRule>
          <xm:sqref>H54:H56</xm:sqref>
        </x14:conditionalFormatting>
        <x14:conditionalFormatting xmlns:xm="http://schemas.microsoft.com/office/excel/2006/main">
          <x14:cfRule type="expression" priority="166" id="{D7005FB1-D5ED-4853-AA27-865A5BC7E456}">
            <xm:f>$C$13&lt;&gt;Pricing!$C9</xm:f>
            <x14:dxf>
              <font>
                <color theme="5"/>
              </font>
              <fill>
                <patternFill>
                  <bgColor theme="7" tint="0.79998168889431442"/>
                </patternFill>
              </fill>
            </x14:dxf>
          </x14:cfRule>
          <xm:sqref>C13</xm:sqref>
        </x14:conditionalFormatting>
        <x14:conditionalFormatting xmlns:xm="http://schemas.microsoft.com/office/excel/2006/main">
          <x14:cfRule type="expression" priority="130" id="{A3BEBF68-8AF7-4A4C-B4D5-F7B4E9CE6779}">
            <xm:f>IF(Pricing!P76=0,"",IF(OR(Pricing!P76&gt;=0.05,Pricing!P76&lt;=0.05),"True",IF(Pricing!P76=0,"","")))</xm:f>
            <x14:dxf>
              <fill>
                <patternFill>
                  <bgColor rgb="FFFF0000"/>
                </patternFill>
              </fill>
            </x14:dxf>
          </x14:cfRule>
          <xm:sqref>R8</xm:sqref>
        </x14:conditionalFormatting>
        <x14:conditionalFormatting xmlns:xm="http://schemas.microsoft.com/office/excel/2006/main">
          <x14:cfRule type="expression" priority="59" id="{77A59365-8DAF-49AB-8D87-6B110DDF5882}">
            <xm:f>$I12&lt;&gt;Pricing!$I8</xm:f>
            <x14:dxf>
              <font>
                <color theme="5" tint="-0.24994659260841701"/>
              </font>
              <fill>
                <patternFill>
                  <bgColor theme="7" tint="0.39994506668294322"/>
                </patternFill>
              </fill>
            </x14:dxf>
          </x14:cfRule>
          <xm:sqref>I12:I14</xm:sqref>
        </x14:conditionalFormatting>
        <x14:conditionalFormatting xmlns:xm="http://schemas.microsoft.com/office/excel/2006/main">
          <x14:cfRule type="expression" priority="58" id="{BDD27BCA-6D85-4837-AB34-CBE1CED3BD63}">
            <xm:f>$I$15&lt;&gt;Pricing!$I$11</xm:f>
            <x14:dxf>
              <font>
                <color theme="5" tint="-0.24994659260841701"/>
              </font>
              <fill>
                <patternFill>
                  <bgColor theme="7" tint="0.39994506668294322"/>
                </patternFill>
              </fill>
            </x14:dxf>
          </x14:cfRule>
          <xm:sqref>I15:I17</xm:sqref>
        </x14:conditionalFormatting>
        <x14:conditionalFormatting xmlns:xm="http://schemas.microsoft.com/office/excel/2006/main">
          <x14:cfRule type="expression" priority="57" id="{36D24E4E-F646-456A-8F37-BAA86F0D1337}">
            <xm:f>$I$18&lt;&gt;Pricing!$I$14</xm:f>
            <x14:dxf>
              <font>
                <color theme="5" tint="-0.24994659260841701"/>
              </font>
              <fill>
                <patternFill>
                  <bgColor theme="7" tint="0.39994506668294322"/>
                </patternFill>
              </fill>
            </x14:dxf>
          </x14:cfRule>
          <xm:sqref>I18:I20</xm:sqref>
        </x14:conditionalFormatting>
        <x14:conditionalFormatting xmlns:xm="http://schemas.microsoft.com/office/excel/2006/main">
          <x14:cfRule type="expression" priority="56" id="{62EAFC59-9D08-4DAF-BFEA-865ABB76E6DC}">
            <xm:f>$I$21&lt;&gt;Pricing!$I$17</xm:f>
            <x14:dxf>
              <font>
                <color theme="5" tint="-0.24994659260841701"/>
              </font>
              <fill>
                <patternFill>
                  <bgColor theme="7" tint="0.39994506668294322"/>
                </patternFill>
              </fill>
            </x14:dxf>
          </x14:cfRule>
          <xm:sqref>I21:I23</xm:sqref>
        </x14:conditionalFormatting>
        <x14:conditionalFormatting xmlns:xm="http://schemas.microsoft.com/office/excel/2006/main">
          <x14:cfRule type="expression" priority="55" id="{78611E30-E707-44AD-A77E-A54E3961D264}">
            <xm:f>$I$24&lt;&gt;Pricing!$I$20</xm:f>
            <x14:dxf>
              <font>
                <color theme="5" tint="-0.24994659260841701"/>
              </font>
              <fill>
                <patternFill>
                  <bgColor theme="7" tint="0.39994506668294322"/>
                </patternFill>
              </fill>
            </x14:dxf>
          </x14:cfRule>
          <xm:sqref>I24:I26</xm:sqref>
        </x14:conditionalFormatting>
        <x14:conditionalFormatting xmlns:xm="http://schemas.microsoft.com/office/excel/2006/main">
          <x14:cfRule type="expression" priority="54" id="{521BD997-0D70-4D80-9FA0-EF26AFEAF042}">
            <xm:f>$I$27&lt;&gt;Pricing!$I$23</xm:f>
            <x14:dxf>
              <font>
                <color theme="5" tint="-0.24994659260841701"/>
              </font>
              <fill>
                <patternFill>
                  <bgColor theme="7" tint="0.39994506668294322"/>
                </patternFill>
              </fill>
            </x14:dxf>
          </x14:cfRule>
          <xm:sqref>I27:I29</xm:sqref>
        </x14:conditionalFormatting>
        <x14:conditionalFormatting xmlns:xm="http://schemas.microsoft.com/office/excel/2006/main">
          <x14:cfRule type="expression" priority="53" id="{AB78900F-D3AB-49C4-90CA-6D2AAE08D003}">
            <xm:f>$I$30&lt;&gt;Pricing!$I$26</xm:f>
            <x14:dxf>
              <font>
                <color theme="5" tint="-0.24994659260841701"/>
              </font>
              <fill>
                <patternFill>
                  <bgColor theme="7" tint="0.39994506668294322"/>
                </patternFill>
              </fill>
            </x14:dxf>
          </x14:cfRule>
          <xm:sqref>I30:I32</xm:sqref>
        </x14:conditionalFormatting>
        <x14:conditionalFormatting xmlns:xm="http://schemas.microsoft.com/office/excel/2006/main">
          <x14:cfRule type="expression" priority="52" id="{90B7CCD6-8FD8-4DAD-BC1D-FDA8697E6022}">
            <xm:f>$I$33&lt;&gt;Pricing!$I$29</xm:f>
            <x14:dxf>
              <font>
                <color theme="5" tint="-0.24994659260841701"/>
              </font>
              <fill>
                <patternFill>
                  <bgColor theme="7" tint="0.39994506668294322"/>
                </patternFill>
              </fill>
            </x14:dxf>
          </x14:cfRule>
          <xm:sqref>I33:I35</xm:sqref>
        </x14:conditionalFormatting>
        <x14:conditionalFormatting xmlns:xm="http://schemas.microsoft.com/office/excel/2006/main">
          <x14:cfRule type="expression" priority="50" id="{684B2397-17EF-4505-AD6A-B333C1FC1512}">
            <xm:f>$I$36&lt;&gt;Pricing!$I$32</xm:f>
            <x14:dxf>
              <font>
                <color theme="5" tint="-0.24994659260841701"/>
              </font>
              <fill>
                <patternFill>
                  <bgColor theme="7" tint="0.39994506668294322"/>
                </patternFill>
              </fill>
            </x14:dxf>
          </x14:cfRule>
          <xm:sqref>I36:I38</xm:sqref>
        </x14:conditionalFormatting>
        <x14:conditionalFormatting xmlns:xm="http://schemas.microsoft.com/office/excel/2006/main">
          <x14:cfRule type="expression" priority="49" id="{06B90956-FE65-4BAC-BAD8-2B1393A160C4}">
            <xm:f>$I$39&lt;&gt;Pricing!$I$35</xm:f>
            <x14:dxf>
              <font>
                <color theme="5" tint="-0.24994659260841701"/>
              </font>
              <fill>
                <patternFill>
                  <bgColor theme="7" tint="0.39994506668294322"/>
                </patternFill>
              </fill>
            </x14:dxf>
          </x14:cfRule>
          <xm:sqref>I39:I41</xm:sqref>
        </x14:conditionalFormatting>
        <x14:conditionalFormatting xmlns:xm="http://schemas.microsoft.com/office/excel/2006/main">
          <x14:cfRule type="expression" priority="47" id="{6EC671F7-9FFA-4791-8853-A752E354FB4E}">
            <xm:f>$I$42&lt;&gt;Pricing!$I$38</xm:f>
            <x14:dxf>
              <font>
                <color theme="5" tint="-0.24994659260841701"/>
              </font>
              <fill>
                <patternFill>
                  <bgColor theme="7" tint="0.39994506668294322"/>
                </patternFill>
              </fill>
            </x14:dxf>
          </x14:cfRule>
          <xm:sqref>I42:I44</xm:sqref>
        </x14:conditionalFormatting>
        <x14:conditionalFormatting xmlns:xm="http://schemas.microsoft.com/office/excel/2006/main">
          <x14:cfRule type="expression" priority="46" id="{C24F7B6B-C3FA-4CDC-A8DD-C248AD55D9B5}">
            <xm:f>$I$45&lt;&gt;Pricing!$I$41</xm:f>
            <x14:dxf>
              <font>
                <color theme="5" tint="-0.24994659260841701"/>
              </font>
              <fill>
                <patternFill>
                  <bgColor theme="7" tint="0.39994506668294322"/>
                </patternFill>
              </fill>
            </x14:dxf>
          </x14:cfRule>
          <xm:sqref>I45:I47</xm:sqref>
        </x14:conditionalFormatting>
        <x14:conditionalFormatting xmlns:xm="http://schemas.microsoft.com/office/excel/2006/main">
          <x14:cfRule type="expression" priority="45" id="{46398BD2-9D97-4071-82A7-2E172F66371E}">
            <xm:f>$I$48&lt;&gt;Pricing!$I$44</xm:f>
            <x14:dxf>
              <font>
                <color theme="5" tint="-0.24994659260841701"/>
              </font>
              <fill>
                <patternFill>
                  <bgColor theme="7" tint="0.39994506668294322"/>
                </patternFill>
              </fill>
            </x14:dxf>
          </x14:cfRule>
          <xm:sqref>I48:I50</xm:sqref>
        </x14:conditionalFormatting>
        <x14:conditionalFormatting xmlns:xm="http://schemas.microsoft.com/office/excel/2006/main">
          <x14:cfRule type="expression" priority="44" id="{EAA29EAE-4B0F-4B6B-9179-F057806194F7}">
            <xm:f>$I$51&lt;&gt;Pricing!$I$47</xm:f>
            <x14:dxf>
              <font>
                <color theme="5" tint="-0.24994659260841701"/>
              </font>
              <fill>
                <patternFill>
                  <bgColor theme="7" tint="0.39994506668294322"/>
                </patternFill>
              </fill>
            </x14:dxf>
          </x14:cfRule>
          <xm:sqref>I51:I53</xm:sqref>
        </x14:conditionalFormatting>
        <x14:conditionalFormatting xmlns:xm="http://schemas.microsoft.com/office/excel/2006/main">
          <x14:cfRule type="expression" priority="43" id="{4FF315EC-8865-402C-B07F-D6965B242287}">
            <xm:f>$I$54&lt;&gt;Pricing!$I$50</xm:f>
            <x14:dxf>
              <font>
                <color theme="5" tint="-0.24994659260841701"/>
              </font>
              <fill>
                <patternFill>
                  <bgColor theme="7" tint="0.39994506668294322"/>
                </patternFill>
              </fill>
            </x14:dxf>
          </x14:cfRule>
          <xm:sqref>I54:I56</xm:sqref>
        </x14:conditionalFormatting>
        <x14:conditionalFormatting xmlns:xm="http://schemas.microsoft.com/office/excel/2006/main">
          <x14:cfRule type="expression" priority="25" id="{2EEDEA15-01F6-42C5-96DA-ACCC3E4EA8B7}">
            <xm:f>S12&lt;&gt;Pricing!Q8</xm:f>
            <x14:dxf>
              <font>
                <color theme="5"/>
              </font>
              <fill>
                <patternFill>
                  <bgColor theme="7" tint="0.59996337778862885"/>
                </patternFill>
              </fill>
            </x14:dxf>
          </x14:cfRule>
          <xm:sqref>S12:AC12 S15:AC15 S18:AC18 S21:AC21 S24:AC24 S27:AC27 S30:AC30 S33:AC33 S36:AC36 S39:AC39 S42:AC42 S45:AC45 S48:AC48 S51:AC51 S54:AC54</xm:sqref>
        </x14:conditionalFormatting>
        <x14:conditionalFormatting xmlns:xm="http://schemas.microsoft.com/office/excel/2006/main">
          <x14:cfRule type="expression" priority="24" id="{1AB9AE86-5032-432E-9D3A-13E7C2B8EFA1}">
            <xm:f>OR((AE13-Pricing!$AC$10)&lt;=-0.1,(AE13-Pricing!$AC$10)&gt;=0.1)</xm:f>
            <x14:dxf>
              <fill>
                <patternFill>
                  <bgColor rgb="FFFF0000"/>
                </patternFill>
              </fill>
            </x14:dxf>
          </x14:cfRule>
          <xm:sqref>AE13</xm:sqref>
        </x14:conditionalFormatting>
        <x14:conditionalFormatting xmlns:xm="http://schemas.microsoft.com/office/excel/2006/main">
          <x14:cfRule type="expression" priority="23" id="{B86CC19D-1EF9-4028-A365-CAEF010C8BCB}">
            <xm:f>OR((AE16-Pricing!$AC$13)&lt;=-0.1,(AE16-Pricing!$AC$13)&gt;=0.1)</xm:f>
            <x14:dxf>
              <fill>
                <patternFill>
                  <bgColor rgb="FFFF0000"/>
                </patternFill>
              </fill>
            </x14:dxf>
          </x14:cfRule>
          <xm:sqref>AE16</xm:sqref>
        </x14:conditionalFormatting>
        <x14:conditionalFormatting xmlns:xm="http://schemas.microsoft.com/office/excel/2006/main">
          <x14:cfRule type="expression" priority="22" id="{84AC456F-A836-47D3-9DF4-3050D182D205}">
            <xm:f>OR((AE19-Pricing!$AC$16)&lt;=-0.1,(AE19-Pricing!$AC$16)&gt;=0.1)</xm:f>
            <x14:dxf>
              <fill>
                <patternFill>
                  <bgColor rgb="FFFF0000"/>
                </patternFill>
              </fill>
            </x14:dxf>
          </x14:cfRule>
          <xm:sqref>AE19</xm:sqref>
        </x14:conditionalFormatting>
        <x14:conditionalFormatting xmlns:xm="http://schemas.microsoft.com/office/excel/2006/main">
          <x14:cfRule type="expression" priority="21" id="{431DA264-0BC4-4342-BA95-1A61F31D7723}">
            <xm:f>OR((AE22-Pricing!$AC$19)&lt;=-0.1,(AE22-Pricing!$AC$19)&gt;=0.1)</xm:f>
            <x14:dxf>
              <fill>
                <patternFill>
                  <bgColor rgb="FFFF0000"/>
                </patternFill>
              </fill>
            </x14:dxf>
          </x14:cfRule>
          <xm:sqref>AE22</xm:sqref>
        </x14:conditionalFormatting>
        <x14:conditionalFormatting xmlns:xm="http://schemas.microsoft.com/office/excel/2006/main">
          <x14:cfRule type="expression" priority="20" id="{B5B633A1-DFA7-485E-9E9F-876CE57F5A2C}">
            <xm:f>OR((AE25-Pricing!$AC$22)&lt;=-0.1,(AE25-Pricing!$AC$22)&gt;=0.1)</xm:f>
            <x14:dxf>
              <fill>
                <patternFill>
                  <bgColor rgb="FFFF0000"/>
                </patternFill>
              </fill>
            </x14:dxf>
          </x14:cfRule>
          <xm:sqref>AE25</xm:sqref>
        </x14:conditionalFormatting>
        <x14:conditionalFormatting xmlns:xm="http://schemas.microsoft.com/office/excel/2006/main">
          <x14:cfRule type="expression" priority="19" id="{ABD2F12B-B5C6-404D-BF45-12DBF05EDAB0}">
            <xm:f>OR((AE28-Pricing!$AC$25)&lt;=-0.1,(AE28-Pricing!$AC$25)&gt;=0.1)</xm:f>
            <x14:dxf>
              <fill>
                <patternFill>
                  <bgColor rgb="FFFF0000"/>
                </patternFill>
              </fill>
            </x14:dxf>
          </x14:cfRule>
          <xm:sqref>AE28</xm:sqref>
        </x14:conditionalFormatting>
        <x14:conditionalFormatting xmlns:xm="http://schemas.microsoft.com/office/excel/2006/main">
          <x14:cfRule type="expression" priority="18" id="{834ADEFE-CC8D-45E7-9EC0-F49D71713F66}">
            <xm:f>OR((AE31-Pricing!$AC$28)&lt;=-0.1,(AE31-Pricing!$AC$28)&gt;=0.1)</xm:f>
            <x14:dxf>
              <fill>
                <patternFill>
                  <bgColor rgb="FFFF0000"/>
                </patternFill>
              </fill>
            </x14:dxf>
          </x14:cfRule>
          <xm:sqref>AE31</xm:sqref>
        </x14:conditionalFormatting>
        <x14:conditionalFormatting xmlns:xm="http://schemas.microsoft.com/office/excel/2006/main">
          <x14:cfRule type="expression" priority="17" id="{7C7DBE3B-C391-4F3F-B1A9-16632812EE5E}">
            <xm:f>OR((AE34-Pricing!$AC$31)&lt;=-0.1,(AE34-Pricing!$AC$31)&gt;=0.1)</xm:f>
            <x14:dxf>
              <fill>
                <patternFill>
                  <bgColor rgb="FFFF0000"/>
                </patternFill>
              </fill>
            </x14:dxf>
          </x14:cfRule>
          <xm:sqref>AE34:AE35</xm:sqref>
        </x14:conditionalFormatting>
        <x14:conditionalFormatting xmlns:xm="http://schemas.microsoft.com/office/excel/2006/main">
          <x14:cfRule type="expression" priority="16" id="{2838D640-4946-4677-B8A3-9E1EA6E880C6}">
            <xm:f>OR((AE37-Pricing!$AC$34)&lt;=-0.1,(AE37-Pricing!$AC$34)&gt;=0.1)</xm:f>
            <x14:dxf>
              <fill>
                <patternFill>
                  <bgColor rgb="FFFF0000"/>
                </patternFill>
              </fill>
            </x14:dxf>
          </x14:cfRule>
          <xm:sqref>AE37</xm:sqref>
        </x14:conditionalFormatting>
        <x14:conditionalFormatting xmlns:xm="http://schemas.microsoft.com/office/excel/2006/main">
          <x14:cfRule type="expression" priority="15" id="{14CF2C92-4879-447E-9348-929E359CA12C}">
            <xm:f>OR((AE40-Pricing!$AC$37)&lt;=-0.1,(AE40-Pricing!$AC$37)&gt;=0.1)</xm:f>
            <x14:dxf>
              <fill>
                <patternFill>
                  <bgColor rgb="FFFF0000"/>
                </patternFill>
              </fill>
            </x14:dxf>
          </x14:cfRule>
          <xm:sqref>AE40</xm:sqref>
        </x14:conditionalFormatting>
        <x14:conditionalFormatting xmlns:xm="http://schemas.microsoft.com/office/excel/2006/main">
          <x14:cfRule type="expression" priority="14" id="{31037B11-B7BE-4E55-AD54-32E99CC07D35}">
            <xm:f>OR((AE43-Pricing!$AC$40)&lt;=-0.1,(AE43-Pricing!$AC$40)&gt;=0.1)</xm:f>
            <x14:dxf>
              <fill>
                <patternFill>
                  <bgColor rgb="FFFF0000"/>
                </patternFill>
              </fill>
            </x14:dxf>
          </x14:cfRule>
          <xm:sqref>AE43</xm:sqref>
        </x14:conditionalFormatting>
        <x14:conditionalFormatting xmlns:xm="http://schemas.microsoft.com/office/excel/2006/main">
          <x14:cfRule type="expression" priority="13" id="{5AFFB5EA-B7DA-4785-A99C-0FA29451D711}">
            <xm:f>OR((AE46-Pricing!$AC$43)&lt;=-0.1,(AE46-Pricing!$AC$43)&gt;=0.1)</xm:f>
            <x14:dxf>
              <fill>
                <patternFill>
                  <bgColor rgb="FFFF0000"/>
                </patternFill>
              </fill>
            </x14:dxf>
          </x14:cfRule>
          <xm:sqref>AE46</xm:sqref>
        </x14:conditionalFormatting>
        <x14:conditionalFormatting xmlns:xm="http://schemas.microsoft.com/office/excel/2006/main">
          <x14:cfRule type="expression" priority="12" id="{9028AD91-E236-4F60-B102-6A399C0C80FC}">
            <xm:f>OR((AE49-Pricing!$AC$46)&lt;=-0.1,(AE49-Pricing!$AC$46)&gt;=0.1)</xm:f>
            <x14:dxf>
              <fill>
                <patternFill>
                  <bgColor rgb="FFFF0000"/>
                </patternFill>
              </fill>
            </x14:dxf>
          </x14:cfRule>
          <xm:sqref>AE49</xm:sqref>
        </x14:conditionalFormatting>
        <x14:conditionalFormatting xmlns:xm="http://schemas.microsoft.com/office/excel/2006/main">
          <x14:cfRule type="expression" priority="11" id="{7B9543D9-77AD-4B99-9852-5371923F15B8}">
            <xm:f>OR((AE52-Pricing!$AC$49)&lt;=-0.1,(AE52-Pricing!$AC$49)&gt;=0.1)</xm:f>
            <x14:dxf>
              <fill>
                <patternFill>
                  <bgColor rgb="FFFF0000"/>
                </patternFill>
              </fill>
            </x14:dxf>
          </x14:cfRule>
          <xm:sqref>AE52</xm:sqref>
        </x14:conditionalFormatting>
        <x14:conditionalFormatting xmlns:xm="http://schemas.microsoft.com/office/excel/2006/main">
          <x14:cfRule type="expression" priority="10" id="{13531CF5-06BB-4DD3-8A23-4D2B438BCD8D}">
            <xm:f>OR((AE55-Pricing!$AC$52)&lt;=-0.1,(AE55-Pricing!$AC$52)&gt;=0.1)</xm:f>
            <x14:dxf>
              <fill>
                <patternFill>
                  <bgColor rgb="FFFF0000"/>
                </patternFill>
              </fill>
            </x14:dxf>
          </x14:cfRule>
          <xm:sqref>AE55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6706-EE7A-4479-B216-E74F0E1D06B5}">
  <sheetPr codeName="Sheet3"/>
  <dimension ref="B1:BJ93"/>
  <sheetViews>
    <sheetView zoomScaleNormal="100" workbookViewId="0">
      <selection activeCell="J17" sqref="J17"/>
    </sheetView>
  </sheetViews>
  <sheetFormatPr defaultRowHeight="15" x14ac:dyDescent="0.2"/>
  <cols>
    <col min="1" max="1" width="2.41796875" customWidth="1"/>
    <col min="2" max="39" width="5.51171875" customWidth="1"/>
    <col min="44" max="44" width="5.109375" customWidth="1"/>
    <col min="45" max="45" width="12.375" customWidth="1"/>
    <col min="48" max="48" width="6.3203125" hidden="1" customWidth="1"/>
    <col min="49" max="59" width="5.6484375" hidden="1" customWidth="1"/>
    <col min="60" max="62" width="0" hidden="1" customWidth="1"/>
  </cols>
  <sheetData>
    <row r="1" spans="2:62" ht="6.95" customHeight="1" thickBot="1" x14ac:dyDescent="0.25"/>
    <row r="2" spans="2:62" ht="15.75" thickTop="1" x14ac:dyDescent="0.2">
      <c r="B2" s="1107">
        <v>1</v>
      </c>
      <c r="C2" s="1108"/>
      <c r="D2" s="1111" t="s">
        <v>169</v>
      </c>
      <c r="E2" s="1112"/>
      <c r="F2" s="1113" t="s">
        <v>170</v>
      </c>
      <c r="G2" s="1114"/>
      <c r="H2" s="1112" t="str">
        <f>IF(F2=1,'Survey Front'!C12&amp;" "&amp;'Survey Front'!C13&amp;" "&amp;'Survey Front'!C14,IF(F2=2,'Survey Front'!C15&amp;" "&amp;'Survey Front'!C16&amp;" "&amp;'Survey Front'!C17,IF(F2=3,'Survey Front'!C18&amp;" "&amp;'Survey Front'!C19&amp;" "&amp;'Survey Front'!C20,IF(F2=4,'Survey Front'!C21&amp;" "&amp;'Survey Front'!C22&amp;" "&amp;'Survey Front'!C23,IF(F2=5,'Survey Front'!C24&amp;" "&amp;'Survey Front'!C25&amp;" "&amp;'Survey Front'!C26,IF(F2=6,'Survey Front'!C27&amp;" "&amp;'Survey Front'!C28&amp;" "&amp;'Survey Front'!C29,IF(F2=7,'Survey Front'!C30&amp;" "&amp;'Survey Front'!C31&amp;" "&amp;'Survey Front'!C32,IF(F2=8,'Survey Front'!C33&amp;" "&amp;'Survey Front'!C34&amp;" "&amp;'Survey Front'!C35,IF(F2=9,'Survey Front'!C36&amp;" "&amp;'Survey Front'!C37&amp;" "&amp;'Survey Front'!C38,IF(F2=10,'Survey Front'!C39 &amp;" " &amp;'Survey Front'!C40 &amp; " " &amp; 'Survey Front'!C41,IF(F2=11,'Survey Front'!C42 &amp;" " &amp;'Survey Front'!C43 &amp; " " &amp; 'Survey Front'!C44,IF(F2=12,'Survey Front'!C45 &amp;" " &amp;'Survey Front'!C46 &amp; " " &amp; 'Survey Front'!C47,IF(F2=13,'Survey Front'!C48 &amp;" " &amp;'Survey Front'!C49 &amp; " " &amp; 'Survey Front'!C50,IF(F2=14,'Survey Front'!C51 &amp;" " &amp;'Survey Front'!C52 &amp; " " &amp; 'Survey Front'!C53,IF(F2=15,'Survey Front'!C54 &amp;" " &amp;'Survey Front'!C55 &amp; " " &amp; 'Survey Front'!C56,"")))))))))))))))</f>
        <v/>
      </c>
      <c r="I2" s="1112"/>
      <c r="J2" s="1112"/>
      <c r="K2" s="1112"/>
      <c r="L2" s="1112"/>
      <c r="M2" s="1112"/>
      <c r="N2" s="1112"/>
      <c r="O2" s="1112"/>
      <c r="P2" s="1117"/>
      <c r="Q2" s="1120" t="s">
        <v>171</v>
      </c>
      <c r="R2" s="1121"/>
      <c r="S2" s="1121"/>
      <c r="T2" s="1122"/>
      <c r="U2" s="1107">
        <v>2</v>
      </c>
      <c r="V2" s="1108"/>
      <c r="W2" s="1111" t="s">
        <v>169</v>
      </c>
      <c r="X2" s="1112"/>
      <c r="Y2" s="1113" t="s">
        <v>170</v>
      </c>
      <c r="Z2" s="1114"/>
      <c r="AA2" s="1112" t="str">
        <f>IF(Y2=1,'Survey Front'!C12&amp;" "&amp;'Survey Front'!C13&amp;" "&amp;'Survey Front'!C14,IF(Y2=2,'Survey Front'!C15&amp;" "&amp;'Survey Front'!C16&amp;" "&amp;'Survey Front'!C17,IF(Y2=3,'Survey Front'!C18&amp;" "&amp;'Survey Front'!C19&amp;" "&amp;'Survey Front'!C20,IF(Y2=4,'Survey Front'!C21&amp;" "&amp;'Survey Front'!C22&amp;" "&amp;'Survey Front'!C23,IF(Y2=5,'Survey Front'!C24&amp;" "&amp;'Survey Front'!C25&amp;" "&amp;'Survey Front'!C26,IF(Y2=6,'Survey Front'!C27&amp;" "&amp;'Survey Front'!C28&amp;" "&amp;'Survey Front'!C29,IF(Y2=7,'Survey Front'!C30&amp;" "&amp;'Survey Front'!C31&amp;" "&amp;'Survey Front'!C32,IF(Y2=8,'Survey Front'!C33&amp;" "&amp;'Survey Front'!C34&amp;" "&amp;'Survey Front'!C35,IF(Y2=9,'Survey Front'!C36&amp;" "&amp;'Survey Front'!C37&amp;" "&amp;'Survey Front'!C38,IF(Y2=10,'Survey Front'!C39 &amp;" " &amp;'Survey Front'!C40 &amp; " " &amp; 'Survey Front'!C41,IF(Y2=11,'Survey Front'!C42 &amp;" " &amp;'Survey Front'!C43 &amp; " " &amp; 'Survey Front'!C44,IF(Y2=12,'Survey Front'!C45 &amp;" " &amp;'Survey Front'!C46 &amp; " " &amp; 'Survey Front'!C47,IF(Y2=13,'Survey Front'!C48 &amp;" " &amp;'Survey Front'!C49 &amp; " " &amp; 'Survey Front'!C50,IF(Y2=14,'Survey Front'!C51 &amp;" " &amp;'Survey Front'!C52 &amp; " " &amp; 'Survey Front'!C53,IF(Y2=15,'Survey Front'!C54 &amp;" " &amp;'Survey Front'!C55 &amp; " " &amp; 'Survey Front'!C56,"")))))))))))))))</f>
        <v/>
      </c>
      <c r="AB2" s="1112"/>
      <c r="AC2" s="1112"/>
      <c r="AD2" s="1112"/>
      <c r="AE2" s="1112"/>
      <c r="AF2" s="1112"/>
      <c r="AG2" s="1112"/>
      <c r="AH2" s="1112"/>
      <c r="AI2" s="1117"/>
      <c r="AJ2" s="1127" t="s">
        <v>171</v>
      </c>
      <c r="AK2" s="1124"/>
      <c r="AL2" s="1124"/>
      <c r="AM2" s="1128"/>
      <c r="AN2" s="1123" t="s">
        <v>172</v>
      </c>
      <c r="AO2" s="1124"/>
      <c r="AP2" s="1124"/>
      <c r="AQ2" s="1124"/>
      <c r="AR2" s="201"/>
      <c r="AS2" s="202"/>
    </row>
    <row r="3" spans="2:62" ht="15.75" thickBot="1" x14ac:dyDescent="0.25">
      <c r="B3" s="1109"/>
      <c r="C3" s="1110"/>
      <c r="D3" s="1101"/>
      <c r="E3" s="1102"/>
      <c r="F3" s="1115"/>
      <c r="G3" s="1116"/>
      <c r="H3" s="1099"/>
      <c r="I3" s="1099"/>
      <c r="J3" s="1099"/>
      <c r="K3" s="1099"/>
      <c r="L3" s="1099"/>
      <c r="M3" s="1099"/>
      <c r="N3" s="1099"/>
      <c r="O3" s="1099"/>
      <c r="P3" s="1118"/>
      <c r="Q3" s="1098" t="s">
        <v>170</v>
      </c>
      <c r="R3" s="1099"/>
      <c r="S3" s="1099"/>
      <c r="T3" s="1100"/>
      <c r="U3" s="1109"/>
      <c r="V3" s="1110"/>
      <c r="W3" s="1101"/>
      <c r="X3" s="1102"/>
      <c r="Y3" s="1115"/>
      <c r="Z3" s="1116"/>
      <c r="AA3" s="1099"/>
      <c r="AB3" s="1099"/>
      <c r="AC3" s="1099"/>
      <c r="AD3" s="1099"/>
      <c r="AE3" s="1099"/>
      <c r="AF3" s="1099"/>
      <c r="AG3" s="1099"/>
      <c r="AH3" s="1099"/>
      <c r="AI3" s="1118"/>
      <c r="AJ3" s="1098" t="s">
        <v>170</v>
      </c>
      <c r="AK3" s="1099"/>
      <c r="AL3" s="1099"/>
      <c r="AM3" s="1100"/>
      <c r="AN3" s="1125"/>
      <c r="AO3" s="1126"/>
      <c r="AP3" s="1126"/>
      <c r="AQ3" s="1126"/>
      <c r="AR3" s="203" t="s">
        <v>173</v>
      </c>
      <c r="AS3" s="204" t="s">
        <v>174</v>
      </c>
    </row>
    <row r="4" spans="2:62" ht="15.75" thickBot="1" x14ac:dyDescent="0.25">
      <c r="B4" s="27"/>
      <c r="C4" s="16"/>
      <c r="D4" s="16"/>
      <c r="E4" s="1104"/>
      <c r="F4" s="1104"/>
      <c r="G4" s="1104"/>
      <c r="H4" s="1102"/>
      <c r="I4" s="1102"/>
      <c r="J4" s="1102"/>
      <c r="K4" s="1102"/>
      <c r="L4" s="1102"/>
      <c r="M4" s="1102"/>
      <c r="N4" s="1102"/>
      <c r="O4" s="1102"/>
      <c r="P4" s="1119"/>
      <c r="Q4" s="1101"/>
      <c r="R4" s="1102"/>
      <c r="S4" s="1102"/>
      <c r="T4" s="1103"/>
      <c r="U4" s="27"/>
      <c r="V4" s="16"/>
      <c r="W4" s="1104"/>
      <c r="X4" s="1104"/>
      <c r="Y4" s="1104"/>
      <c r="Z4" s="1104"/>
      <c r="AA4" s="1102"/>
      <c r="AB4" s="1102"/>
      <c r="AC4" s="1102"/>
      <c r="AD4" s="1102"/>
      <c r="AE4" s="1102"/>
      <c r="AF4" s="1102"/>
      <c r="AG4" s="1102"/>
      <c r="AH4" s="1102"/>
      <c r="AI4" s="1119"/>
      <c r="AJ4" s="1101"/>
      <c r="AK4" s="1102"/>
      <c r="AL4" s="1102"/>
      <c r="AM4" s="1103"/>
      <c r="AN4" s="1105">
        <v>1</v>
      </c>
      <c r="AO4" s="1085" t="s">
        <v>175</v>
      </c>
      <c r="AP4" s="1086"/>
      <c r="AQ4" s="205" t="s">
        <v>170</v>
      </c>
      <c r="AR4" s="187">
        <v>0</v>
      </c>
      <c r="AS4" s="188" t="s">
        <v>176</v>
      </c>
      <c r="BI4" s="4" t="s">
        <v>177</v>
      </c>
      <c r="BJ4" s="4" t="s">
        <v>178</v>
      </c>
    </row>
    <row r="5" spans="2:62" ht="22.5" customHeight="1" thickBot="1" x14ac:dyDescent="0.25">
      <c r="B5" s="307"/>
      <c r="C5" s="28"/>
      <c r="D5" s="28"/>
      <c r="E5" s="28"/>
      <c r="F5" s="28"/>
      <c r="G5" s="28"/>
      <c r="H5" s="28"/>
      <c r="I5" s="28"/>
      <c r="J5" s="28"/>
      <c r="K5" s="28"/>
      <c r="L5" s="28"/>
      <c r="M5" s="28"/>
      <c r="N5" s="28"/>
      <c r="O5" s="28"/>
      <c r="P5" s="28"/>
      <c r="Q5" s="28"/>
      <c r="R5" s="28"/>
      <c r="S5" s="28"/>
      <c r="T5" s="308"/>
      <c r="U5" s="307"/>
      <c r="V5" s="28"/>
      <c r="W5" s="28"/>
      <c r="X5" s="28"/>
      <c r="Y5" s="28"/>
      <c r="Z5" s="28"/>
      <c r="AA5" s="28"/>
      <c r="AB5" s="28"/>
      <c r="AC5" s="28"/>
      <c r="AD5" s="28"/>
      <c r="AE5" s="28"/>
      <c r="AF5" s="28"/>
      <c r="AG5" s="28"/>
      <c r="AH5" s="28"/>
      <c r="AI5" s="28"/>
      <c r="AJ5" s="315"/>
      <c r="AK5" s="315"/>
      <c r="AL5" s="315"/>
      <c r="AM5" s="316"/>
      <c r="AN5" s="1106"/>
      <c r="AO5" s="185"/>
      <c r="AP5" s="186"/>
      <c r="AQ5" s="186"/>
      <c r="AR5" s="187">
        <v>0</v>
      </c>
      <c r="AS5" s="188" t="s">
        <v>176</v>
      </c>
      <c r="AV5" t="str">
        <f>F2</f>
        <v>Select</v>
      </c>
      <c r="AW5" s="29" t="str">
        <f>IF(IF($F$2=1,J17,IF($F$2=2,J17,IF($F$2=3,J17,IF($F$2=4,J17,IF($F$2=5,J17,IF($F$2=6,J17,IF($F$2=7,J17,IF($F$2=8,J17,IF($F$2=9,J17,IF($F$2=10,J17,IF($F$2=11,J17,IF($F$2=12,J17,IF($F$2=13,J17,IF($F$2=14,J17,IF($F$2=15,J17,)))))))))))))))=0,"",IF($F$2=1,J17,IF($F$2=2,J17,IF($F$2=3,J17,IF($F$2=4,J17,IF($F$2=5,J17,IF($F$2=6,J17,IF($F$2=7,J17,IF($F$2=8,J17,IF($F$2=9,J17,IF($F$2=10,J17,IF($F$2=11,J17,IF($F$2=12,J17,IF($F$2=13,J17,IF($F$2=14,J17,IF($F$2=15,J17,))))))))))))))))</f>
        <v/>
      </c>
      <c r="AX5" s="29" t="str">
        <f>IF(IF($F$2=1,K17,IF($F$2=2,K17,IF($F$2=3,K17,IF($F$2=4,K17,IF($F$2=5,K17,IF($F$2=6,K17,IF($F$2=7,K17,IF($F$2=8,K17,IF($F$2=9,K17,IF($F$2=10,K17,IF($F$2=11,K17,IF($F$2=12,K17,IF($F$2=13,K17,IF($F$2=14,K17,IF($F$2=15,K17,)))))))))))))))=0,"",IF($F$2=1,K17,IF($F$2=2,K17,IF($F$2=3,K17,IF($F$2=4,K17,IF($F$2=5,K17,IF($F$2=6,K17,IF($F$2=7,K17,IF($F$2=8,K17,IF($F$2=9,K17,IF($F$2=10,K17,IF($F$2=11,K17,IF($F$2=12,K17,IF($F$2=13,K17,IF($F$2=14,K17,IF($F$2=15,K17,))))))))))))))))</f>
        <v/>
      </c>
      <c r="AY5" s="29" t="str">
        <f>IF(IF($F$2=1,L17,IF($F$2=2,L17,IF($F$2=3,L17,IF($F$2=4,L17,IF($F$2=5,L17,IF($F$2=6,L17,IF($F$2=7,L17,IF($F$2=8,L17,IF($F$2=9,L17,IF($F$2=10,L17,IF($F$2=11,L17,IF($F$2=12,L17,IF($F$2=13,L17,IF($F$2=14,L17,IF($F$2=15,L17,"")))))))))))))))=0,"",IF($F$2=1,L17,IF($F$2=2,L17,IF($F$2=3,L17,IF($F$2=4,L17,IF($F$2=5,L17,IF($F$2=6,L17,IF($F$2=7,L17,IF($F$2=8,L17,IF($F$2=9,L17,IF($F$2=10,L17,IF($F$2=11,L17,IF($F$2=12,L17,IF($F$2=13,L17,IF($F$2=14,L17,IF($F$2=15,L17,""))))))))))))))))</f>
        <v/>
      </c>
      <c r="AZ5" s="29" t="str">
        <f t="shared" ref="AZ5:BG5" si="0">IF(IF($F$2=1,M17,IF($F$2=2,M17,IF($F$2=3,M17,IF($F$2=4,M17,IF($F$2=5,M17,IF($F$2=6,M17,IF($F$2=7,M17,IF($F$2=8,M17,IF($F$2=9,M17,IF($F$2=10,M17,IF($F$2=11,M17,IF($F$2=12,M17,IF($F$2=13,M17,IF($F$2=14,M17,IF($F$2=15,M17,)))))))))))))))=0,"",IF($F$2=1,M17,IF($F$2=2,M17,IF($F$2=3,M17,IF($F$2=4,M17,IF($F$2=5,M17,IF($F$2=6,M17,IF($F$2=7,M17,IF($F$2=8,M17,IF($F$2=9,M17,IF($F$2=10,M17,IF($F$2=11,M17,IF($F$2=12,M17,IF($F$2=13,M17,IF($F$2=14,M17,IF($F$2=15,M17,))))))))))))))))</f>
        <v/>
      </c>
      <c r="BA5" s="29" t="str">
        <f t="shared" si="0"/>
        <v/>
      </c>
      <c r="BB5" s="29" t="str">
        <f t="shared" si="0"/>
        <v/>
      </c>
      <c r="BC5" s="29" t="str">
        <f t="shared" si="0"/>
        <v/>
      </c>
      <c r="BD5" s="29" t="str">
        <f t="shared" si="0"/>
        <v/>
      </c>
      <c r="BE5" s="29" t="str">
        <f t="shared" si="0"/>
        <v/>
      </c>
      <c r="BF5" s="29" t="str">
        <f t="shared" si="0"/>
        <v/>
      </c>
      <c r="BG5" s="29" t="str">
        <f t="shared" si="0"/>
        <v/>
      </c>
      <c r="BI5" s="30">
        <f>SUMPRODUCT(LEN(AW5:BG5)-LEN(SUBSTITUTE(AW5:BG5,"L",""))+LEN(AW5:BG5)-LEN(SUBSTITUTE(AW5:BG5,"R","")))</f>
        <v>0</v>
      </c>
      <c r="BJ5" s="4">
        <f>SUMPRODUCT(LEN(AW5:BG5)-LEN(SUBSTITUTE(AW5:BG5,"(","")))</f>
        <v>0</v>
      </c>
    </row>
    <row r="6" spans="2:62" ht="22.5" customHeight="1" thickBot="1" x14ac:dyDescent="0.25">
      <c r="B6" s="307"/>
      <c r="C6" s="28"/>
      <c r="D6" s="28"/>
      <c r="E6" s="28"/>
      <c r="F6" s="28"/>
      <c r="G6" s="28"/>
      <c r="H6" s="28"/>
      <c r="I6" s="28"/>
      <c r="J6" s="28"/>
      <c r="K6" s="28"/>
      <c r="L6" s="28"/>
      <c r="M6" s="28"/>
      <c r="N6" s="28"/>
      <c r="O6" s="28"/>
      <c r="P6" s="28"/>
      <c r="Q6" s="28"/>
      <c r="R6" s="28"/>
      <c r="S6" s="28"/>
      <c r="T6" s="308"/>
      <c r="U6" s="307"/>
      <c r="V6" s="28"/>
      <c r="W6" s="28"/>
      <c r="X6" s="28"/>
      <c r="Y6" s="28"/>
      <c r="Z6" s="28"/>
      <c r="AA6" s="28"/>
      <c r="AB6" s="28"/>
      <c r="AC6" s="28"/>
      <c r="AD6" s="28"/>
      <c r="AE6" s="28"/>
      <c r="AF6" s="28"/>
      <c r="AG6" s="28"/>
      <c r="AH6" s="28"/>
      <c r="AI6" s="28"/>
      <c r="AJ6" s="28"/>
      <c r="AK6" s="28"/>
      <c r="AL6" s="28"/>
      <c r="AM6" s="308"/>
      <c r="AN6" s="1087"/>
      <c r="AO6" s="1088"/>
      <c r="AP6" s="1088"/>
      <c r="AQ6" s="1089"/>
      <c r="AR6" s="187">
        <v>0</v>
      </c>
      <c r="AS6" s="188" t="s">
        <v>176</v>
      </c>
      <c r="AW6" s="31">
        <f>J18</f>
        <v>0</v>
      </c>
      <c r="AX6" s="31">
        <f t="shared" ref="AX6:BG6" si="1">K18</f>
        <v>0</v>
      </c>
      <c r="AY6" s="31">
        <f t="shared" si="1"/>
        <v>0</v>
      </c>
      <c r="AZ6" s="31">
        <f t="shared" si="1"/>
        <v>0</v>
      </c>
      <c r="BA6" s="31">
        <f t="shared" si="1"/>
        <v>0</v>
      </c>
      <c r="BB6" s="31">
        <f t="shared" si="1"/>
        <v>0</v>
      </c>
      <c r="BC6" s="31">
        <f t="shared" si="1"/>
        <v>0</v>
      </c>
      <c r="BD6" s="31">
        <f t="shared" si="1"/>
        <v>0</v>
      </c>
      <c r="BE6" s="31">
        <f>R18</f>
        <v>0</v>
      </c>
      <c r="BF6" s="31">
        <f t="shared" si="1"/>
        <v>0</v>
      </c>
      <c r="BG6" s="31">
        <f t="shared" si="1"/>
        <v>0</v>
      </c>
    </row>
    <row r="7" spans="2:62" ht="22.5" customHeight="1" thickBot="1" x14ac:dyDescent="0.25">
      <c r="B7" s="307"/>
      <c r="C7" s="28"/>
      <c r="D7" s="28"/>
      <c r="E7" s="28"/>
      <c r="F7" s="28"/>
      <c r="G7" s="28"/>
      <c r="H7" s="28"/>
      <c r="I7" s="28"/>
      <c r="J7" s="28"/>
      <c r="K7" s="28"/>
      <c r="L7" s="28"/>
      <c r="M7" s="28"/>
      <c r="N7" s="28"/>
      <c r="O7" s="28"/>
      <c r="P7" s="28"/>
      <c r="Q7" s="28"/>
      <c r="R7" s="28"/>
      <c r="S7" s="28"/>
      <c r="T7" s="308"/>
      <c r="U7" s="307"/>
      <c r="V7" s="28"/>
      <c r="W7" s="28"/>
      <c r="X7" s="28"/>
      <c r="Y7" s="28"/>
      <c r="Z7" s="28"/>
      <c r="AA7" s="28"/>
      <c r="AB7" s="28"/>
      <c r="AC7" s="28"/>
      <c r="AD7" s="28"/>
      <c r="AE7" s="28"/>
      <c r="AF7" s="28"/>
      <c r="AG7" s="28"/>
      <c r="AH7" s="28"/>
      <c r="AI7" s="28"/>
      <c r="AJ7" s="28"/>
      <c r="AK7" s="28"/>
      <c r="AL7" s="28"/>
      <c r="AM7" s="308"/>
      <c r="AN7" s="1090"/>
      <c r="AO7" s="1091"/>
      <c r="AP7" s="1091"/>
      <c r="AQ7" s="1092"/>
      <c r="AR7" s="187">
        <v>0</v>
      </c>
      <c r="AS7" s="188" t="s">
        <v>176</v>
      </c>
      <c r="AW7" s="32">
        <f>IF(AW6&gt;0,AW6-(IF(AV6&gt;0,AV6,IF(AU6&gt;0,AU6,IF(AT6&gt;0,AT6,IF(AS6&gt;0,AS6,))))),0)</f>
        <v>0</v>
      </c>
      <c r="AX7" s="32">
        <f>IF(AX6&gt;0,AX6-(IF(AW6&gt;0,AW6,IF(AV6&gt;0,AV6,IF(AU6&gt;0,AU6,IF(AT6&gt;0,AT6,))))),0)</f>
        <v>0</v>
      </c>
      <c r="AY7" s="32">
        <f>IF(AY6&gt;0,AY6-(IF(AX6&gt;0,AX6,IF(AW6&gt;0,AW6,IF(AV6&gt;0,AV6,IF(AU6&gt;0,AU6,))))),0)</f>
        <v>0</v>
      </c>
      <c r="AZ7" s="32">
        <f>IF(AZ6&gt;0,AZ6-(IF(AY6&gt;0,AY6,IF(AX6&gt;0,AX6,IF(AW6&gt;0,AW6,IF(AV6&gt;0,AV6,))))),0)</f>
        <v>0</v>
      </c>
      <c r="BA7" s="32">
        <f>IF(BA6&gt;0,BA6-(IF(AZ6&gt;0,AZ6,IF(AY6&gt;0,AY6,IF(AX6&gt;0,AX6,IF(AW6&gt;0,AW6,))))),0)</f>
        <v>0</v>
      </c>
      <c r="BB7" s="32">
        <f>IF(BB6&gt;0,BB6 -(IF(BA6&gt;0,BA6,IF(AZ6&gt;0,AZ6,IF(AY6&gt;0,AY6,IF(AX6&gt;0,AX6,IF(AW6&gt;0,AW6)))))),0)</f>
        <v>0</v>
      </c>
      <c r="BC7" s="32">
        <f>IF(BC6&gt;0,BC6-(IF(BB6&gt;0,BB6,IF(BA6&gt;0,BA6,IF(AZ6&gt;0,AZ6,IF(AY6&gt;0,AY6,IF(AX6&gt;0,AX6,IF(AW6&gt;0,AW6,))))))),0)</f>
        <v>0</v>
      </c>
      <c r="BD7" s="32">
        <f>IF(BD6&gt;0,BD6-(IF(BC6&gt;0,BC6,IF(BB6&gt;0,BB6,IF(BA6&gt;0,BA6,IF(AZ6&gt;0,AZ6,IF(AY6&gt;0,AY6,IF(AX6&gt;0,AX6,))))))),0)</f>
        <v>0</v>
      </c>
      <c r="BE7" s="32">
        <f>IF(BE6&gt;0,BE6-(IF(BD6&gt;0,BD6,IF(BC6&gt;0,BC6,IF(BB6&gt;0,BB6,IF(BA6&gt;0,BA6,IF(AZ6&gt;0,AZ6,IF(AY6&gt;0,AY6,))))))),0)</f>
        <v>0</v>
      </c>
      <c r="BF7" s="32">
        <f>IF(BF6&gt;0,BF6-(IF(BE6&gt;0,BE6,IF(BD6&gt;0,BD6,IF(BC6&gt;0,BC6,IF(BB6&gt;0,BB6,IF(BA6&gt;0,BA6,IF(AZ6&gt;0,AZ6,))))))),0)</f>
        <v>0</v>
      </c>
      <c r="BG7" s="32">
        <f>IF(BG6&gt;0,BG6-(IF(BF6&gt;0,BF6,IF(BE6&gt;0,BE6,IF(BD6&gt;0,BD6,IF(BC6&gt;0,BC6,IF(BB6&gt;0,BB6,IF(BA6&gt;0,BA6,))))))),0)</f>
        <v>0</v>
      </c>
    </row>
    <row r="8" spans="2:62" ht="22.5" customHeight="1" thickBot="1" x14ac:dyDescent="0.25">
      <c r="B8" s="307"/>
      <c r="C8" s="28"/>
      <c r="D8" s="28"/>
      <c r="E8" s="28"/>
      <c r="F8" s="28"/>
      <c r="G8" s="28"/>
      <c r="H8" s="28"/>
      <c r="I8" s="28"/>
      <c r="J8" s="28"/>
      <c r="K8" s="28"/>
      <c r="L8" s="28"/>
      <c r="M8" s="28"/>
      <c r="N8" s="28"/>
      <c r="O8" s="28"/>
      <c r="P8" s="28"/>
      <c r="Q8" s="28"/>
      <c r="R8" s="28"/>
      <c r="S8" s="28"/>
      <c r="T8" s="308"/>
      <c r="U8" s="307"/>
      <c r="V8" s="28"/>
      <c r="W8" s="28"/>
      <c r="X8" s="28"/>
      <c r="Y8" s="28"/>
      <c r="Z8" s="28"/>
      <c r="AA8" s="28"/>
      <c r="AB8" s="28"/>
      <c r="AC8" s="28"/>
      <c r="AD8" s="28"/>
      <c r="AE8" s="28"/>
      <c r="AF8" s="28"/>
      <c r="AG8" s="28"/>
      <c r="AH8" s="28"/>
      <c r="AI8" s="28"/>
      <c r="AJ8" s="28"/>
      <c r="AK8" s="28"/>
      <c r="AL8" s="28"/>
      <c r="AM8" s="308"/>
      <c r="AN8" s="1093"/>
      <c r="AO8" s="1094"/>
      <c r="AP8" s="1094"/>
      <c r="AQ8" s="1095"/>
      <c r="AR8" s="187">
        <v>0</v>
      </c>
      <c r="AS8" s="188" t="s">
        <v>176</v>
      </c>
    </row>
    <row r="9" spans="2:62" ht="22.5" customHeight="1" thickTop="1" thickBot="1" x14ac:dyDescent="0.25">
      <c r="B9" s="307"/>
      <c r="C9" s="28"/>
      <c r="D9" s="28"/>
      <c r="E9" s="28"/>
      <c r="F9" s="28"/>
      <c r="G9" s="28"/>
      <c r="H9" s="28"/>
      <c r="I9" s="28"/>
      <c r="J9" s="28"/>
      <c r="K9" s="28"/>
      <c r="L9" s="28"/>
      <c r="M9" s="28"/>
      <c r="N9" s="28"/>
      <c r="O9" s="28"/>
      <c r="P9" s="28"/>
      <c r="Q9" s="28"/>
      <c r="R9" s="28"/>
      <c r="S9" s="28"/>
      <c r="T9" s="308"/>
      <c r="U9" s="307"/>
      <c r="V9" s="28"/>
      <c r="W9" s="28"/>
      <c r="X9" s="28"/>
      <c r="Y9" s="28"/>
      <c r="Z9" s="28"/>
      <c r="AA9" s="28"/>
      <c r="AB9" s="28"/>
      <c r="AC9" s="28"/>
      <c r="AD9" s="28"/>
      <c r="AE9" s="28"/>
      <c r="AF9" s="28"/>
      <c r="AG9" s="28"/>
      <c r="AH9" s="28"/>
      <c r="AI9" s="28"/>
      <c r="AJ9" s="28"/>
      <c r="AK9" s="28"/>
      <c r="AL9" s="28"/>
      <c r="AM9" s="308"/>
      <c r="AN9" s="1105">
        <v>2</v>
      </c>
      <c r="AO9" s="1085" t="s">
        <v>175</v>
      </c>
      <c r="AP9" s="1086"/>
      <c r="AQ9" s="206" t="s">
        <v>170</v>
      </c>
      <c r="AR9" s="187">
        <v>0</v>
      </c>
      <c r="AS9" s="188" t="s">
        <v>176</v>
      </c>
    </row>
    <row r="10" spans="2:62" ht="22.5" customHeight="1" thickBot="1" x14ac:dyDescent="0.25">
      <c r="B10" s="307"/>
      <c r="C10" s="28"/>
      <c r="D10" s="28"/>
      <c r="E10" s="28"/>
      <c r="F10" s="28"/>
      <c r="G10" s="28"/>
      <c r="H10" s="28"/>
      <c r="I10" s="28"/>
      <c r="J10" s="28"/>
      <c r="K10" s="28"/>
      <c r="L10" s="28"/>
      <c r="M10" s="28"/>
      <c r="N10" s="28"/>
      <c r="O10" s="28"/>
      <c r="P10" s="28"/>
      <c r="Q10" s="28"/>
      <c r="R10" s="28"/>
      <c r="S10" s="28"/>
      <c r="T10" s="308"/>
      <c r="U10" s="307"/>
      <c r="V10" s="28"/>
      <c r="W10" s="28"/>
      <c r="X10" s="28"/>
      <c r="Y10" s="28"/>
      <c r="Z10" s="28"/>
      <c r="AA10" s="28"/>
      <c r="AB10" s="28"/>
      <c r="AC10" s="28"/>
      <c r="AD10" s="28"/>
      <c r="AE10" s="28"/>
      <c r="AF10" s="28"/>
      <c r="AG10" s="28"/>
      <c r="AH10" s="28"/>
      <c r="AI10" s="28"/>
      <c r="AJ10" s="28"/>
      <c r="AK10" s="28"/>
      <c r="AL10" s="28"/>
      <c r="AM10" s="308"/>
      <c r="AN10" s="1106"/>
      <c r="AO10" s="185"/>
      <c r="AP10" s="186"/>
      <c r="AQ10" s="186"/>
      <c r="AR10" s="187">
        <v>0</v>
      </c>
      <c r="AS10" s="188" t="s">
        <v>176</v>
      </c>
      <c r="AV10" t="str">
        <f>Y2</f>
        <v>Select</v>
      </c>
      <c r="AW10" s="29" t="str">
        <f t="shared" ref="AW10:BB10" si="2">IF(IF($Y$2=1,AC17,IF($Y$2=2,AC17,IF($Y$2=3,AC17,IF($Y$2=4,AC17,IF($Y$2=5,AC17,IF($Y$2=6,AC17,IF($Y$2=7,AC17,IF($Y$2=8,AC17,IF($Y$2=9,AC17,IF($Y$2=10,AC17,IF($Y$2=11,AC17,IF($Y$2=12,AC17,IF($Y$2=13,AC17,IF($Y$2=14,AC17,IF($Y$2=15,AC17,)))))))))))))))=0,"",IF($Y$2=1,AC17,IF($Y$2=2,AC17,IF($Y$2=3,AC17,IF($Y$2=4,AC17,IF($Y$2=5,AC17,IF($Y$2=6,AC17,IF($Y$2=7,AC17,IF($Y$2=8,AC17,IF($Y$2=9,AC17,IF($Y$2=10,AC17,IF($Y$2=11,AC17,IF($Y$2=12,AC17,IF($Y$2=13,AC17,IF($Y$2=14,AC17,IF($Y$2=15,AC17,))))))))))))))))</f>
        <v/>
      </c>
      <c r="AX10" s="29" t="str">
        <f t="shared" si="2"/>
        <v/>
      </c>
      <c r="AY10" s="29" t="str">
        <f t="shared" si="2"/>
        <v/>
      </c>
      <c r="AZ10" s="29" t="str">
        <f t="shared" si="2"/>
        <v/>
      </c>
      <c r="BA10" s="29" t="str">
        <f t="shared" si="2"/>
        <v/>
      </c>
      <c r="BB10" s="29" t="str">
        <f t="shared" si="2"/>
        <v/>
      </c>
      <c r="BC10" s="29">
        <f>IF($Y$2=1,AI17,IF($Y$2=2,AI17,IF($Y$2=3,AI17,IF($Y$2=4,AI17,IF($Y$2=5,AI17,IF($Y$2=6,AI17,IF($Y$2=7,AI17,IF($Y$2=8,AI17,IF($Y$2=9,AI17,IF($Y$2=10,AI17,IF($Y$2=11,AI17,IF($Y$2=12,AI17,IF($Y$2=13,AI17,IF($Y$2=14,AI17,IF($Y$2=15,AI17,)))))))))))))))</f>
        <v>0</v>
      </c>
      <c r="BD10" s="29">
        <f>IF($Y$2=1,AJ17,IF($Y$2=2,AJ17,IF($Y$2=3,AJ17,IF($Y$2=4,AJ17,IF($Y$2=5,AJ17,IF($Y$2=6,AJ17,IF($Y$2=7,AJ17,IF($Y$2=8,AJ17,IF($Y$2=9,AJ17,IF($Y$2=10,AJ17,IF($Y$2=11,AJ17,IF($Y$2=12,AJ17,IF($Y$2=13,AJ17,IF($Y$2=14,AJ17,IF($Y$2=15,AJ17,)))))))))))))))</f>
        <v>0</v>
      </c>
      <c r="BE10" s="29">
        <f>IF($Y$2=1,AK17,IF($Y$2=2,AK17,IF($Y$2=3,AK17,IF($Y$2=4,AK17,IF($Y$2=5,AK17,IF($Y$2=6,AK17,IF($Y$2=7,AK17,IF($Y$2=8,AK17,IF($Y$2=9,AK17,IF($Y$2=10,AK17,IF($Y$2=11,AK17,IF($Y$2=12,AK17,IF($Y$2=13,AK17,IF($Y$2=14,AK17,IF($Y$2=15,AK17,)))))))))))))))</f>
        <v>0</v>
      </c>
      <c r="BF10" s="29">
        <f>IF($Y$2=1,AL17,IF($Y$2=2,AL17,IF($Y$2=3,AL17,IF($Y$2=4,AL17,IF($Y$2=5,AL17,IF($Y$2=6,AL17,IF($Y$2=7,AL17,IF($Y$2=8,AL17,IF($Y$2=9,AL17,IF($Y$2=10,AL17,IF($Y$2=11,AL17,IF($Y$2=12,AL17,IF($Y$2=13,AL17,IF($Y$2=14,AL17,IF($Y$2=15,AL17,)))))))))))))))</f>
        <v>0</v>
      </c>
      <c r="BG10" s="29">
        <f>IF($Y$2=1,AM17,IF($Y$2=2,AM17,IF($Y$2=3,AM17,IF($Y$2=4,AM17,IF($Y$2=5,AM17,IF($Y$2=6,AM17,IF($Y$2=7,AM17,IF($Y$2=8,AM17,IF($Y$2=9,AM17,IF($Y$2=10,AM17,IF($Y$2=11,AM17,IF($Y$2=12,AM17,IF($Y$2=13,AM17,IF($Y$2=14,AM17,IF($Y$2=15,AM17,)))))))))))))))</f>
        <v>0</v>
      </c>
    </row>
    <row r="11" spans="2:62" ht="22.5" customHeight="1" thickBot="1" x14ac:dyDescent="0.25">
      <c r="B11" s="307"/>
      <c r="C11" s="28"/>
      <c r="D11" s="28"/>
      <c r="E11" s="28"/>
      <c r="F11" s="28"/>
      <c r="G11" s="28"/>
      <c r="H11" s="28"/>
      <c r="I11" s="28"/>
      <c r="J11" s="28"/>
      <c r="K11" s="28"/>
      <c r="L11" s="28"/>
      <c r="M11" s="28"/>
      <c r="N11" s="28"/>
      <c r="O11" s="28"/>
      <c r="P11" s="28"/>
      <c r="Q11" s="28"/>
      <c r="R11" s="28"/>
      <c r="S11" s="28"/>
      <c r="T11" s="308"/>
      <c r="U11" s="307"/>
      <c r="V11" s="28"/>
      <c r="W11" s="28"/>
      <c r="X11" s="28"/>
      <c r="Y11" s="28"/>
      <c r="Z11" s="28"/>
      <c r="AA11" s="28"/>
      <c r="AB11" s="28"/>
      <c r="AC11" s="28"/>
      <c r="AD11" s="28"/>
      <c r="AE11" s="28"/>
      <c r="AF11" s="28"/>
      <c r="AG11" s="28"/>
      <c r="AH11" s="28"/>
      <c r="AI11" s="28"/>
      <c r="AJ11" s="28"/>
      <c r="AK11" s="28"/>
      <c r="AL11" s="28"/>
      <c r="AM11" s="308"/>
      <c r="AN11" s="1087"/>
      <c r="AO11" s="1088"/>
      <c r="AP11" s="1088"/>
      <c r="AQ11" s="1089"/>
      <c r="AR11" s="187">
        <v>0</v>
      </c>
      <c r="AS11" s="188" t="s">
        <v>176</v>
      </c>
      <c r="AW11" s="31">
        <f>AC18</f>
        <v>0</v>
      </c>
      <c r="AX11" s="31">
        <f t="shared" ref="AX11:BG11" si="3">AD18</f>
        <v>0</v>
      </c>
      <c r="AY11" s="31">
        <f t="shared" si="3"/>
        <v>0</v>
      </c>
      <c r="AZ11" s="31">
        <f t="shared" si="3"/>
        <v>0</v>
      </c>
      <c r="BA11" s="31">
        <f t="shared" si="3"/>
        <v>0</v>
      </c>
      <c r="BB11" s="31">
        <f t="shared" si="3"/>
        <v>0</v>
      </c>
      <c r="BC11" s="31">
        <f t="shared" si="3"/>
        <v>0</v>
      </c>
      <c r="BD11" s="31">
        <f t="shared" si="3"/>
        <v>0</v>
      </c>
      <c r="BE11" s="31">
        <f t="shared" si="3"/>
        <v>0</v>
      </c>
      <c r="BF11" s="31">
        <f t="shared" si="3"/>
        <v>0</v>
      </c>
      <c r="BG11" s="31">
        <f t="shared" si="3"/>
        <v>0</v>
      </c>
    </row>
    <row r="12" spans="2:62" ht="22.5" customHeight="1" thickBot="1" x14ac:dyDescent="0.25">
      <c r="B12" s="307"/>
      <c r="C12" s="28"/>
      <c r="D12" s="28"/>
      <c r="E12" s="28"/>
      <c r="F12" s="28"/>
      <c r="G12" s="28"/>
      <c r="H12" s="28"/>
      <c r="I12" s="28"/>
      <c r="J12" s="28"/>
      <c r="K12" s="28"/>
      <c r="L12" s="28"/>
      <c r="M12" s="28"/>
      <c r="N12" s="28"/>
      <c r="O12" s="28"/>
      <c r="P12" s="28"/>
      <c r="Q12" s="28"/>
      <c r="R12" s="28"/>
      <c r="S12" s="28"/>
      <c r="T12" s="308"/>
      <c r="U12" s="307"/>
      <c r="V12" s="28"/>
      <c r="W12" s="28"/>
      <c r="X12" s="28"/>
      <c r="Y12" s="28"/>
      <c r="Z12" s="28"/>
      <c r="AA12" s="28"/>
      <c r="AB12" s="28"/>
      <c r="AC12" s="28"/>
      <c r="AD12" s="28"/>
      <c r="AE12" s="28"/>
      <c r="AF12" s="28"/>
      <c r="AG12" s="28"/>
      <c r="AH12" s="28"/>
      <c r="AI12" s="28"/>
      <c r="AJ12" s="28"/>
      <c r="AK12" s="28"/>
      <c r="AL12" s="28"/>
      <c r="AM12" s="308"/>
      <c r="AN12" s="1090"/>
      <c r="AO12" s="1091"/>
      <c r="AP12" s="1091"/>
      <c r="AQ12" s="1092"/>
      <c r="AR12" s="187">
        <v>0</v>
      </c>
      <c r="AS12" s="188" t="s">
        <v>176</v>
      </c>
      <c r="AW12" s="32">
        <f>IF(AW11&gt;0,AW11-(IF(AV11&gt;0,AV11,IF(AU11&gt;0,AU11,IF(AT11&gt;0,AT11,IF(AS11&gt;0,AS11,))))),0)</f>
        <v>0</v>
      </c>
      <c r="AX12" s="32">
        <f>IF(AX11&gt;0,AX11-(IF(AW11&gt;0,AW11,IF(AV11&gt;0,AV11,IF(AU11&gt;0,AU11,IF(AT11&gt;0,AT11,))))),0)</f>
        <v>0</v>
      </c>
      <c r="AY12" s="32">
        <f>IF(AY11&gt;0,AY11-(IF(AX11&gt;0,AX11,IF(AW11&gt;0,AW11,IF(AV11&gt;0,AV11,IF(AU11&gt;0,AU11,))))),0)</f>
        <v>0</v>
      </c>
      <c r="AZ12" s="32">
        <f>IF(AZ11&gt;0,AZ11-(IF(AY11&gt;0,AY11,IF(AX11&gt;0,AX11,IF(AW11&gt;0,AW11,IF(AV11&gt;0,AV11,))))),0)</f>
        <v>0</v>
      </c>
      <c r="BA12" s="32">
        <f>IF(BA11&gt;0,BA11-(IF(AZ11&gt;0,AZ11,IF(AY11&gt;0,AY11,IF(AX11&gt;0,AX11,IF(AW11&gt;0,AW11,))))),0)</f>
        <v>0</v>
      </c>
      <c r="BB12" s="32">
        <f>IF(BB11&gt;0,BB11 -(IF(BA11&gt;0,BA11,IF(AZ11&gt;0,AZ11,IF(AY11&gt;0,AY11,IF(AX11&gt;0,AX11,IF(AW11&gt;0,AW11)))))),0)</f>
        <v>0</v>
      </c>
      <c r="BC12" s="32">
        <f>IF(BC11&gt;0,BC11-(IF(BB11&gt;0,BB11,IF(BA11&gt;0,BA11,IF(AZ11&gt;0,AZ11,IF(AY11&gt;0,AY11,IF(AX11&gt;0,AX11,IF(AW11&gt;0,AW11,))))))),0)</f>
        <v>0</v>
      </c>
      <c r="BD12" s="32">
        <f>IF(BD11&gt;0,BD11-(IF(BC11&gt;0,BC11,IF(BB11&gt;0,BB11,IF(BA11&gt;0,BA11,IF(AZ11&gt;0,AZ11,IF(AY11&gt;0,AY11,IF(AX11&gt;0,AX11,))))))),0)</f>
        <v>0</v>
      </c>
      <c r="BE12" s="32">
        <f>IF(BE11&gt;0,BE11-(IF(BD11&gt;0,BD11,IF(BC11&gt;0,BC11,IF(BB11&gt;0,BB11,IF(BA11&gt;0,BA11,IF(AZ11&gt;0,AZ11,IF(AY11&gt;0,AY11,))))))),0)</f>
        <v>0</v>
      </c>
      <c r="BF12" s="32">
        <f>IF(BF11&gt;0,BF11-(IF(BE11&gt;0,BE11,IF(BD11&gt;0,BD11,IF(BC11&gt;0,BC11,IF(BB11&gt;0,BB11,IF(BA11&gt;0,BA11,IF(AZ11&gt;0,AZ11,))))))),0)</f>
        <v>0</v>
      </c>
      <c r="BG12" s="32">
        <f>IF(BG11&gt;0,BG11-(IF(BF11&gt;0,BF11,IF(BE11&gt;0,BE11,IF(BD11&gt;0,BD11,IF(BC11&gt;0,BC11,IF(BB11&gt;0,BB11,IF(BA11&gt;0,BA11,))))))),0)</f>
        <v>0</v>
      </c>
    </row>
    <row r="13" spans="2:62" ht="22.5" customHeight="1" thickBot="1" x14ac:dyDescent="0.25">
      <c r="B13" s="307"/>
      <c r="C13" s="28"/>
      <c r="D13" s="28"/>
      <c r="E13" s="28"/>
      <c r="F13" s="28"/>
      <c r="G13" s="28"/>
      <c r="H13" s="28"/>
      <c r="I13" s="28"/>
      <c r="J13" s="28"/>
      <c r="K13" s="28"/>
      <c r="L13" s="28"/>
      <c r="M13" s="28"/>
      <c r="N13" s="28"/>
      <c r="O13" s="28"/>
      <c r="P13" s="28"/>
      <c r="Q13" s="28"/>
      <c r="R13" s="28"/>
      <c r="S13" s="28"/>
      <c r="T13" s="308"/>
      <c r="U13" s="307"/>
      <c r="V13" s="28"/>
      <c r="W13" s="28"/>
      <c r="X13" s="28"/>
      <c r="Y13" s="28"/>
      <c r="Z13" s="28"/>
      <c r="AA13" s="28"/>
      <c r="AB13" s="28"/>
      <c r="AC13" s="28"/>
      <c r="AD13" s="28"/>
      <c r="AE13" s="28"/>
      <c r="AF13" s="28"/>
      <c r="AG13" s="28"/>
      <c r="AH13" s="28"/>
      <c r="AI13" s="28"/>
      <c r="AJ13" s="28"/>
      <c r="AK13" s="28"/>
      <c r="AL13" s="28"/>
      <c r="AM13" s="308"/>
      <c r="AN13" s="1093"/>
      <c r="AO13" s="1094"/>
      <c r="AP13" s="1094"/>
      <c r="AQ13" s="1095"/>
      <c r="AR13" s="187">
        <v>0</v>
      </c>
      <c r="AS13" s="188" t="s">
        <v>176</v>
      </c>
    </row>
    <row r="14" spans="2:62" ht="22.5" customHeight="1" thickTop="1" thickBot="1" x14ac:dyDescent="0.25">
      <c r="B14" s="307"/>
      <c r="C14" s="28"/>
      <c r="D14" s="28"/>
      <c r="E14" s="28"/>
      <c r="F14" s="28"/>
      <c r="G14" s="28"/>
      <c r="H14" s="28"/>
      <c r="I14" s="28"/>
      <c r="J14" s="28"/>
      <c r="K14" s="28"/>
      <c r="L14" s="28"/>
      <c r="M14" s="28"/>
      <c r="N14" s="28"/>
      <c r="O14" s="309"/>
      <c r="P14" s="309"/>
      <c r="Q14" s="309"/>
      <c r="R14" s="309"/>
      <c r="S14" s="309"/>
      <c r="T14" s="310"/>
      <c r="U14" s="307"/>
      <c r="V14" s="28"/>
      <c r="W14" s="28"/>
      <c r="X14" s="28"/>
      <c r="Y14" s="28"/>
      <c r="Z14" s="28"/>
      <c r="AA14" s="28"/>
      <c r="AB14" s="28"/>
      <c r="AC14" s="28"/>
      <c r="AD14" s="28"/>
      <c r="AE14" s="28"/>
      <c r="AF14" s="28"/>
      <c r="AG14" s="28"/>
      <c r="AH14" s="309"/>
      <c r="AI14" s="309"/>
      <c r="AJ14" s="309"/>
      <c r="AK14" s="309"/>
      <c r="AL14" s="309"/>
      <c r="AM14" s="310"/>
      <c r="AN14" s="1105">
        <v>3</v>
      </c>
      <c r="AO14" s="1085" t="s">
        <v>175</v>
      </c>
      <c r="AP14" s="1086"/>
      <c r="AQ14" s="206" t="s">
        <v>170</v>
      </c>
      <c r="AR14" s="187">
        <v>0</v>
      </c>
      <c r="AS14" s="188" t="s">
        <v>176</v>
      </c>
    </row>
    <row r="15" spans="2:62" ht="22.5" customHeight="1" thickBot="1" x14ac:dyDescent="0.25">
      <c r="B15" s="307"/>
      <c r="C15" s="28"/>
      <c r="D15" s="28"/>
      <c r="E15" s="28"/>
      <c r="F15" s="28"/>
      <c r="G15" s="28"/>
      <c r="H15" s="28"/>
      <c r="I15" s="28"/>
      <c r="J15" s="28"/>
      <c r="K15" s="28"/>
      <c r="L15" s="28"/>
      <c r="M15" s="28"/>
      <c r="N15" s="311"/>
      <c r="O15" s="1138" t="s">
        <v>179</v>
      </c>
      <c r="P15" s="1139"/>
      <c r="Q15" s="1139"/>
      <c r="R15" s="1139"/>
      <c r="S15" s="1140"/>
      <c r="T15" s="312"/>
      <c r="U15" s="307"/>
      <c r="V15" s="28"/>
      <c r="W15" s="28"/>
      <c r="X15" s="28"/>
      <c r="Y15" s="28"/>
      <c r="Z15" s="28"/>
      <c r="AA15" s="28"/>
      <c r="AB15" s="28"/>
      <c r="AC15" s="28"/>
      <c r="AD15" s="28"/>
      <c r="AE15" s="28"/>
      <c r="AF15" s="28"/>
      <c r="AG15" s="311"/>
      <c r="AH15" s="1138" t="s">
        <v>179</v>
      </c>
      <c r="AI15" s="1139"/>
      <c r="AJ15" s="1139"/>
      <c r="AK15" s="1139"/>
      <c r="AL15" s="1140"/>
      <c r="AM15" s="312"/>
      <c r="AN15" s="1106"/>
      <c r="AO15" s="185"/>
      <c r="AP15" s="186"/>
      <c r="AQ15" s="186"/>
      <c r="AR15" s="187">
        <v>0</v>
      </c>
      <c r="AS15" s="188" t="s">
        <v>176</v>
      </c>
      <c r="AV15" t="str">
        <f>F25</f>
        <v>Select</v>
      </c>
      <c r="AW15" s="29">
        <f>IF($F$25=1,J40,IF($F$25=2,J40,IF($F$25=3,J40,IF($F$25=4,J40,IF($F$25=5,J40,IF($F$25=6,J40,IF($F$25=7,J40,IF($F$25=8,J40,IF($F$25=9,J40,IF($F$25=10,J40,IF($F$25=11,J40,IF($F$25=12,J40,IF($F$25=13,J40,IF($F$25=14,J40,IF($F$25=15,J40,)))))))))))))))</f>
        <v>0</v>
      </c>
      <c r="AX15" s="29">
        <f t="shared" ref="AX15:BG15" si="4">IF($F$25=1,K40,IF($F$25=2,K40,IF($F$25=3,K40,IF($F$25=4,K40,IF($F$25=5,K40,IF($F$25=6,K40,IF($F$25=7,K40,IF($F$25=8,K40,IF($F$25=9,K40,IF($F$25=10,K40,IF($F$25=11,K40,IF($F$25=12,K40,IF($F$25=13,K40,IF($F$25=14,K40,IF($F$25=15,K40,)))))))))))))))</f>
        <v>0</v>
      </c>
      <c r="AY15" s="29">
        <f t="shared" si="4"/>
        <v>0</v>
      </c>
      <c r="AZ15" s="29">
        <f t="shared" si="4"/>
        <v>0</v>
      </c>
      <c r="BA15" s="29">
        <f t="shared" si="4"/>
        <v>0</v>
      </c>
      <c r="BB15" s="29">
        <f t="shared" si="4"/>
        <v>0</v>
      </c>
      <c r="BC15" s="29">
        <f t="shared" si="4"/>
        <v>0</v>
      </c>
      <c r="BD15" s="29">
        <f t="shared" si="4"/>
        <v>0</v>
      </c>
      <c r="BE15" s="29">
        <f t="shared" si="4"/>
        <v>0</v>
      </c>
      <c r="BF15" s="29">
        <f t="shared" si="4"/>
        <v>0</v>
      </c>
      <c r="BG15" s="29">
        <f t="shared" si="4"/>
        <v>0</v>
      </c>
    </row>
    <row r="16" spans="2:62" ht="22.5" customHeight="1" thickBot="1" x14ac:dyDescent="0.35">
      <c r="B16" s="307"/>
      <c r="C16" s="28"/>
      <c r="D16" s="28"/>
      <c r="E16" s="28"/>
      <c r="F16" s="28"/>
      <c r="G16" s="28"/>
      <c r="H16" s="309"/>
      <c r="I16" s="309"/>
      <c r="J16" s="309"/>
      <c r="K16" s="309"/>
      <c r="L16" s="309"/>
      <c r="M16" s="309"/>
      <c r="N16" s="313"/>
      <c r="O16" s="1141"/>
      <c r="P16" s="1142"/>
      <c r="Q16" s="1142"/>
      <c r="R16" s="1142"/>
      <c r="S16" s="1143"/>
      <c r="T16" s="314"/>
      <c r="U16" s="307"/>
      <c r="V16" s="28"/>
      <c r="W16" s="28"/>
      <c r="X16" s="28"/>
      <c r="Y16" s="28"/>
      <c r="Z16" s="28"/>
      <c r="AA16" s="309"/>
      <c r="AB16" s="309"/>
      <c r="AC16" s="309"/>
      <c r="AD16" s="309"/>
      <c r="AE16" s="309"/>
      <c r="AF16" s="309"/>
      <c r="AG16" s="313"/>
      <c r="AH16" s="1141"/>
      <c r="AI16" s="1142"/>
      <c r="AJ16" s="1142"/>
      <c r="AK16" s="1142"/>
      <c r="AL16" s="1143"/>
      <c r="AM16" s="314"/>
      <c r="AN16" s="1087"/>
      <c r="AO16" s="1088"/>
      <c r="AP16" s="1088"/>
      <c r="AQ16" s="1089"/>
      <c r="AR16" s="187">
        <v>0</v>
      </c>
      <c r="AS16" s="188" t="s">
        <v>176</v>
      </c>
      <c r="AW16" s="31">
        <f>J41</f>
        <v>0</v>
      </c>
      <c r="AX16" s="31">
        <f t="shared" ref="AX16:BG16" si="5">K41</f>
        <v>0</v>
      </c>
      <c r="AY16" s="31">
        <f t="shared" si="5"/>
        <v>0</v>
      </c>
      <c r="AZ16" s="31">
        <f t="shared" si="5"/>
        <v>0</v>
      </c>
      <c r="BA16" s="31">
        <f t="shared" si="5"/>
        <v>0</v>
      </c>
      <c r="BB16" s="31">
        <f t="shared" si="5"/>
        <v>0</v>
      </c>
      <c r="BC16" s="31">
        <f t="shared" si="5"/>
        <v>0</v>
      </c>
      <c r="BD16" s="31">
        <f t="shared" si="5"/>
        <v>0</v>
      </c>
      <c r="BE16" s="31">
        <f t="shared" si="5"/>
        <v>0</v>
      </c>
      <c r="BF16" s="31">
        <f t="shared" si="5"/>
        <v>0</v>
      </c>
      <c r="BG16" s="31">
        <f t="shared" si="5"/>
        <v>0</v>
      </c>
    </row>
    <row r="17" spans="2:59" ht="15.75" thickBot="1" x14ac:dyDescent="0.25">
      <c r="B17" s="1129" t="s">
        <v>9</v>
      </c>
      <c r="C17" s="1130"/>
      <c r="D17" s="1132"/>
      <c r="E17" s="1133"/>
      <c r="F17" s="1133"/>
      <c r="G17" s="1130"/>
      <c r="H17" s="1134" t="s">
        <v>180</v>
      </c>
      <c r="I17" s="1135"/>
      <c r="J17" s="34"/>
      <c r="K17" s="34"/>
      <c r="L17" s="34"/>
      <c r="M17" s="34"/>
      <c r="N17" s="34"/>
      <c r="O17" s="34"/>
      <c r="P17" s="34"/>
      <c r="Q17" s="34"/>
      <c r="R17" s="34"/>
      <c r="S17" s="34"/>
      <c r="T17" s="35"/>
      <c r="U17" s="1133" t="s">
        <v>9</v>
      </c>
      <c r="V17" s="1130"/>
      <c r="W17" s="1132"/>
      <c r="X17" s="1133"/>
      <c r="Y17" s="1133"/>
      <c r="Z17" s="1130"/>
      <c r="AA17" s="1134" t="s">
        <v>180</v>
      </c>
      <c r="AB17" s="1135"/>
      <c r="AC17" s="34"/>
      <c r="AD17" s="34"/>
      <c r="AE17" s="34"/>
      <c r="AF17" s="34"/>
      <c r="AG17" s="34"/>
      <c r="AH17" s="34"/>
      <c r="AI17" s="34"/>
      <c r="AJ17" s="34"/>
      <c r="AK17" s="34"/>
      <c r="AL17" s="34"/>
      <c r="AM17" s="35"/>
      <c r="AN17" s="1090"/>
      <c r="AO17" s="1091"/>
      <c r="AP17" s="1091"/>
      <c r="AQ17" s="1092"/>
      <c r="AR17" s="187">
        <v>0</v>
      </c>
      <c r="AS17" s="188" t="s">
        <v>176</v>
      </c>
      <c r="AW17" s="32">
        <f>IF(AW16&gt;0,AW16-(IF(AV16&gt;0,AV16,IF(AU16&gt;0,AU16,IF(AT16&gt;0,AT16,IF(AS16&gt;0,AS16,))))),0)</f>
        <v>0</v>
      </c>
      <c r="AX17" s="32">
        <f>IF(AX16&gt;0,AX16-(IF(AW16&gt;0,AW16,IF(AV16&gt;0,AV16,IF(AU16&gt;0,AU16,IF(AT16&gt;0,AT16,))))),0)</f>
        <v>0</v>
      </c>
      <c r="AY17" s="32">
        <f>IF(AY16&gt;0,AY16-(IF(AX16&gt;0,AX16,IF(AW16&gt;0,AW16,IF(AV16&gt;0,AV16,IF(AU16&gt;0,AU16,))))),0)</f>
        <v>0</v>
      </c>
      <c r="AZ17" s="32">
        <f>IF(AZ16&gt;0,AZ16-(IF(AY16&gt;0,AY16,IF(AX16&gt;0,AX16,IF(AW16&gt;0,AW16,IF(AV16&gt;0,AV16,))))),0)</f>
        <v>0</v>
      </c>
      <c r="BA17" s="32">
        <f>IF(BA16&gt;0,BA16-(IF(AZ16&gt;0,AZ16,IF(AY16&gt;0,AY16,IF(AX16&gt;0,AX16,IF(AW16&gt;0,AW16,))))),0)</f>
        <v>0</v>
      </c>
      <c r="BB17" s="32">
        <f>IF(BB16&gt;0,BB16 -(IF(BA16&gt;0,BA16,IF(AZ16&gt;0,AZ16,IF(AY16&gt;0,AY16,IF(AX16&gt;0,AX16,IF(AW16&gt;0,AW16)))))),0)</f>
        <v>0</v>
      </c>
      <c r="BC17" s="32">
        <f>IF(BC16&gt;0,BC16-(IF(BB16&gt;0,BB16,IF(BA16&gt;0,BA16,IF(AZ16&gt;0,AZ16,IF(AY16&gt;0,AY16,IF(AX16&gt;0,AX16,IF(AW16&gt;0,AW16,))))))),0)</f>
        <v>0</v>
      </c>
      <c r="BD17" s="32">
        <f>IF(BD16&gt;0,BD16-(IF(BC16&gt;0,BC16,IF(BB16&gt;0,BB16,IF(BA16&gt;0,BA16,IF(AZ16&gt;0,AZ16,IF(AY16&gt;0,AY16,IF(AX16&gt;0,AX16,))))))),0)</f>
        <v>0</v>
      </c>
      <c r="BE17" s="32">
        <f>IF(BE16&gt;0,BE16-(IF(BD16&gt;0,BD16,IF(BC16&gt;0,BC16,IF(BB16&gt;0,BB16,IF(BA16&gt;0,BA16,IF(AZ16&gt;0,AZ16,IF(AY16&gt;0,AY16,))))))),0)</f>
        <v>0</v>
      </c>
      <c r="BF17" s="32">
        <f>IF(BF16&gt;0,BF16-(IF(BE16&gt;0,BE16,IF(BD16&gt;0,BD16,IF(BC16&gt;0,BC16,IF(BB16&gt;0,BB16,IF(BA16&gt;0,BA16,IF(AZ16&gt;0,AZ16,))))))),0)</f>
        <v>0</v>
      </c>
      <c r="BG17" s="32">
        <f>IF(BG16&gt;0,BG16-(IF(BF16&gt;0,BF16,IF(BE16&gt;0,BE16,IF(BD16&gt;0,BD16,IF(BC16&gt;0,BC16,IF(BB16&gt;0,BB16,IF(BA16&gt;0,BA16,))))))),0)</f>
        <v>0</v>
      </c>
    </row>
    <row r="18" spans="2:59" ht="15.75" thickBot="1" x14ac:dyDescent="0.25">
      <c r="B18" s="1131"/>
      <c r="C18" s="1119"/>
      <c r="D18" s="1101"/>
      <c r="E18" s="1102"/>
      <c r="F18" s="1102"/>
      <c r="G18" s="1119"/>
      <c r="H18" s="1136"/>
      <c r="I18" s="1137"/>
      <c r="J18" s="33"/>
      <c r="K18" s="33"/>
      <c r="L18" s="33"/>
      <c r="M18" s="33"/>
      <c r="N18" s="33"/>
      <c r="O18" s="33"/>
      <c r="P18" s="33"/>
      <c r="Q18" s="33"/>
      <c r="R18" s="33"/>
      <c r="S18" s="33"/>
      <c r="T18" s="33"/>
      <c r="U18" s="1102"/>
      <c r="V18" s="1119"/>
      <c r="W18" s="1101"/>
      <c r="X18" s="1102"/>
      <c r="Y18" s="1102"/>
      <c r="Z18" s="1119"/>
      <c r="AA18" s="1136"/>
      <c r="AB18" s="1137"/>
      <c r="AC18" s="34"/>
      <c r="AD18" s="34"/>
      <c r="AE18" s="34"/>
      <c r="AF18" s="34"/>
      <c r="AG18" s="34"/>
      <c r="AH18" s="34"/>
      <c r="AI18" s="34"/>
      <c r="AJ18" s="34"/>
      <c r="AK18" s="34"/>
      <c r="AL18" s="34"/>
      <c r="AM18" s="35"/>
      <c r="AN18" s="1093"/>
      <c r="AO18" s="1094"/>
      <c r="AP18" s="1094"/>
      <c r="AQ18" s="1095"/>
      <c r="AR18" s="187">
        <v>0</v>
      </c>
      <c r="AS18" s="188" t="s">
        <v>176</v>
      </c>
    </row>
    <row r="19" spans="2:59" ht="16.5" thickTop="1" thickBot="1" x14ac:dyDescent="0.25">
      <c r="B19" s="1129" t="s">
        <v>10</v>
      </c>
      <c r="C19" s="1130"/>
      <c r="D19" s="1132"/>
      <c r="E19" s="1133"/>
      <c r="F19" s="1133"/>
      <c r="G19" s="1130"/>
      <c r="H19" s="1147"/>
      <c r="I19" s="1148"/>
      <c r="J19" s="1148"/>
      <c r="K19" s="1148"/>
      <c r="L19" s="1148"/>
      <c r="M19" s="1148"/>
      <c r="N19" s="1148"/>
      <c r="O19" s="1148"/>
      <c r="P19" s="1148"/>
      <c r="Q19" s="1148"/>
      <c r="R19" s="1148"/>
      <c r="S19" s="1148"/>
      <c r="T19" s="1149"/>
      <c r="U19" s="1129" t="s">
        <v>10</v>
      </c>
      <c r="V19" s="1130"/>
      <c r="W19" s="1132"/>
      <c r="X19" s="1133"/>
      <c r="Y19" s="1133"/>
      <c r="Z19" s="1130"/>
      <c r="AA19" s="1153"/>
      <c r="AB19" s="1154"/>
      <c r="AC19" s="1154"/>
      <c r="AD19" s="1154"/>
      <c r="AE19" s="1154"/>
      <c r="AF19" s="1154"/>
      <c r="AG19" s="1154"/>
      <c r="AH19" s="1154"/>
      <c r="AI19" s="1154"/>
      <c r="AJ19" s="1154"/>
      <c r="AK19" s="1154"/>
      <c r="AL19" s="1154"/>
      <c r="AM19" s="1155"/>
      <c r="AN19" s="1105">
        <v>4</v>
      </c>
      <c r="AO19" s="1085" t="s">
        <v>175</v>
      </c>
      <c r="AP19" s="1086"/>
      <c r="AQ19" s="206" t="s">
        <v>170</v>
      </c>
      <c r="AR19" s="187">
        <v>0</v>
      </c>
      <c r="AS19" s="188" t="s">
        <v>176</v>
      </c>
    </row>
    <row r="20" spans="2:59" ht="15.75" thickBot="1" x14ac:dyDescent="0.25">
      <c r="B20" s="1131"/>
      <c r="C20" s="1119"/>
      <c r="D20" s="1101"/>
      <c r="E20" s="1102"/>
      <c r="F20" s="1102"/>
      <c r="G20" s="1119"/>
      <c r="H20" s="1150"/>
      <c r="I20" s="1151"/>
      <c r="J20" s="1151"/>
      <c r="K20" s="1151"/>
      <c r="L20" s="1151"/>
      <c r="M20" s="1151"/>
      <c r="N20" s="1151"/>
      <c r="O20" s="1151"/>
      <c r="P20" s="1151"/>
      <c r="Q20" s="1151"/>
      <c r="R20" s="1151"/>
      <c r="S20" s="1151"/>
      <c r="T20" s="1152"/>
      <c r="U20" s="1131"/>
      <c r="V20" s="1119"/>
      <c r="W20" s="1101"/>
      <c r="X20" s="1102"/>
      <c r="Y20" s="1102"/>
      <c r="Z20" s="1119"/>
      <c r="AA20" s="1156"/>
      <c r="AB20" s="1157"/>
      <c r="AC20" s="1157"/>
      <c r="AD20" s="1157"/>
      <c r="AE20" s="1157"/>
      <c r="AF20" s="1157"/>
      <c r="AG20" s="1157"/>
      <c r="AH20" s="1157"/>
      <c r="AI20" s="1157"/>
      <c r="AJ20" s="1157"/>
      <c r="AK20" s="1157"/>
      <c r="AL20" s="1157"/>
      <c r="AM20" s="1158"/>
      <c r="AN20" s="1106"/>
      <c r="AO20" s="185"/>
      <c r="AP20" s="186"/>
      <c r="AQ20" s="186"/>
      <c r="AR20" s="187">
        <v>0</v>
      </c>
      <c r="AS20" s="188" t="s">
        <v>176</v>
      </c>
      <c r="AV20" t="str">
        <f>Y25</f>
        <v>Select</v>
      </c>
      <c r="AW20" s="29">
        <f>IF($Y$25=1,AC40,IF($Y$25=2,AC40,IF($Y$25=3,AC40,IF($Y$25=4,AC40,IF($Y$25=5,AC40,IF($Y$25=6,AC40,IF($Y$25=7,AC40,IF($Y$25=8,AC40,IF($Y$25=9,AC40,IF($Y$25=10,AC40,IF($Y$25=11,AC40,IF($Y$25=12,AC40,IF($Y$25=13,AC40,IF($Y$25=14,AC40,IF($Y$25=15,AC40,)))))))))))))))</f>
        <v>0</v>
      </c>
      <c r="AX20" s="29">
        <f t="shared" ref="AX20:BG20" si="6">IF($Y$25=1,AD40,IF($Y$25=2,AD40,IF($Y$25=3,AD40,IF($Y$25=4,AD40,IF($Y$25=5,AD40,IF($Y$25=6,AD40,IF($Y$25=7,AD40,IF($Y$25=8,AD40,IF($Y$25=9,AD40,IF($Y$25=10,AD40,IF($Y$25=11,AD40,IF($Y$25=12,AD40,IF($Y$25=13,AD40,IF($Y$25=14,AD40,IF($Y$25=15,AD40,)))))))))))))))</f>
        <v>0</v>
      </c>
      <c r="AY20" s="29">
        <f t="shared" si="6"/>
        <v>0</v>
      </c>
      <c r="AZ20" s="29">
        <f t="shared" si="6"/>
        <v>0</v>
      </c>
      <c r="BA20" s="29">
        <f t="shared" si="6"/>
        <v>0</v>
      </c>
      <c r="BB20" s="29">
        <f t="shared" si="6"/>
        <v>0</v>
      </c>
      <c r="BC20" s="29">
        <f t="shared" si="6"/>
        <v>0</v>
      </c>
      <c r="BD20" s="29">
        <f t="shared" si="6"/>
        <v>0</v>
      </c>
      <c r="BE20" s="29">
        <f t="shared" si="6"/>
        <v>0</v>
      </c>
      <c r="BF20" s="29">
        <f t="shared" si="6"/>
        <v>0</v>
      </c>
      <c r="BG20" s="29">
        <f t="shared" si="6"/>
        <v>0</v>
      </c>
    </row>
    <row r="21" spans="2:59" ht="15.75" thickBot="1" x14ac:dyDescent="0.25">
      <c r="B21" s="1129" t="s">
        <v>181</v>
      </c>
      <c r="C21" s="1130"/>
      <c r="D21" s="1132"/>
      <c r="E21" s="1133"/>
      <c r="F21" s="1133"/>
      <c r="G21" s="1130"/>
      <c r="H21" s="1134" t="s">
        <v>182</v>
      </c>
      <c r="I21" s="1135"/>
      <c r="J21" s="1135"/>
      <c r="K21" s="1135"/>
      <c r="L21" s="1135"/>
      <c r="M21" s="1135"/>
      <c r="N21" s="1135"/>
      <c r="O21" s="1135"/>
      <c r="P21" s="1135"/>
      <c r="Q21" s="1135"/>
      <c r="R21" s="1135"/>
      <c r="S21" s="1135"/>
      <c r="T21" s="1144"/>
      <c r="U21" s="1129" t="s">
        <v>181</v>
      </c>
      <c r="V21" s="1130"/>
      <c r="W21" s="1132"/>
      <c r="X21" s="1133"/>
      <c r="Y21" s="1133"/>
      <c r="Z21" s="1130"/>
      <c r="AA21" s="1134" t="s">
        <v>183</v>
      </c>
      <c r="AB21" s="1135"/>
      <c r="AC21" s="1135"/>
      <c r="AD21" s="1135"/>
      <c r="AE21" s="1135"/>
      <c r="AF21" s="1135"/>
      <c r="AG21" s="1135"/>
      <c r="AH21" s="1135"/>
      <c r="AI21" s="1135"/>
      <c r="AJ21" s="1135"/>
      <c r="AK21" s="1135"/>
      <c r="AL21" s="1135"/>
      <c r="AM21" s="1144"/>
      <c r="AN21" s="1087"/>
      <c r="AO21" s="1088"/>
      <c r="AP21" s="1088"/>
      <c r="AQ21" s="1089"/>
      <c r="AR21" s="187">
        <v>0</v>
      </c>
      <c r="AS21" s="188" t="s">
        <v>176</v>
      </c>
      <c r="AW21" s="31">
        <f>AC41</f>
        <v>0</v>
      </c>
      <c r="AX21" s="31">
        <f t="shared" ref="AX21:BG21" si="7">AD41</f>
        <v>0</v>
      </c>
      <c r="AY21" s="31">
        <f t="shared" si="7"/>
        <v>0</v>
      </c>
      <c r="AZ21" s="31">
        <f t="shared" si="7"/>
        <v>0</v>
      </c>
      <c r="BA21" s="31">
        <f t="shared" si="7"/>
        <v>0</v>
      </c>
      <c r="BB21" s="31">
        <f t="shared" si="7"/>
        <v>0</v>
      </c>
      <c r="BC21" s="31">
        <f t="shared" si="7"/>
        <v>0</v>
      </c>
      <c r="BD21" s="31">
        <f t="shared" si="7"/>
        <v>0</v>
      </c>
      <c r="BE21" s="31">
        <f t="shared" si="7"/>
        <v>0</v>
      </c>
      <c r="BF21" s="31">
        <f t="shared" si="7"/>
        <v>0</v>
      </c>
      <c r="BG21" s="31">
        <f t="shared" si="7"/>
        <v>0</v>
      </c>
    </row>
    <row r="22" spans="2:59" ht="15.75" thickBot="1" x14ac:dyDescent="0.25">
      <c r="B22" s="1131"/>
      <c r="C22" s="1119"/>
      <c r="D22" s="1101"/>
      <c r="E22" s="1102"/>
      <c r="F22" s="1102"/>
      <c r="G22" s="1119"/>
      <c r="H22" s="1145"/>
      <c r="I22" s="945"/>
      <c r="J22" s="945"/>
      <c r="K22" s="945"/>
      <c r="L22" s="945"/>
      <c r="M22" s="945"/>
      <c r="N22" s="945"/>
      <c r="O22" s="945"/>
      <c r="P22" s="945"/>
      <c r="Q22" s="945"/>
      <c r="R22" s="945"/>
      <c r="S22" s="945"/>
      <c r="T22" s="946"/>
      <c r="U22" s="1131"/>
      <c r="V22" s="1119"/>
      <c r="W22" s="1101"/>
      <c r="X22" s="1102"/>
      <c r="Y22" s="1102"/>
      <c r="Z22" s="1119"/>
      <c r="AA22" s="1145"/>
      <c r="AB22" s="945"/>
      <c r="AC22" s="945"/>
      <c r="AD22" s="945"/>
      <c r="AE22" s="945"/>
      <c r="AF22" s="945"/>
      <c r="AG22" s="945"/>
      <c r="AH22" s="945"/>
      <c r="AI22" s="945"/>
      <c r="AJ22" s="945"/>
      <c r="AK22" s="945"/>
      <c r="AL22" s="945"/>
      <c r="AM22" s="946"/>
      <c r="AN22" s="1090"/>
      <c r="AO22" s="1091"/>
      <c r="AP22" s="1091"/>
      <c r="AQ22" s="1092"/>
      <c r="AR22" s="187">
        <v>0</v>
      </c>
      <c r="AS22" s="188" t="s">
        <v>176</v>
      </c>
      <c r="AW22" s="32">
        <f>IF(AW21&gt;0,AW21-(IF(AV21&gt;0,AV21,IF(AU21&gt;0,AU21,IF(AT21&gt;0,AT21,IF(AS21&gt;0,AS21,))))),0)</f>
        <v>0</v>
      </c>
      <c r="AX22" s="32">
        <f>IF(AX21&gt;0,AX21-(IF(AW21&gt;0,AW21,IF(AV21&gt;0,AV21,IF(AU21&gt;0,AU21,IF(AT21&gt;0,AT21,))))),0)</f>
        <v>0</v>
      </c>
      <c r="AY22" s="32">
        <f>IF(AY21&gt;0,AY21-(IF(AX21&gt;0,AX21,IF(AW21&gt;0,AW21,IF(AV21&gt;0,AV21,IF(AU21&gt;0,AU21,))))),0)</f>
        <v>0</v>
      </c>
      <c r="AZ22" s="32">
        <f>IF(AZ21&gt;0,AZ21-(IF(AY21&gt;0,AY21,IF(AX21&gt;0,AX21,IF(AW21&gt;0,AW21,IF(AV21&gt;0,AV21,))))),0)</f>
        <v>0</v>
      </c>
      <c r="BA22" s="32">
        <f>IF(BA21&gt;0,BA21-(IF(AZ21&gt;0,AZ21,IF(AY21&gt;0,AY21,IF(AX21&gt;0,AX21,IF(AW21&gt;0,AW21,))))),0)</f>
        <v>0</v>
      </c>
      <c r="BB22" s="32">
        <f>IF(BB21&gt;0,BB21 -(IF(BA21&gt;0,BA21,IF(AZ21&gt;0,AZ21,IF(AY21&gt;0,AY21,IF(AX21&gt;0,AX21,IF(AW21&gt;0,AW21)))))),0)</f>
        <v>0</v>
      </c>
      <c r="BC22" s="32">
        <f>IF(BC21&gt;0,BC21-(IF(BB21&gt;0,BB21,IF(BA21&gt;0,BA21,IF(AZ21&gt;0,AZ21,IF(AY21&gt;0,AY21,IF(AX21&gt;0,AX21,IF(AW21&gt;0,AW21,))))))),0)</f>
        <v>0</v>
      </c>
      <c r="BD22" s="32">
        <f>IF(BD21&gt;0,BD21-(IF(BC21&gt;0,BC21,IF(BB21&gt;0,BB21,IF(BA21&gt;0,BA21,IF(AZ21&gt;0,AZ21,IF(AY21&gt;0,AY21,IF(AX21&gt;0,AX21,))))))),0)</f>
        <v>0</v>
      </c>
      <c r="BE22" s="32">
        <f>IF(BE21&gt;0,BE21-(IF(BD21&gt;0,BD21,IF(BC21&gt;0,BC21,IF(BB21&gt;0,BB21,IF(BA21&gt;0,BA21,IF(AZ21&gt;0,AZ21,IF(AY21&gt;0,AY21,))))))),0)</f>
        <v>0</v>
      </c>
      <c r="BF22" s="32">
        <f>IF(BF21&gt;0,BF21-(IF(BE21&gt;0,BE21,IF(BD21&gt;0,BD21,IF(BC21&gt;0,BC21,IF(BB21&gt;0,BB21,IF(BA21&gt;0,BA21,IF(AZ21&gt;0,AZ21,))))))),0)</f>
        <v>0</v>
      </c>
      <c r="BG22" s="32">
        <f>IF(BG21&gt;0,BG21-(IF(BF21&gt;0,BF21,IF(BE21&gt;0,BE21,IF(BD21&gt;0,BD21,IF(BC21&gt;0,BC21,IF(BB21&gt;0,BB21,IF(BA21&gt;0,BA21,))))))),0)</f>
        <v>0</v>
      </c>
    </row>
    <row r="23" spans="2:59" ht="15.75" thickBot="1" x14ac:dyDescent="0.25">
      <c r="B23" s="1129" t="s">
        <v>184</v>
      </c>
      <c r="C23" s="1130"/>
      <c r="D23" s="1132"/>
      <c r="E23" s="1133"/>
      <c r="F23" s="1133"/>
      <c r="G23" s="1130"/>
      <c r="H23" s="1145"/>
      <c r="I23" s="945"/>
      <c r="J23" s="945"/>
      <c r="K23" s="945"/>
      <c r="L23" s="945"/>
      <c r="M23" s="945"/>
      <c r="N23" s="945"/>
      <c r="O23" s="945"/>
      <c r="P23" s="945"/>
      <c r="Q23" s="945"/>
      <c r="R23" s="945"/>
      <c r="S23" s="945"/>
      <c r="T23" s="946"/>
      <c r="U23" s="1129" t="s">
        <v>184</v>
      </c>
      <c r="V23" s="1130"/>
      <c r="W23" s="1132"/>
      <c r="X23" s="1133"/>
      <c r="Y23" s="1133"/>
      <c r="Z23" s="1130"/>
      <c r="AA23" s="1145"/>
      <c r="AB23" s="945"/>
      <c r="AC23" s="945"/>
      <c r="AD23" s="945"/>
      <c r="AE23" s="945"/>
      <c r="AF23" s="945"/>
      <c r="AG23" s="945"/>
      <c r="AH23" s="945"/>
      <c r="AI23" s="945"/>
      <c r="AJ23" s="945"/>
      <c r="AK23" s="945"/>
      <c r="AL23" s="945"/>
      <c r="AM23" s="946"/>
      <c r="AN23" s="1093"/>
      <c r="AO23" s="1094"/>
      <c r="AP23" s="1094"/>
      <c r="AQ23" s="1095"/>
      <c r="AR23" s="187">
        <v>0</v>
      </c>
      <c r="AS23" s="188" t="s">
        <v>176</v>
      </c>
    </row>
    <row r="24" spans="2:59" ht="16.5" thickTop="1" thickBot="1" x14ac:dyDescent="0.25">
      <c r="B24" s="1159"/>
      <c r="C24" s="1160"/>
      <c r="D24" s="1161"/>
      <c r="E24" s="1162"/>
      <c r="F24" s="1099"/>
      <c r="G24" s="1118"/>
      <c r="H24" s="1146"/>
      <c r="I24" s="948"/>
      <c r="J24" s="948"/>
      <c r="K24" s="948"/>
      <c r="L24" s="948"/>
      <c r="M24" s="948"/>
      <c r="N24" s="948"/>
      <c r="O24" s="948"/>
      <c r="P24" s="948"/>
      <c r="Q24" s="948"/>
      <c r="R24" s="948"/>
      <c r="S24" s="948"/>
      <c r="T24" s="949"/>
      <c r="U24" s="1159"/>
      <c r="V24" s="1160"/>
      <c r="W24" s="1161"/>
      <c r="X24" s="1162"/>
      <c r="Y24" s="1099"/>
      <c r="Z24" s="1118"/>
      <c r="AA24" s="1146"/>
      <c r="AB24" s="948"/>
      <c r="AC24" s="948"/>
      <c r="AD24" s="948"/>
      <c r="AE24" s="948"/>
      <c r="AF24" s="948"/>
      <c r="AG24" s="948"/>
      <c r="AH24" s="948"/>
      <c r="AI24" s="948"/>
      <c r="AJ24" s="948"/>
      <c r="AK24" s="948"/>
      <c r="AL24" s="948"/>
      <c r="AM24" s="949"/>
      <c r="AN24" s="1105">
        <v>5</v>
      </c>
      <c r="AO24" s="1085" t="s">
        <v>175</v>
      </c>
      <c r="AP24" s="1086"/>
      <c r="AQ24" s="206" t="s">
        <v>170</v>
      </c>
      <c r="AR24" s="187">
        <v>0</v>
      </c>
      <c r="AS24" s="188" t="s">
        <v>176</v>
      </c>
    </row>
    <row r="25" spans="2:59" ht="22.5" customHeight="1" thickTop="1" thickBot="1" x14ac:dyDescent="0.25">
      <c r="B25" s="1107">
        <v>3</v>
      </c>
      <c r="C25" s="1108"/>
      <c r="D25" s="1111" t="s">
        <v>169</v>
      </c>
      <c r="E25" s="1112"/>
      <c r="F25" s="1113" t="s">
        <v>170</v>
      </c>
      <c r="G25" s="1114"/>
      <c r="H25" s="1112" t="str">
        <f>IF(F25=1,'Survey Front'!C12&amp;" "&amp;'Survey Front'!C13&amp;" "&amp;'Survey Front'!C14,IF(F25=2,'Survey Front'!C15&amp;" "&amp;'Survey Front'!C16&amp;" "&amp;'Survey Front'!C17,IF(F25=3,'Survey Front'!C18&amp;" "&amp;'Survey Front'!C19&amp;" "&amp;'Survey Front'!C20,IF(F25=4,'Survey Front'!C21&amp;" "&amp;'Survey Front'!C22&amp;" "&amp;'Survey Front'!C23,IF(F25=5,'Survey Front'!C24&amp;" "&amp;'Survey Front'!C25&amp;" "&amp;'Survey Front'!C26,IF(F25=6,'Survey Front'!C27&amp;" "&amp;'Survey Front'!C28&amp;" "&amp;'Survey Front'!C29,IF(F25=7,'Survey Front'!C30&amp;" "&amp;'Survey Front'!C31&amp;" "&amp;'Survey Front'!C32,IF(F25=8,'Survey Front'!C33&amp;" "&amp;'Survey Front'!C34&amp;" "&amp;'Survey Front'!C35,IF(F25=9,'Survey Front'!C36&amp;" "&amp;'Survey Front'!C37&amp;" "&amp;'Survey Front'!C38,IF(F25=10,'Survey Front'!C39 &amp;" " &amp;'Survey Front'!C40 &amp; " " &amp; 'Survey Front'!C41,IF(F25=11,'Survey Front'!C42 &amp;" " &amp;'Survey Front'!C43 &amp; " " &amp; 'Survey Front'!C44,IF(F25=12,'Survey Front'!C45 &amp;" " &amp;'Survey Front'!C46 &amp; " " &amp; 'Survey Front'!C47,IF(F25=13,'Survey Front'!C48 &amp;" " &amp;'Survey Front'!C49 &amp; " " &amp; 'Survey Front'!C50,IF(F25=14,'Survey Front'!C51 &amp;" " &amp;'Survey Front'!C52 &amp; " " &amp; 'Survey Front'!C53,IF(F25=15,'Survey Front'!C54 &amp;" " &amp;'Survey Front'!C55 &amp; " " &amp; 'Survey Front'!C56,"")))))))))))))))</f>
        <v/>
      </c>
      <c r="I25" s="1112"/>
      <c r="J25" s="1112"/>
      <c r="K25" s="1112"/>
      <c r="L25" s="1112"/>
      <c r="M25" s="1112"/>
      <c r="N25" s="1112"/>
      <c r="O25" s="1112"/>
      <c r="P25" s="1117"/>
      <c r="Q25" s="1120" t="s">
        <v>171</v>
      </c>
      <c r="R25" s="1121"/>
      <c r="S25" s="1121"/>
      <c r="T25" s="1122"/>
      <c r="U25" s="1107">
        <v>4</v>
      </c>
      <c r="V25" s="1108"/>
      <c r="W25" s="1111" t="s">
        <v>169</v>
      </c>
      <c r="X25" s="1112"/>
      <c r="Y25" s="1113" t="s">
        <v>170</v>
      </c>
      <c r="Z25" s="1114"/>
      <c r="AA25" s="1112" t="str">
        <f>IF(Y25=1,'Survey Front'!C12&amp;" "&amp;'Survey Front'!C13&amp;" "&amp;'Survey Front'!C14,IF(Y25=2,'Survey Front'!C15&amp;" "&amp;'Survey Front'!C16&amp;" "&amp;'Survey Front'!C17,IF(Y25=3,'Survey Front'!C18&amp;" "&amp;'Survey Front'!C19&amp;" "&amp;'Survey Front'!C20,IF(Y25=4,'Survey Front'!C21&amp;" "&amp;'Survey Front'!C22&amp;" "&amp;'Survey Front'!C23,IF(Y25=5,'Survey Front'!C24&amp;" "&amp;'Survey Front'!C25&amp;" "&amp;'Survey Front'!C26,IF(Y25=6,'Survey Front'!C27&amp;" "&amp;'Survey Front'!C28&amp;" "&amp;'Survey Front'!C29,IF(Y25=7,'Survey Front'!C30&amp;" "&amp;'Survey Front'!C31&amp;" "&amp;'Survey Front'!C32,IF(Y25=8,'Survey Front'!C33&amp;" "&amp;'Survey Front'!C34&amp;" "&amp;'Survey Front'!C35,IF(Y25=9,'Survey Front'!C36&amp;" "&amp;'Survey Front'!C37&amp;" "&amp;'Survey Front'!C38,IF(Y25=10,'Survey Front'!C39 &amp;" " &amp;'Survey Front'!C40 &amp; " " &amp; 'Survey Front'!C41,IF(Y25=11,'Survey Front'!C42 &amp;" " &amp;'Survey Front'!C43 &amp; " " &amp; 'Survey Front'!C44,IF(Y25=12,'Survey Front'!C45 &amp;" " &amp;'Survey Front'!C46 &amp; " " &amp; 'Survey Front'!C47,IF(Y25=13,'Survey Front'!C48 &amp;" " &amp;'Survey Front'!C49 &amp; " " &amp; 'Survey Front'!C50,IF(Y25=14,'Survey Front'!C51 &amp;" " &amp;'Survey Front'!C52 &amp; " " &amp; 'Survey Front'!C53,IF(Y25=15,'Survey Front'!C54 &amp;" " &amp;'Survey Front'!C55 &amp; " " &amp; 'Survey Front'!C56,"")))))))))))))))</f>
        <v/>
      </c>
      <c r="AB25" s="1112"/>
      <c r="AC25" s="1112"/>
      <c r="AD25" s="1112"/>
      <c r="AE25" s="1112"/>
      <c r="AF25" s="1112"/>
      <c r="AG25" s="1112"/>
      <c r="AH25" s="1112"/>
      <c r="AI25" s="1117"/>
      <c r="AJ25" s="1120" t="s">
        <v>171</v>
      </c>
      <c r="AK25" s="1121"/>
      <c r="AL25" s="1121"/>
      <c r="AM25" s="1122"/>
      <c r="AN25" s="1106"/>
      <c r="AO25" s="185"/>
      <c r="AP25" s="186"/>
      <c r="AQ25" s="186"/>
      <c r="AR25" s="187">
        <v>0</v>
      </c>
      <c r="AS25" s="188" t="s">
        <v>176</v>
      </c>
      <c r="AV25" t="str">
        <f>F48</f>
        <v>Select</v>
      </c>
      <c r="AW25" s="29">
        <f>IF($F$48=1,J63,IF($F$48=2,J63,IF($F$48=3,J63,IF($F$48=4,J63,IF($F$48=5,J63,IF($F$48=6,J63,IF($F$48=7,J63,IF($F$48=8,J63,IF($F$48=9,J63,IF($F$48=10,J63,IF($F$48=11,J63,IF($F$48=12,J63,IF($F$48=13,J63,IF($F$48=14,J63,IF($F$48=15,J63,)))))))))))))))</f>
        <v>0</v>
      </c>
      <c r="AX25" s="29">
        <f t="shared" ref="AX25:BG25" si="8">IF($F$48=1,K63,IF($F$48=2,K63,IF($F$48=3,K63,IF($F$48=4,K63,IF($F$48=5,K63,IF($F$48=6,K63,IF($F$48=7,K63,IF($F$48=8,K63,IF($F$48=9,K63,IF($F$48=10,K63,IF($F$48=11,K63,IF($F$48=12,K63,IF($F$48=13,K64,IF($F$48=14,K63,IF($F$48=15,K63,)))))))))))))))</f>
        <v>0</v>
      </c>
      <c r="AY25" s="29">
        <f t="shared" si="8"/>
        <v>0</v>
      </c>
      <c r="AZ25" s="29">
        <f t="shared" si="8"/>
        <v>0</v>
      </c>
      <c r="BA25" s="29">
        <f t="shared" si="8"/>
        <v>0</v>
      </c>
      <c r="BB25" s="29">
        <f t="shared" si="8"/>
        <v>0</v>
      </c>
      <c r="BC25" s="29">
        <f t="shared" si="8"/>
        <v>0</v>
      </c>
      <c r="BD25" s="29">
        <f t="shared" si="8"/>
        <v>0</v>
      </c>
      <c r="BE25" s="29">
        <f t="shared" si="8"/>
        <v>0</v>
      </c>
      <c r="BF25" s="29">
        <f t="shared" si="8"/>
        <v>0</v>
      </c>
      <c r="BG25" s="29">
        <f t="shared" si="8"/>
        <v>0</v>
      </c>
    </row>
    <row r="26" spans="2:59" ht="22.5" customHeight="1" thickBot="1" x14ac:dyDescent="0.25">
      <c r="B26" s="1109"/>
      <c r="C26" s="1110"/>
      <c r="D26" s="1101"/>
      <c r="E26" s="1102"/>
      <c r="F26" s="1115"/>
      <c r="G26" s="1116"/>
      <c r="H26" s="1099"/>
      <c r="I26" s="1099"/>
      <c r="J26" s="1099"/>
      <c r="K26" s="1099"/>
      <c r="L26" s="1099"/>
      <c r="M26" s="1099"/>
      <c r="N26" s="1099"/>
      <c r="O26" s="1099"/>
      <c r="P26" s="1118"/>
      <c r="Q26" s="1098" t="s">
        <v>170</v>
      </c>
      <c r="R26" s="1099"/>
      <c r="S26" s="1099"/>
      <c r="T26" s="1100"/>
      <c r="U26" s="1109"/>
      <c r="V26" s="1110"/>
      <c r="W26" s="1101"/>
      <c r="X26" s="1102"/>
      <c r="Y26" s="1115"/>
      <c r="Z26" s="1116"/>
      <c r="AA26" s="1099"/>
      <c r="AB26" s="1099"/>
      <c r="AC26" s="1099"/>
      <c r="AD26" s="1099"/>
      <c r="AE26" s="1099"/>
      <c r="AF26" s="1099"/>
      <c r="AG26" s="1099"/>
      <c r="AH26" s="1099"/>
      <c r="AI26" s="1118"/>
      <c r="AJ26" s="1098" t="s">
        <v>170</v>
      </c>
      <c r="AK26" s="1099"/>
      <c r="AL26" s="1099"/>
      <c r="AM26" s="1100"/>
      <c r="AN26" s="1087"/>
      <c r="AO26" s="1088"/>
      <c r="AP26" s="1088"/>
      <c r="AQ26" s="1089"/>
      <c r="AR26" s="187">
        <v>0</v>
      </c>
      <c r="AS26" s="188" t="s">
        <v>176</v>
      </c>
      <c r="AW26" s="31">
        <f>J64</f>
        <v>0</v>
      </c>
      <c r="AX26" s="31">
        <f t="shared" ref="AX26:BG26" si="9">K64</f>
        <v>0</v>
      </c>
      <c r="AY26" s="31">
        <f t="shared" si="9"/>
        <v>0</v>
      </c>
      <c r="AZ26" s="31">
        <f t="shared" si="9"/>
        <v>0</v>
      </c>
      <c r="BA26" s="31">
        <f t="shared" si="9"/>
        <v>0</v>
      </c>
      <c r="BB26" s="31">
        <f t="shared" si="9"/>
        <v>0</v>
      </c>
      <c r="BC26" s="31">
        <f t="shared" si="9"/>
        <v>0</v>
      </c>
      <c r="BD26" s="31">
        <f t="shared" si="9"/>
        <v>0</v>
      </c>
      <c r="BE26" s="31">
        <f t="shared" si="9"/>
        <v>0</v>
      </c>
      <c r="BF26" s="31">
        <f t="shared" si="9"/>
        <v>0</v>
      </c>
      <c r="BG26" s="31">
        <f t="shared" si="9"/>
        <v>0</v>
      </c>
    </row>
    <row r="27" spans="2:59" ht="22.5" customHeight="1" thickBot="1" x14ac:dyDescent="0.25">
      <c r="B27" s="27"/>
      <c r="C27" s="16"/>
      <c r="D27" s="16"/>
      <c r="E27" s="16"/>
      <c r="F27" s="1165"/>
      <c r="G27" s="1165"/>
      <c r="H27" s="1102"/>
      <c r="I27" s="1102"/>
      <c r="J27" s="1102"/>
      <c r="K27" s="1102"/>
      <c r="L27" s="1102"/>
      <c r="M27" s="1102"/>
      <c r="N27" s="1102"/>
      <c r="O27" s="1102"/>
      <c r="P27" s="1119"/>
      <c r="Q27" s="1101"/>
      <c r="R27" s="1102"/>
      <c r="S27" s="1102"/>
      <c r="T27" s="1103"/>
      <c r="U27" s="27"/>
      <c r="V27" s="16"/>
      <c r="W27" s="16"/>
      <c r="X27" s="16"/>
      <c r="Y27" s="1165"/>
      <c r="Z27" s="1165"/>
      <c r="AA27" s="1102"/>
      <c r="AB27" s="1102"/>
      <c r="AC27" s="1102"/>
      <c r="AD27" s="1102"/>
      <c r="AE27" s="1102"/>
      <c r="AF27" s="1102"/>
      <c r="AG27" s="1102"/>
      <c r="AH27" s="1102"/>
      <c r="AI27" s="1119"/>
      <c r="AJ27" s="1101"/>
      <c r="AK27" s="1102"/>
      <c r="AL27" s="1102"/>
      <c r="AM27" s="1103"/>
      <c r="AN27" s="1090"/>
      <c r="AO27" s="1091"/>
      <c r="AP27" s="1091"/>
      <c r="AQ27" s="1092"/>
      <c r="AR27" s="187">
        <v>0</v>
      </c>
      <c r="AS27" s="188" t="s">
        <v>176</v>
      </c>
      <c r="AW27" s="32">
        <f>IF(AW26&gt;0,AW26-(IF(AV26&gt;0,AV26,IF(AU26&gt;0,AU26,IF(AT26&gt;0,AT26,IF(AS26&gt;0,AS26,))))),0)</f>
        <v>0</v>
      </c>
      <c r="AX27" s="32">
        <f>IF(AX26&gt;0,AX26-(IF(AW26&gt;0,AW26,IF(AV26&gt;0,AV26,IF(AU26&gt;0,AU26,IF(AT26&gt;0,AT26,))))),0)</f>
        <v>0</v>
      </c>
      <c r="AY27" s="32">
        <f>IF(AY26&gt;0,AY26-(IF(AX26&gt;0,AX26,IF(AW26&gt;0,AW26,IF(AV26&gt;0,AV26,IF(AU26&gt;0,AU26,))))),0)</f>
        <v>0</v>
      </c>
      <c r="AZ27" s="32">
        <f>IF(AZ26&gt;0,AZ26-(IF(AY26&gt;0,AY26,IF(AX26&gt;0,AX26,IF(AW26&gt;0,AW26,IF(AV26&gt;0,AV26,))))),0)</f>
        <v>0</v>
      </c>
      <c r="BA27" s="32">
        <f>IF(BA26&gt;0,BA26-(IF(AZ26&gt;0,AZ26,IF(AY26&gt;0,AY26,IF(AX26&gt;0,AX26,IF(AW26&gt;0,AW26,))))),0)</f>
        <v>0</v>
      </c>
      <c r="BB27" s="32">
        <f>IF(BB26&gt;0,BB26 -(IF(BA26&gt;0,BA26,IF(AZ26&gt;0,AZ26,IF(AY26&gt;0,AY26,IF(AX26&gt;0,AX26,IF(AW26&gt;0,AW26)))))),0)</f>
        <v>0</v>
      </c>
      <c r="BC27" s="32">
        <f>IF(BC26&gt;0,BC26-(IF(BB26&gt;0,BB26,IF(BA26&gt;0,BA26,IF(AZ26&gt;0,AZ26,IF(AY26&gt;0,AY26,IF(AX26&gt;0,AX26,IF(AW26&gt;0,AW26,))))))),0)</f>
        <v>0</v>
      </c>
      <c r="BD27" s="32">
        <f>IF(BD26&gt;0,BD26-(IF(BC26&gt;0,BC26,IF(BB26&gt;0,BB26,IF(BA26&gt;0,BA26,IF(AZ26&gt;0,AZ26,IF(AY26&gt;0,AY26,IF(AX26&gt;0,AX26,))))))),0)</f>
        <v>0</v>
      </c>
      <c r="BE27" s="32">
        <f>IF(BE26&gt;0,BE26-(IF(BD26&gt;0,BD26,IF(BC26&gt;0,BC26,IF(BB26&gt;0,BB26,IF(BA26&gt;0,BA26,IF(AZ26&gt;0,AZ26,IF(AY26&gt;0,AY26,))))))),0)</f>
        <v>0</v>
      </c>
      <c r="BF27" s="32">
        <f>IF(BF26&gt;0,BF26-(IF(BE26&gt;0,BE26,IF(BD26&gt;0,BD26,IF(BC26&gt;0,BC26,IF(BB26&gt;0,BB26,IF(BA26&gt;0,BA26,IF(AZ26&gt;0,AZ26,))))))),0)</f>
        <v>0</v>
      </c>
      <c r="BG27" s="32">
        <f>IF(BG26&gt;0,BG26-(IF(BF26&gt;0,BF26,IF(BE26&gt;0,BE26,IF(BD26&gt;0,BD26,IF(BC26&gt;0,BC26,IF(BB26&gt;0,BB26,IF(BA26&gt;0,BA26,))))))),0)</f>
        <v>0</v>
      </c>
    </row>
    <row r="28" spans="2:59" ht="22.5" customHeight="1" thickBot="1" x14ac:dyDescent="0.25">
      <c r="B28" s="307"/>
      <c r="C28" s="28"/>
      <c r="D28" s="28"/>
      <c r="E28" s="28"/>
      <c r="F28" s="28"/>
      <c r="G28" s="28"/>
      <c r="H28" s="28"/>
      <c r="I28" s="28"/>
      <c r="J28" s="28"/>
      <c r="K28" s="28"/>
      <c r="L28" s="28"/>
      <c r="M28" s="28"/>
      <c r="N28" s="28"/>
      <c r="O28" s="28"/>
      <c r="P28" s="28"/>
      <c r="Q28" s="28"/>
      <c r="R28" s="28"/>
      <c r="S28" s="28"/>
      <c r="T28" s="308"/>
      <c r="U28" s="307"/>
      <c r="V28" s="28"/>
      <c r="W28" s="28"/>
      <c r="X28" s="28"/>
      <c r="Y28" s="28"/>
      <c r="Z28" s="28"/>
      <c r="AA28" s="28"/>
      <c r="AB28" s="28"/>
      <c r="AC28" s="28"/>
      <c r="AD28" s="28"/>
      <c r="AE28" s="28"/>
      <c r="AF28" s="28"/>
      <c r="AG28" s="28"/>
      <c r="AH28" s="28"/>
      <c r="AI28" s="28"/>
      <c r="AJ28" s="28"/>
      <c r="AK28" s="28"/>
      <c r="AL28" s="28"/>
      <c r="AM28" s="308"/>
      <c r="AN28" s="1093"/>
      <c r="AO28" s="1094"/>
      <c r="AP28" s="1094"/>
      <c r="AQ28" s="1095"/>
      <c r="AR28" s="187">
        <v>0</v>
      </c>
      <c r="AS28" s="188" t="s">
        <v>176</v>
      </c>
    </row>
    <row r="29" spans="2:59" ht="22.5" customHeight="1" thickTop="1" thickBot="1" x14ac:dyDescent="0.25">
      <c r="B29" s="307"/>
      <c r="C29" s="28"/>
      <c r="D29" s="28"/>
      <c r="E29" s="28"/>
      <c r="F29" s="28"/>
      <c r="G29" s="28"/>
      <c r="H29" s="28"/>
      <c r="I29" s="28"/>
      <c r="J29" s="28"/>
      <c r="K29" s="28"/>
      <c r="L29" s="28"/>
      <c r="M29" s="28"/>
      <c r="N29" s="28"/>
      <c r="O29" s="28"/>
      <c r="P29" s="28"/>
      <c r="Q29" s="28"/>
      <c r="R29" s="28"/>
      <c r="S29" s="28"/>
      <c r="T29" s="308"/>
      <c r="U29" s="307"/>
      <c r="V29" s="28"/>
      <c r="W29" s="28"/>
      <c r="X29" s="28"/>
      <c r="Y29" s="28"/>
      <c r="Z29" s="28"/>
      <c r="AA29" s="28"/>
      <c r="AB29" s="28"/>
      <c r="AC29" s="28"/>
      <c r="AD29" s="28"/>
      <c r="AE29" s="28"/>
      <c r="AF29" s="28"/>
      <c r="AG29" s="28"/>
      <c r="AH29" s="28"/>
      <c r="AI29" s="28"/>
      <c r="AJ29" s="28"/>
      <c r="AK29" s="28"/>
      <c r="AL29" s="28"/>
      <c r="AM29" s="308"/>
      <c r="AN29" s="1105">
        <v>6</v>
      </c>
      <c r="AO29" s="1085" t="s">
        <v>175</v>
      </c>
      <c r="AP29" s="1086"/>
      <c r="AQ29" s="206" t="s">
        <v>170</v>
      </c>
      <c r="AR29" s="187">
        <v>0</v>
      </c>
      <c r="AS29" s="188" t="s">
        <v>176</v>
      </c>
    </row>
    <row r="30" spans="2:59" ht="22.5" customHeight="1" thickBot="1" x14ac:dyDescent="0.25">
      <c r="B30" s="307"/>
      <c r="C30" s="28"/>
      <c r="D30" s="28"/>
      <c r="E30" s="28"/>
      <c r="F30" s="28"/>
      <c r="G30" s="28"/>
      <c r="H30" s="28"/>
      <c r="I30" s="28"/>
      <c r="J30" s="28"/>
      <c r="K30" s="28"/>
      <c r="L30" s="28"/>
      <c r="M30" s="28"/>
      <c r="N30" s="28"/>
      <c r="O30" s="28"/>
      <c r="P30" s="28"/>
      <c r="Q30" s="28"/>
      <c r="R30" s="28"/>
      <c r="S30" s="28"/>
      <c r="T30" s="308"/>
      <c r="U30" s="307"/>
      <c r="V30" s="28"/>
      <c r="W30" s="28"/>
      <c r="X30" s="28"/>
      <c r="Y30" s="28"/>
      <c r="Z30" s="28"/>
      <c r="AA30" s="28"/>
      <c r="AB30" s="28"/>
      <c r="AC30" s="28"/>
      <c r="AD30" s="28"/>
      <c r="AE30" s="28"/>
      <c r="AF30" s="28"/>
      <c r="AG30" s="28"/>
      <c r="AH30" s="28"/>
      <c r="AI30" s="28"/>
      <c r="AJ30" s="28"/>
      <c r="AK30" s="28"/>
      <c r="AL30" s="28"/>
      <c r="AM30" s="308"/>
      <c r="AN30" s="1106"/>
      <c r="AO30" s="185"/>
      <c r="AP30" s="186"/>
      <c r="AQ30" s="186"/>
      <c r="AR30" s="187">
        <v>0</v>
      </c>
      <c r="AS30" s="188" t="s">
        <v>176</v>
      </c>
      <c r="AV30" t="str">
        <f>Y48</f>
        <v>Select</v>
      </c>
      <c r="AW30" s="29">
        <f>IF($Y$48=1,AC63,IF($Y$48=2,AC63,IF($Y$48=3,AC63,IF($Y$48=4,AC63,IF($Y$48=5,AC63,IF($Y$48=6,AC63,IF($Y$48=7,AC63,IF($Y$48=8,AC63,IF($Y$48=9,AC63,IF($Y$48=10,AC63,IF($Y$48=11,AC63,IF($Y$48=12,AC63,IF($Y$48=13,AC63,IF($Y$48=14,AC63,IF($Y$48=15,AC63,)))))))))))))))</f>
        <v>0</v>
      </c>
      <c r="AX30" s="29">
        <f t="shared" ref="AX30:BG30" si="10">IF($Y$48=1,AD63,IF($Y$48=2,AD63,IF($Y$48=3,AD63,IF($Y$48=4,AD63,IF($Y$48=5,AD63,IF($Y$48=6,AD63,IF($Y$48=7,AD63,IF($Y$48=8,AD63,IF($Y$48=9,AD63,IF($Y$48=10,AD63,IF($Y$48=11,AD63,IF($Y$48=12,AD63,IF($Y$48=13,AD63,IF($Y$48=14,AD63,IF($Y$48=15,AD63,)))))))))))))))</f>
        <v>0</v>
      </c>
      <c r="AY30" s="29">
        <f t="shared" si="10"/>
        <v>0</v>
      </c>
      <c r="AZ30" s="29">
        <f t="shared" si="10"/>
        <v>0</v>
      </c>
      <c r="BA30" s="29">
        <f t="shared" si="10"/>
        <v>0</v>
      </c>
      <c r="BB30" s="29">
        <f t="shared" si="10"/>
        <v>0</v>
      </c>
      <c r="BC30" s="29">
        <f t="shared" si="10"/>
        <v>0</v>
      </c>
      <c r="BD30" s="29">
        <f t="shared" si="10"/>
        <v>0</v>
      </c>
      <c r="BE30" s="29">
        <f t="shared" si="10"/>
        <v>0</v>
      </c>
      <c r="BF30" s="29">
        <f t="shared" si="10"/>
        <v>0</v>
      </c>
      <c r="BG30" s="29">
        <f t="shared" si="10"/>
        <v>0</v>
      </c>
    </row>
    <row r="31" spans="2:59" ht="22.5" customHeight="1" thickBot="1" x14ac:dyDescent="0.25">
      <c r="B31" s="307"/>
      <c r="C31" s="28"/>
      <c r="D31" s="28"/>
      <c r="E31" s="28"/>
      <c r="F31" s="28"/>
      <c r="G31" s="28"/>
      <c r="H31" s="28"/>
      <c r="I31" s="28"/>
      <c r="J31" s="28"/>
      <c r="K31" s="28"/>
      <c r="L31" s="28"/>
      <c r="M31" s="28"/>
      <c r="N31" s="28"/>
      <c r="O31" s="28"/>
      <c r="P31" s="28"/>
      <c r="Q31" s="28"/>
      <c r="R31" s="28"/>
      <c r="S31" s="28"/>
      <c r="T31" s="308"/>
      <c r="U31" s="307"/>
      <c r="V31" s="28"/>
      <c r="W31" s="28"/>
      <c r="X31" s="28"/>
      <c r="Y31" s="28"/>
      <c r="Z31" s="28"/>
      <c r="AA31" s="28"/>
      <c r="AB31" s="28"/>
      <c r="AC31" s="28"/>
      <c r="AD31" s="28"/>
      <c r="AE31" s="28"/>
      <c r="AF31" s="28"/>
      <c r="AG31" s="28"/>
      <c r="AH31" s="28"/>
      <c r="AI31" s="28"/>
      <c r="AJ31" s="28"/>
      <c r="AK31" s="28"/>
      <c r="AL31" s="28"/>
      <c r="AM31" s="308"/>
      <c r="AN31" s="1087"/>
      <c r="AO31" s="1088"/>
      <c r="AP31" s="1088"/>
      <c r="AQ31" s="1089"/>
      <c r="AR31" s="187">
        <v>0</v>
      </c>
      <c r="AS31" s="188" t="s">
        <v>176</v>
      </c>
      <c r="AW31" s="31">
        <f>AC64</f>
        <v>0</v>
      </c>
      <c r="AX31" s="31">
        <f t="shared" ref="AX31:BG31" si="11">AD64</f>
        <v>0</v>
      </c>
      <c r="AY31" s="31">
        <f t="shared" si="11"/>
        <v>0</v>
      </c>
      <c r="AZ31" s="31">
        <f t="shared" si="11"/>
        <v>0</v>
      </c>
      <c r="BA31" s="31">
        <f t="shared" si="11"/>
        <v>0</v>
      </c>
      <c r="BB31" s="31">
        <f t="shared" si="11"/>
        <v>0</v>
      </c>
      <c r="BC31" s="31">
        <f t="shared" si="11"/>
        <v>0</v>
      </c>
      <c r="BD31" s="31">
        <f t="shared" si="11"/>
        <v>0</v>
      </c>
      <c r="BE31" s="31">
        <f t="shared" si="11"/>
        <v>0</v>
      </c>
      <c r="BF31" s="31">
        <f t="shared" si="11"/>
        <v>0</v>
      </c>
      <c r="BG31" s="31">
        <f t="shared" si="11"/>
        <v>0</v>
      </c>
    </row>
    <row r="32" spans="2:59" ht="22.5" customHeight="1" thickBot="1" x14ac:dyDescent="0.25">
      <c r="B32" s="307"/>
      <c r="C32" s="28"/>
      <c r="D32" s="28"/>
      <c r="E32" s="28"/>
      <c r="F32" s="28"/>
      <c r="G32" s="28"/>
      <c r="H32" s="28"/>
      <c r="I32" s="28"/>
      <c r="J32" s="28"/>
      <c r="K32" s="28"/>
      <c r="L32" s="28"/>
      <c r="M32" s="28"/>
      <c r="N32" s="28"/>
      <c r="O32" s="28"/>
      <c r="P32" s="28"/>
      <c r="Q32" s="28"/>
      <c r="R32" s="28"/>
      <c r="S32" s="28"/>
      <c r="T32" s="308"/>
      <c r="U32" s="307"/>
      <c r="V32" s="28"/>
      <c r="W32" s="28"/>
      <c r="X32" s="28"/>
      <c r="Y32" s="28"/>
      <c r="Z32" s="28"/>
      <c r="AA32" s="28"/>
      <c r="AB32" s="28"/>
      <c r="AC32" s="28"/>
      <c r="AD32" s="28"/>
      <c r="AE32" s="28"/>
      <c r="AF32" s="28"/>
      <c r="AG32" s="28"/>
      <c r="AH32" s="28"/>
      <c r="AI32" s="28"/>
      <c r="AJ32" s="28"/>
      <c r="AK32" s="28"/>
      <c r="AL32" s="28"/>
      <c r="AM32" s="308"/>
      <c r="AN32" s="1090"/>
      <c r="AO32" s="1091"/>
      <c r="AP32" s="1091"/>
      <c r="AQ32" s="1092"/>
      <c r="AR32" s="187">
        <v>0</v>
      </c>
      <c r="AS32" s="188" t="s">
        <v>176</v>
      </c>
      <c r="AW32" s="32">
        <f>IF(AW31&gt;0,AW31-(IF(AV31&gt;0,AV31,IF(AU31&gt;0,AU31,IF(AT31&gt;0,AT31,IF(AS31&gt;0,AS31,))))),0)</f>
        <v>0</v>
      </c>
      <c r="AX32" s="32">
        <f>IF(AX31&gt;0,AX31-(IF(AW31&gt;0,AW31,IF(AV31&gt;0,AV31,IF(AU31&gt;0,AU31,IF(AT31&gt;0,AT31,))))),0)</f>
        <v>0</v>
      </c>
      <c r="AY32" s="32">
        <f>IF(AY31&gt;0,AY31-(IF(AX31&gt;0,AX31,IF(AW31&gt;0,AW31,IF(AV31&gt;0,AV31,IF(AU31&gt;0,AU31,))))),0)</f>
        <v>0</v>
      </c>
      <c r="AZ32" s="32">
        <f>IF(AZ31&gt;0,AZ31-(IF(AY31&gt;0,AY31,IF(AX31&gt;0,AX31,IF(AW31&gt;0,AW31,IF(AV31&gt;0,AV31,))))),0)</f>
        <v>0</v>
      </c>
      <c r="BA32" s="32">
        <f>IF(BA31&gt;0,BA31-(IF(AZ31&gt;0,AZ31,IF(AY31&gt;0,AY31,IF(AX31&gt;0,AX31,IF(AW31&gt;0,AW31,))))),0)</f>
        <v>0</v>
      </c>
      <c r="BB32" s="32">
        <f>IF(BB31&gt;0,BB31 -(IF(BA31&gt;0,BA31,IF(AZ31&gt;0,AZ31,IF(AY31&gt;0,AY31,IF(AX31&gt;0,AX31,IF(AW31&gt;0,AW31)))))),0)</f>
        <v>0</v>
      </c>
      <c r="BC32" s="32">
        <f>IF(BC31&gt;0,BC31-(IF(BB31&gt;0,BB31,IF(BA31&gt;0,BA31,IF(AZ31&gt;0,AZ31,IF(AY31&gt;0,AY31,IF(AX31&gt;0,AX31,IF(AW31&gt;0,AW31,))))))),0)</f>
        <v>0</v>
      </c>
      <c r="BD32" s="32">
        <f>IF(BD31&gt;0,BD31-(IF(BC31&gt;0,BC31,IF(BB31&gt;0,BB31,IF(BA31&gt;0,BA31,IF(AZ31&gt;0,AZ31,IF(AY31&gt;0,AY31,IF(AX31&gt;0,AX31,))))))),0)</f>
        <v>0</v>
      </c>
      <c r="BE32" s="32">
        <f>IF(BE31&gt;0,BE31-(IF(BD31&gt;0,BD31,IF(BC31&gt;0,BC31,IF(BB31&gt;0,BB31,IF(BA31&gt;0,BA31,IF(AZ31&gt;0,AZ31,IF(AY31&gt;0,AY31,))))))),0)</f>
        <v>0</v>
      </c>
      <c r="BF32" s="32">
        <f>IF(BF31&gt;0,BF31-(IF(BE31&gt;0,BE31,IF(BD31&gt;0,BD31,IF(BC31&gt;0,BC31,IF(BB31&gt;0,BB31,IF(BA31&gt;0,BA31,IF(AZ31&gt;0,AZ31,))))))),0)</f>
        <v>0</v>
      </c>
      <c r="BG32" s="32">
        <f>IF(BG31&gt;0,BG31-(IF(BF31&gt;0,BF31,IF(BE31&gt;0,BE31,IF(BD31&gt;0,BD31,IF(BC31&gt;0,BC31,IF(BB31&gt;0,BB31,IF(BA31&gt;0,BA31,))))))),0)</f>
        <v>0</v>
      </c>
    </row>
    <row r="33" spans="2:45" ht="22.5" customHeight="1" thickBot="1" x14ac:dyDescent="0.25">
      <c r="B33" s="307"/>
      <c r="C33" s="28"/>
      <c r="D33" s="28"/>
      <c r="E33" s="28"/>
      <c r="F33" s="28"/>
      <c r="G33" s="28"/>
      <c r="H33" s="28"/>
      <c r="I33" s="28"/>
      <c r="J33" s="28"/>
      <c r="K33" s="28"/>
      <c r="L33" s="28"/>
      <c r="M33" s="28"/>
      <c r="N33" s="28"/>
      <c r="O33" s="28"/>
      <c r="P33" s="28"/>
      <c r="Q33" s="28"/>
      <c r="R33" s="28"/>
      <c r="S33" s="28"/>
      <c r="T33" s="308"/>
      <c r="U33" s="307"/>
      <c r="V33" s="28"/>
      <c r="W33" s="28"/>
      <c r="X33" s="28"/>
      <c r="Y33" s="28"/>
      <c r="Z33" s="28"/>
      <c r="AA33" s="28"/>
      <c r="AB33" s="28"/>
      <c r="AC33" s="28"/>
      <c r="AD33" s="28"/>
      <c r="AE33" s="28"/>
      <c r="AF33" s="28"/>
      <c r="AG33" s="28"/>
      <c r="AH33" s="28"/>
      <c r="AI33" s="28"/>
      <c r="AJ33" s="28"/>
      <c r="AK33" s="28"/>
      <c r="AL33" s="28"/>
      <c r="AM33" s="308"/>
      <c r="AN33" s="1093"/>
      <c r="AO33" s="1094"/>
      <c r="AP33" s="1094"/>
      <c r="AQ33" s="1095"/>
      <c r="AR33" s="187">
        <v>0</v>
      </c>
      <c r="AS33" s="188" t="s">
        <v>176</v>
      </c>
    </row>
    <row r="34" spans="2:45" ht="22.5" customHeight="1" thickTop="1" thickBot="1" x14ac:dyDescent="0.25">
      <c r="B34" s="307"/>
      <c r="C34" s="28"/>
      <c r="D34" s="28"/>
      <c r="E34" s="28"/>
      <c r="F34" s="28"/>
      <c r="G34" s="28"/>
      <c r="H34" s="28"/>
      <c r="I34" s="28"/>
      <c r="J34" s="28"/>
      <c r="K34" s="28"/>
      <c r="L34" s="28"/>
      <c r="M34" s="28"/>
      <c r="N34" s="28"/>
      <c r="O34" s="28"/>
      <c r="P34" s="28"/>
      <c r="Q34" s="28"/>
      <c r="R34" s="28"/>
      <c r="S34" s="28"/>
      <c r="T34" s="308"/>
      <c r="U34" s="307"/>
      <c r="V34" s="28"/>
      <c r="W34" s="28"/>
      <c r="X34" s="28"/>
      <c r="Y34" s="28"/>
      <c r="Z34" s="28"/>
      <c r="AA34" s="28"/>
      <c r="AB34" s="28"/>
      <c r="AC34" s="28"/>
      <c r="AD34" s="28"/>
      <c r="AE34" s="28"/>
      <c r="AF34" s="28"/>
      <c r="AG34" s="28"/>
      <c r="AH34" s="28"/>
      <c r="AI34" s="28"/>
      <c r="AJ34" s="28"/>
      <c r="AK34" s="28"/>
      <c r="AL34" s="28"/>
      <c r="AM34" s="308"/>
      <c r="AN34" s="1163">
        <v>7</v>
      </c>
      <c r="AO34" s="1096" t="s">
        <v>175</v>
      </c>
      <c r="AP34" s="1097"/>
      <c r="AQ34" s="206" t="s">
        <v>170</v>
      </c>
      <c r="AR34" s="187">
        <v>0</v>
      </c>
      <c r="AS34" s="188" t="s">
        <v>176</v>
      </c>
    </row>
    <row r="35" spans="2:45" ht="22.5" customHeight="1" thickBot="1" x14ac:dyDescent="0.25">
      <c r="B35" s="307"/>
      <c r="C35" s="28"/>
      <c r="D35" s="28"/>
      <c r="E35" s="28"/>
      <c r="F35" s="28"/>
      <c r="G35" s="28"/>
      <c r="H35" s="28"/>
      <c r="I35" s="28"/>
      <c r="J35" s="28"/>
      <c r="K35" s="28"/>
      <c r="L35" s="28"/>
      <c r="M35" s="28"/>
      <c r="N35" s="28"/>
      <c r="O35" s="28"/>
      <c r="P35" s="28"/>
      <c r="Q35" s="28"/>
      <c r="R35" s="28"/>
      <c r="S35" s="28"/>
      <c r="T35" s="308"/>
      <c r="U35" s="307"/>
      <c r="V35" s="28"/>
      <c r="W35" s="28"/>
      <c r="X35" s="28"/>
      <c r="Y35" s="28"/>
      <c r="Z35" s="28"/>
      <c r="AA35" s="28"/>
      <c r="AB35" s="28"/>
      <c r="AC35" s="28"/>
      <c r="AD35" s="28"/>
      <c r="AE35" s="28"/>
      <c r="AF35" s="28"/>
      <c r="AG35" s="28"/>
      <c r="AH35" s="28"/>
      <c r="AI35" s="28"/>
      <c r="AJ35" s="28"/>
      <c r="AK35" s="28"/>
      <c r="AL35" s="28"/>
      <c r="AM35" s="308"/>
      <c r="AN35" s="1164"/>
      <c r="AO35" s="20"/>
      <c r="AP35" s="38"/>
      <c r="AQ35" s="38"/>
      <c r="AR35" s="187">
        <v>0</v>
      </c>
      <c r="AS35" s="188" t="s">
        <v>176</v>
      </c>
    </row>
    <row r="36" spans="2:45" ht="22.5" customHeight="1" thickBot="1" x14ac:dyDescent="0.25">
      <c r="B36" s="307"/>
      <c r="C36" s="28"/>
      <c r="D36" s="28"/>
      <c r="E36" s="28"/>
      <c r="F36" s="28"/>
      <c r="G36" s="28"/>
      <c r="H36" s="28"/>
      <c r="I36" s="28"/>
      <c r="J36" s="28"/>
      <c r="K36" s="28"/>
      <c r="L36" s="28"/>
      <c r="M36" s="28"/>
      <c r="N36" s="28"/>
      <c r="O36" s="28"/>
      <c r="P36" s="28"/>
      <c r="Q36" s="28"/>
      <c r="R36" s="28"/>
      <c r="S36" s="28"/>
      <c r="T36" s="308"/>
      <c r="U36" s="307"/>
      <c r="V36" s="28"/>
      <c r="W36" s="28"/>
      <c r="X36" s="28"/>
      <c r="Y36" s="28"/>
      <c r="Z36" s="28"/>
      <c r="AA36" s="28"/>
      <c r="AB36" s="28"/>
      <c r="AC36" s="28"/>
      <c r="AD36" s="28"/>
      <c r="AE36" s="28"/>
      <c r="AF36" s="28"/>
      <c r="AG36" s="28"/>
      <c r="AH36" s="28"/>
      <c r="AI36" s="28"/>
      <c r="AJ36" s="28"/>
      <c r="AK36" s="28"/>
      <c r="AL36" s="28"/>
      <c r="AM36" s="308"/>
      <c r="AN36" s="1087"/>
      <c r="AO36" s="1088"/>
      <c r="AP36" s="1088"/>
      <c r="AQ36" s="1089"/>
      <c r="AR36" s="187">
        <v>0</v>
      </c>
      <c r="AS36" s="188" t="s">
        <v>176</v>
      </c>
    </row>
    <row r="37" spans="2:45" ht="22.5" customHeight="1" thickBot="1" x14ac:dyDescent="0.25">
      <c r="B37" s="307"/>
      <c r="C37" s="28"/>
      <c r="D37" s="28"/>
      <c r="E37" s="28"/>
      <c r="F37" s="28"/>
      <c r="G37" s="28"/>
      <c r="H37" s="28"/>
      <c r="I37" s="28"/>
      <c r="J37" s="28"/>
      <c r="K37" s="28"/>
      <c r="L37" s="28"/>
      <c r="M37" s="28"/>
      <c r="N37" s="28"/>
      <c r="O37" s="309"/>
      <c r="P37" s="309"/>
      <c r="Q37" s="309"/>
      <c r="R37" s="309"/>
      <c r="S37" s="309"/>
      <c r="T37" s="310"/>
      <c r="U37" s="307"/>
      <c r="V37" s="28"/>
      <c r="W37" s="28"/>
      <c r="X37" s="28"/>
      <c r="Y37" s="28"/>
      <c r="Z37" s="28"/>
      <c r="AA37" s="28"/>
      <c r="AB37" s="28"/>
      <c r="AC37" s="28"/>
      <c r="AD37" s="28"/>
      <c r="AE37" s="28"/>
      <c r="AF37" s="28"/>
      <c r="AG37" s="28"/>
      <c r="AH37" s="309"/>
      <c r="AI37" s="309"/>
      <c r="AJ37" s="309"/>
      <c r="AK37" s="309"/>
      <c r="AL37" s="309"/>
      <c r="AM37" s="310"/>
      <c r="AN37" s="1090"/>
      <c r="AO37" s="1091"/>
      <c r="AP37" s="1091"/>
      <c r="AQ37" s="1092"/>
      <c r="AR37" s="187">
        <v>0</v>
      </c>
      <c r="AS37" s="188" t="s">
        <v>176</v>
      </c>
    </row>
    <row r="38" spans="2:45" ht="22.5" customHeight="1" thickBot="1" x14ac:dyDescent="0.25">
      <c r="B38" s="307"/>
      <c r="C38" s="28"/>
      <c r="D38" s="28"/>
      <c r="E38" s="28"/>
      <c r="F38" s="28"/>
      <c r="G38" s="28"/>
      <c r="H38" s="28"/>
      <c r="I38" s="28"/>
      <c r="J38" s="28"/>
      <c r="K38" s="28"/>
      <c r="L38" s="28"/>
      <c r="M38" s="28"/>
      <c r="N38" s="311"/>
      <c r="O38" s="1138" t="s">
        <v>179</v>
      </c>
      <c r="P38" s="1139"/>
      <c r="Q38" s="1139"/>
      <c r="R38" s="1139"/>
      <c r="S38" s="1140"/>
      <c r="T38" s="312"/>
      <c r="U38" s="307"/>
      <c r="V38" s="28"/>
      <c r="W38" s="28"/>
      <c r="X38" s="28"/>
      <c r="Y38" s="28"/>
      <c r="Z38" s="28"/>
      <c r="AA38" s="28"/>
      <c r="AB38" s="28"/>
      <c r="AC38" s="28"/>
      <c r="AD38" s="28"/>
      <c r="AE38" s="28"/>
      <c r="AF38" s="28"/>
      <c r="AG38" s="311"/>
      <c r="AH38" s="1138" t="s">
        <v>179</v>
      </c>
      <c r="AI38" s="1139"/>
      <c r="AJ38" s="1139"/>
      <c r="AK38" s="1139"/>
      <c r="AL38" s="1140"/>
      <c r="AM38" s="312"/>
      <c r="AN38" s="1093"/>
      <c r="AO38" s="1094"/>
      <c r="AP38" s="1094"/>
      <c r="AQ38" s="1095"/>
      <c r="AR38" s="187">
        <v>0</v>
      </c>
      <c r="AS38" s="188" t="s">
        <v>176</v>
      </c>
    </row>
    <row r="39" spans="2:45" ht="22.5" customHeight="1" thickTop="1" thickBot="1" x14ac:dyDescent="0.35">
      <c r="B39" s="307"/>
      <c r="C39" s="28"/>
      <c r="D39" s="28"/>
      <c r="E39" s="28"/>
      <c r="F39" s="28"/>
      <c r="G39" s="28"/>
      <c r="H39" s="309"/>
      <c r="I39" s="309"/>
      <c r="J39" s="309"/>
      <c r="K39" s="309"/>
      <c r="L39" s="309"/>
      <c r="M39" s="309"/>
      <c r="N39" s="313"/>
      <c r="O39" s="1141"/>
      <c r="P39" s="1142"/>
      <c r="Q39" s="1142"/>
      <c r="R39" s="1142"/>
      <c r="S39" s="1143"/>
      <c r="T39" s="314"/>
      <c r="U39" s="307"/>
      <c r="V39" s="28"/>
      <c r="W39" s="28"/>
      <c r="X39" s="28"/>
      <c r="Y39" s="28"/>
      <c r="Z39" s="28"/>
      <c r="AA39" s="309"/>
      <c r="AB39" s="309"/>
      <c r="AC39" s="309"/>
      <c r="AD39" s="309"/>
      <c r="AE39" s="309"/>
      <c r="AF39" s="309"/>
      <c r="AG39" s="313"/>
      <c r="AH39" s="1141"/>
      <c r="AI39" s="1142"/>
      <c r="AJ39" s="1142"/>
      <c r="AK39" s="1142"/>
      <c r="AL39" s="1143"/>
      <c r="AM39" s="314"/>
      <c r="AN39" s="1163">
        <v>8</v>
      </c>
      <c r="AO39" s="1096" t="s">
        <v>175</v>
      </c>
      <c r="AP39" s="1097"/>
      <c r="AQ39" s="206" t="s">
        <v>170</v>
      </c>
      <c r="AR39" s="187">
        <v>0</v>
      </c>
      <c r="AS39" s="188" t="s">
        <v>176</v>
      </c>
    </row>
    <row r="40" spans="2:45" ht="22.5" customHeight="1" thickBot="1" x14ac:dyDescent="0.25">
      <c r="B40" s="1129" t="s">
        <v>9</v>
      </c>
      <c r="C40" s="1130"/>
      <c r="D40" s="1132"/>
      <c r="E40" s="1133"/>
      <c r="F40" s="1133"/>
      <c r="G40" s="1130"/>
      <c r="H40" s="36" t="s">
        <v>180</v>
      </c>
      <c r="I40" s="37"/>
      <c r="J40" s="34"/>
      <c r="K40" s="34"/>
      <c r="L40" s="34"/>
      <c r="M40" s="34"/>
      <c r="N40" s="34"/>
      <c r="O40" s="34"/>
      <c r="P40" s="34"/>
      <c r="Q40" s="34"/>
      <c r="R40" s="34"/>
      <c r="S40" s="34"/>
      <c r="T40" s="35"/>
      <c r="U40" s="1129" t="s">
        <v>9</v>
      </c>
      <c r="V40" s="1130"/>
      <c r="W40" s="1132"/>
      <c r="X40" s="1133"/>
      <c r="Y40" s="1133"/>
      <c r="Z40" s="1130"/>
      <c r="AA40" s="36" t="s">
        <v>180</v>
      </c>
      <c r="AB40" s="37"/>
      <c r="AC40" s="34"/>
      <c r="AD40" s="34"/>
      <c r="AE40" s="34"/>
      <c r="AF40" s="34"/>
      <c r="AG40" s="34"/>
      <c r="AH40" s="34"/>
      <c r="AI40" s="34"/>
      <c r="AJ40" s="34"/>
      <c r="AK40" s="34"/>
      <c r="AL40" s="34"/>
      <c r="AM40" s="35"/>
      <c r="AN40" s="1164"/>
      <c r="AO40" s="20"/>
      <c r="AP40" s="38"/>
      <c r="AQ40" s="38"/>
      <c r="AR40" s="187">
        <v>0</v>
      </c>
      <c r="AS40" s="188" t="s">
        <v>176</v>
      </c>
    </row>
    <row r="41" spans="2:45" ht="22.5" customHeight="1" thickBot="1" x14ac:dyDescent="0.25">
      <c r="B41" s="1131"/>
      <c r="C41" s="1119"/>
      <c r="D41" s="1101"/>
      <c r="E41" s="1102"/>
      <c r="F41" s="1102"/>
      <c r="G41" s="1119"/>
      <c r="H41" s="20"/>
      <c r="I41" s="38"/>
      <c r="J41" s="34"/>
      <c r="K41" s="34"/>
      <c r="L41" s="34"/>
      <c r="M41" s="34"/>
      <c r="N41" s="34"/>
      <c r="O41" s="34"/>
      <c r="P41" s="34"/>
      <c r="Q41" s="34"/>
      <c r="R41" s="34"/>
      <c r="S41" s="34"/>
      <c r="T41" s="35"/>
      <c r="U41" s="1131"/>
      <c r="V41" s="1119"/>
      <c r="W41" s="1101"/>
      <c r="X41" s="1102"/>
      <c r="Y41" s="1102"/>
      <c r="Z41" s="1119"/>
      <c r="AA41" s="20"/>
      <c r="AB41" s="38"/>
      <c r="AC41" s="34"/>
      <c r="AD41" s="34"/>
      <c r="AE41" s="34"/>
      <c r="AF41" s="34"/>
      <c r="AG41" s="34"/>
      <c r="AH41" s="34"/>
      <c r="AI41" s="34"/>
      <c r="AJ41" s="34"/>
      <c r="AK41" s="34"/>
      <c r="AL41" s="34"/>
      <c r="AM41" s="35"/>
      <c r="AN41" s="1087"/>
      <c r="AO41" s="1088"/>
      <c r="AP41" s="1088"/>
      <c r="AQ41" s="1089"/>
      <c r="AR41" s="187">
        <v>0</v>
      </c>
      <c r="AS41" s="188" t="s">
        <v>176</v>
      </c>
    </row>
    <row r="42" spans="2:45" ht="22.5" customHeight="1" thickBot="1" x14ac:dyDescent="0.25">
      <c r="B42" s="1129" t="s">
        <v>10</v>
      </c>
      <c r="C42" s="1130"/>
      <c r="D42" s="1132"/>
      <c r="E42" s="1133"/>
      <c r="F42" s="1133"/>
      <c r="G42" s="1130"/>
      <c r="H42" s="1153"/>
      <c r="I42" s="1154"/>
      <c r="J42" s="1154"/>
      <c r="K42" s="1154"/>
      <c r="L42" s="1154"/>
      <c r="M42" s="1154"/>
      <c r="N42" s="1154"/>
      <c r="O42" s="1154"/>
      <c r="P42" s="1154"/>
      <c r="Q42" s="1154"/>
      <c r="R42" s="1154"/>
      <c r="S42" s="1154"/>
      <c r="T42" s="1155"/>
      <c r="U42" s="1129" t="s">
        <v>10</v>
      </c>
      <c r="V42" s="1130"/>
      <c r="W42" s="1132"/>
      <c r="X42" s="1133"/>
      <c r="Y42" s="1133"/>
      <c r="Z42" s="1130"/>
      <c r="AA42" s="1153"/>
      <c r="AB42" s="1154"/>
      <c r="AC42" s="1154"/>
      <c r="AD42" s="1154"/>
      <c r="AE42" s="1154"/>
      <c r="AF42" s="1154"/>
      <c r="AG42" s="1154"/>
      <c r="AH42" s="1154"/>
      <c r="AI42" s="1154"/>
      <c r="AJ42" s="1154"/>
      <c r="AK42" s="1154"/>
      <c r="AL42" s="1154"/>
      <c r="AM42" s="1155"/>
      <c r="AN42" s="1090"/>
      <c r="AO42" s="1091"/>
      <c r="AP42" s="1091"/>
      <c r="AQ42" s="1092"/>
      <c r="AR42" s="187">
        <v>0</v>
      </c>
      <c r="AS42" s="188" t="s">
        <v>176</v>
      </c>
    </row>
    <row r="43" spans="2:45" ht="22.5" customHeight="1" thickBot="1" x14ac:dyDescent="0.25">
      <c r="B43" s="1131"/>
      <c r="C43" s="1119"/>
      <c r="D43" s="1101"/>
      <c r="E43" s="1102"/>
      <c r="F43" s="1102"/>
      <c r="G43" s="1119"/>
      <c r="H43" s="1156"/>
      <c r="I43" s="1157"/>
      <c r="J43" s="1157"/>
      <c r="K43" s="1157"/>
      <c r="L43" s="1157"/>
      <c r="M43" s="1157"/>
      <c r="N43" s="1157"/>
      <c r="O43" s="1157"/>
      <c r="P43" s="1157"/>
      <c r="Q43" s="1157"/>
      <c r="R43" s="1157"/>
      <c r="S43" s="1157"/>
      <c r="T43" s="1158"/>
      <c r="U43" s="1131"/>
      <c r="V43" s="1119"/>
      <c r="W43" s="1101"/>
      <c r="X43" s="1102"/>
      <c r="Y43" s="1102"/>
      <c r="Z43" s="1119"/>
      <c r="AA43" s="1156"/>
      <c r="AB43" s="1157"/>
      <c r="AC43" s="1157"/>
      <c r="AD43" s="1157"/>
      <c r="AE43" s="1157"/>
      <c r="AF43" s="1157"/>
      <c r="AG43" s="1157"/>
      <c r="AH43" s="1157"/>
      <c r="AI43" s="1157"/>
      <c r="AJ43" s="1157"/>
      <c r="AK43" s="1157"/>
      <c r="AL43" s="1157"/>
      <c r="AM43" s="1158"/>
      <c r="AN43" s="1093"/>
      <c r="AO43" s="1094"/>
      <c r="AP43" s="1094"/>
      <c r="AQ43" s="1095"/>
      <c r="AR43" s="187">
        <v>0</v>
      </c>
      <c r="AS43" s="188" t="s">
        <v>176</v>
      </c>
    </row>
    <row r="44" spans="2:45" ht="22.5" customHeight="1" thickTop="1" thickBot="1" x14ac:dyDescent="0.25">
      <c r="B44" s="1129" t="s">
        <v>181</v>
      </c>
      <c r="C44" s="1130"/>
      <c r="D44" s="1132"/>
      <c r="E44" s="1133"/>
      <c r="F44" s="1133"/>
      <c r="G44" s="1130"/>
      <c r="H44" s="1134" t="s">
        <v>183</v>
      </c>
      <c r="I44" s="1135"/>
      <c r="J44" s="1135"/>
      <c r="K44" s="1135"/>
      <c r="L44" s="1135"/>
      <c r="M44" s="1135"/>
      <c r="N44" s="1135"/>
      <c r="O44" s="1135"/>
      <c r="P44" s="1135"/>
      <c r="Q44" s="1135"/>
      <c r="R44" s="1135"/>
      <c r="S44" s="1135"/>
      <c r="T44" s="1144"/>
      <c r="U44" s="1129" t="s">
        <v>181</v>
      </c>
      <c r="V44" s="1130"/>
      <c r="W44" s="1132"/>
      <c r="X44" s="1133"/>
      <c r="Y44" s="1133"/>
      <c r="Z44" s="1130"/>
      <c r="AA44" s="1134" t="s">
        <v>183</v>
      </c>
      <c r="AB44" s="1135"/>
      <c r="AC44" s="1135"/>
      <c r="AD44" s="1135"/>
      <c r="AE44" s="1135"/>
      <c r="AF44" s="1135"/>
      <c r="AG44" s="1135"/>
      <c r="AH44" s="1135"/>
      <c r="AI44" s="1135"/>
      <c r="AJ44" s="1135"/>
      <c r="AK44" s="1135"/>
      <c r="AL44" s="1135"/>
      <c r="AM44" s="1144"/>
      <c r="AN44" s="1163">
        <v>9</v>
      </c>
      <c r="AO44" s="1096" t="s">
        <v>175</v>
      </c>
      <c r="AP44" s="1097"/>
      <c r="AQ44" s="206" t="s">
        <v>170</v>
      </c>
      <c r="AR44" s="187">
        <v>0</v>
      </c>
      <c r="AS44" s="188" t="s">
        <v>176</v>
      </c>
    </row>
    <row r="45" spans="2:45" ht="22.5" customHeight="1" thickBot="1" x14ac:dyDescent="0.25">
      <c r="B45" s="1131"/>
      <c r="C45" s="1119"/>
      <c r="D45" s="1101"/>
      <c r="E45" s="1102"/>
      <c r="F45" s="1102"/>
      <c r="G45" s="1119"/>
      <c r="H45" s="1145"/>
      <c r="I45" s="945"/>
      <c r="J45" s="945"/>
      <c r="K45" s="945"/>
      <c r="L45" s="945"/>
      <c r="M45" s="945"/>
      <c r="N45" s="945"/>
      <c r="O45" s="945"/>
      <c r="P45" s="945"/>
      <c r="Q45" s="945"/>
      <c r="R45" s="945"/>
      <c r="S45" s="945"/>
      <c r="T45" s="946"/>
      <c r="U45" s="1131"/>
      <c r="V45" s="1119"/>
      <c r="W45" s="1101"/>
      <c r="X45" s="1102"/>
      <c r="Y45" s="1102"/>
      <c r="Z45" s="1119"/>
      <c r="AA45" s="1145"/>
      <c r="AB45" s="945"/>
      <c r="AC45" s="945"/>
      <c r="AD45" s="945"/>
      <c r="AE45" s="945"/>
      <c r="AF45" s="945"/>
      <c r="AG45" s="945"/>
      <c r="AH45" s="945"/>
      <c r="AI45" s="945"/>
      <c r="AJ45" s="945"/>
      <c r="AK45" s="945"/>
      <c r="AL45" s="945"/>
      <c r="AM45" s="946"/>
      <c r="AN45" s="1164"/>
      <c r="AO45" s="20"/>
      <c r="AP45" s="38"/>
      <c r="AQ45" s="38"/>
      <c r="AR45" s="187">
        <v>0</v>
      </c>
      <c r="AS45" s="188" t="s">
        <v>176</v>
      </c>
    </row>
    <row r="46" spans="2:45" ht="22.5" customHeight="1" thickBot="1" x14ac:dyDescent="0.25">
      <c r="B46" s="1129" t="s">
        <v>184</v>
      </c>
      <c r="C46" s="1130"/>
      <c r="D46" s="1132"/>
      <c r="E46" s="1133"/>
      <c r="F46" s="1133"/>
      <c r="G46" s="1130"/>
      <c r="H46" s="1145"/>
      <c r="I46" s="945"/>
      <c r="J46" s="945"/>
      <c r="K46" s="945"/>
      <c r="L46" s="945"/>
      <c r="M46" s="945"/>
      <c r="N46" s="945"/>
      <c r="O46" s="945"/>
      <c r="P46" s="945"/>
      <c r="Q46" s="945"/>
      <c r="R46" s="945"/>
      <c r="S46" s="945"/>
      <c r="T46" s="946"/>
      <c r="U46" s="1129" t="s">
        <v>184</v>
      </c>
      <c r="V46" s="1130"/>
      <c r="W46" s="1132"/>
      <c r="X46" s="1133"/>
      <c r="Y46" s="1133"/>
      <c r="Z46" s="1130"/>
      <c r="AA46" s="1145"/>
      <c r="AB46" s="945"/>
      <c r="AC46" s="945"/>
      <c r="AD46" s="945"/>
      <c r="AE46" s="945"/>
      <c r="AF46" s="945"/>
      <c r="AG46" s="945"/>
      <c r="AH46" s="945"/>
      <c r="AI46" s="945"/>
      <c r="AJ46" s="945"/>
      <c r="AK46" s="945"/>
      <c r="AL46" s="945"/>
      <c r="AM46" s="946"/>
      <c r="AN46" s="1087"/>
      <c r="AO46" s="1088"/>
      <c r="AP46" s="1088"/>
      <c r="AQ46" s="1089"/>
      <c r="AR46" s="187">
        <v>0</v>
      </c>
      <c r="AS46" s="188" t="s">
        <v>176</v>
      </c>
    </row>
    <row r="47" spans="2:45" ht="22.5" customHeight="1" thickBot="1" x14ac:dyDescent="0.25">
      <c r="B47" s="1159"/>
      <c r="C47" s="1160"/>
      <c r="D47" s="1161"/>
      <c r="E47" s="1162"/>
      <c r="F47" s="1162"/>
      <c r="G47" s="1160"/>
      <c r="H47" s="1146"/>
      <c r="I47" s="948"/>
      <c r="J47" s="948"/>
      <c r="K47" s="948"/>
      <c r="L47" s="948"/>
      <c r="M47" s="948"/>
      <c r="N47" s="948"/>
      <c r="O47" s="948"/>
      <c r="P47" s="948"/>
      <c r="Q47" s="948"/>
      <c r="R47" s="948"/>
      <c r="S47" s="948"/>
      <c r="T47" s="949"/>
      <c r="U47" s="1159"/>
      <c r="V47" s="1160"/>
      <c r="W47" s="1161"/>
      <c r="X47" s="1162"/>
      <c r="Y47" s="1162"/>
      <c r="Z47" s="1160"/>
      <c r="AA47" s="1146"/>
      <c r="AB47" s="948"/>
      <c r="AC47" s="948"/>
      <c r="AD47" s="948"/>
      <c r="AE47" s="948"/>
      <c r="AF47" s="948"/>
      <c r="AG47" s="948"/>
      <c r="AH47" s="948"/>
      <c r="AI47" s="948"/>
      <c r="AJ47" s="948"/>
      <c r="AK47" s="948"/>
      <c r="AL47" s="948"/>
      <c r="AM47" s="949"/>
      <c r="AN47" s="1090"/>
      <c r="AO47" s="1091"/>
      <c r="AP47" s="1091"/>
      <c r="AQ47" s="1092"/>
      <c r="AR47" s="187">
        <v>0</v>
      </c>
      <c r="AS47" s="188" t="s">
        <v>176</v>
      </c>
    </row>
    <row r="48" spans="2:45" ht="16.5" thickTop="1" thickBot="1" x14ac:dyDescent="0.25">
      <c r="B48" s="1107">
        <v>5</v>
      </c>
      <c r="C48" s="1108"/>
      <c r="D48" s="1111" t="s">
        <v>169</v>
      </c>
      <c r="E48" s="1112"/>
      <c r="F48" s="1113" t="s">
        <v>170</v>
      </c>
      <c r="G48" s="1114"/>
      <c r="H48" s="1112" t="str">
        <f>IF(F48=1,'Survey Front'!C12&amp;" "&amp;'Survey Front'!C13&amp;" "&amp;'Survey Front'!C14,IF(F48=2,'Survey Front'!C15&amp;" "&amp;'Survey Front'!C16&amp;" "&amp;'Survey Front'!C17,IF(F48=3,'Survey Front'!C18&amp;" "&amp;'Survey Front'!C19&amp;" "&amp;'Survey Front'!C20,IF(F48=4,'Survey Front'!C21&amp;" "&amp;'Survey Front'!C22&amp;" "&amp;'Survey Front'!C23,IF(F48=5,'Survey Front'!C24&amp;" "&amp;'Survey Front'!C25&amp;" "&amp;'Survey Front'!C26,IF(F48=6,'Survey Front'!C27&amp;" "&amp;'Survey Front'!C28&amp;" "&amp;'Survey Front'!C29,IF(F48=7,'Survey Front'!C30&amp;" "&amp;'Survey Front'!C31&amp;" "&amp;'Survey Front'!C32,IF(F48=8,'Survey Front'!C33&amp;" "&amp;'Survey Front'!C34&amp;" "&amp;'Survey Front'!C35,IF(F48=9,'Survey Front'!C36&amp;" "&amp;'Survey Front'!C37&amp;" "&amp;'Survey Front'!C38,IF(F48=10,'Survey Front'!C39 &amp;" " &amp;'Survey Front'!C40 &amp; " " &amp; 'Survey Front'!C41,IF(F48=11,'Survey Front'!C42 &amp;" " &amp;'Survey Front'!C43 &amp; " " &amp; 'Survey Front'!C44,IF(F48=12,'Survey Front'!C45 &amp;" " &amp;'Survey Front'!C46 &amp; " " &amp; 'Survey Front'!C47,IF(F48=13,'Survey Front'!C48 &amp;" " &amp;'Survey Front'!C49 &amp; " " &amp; 'Survey Front'!C50,IF(F48=14,'Survey Front'!C51 &amp;" " &amp;'Survey Front'!C52 &amp; " " &amp; 'Survey Front'!C53,IF(F48=15,'Survey Front'!C54 &amp;" " &amp;'Survey Front'!C55 &amp; " " &amp; 'Survey Front'!C56,"")))))))))))))))</f>
        <v/>
      </c>
      <c r="I48" s="1112"/>
      <c r="J48" s="1112"/>
      <c r="K48" s="1112"/>
      <c r="L48" s="1112"/>
      <c r="M48" s="1112"/>
      <c r="N48" s="1112"/>
      <c r="O48" s="1112"/>
      <c r="P48" s="1117"/>
      <c r="Q48" s="1120" t="s">
        <v>171</v>
      </c>
      <c r="R48" s="1121"/>
      <c r="S48" s="1121"/>
      <c r="T48" s="1122"/>
      <c r="U48" s="1107">
        <v>6</v>
      </c>
      <c r="V48" s="1108"/>
      <c r="W48" s="1111" t="s">
        <v>169</v>
      </c>
      <c r="X48" s="1112"/>
      <c r="Y48" s="1113" t="s">
        <v>170</v>
      </c>
      <c r="Z48" s="1114"/>
      <c r="AA48" s="1112" t="str">
        <f>IF(Y48=1,'Survey Front'!C12&amp;" "&amp;'Survey Front'!C13&amp;" "&amp;'Survey Front'!C14,IF(Y48=2,'Survey Front'!C15&amp;" "&amp;'Survey Front'!C16&amp;" "&amp;'Survey Front'!C17,IF(Y48=3,'Survey Front'!C18&amp;" "&amp;'Survey Front'!C19&amp;" "&amp;'Survey Front'!C20,IF(Y48=4,'Survey Front'!C21&amp;" "&amp;'Survey Front'!C22&amp;" "&amp;'Survey Front'!C23,IF(Y48=5,'Survey Front'!C24&amp;" "&amp;'Survey Front'!C25&amp;" "&amp;'Survey Front'!C26,IF(Y48=6,'Survey Front'!C27&amp;" "&amp;'Survey Front'!C28&amp;" "&amp;'Survey Front'!C29,IF(Y48=7,'Survey Front'!C30&amp;" "&amp;'Survey Front'!C31&amp;" "&amp;'Survey Front'!C32,IF(Y48=8,'Survey Front'!C33&amp;" "&amp;'Survey Front'!C34&amp;" "&amp;'Survey Front'!C35,IF(Y48=9,'Survey Front'!C36&amp;" "&amp;'Survey Front'!C37&amp;" "&amp;'Survey Front'!C38,IF(Y48=10,'Survey Front'!C39 &amp;" " &amp;'Survey Front'!C40 &amp; " " &amp; 'Survey Front'!C41,IF(Y48=11,'Survey Front'!C42 &amp;" " &amp;'Survey Front'!C43 &amp; " " &amp; 'Survey Front'!C44,IF(Y48=12,'Survey Front'!C45 &amp;" " &amp;'Survey Front'!C46 &amp; " " &amp; 'Survey Front'!C47,IF(Y48=13,'Survey Front'!C48 &amp;" " &amp;'Survey Front'!C49 &amp; " " &amp; 'Survey Front'!C50,IF(Y48=14,'Survey Front'!C51 &amp;" " &amp;'Survey Front'!C52 &amp; " " &amp; 'Survey Front'!C53,IF(Y48=15,'Survey Front'!C54 &amp;" " &amp;'Survey Front'!C55 &amp; " " &amp; 'Survey Front'!C56,"")))))))))))))))</f>
        <v/>
      </c>
      <c r="AB48" s="1112"/>
      <c r="AC48" s="1112"/>
      <c r="AD48" s="1112"/>
      <c r="AE48" s="1112"/>
      <c r="AF48" s="1112"/>
      <c r="AG48" s="1112"/>
      <c r="AH48" s="1112"/>
      <c r="AI48" s="1117"/>
      <c r="AJ48" s="1120" t="s">
        <v>171</v>
      </c>
      <c r="AK48" s="1121"/>
      <c r="AL48" s="1121"/>
      <c r="AM48" s="1122"/>
      <c r="AN48" s="1093"/>
      <c r="AO48" s="1094"/>
      <c r="AP48" s="1094"/>
      <c r="AQ48" s="1095"/>
      <c r="AR48" s="187">
        <v>0</v>
      </c>
      <c r="AS48" s="188" t="s">
        <v>176</v>
      </c>
    </row>
    <row r="49" spans="2:45" ht="16.5" thickTop="1" thickBot="1" x14ac:dyDescent="0.25">
      <c r="B49" s="1109"/>
      <c r="C49" s="1110"/>
      <c r="D49" s="1101"/>
      <c r="E49" s="1102"/>
      <c r="F49" s="1115"/>
      <c r="G49" s="1116"/>
      <c r="H49" s="1099"/>
      <c r="I49" s="1099"/>
      <c r="J49" s="1099"/>
      <c r="K49" s="1099"/>
      <c r="L49" s="1099"/>
      <c r="M49" s="1099"/>
      <c r="N49" s="1099"/>
      <c r="O49" s="1099"/>
      <c r="P49" s="1118"/>
      <c r="Q49" s="1098" t="s">
        <v>170</v>
      </c>
      <c r="R49" s="1099"/>
      <c r="S49" s="1099"/>
      <c r="T49" s="1100"/>
      <c r="U49" s="1109"/>
      <c r="V49" s="1110"/>
      <c r="W49" s="1101"/>
      <c r="X49" s="1102"/>
      <c r="Y49" s="1115"/>
      <c r="Z49" s="1116"/>
      <c r="AA49" s="1099"/>
      <c r="AB49" s="1099"/>
      <c r="AC49" s="1099"/>
      <c r="AD49" s="1099"/>
      <c r="AE49" s="1099"/>
      <c r="AF49" s="1099"/>
      <c r="AG49" s="1099"/>
      <c r="AH49" s="1099"/>
      <c r="AI49" s="1118"/>
      <c r="AJ49" s="1098" t="s">
        <v>170</v>
      </c>
      <c r="AK49" s="1099"/>
      <c r="AL49" s="1099"/>
      <c r="AM49" s="1100"/>
      <c r="AN49" s="1163">
        <v>10</v>
      </c>
      <c r="AO49" s="1096" t="s">
        <v>175</v>
      </c>
      <c r="AP49" s="1097"/>
      <c r="AQ49" s="206" t="s">
        <v>170</v>
      </c>
      <c r="AR49" s="187">
        <v>0</v>
      </c>
      <c r="AS49" s="188" t="s">
        <v>176</v>
      </c>
    </row>
    <row r="50" spans="2:45" ht="15.75" thickBot="1" x14ac:dyDescent="0.25">
      <c r="B50" s="27"/>
      <c r="C50" s="16"/>
      <c r="D50" s="16"/>
      <c r="E50" s="16"/>
      <c r="F50" s="1165"/>
      <c r="G50" s="1165"/>
      <c r="H50" s="1102"/>
      <c r="I50" s="1102"/>
      <c r="J50" s="1102"/>
      <c r="K50" s="1102"/>
      <c r="L50" s="1102"/>
      <c r="M50" s="1102"/>
      <c r="N50" s="1102"/>
      <c r="O50" s="1102"/>
      <c r="P50" s="1119"/>
      <c r="Q50" s="1101"/>
      <c r="R50" s="1102"/>
      <c r="S50" s="1102"/>
      <c r="T50" s="1103"/>
      <c r="U50" s="27"/>
      <c r="V50" s="16"/>
      <c r="W50" s="16"/>
      <c r="X50" s="16"/>
      <c r="Y50" s="1165"/>
      <c r="Z50" s="1165"/>
      <c r="AA50" s="1102"/>
      <c r="AB50" s="1102"/>
      <c r="AC50" s="1102"/>
      <c r="AD50" s="1102"/>
      <c r="AE50" s="1102"/>
      <c r="AF50" s="1102"/>
      <c r="AG50" s="1102"/>
      <c r="AH50" s="1102"/>
      <c r="AI50" s="1119"/>
      <c r="AJ50" s="1101"/>
      <c r="AK50" s="1102"/>
      <c r="AL50" s="1102"/>
      <c r="AM50" s="1103"/>
      <c r="AN50" s="1164"/>
      <c r="AO50" s="20"/>
      <c r="AP50" s="38"/>
      <c r="AQ50" s="38"/>
      <c r="AR50" s="187">
        <v>0</v>
      </c>
      <c r="AS50" s="188" t="s">
        <v>176</v>
      </c>
    </row>
    <row r="51" spans="2:45" ht="22.5" customHeight="1" thickBot="1" x14ac:dyDescent="0.25">
      <c r="B51" s="307"/>
      <c r="C51" s="28"/>
      <c r="D51" s="28"/>
      <c r="E51" s="28"/>
      <c r="F51" s="28"/>
      <c r="G51" s="28"/>
      <c r="H51" s="28"/>
      <c r="I51" s="28"/>
      <c r="J51" s="28"/>
      <c r="K51" s="28"/>
      <c r="L51" s="28"/>
      <c r="M51" s="28"/>
      <c r="N51" s="28"/>
      <c r="O51" s="28"/>
      <c r="P51" s="28"/>
      <c r="Q51" s="28"/>
      <c r="R51" s="28"/>
      <c r="S51" s="28"/>
      <c r="T51" s="308"/>
      <c r="U51" s="307"/>
      <c r="V51" s="28"/>
      <c r="W51" s="28"/>
      <c r="X51" s="28"/>
      <c r="Y51" s="28"/>
      <c r="Z51" s="28"/>
      <c r="AA51" s="28"/>
      <c r="AB51" s="28"/>
      <c r="AC51" s="28"/>
      <c r="AD51" s="28"/>
      <c r="AE51" s="28"/>
      <c r="AF51" s="28"/>
      <c r="AG51" s="28"/>
      <c r="AH51" s="28"/>
      <c r="AI51" s="28"/>
      <c r="AJ51" s="28"/>
      <c r="AK51" s="28"/>
      <c r="AL51" s="28"/>
      <c r="AM51" s="308"/>
      <c r="AN51" s="1087"/>
      <c r="AO51" s="1088"/>
      <c r="AP51" s="1088"/>
      <c r="AQ51" s="1089"/>
      <c r="AR51" s="187">
        <v>0</v>
      </c>
      <c r="AS51" s="188" t="s">
        <v>176</v>
      </c>
    </row>
    <row r="52" spans="2:45" ht="22.5" customHeight="1" thickBot="1" x14ac:dyDescent="0.25">
      <c r="B52" s="307"/>
      <c r="C52" s="28"/>
      <c r="D52" s="28"/>
      <c r="E52" s="28"/>
      <c r="F52" s="28"/>
      <c r="G52" s="28"/>
      <c r="H52" s="28"/>
      <c r="I52" s="28"/>
      <c r="J52" s="28"/>
      <c r="K52" s="28"/>
      <c r="L52" s="28"/>
      <c r="M52" s="28"/>
      <c r="N52" s="28"/>
      <c r="O52" s="28"/>
      <c r="P52" s="28"/>
      <c r="Q52" s="28"/>
      <c r="R52" s="28"/>
      <c r="S52" s="28"/>
      <c r="T52" s="308"/>
      <c r="U52" s="307"/>
      <c r="V52" s="28"/>
      <c r="W52" s="28"/>
      <c r="X52" s="28"/>
      <c r="Y52" s="28"/>
      <c r="Z52" s="28"/>
      <c r="AA52" s="28"/>
      <c r="AB52" s="28"/>
      <c r="AC52" s="28"/>
      <c r="AD52" s="28"/>
      <c r="AE52" s="28"/>
      <c r="AF52" s="28"/>
      <c r="AG52" s="28"/>
      <c r="AH52" s="28"/>
      <c r="AI52" s="28"/>
      <c r="AJ52" s="28"/>
      <c r="AK52" s="28"/>
      <c r="AL52" s="28"/>
      <c r="AM52" s="308"/>
      <c r="AN52" s="1090"/>
      <c r="AO52" s="1091"/>
      <c r="AP52" s="1091"/>
      <c r="AQ52" s="1092"/>
      <c r="AR52" s="187">
        <v>0</v>
      </c>
      <c r="AS52" s="188" t="s">
        <v>176</v>
      </c>
    </row>
    <row r="53" spans="2:45" ht="22.5" customHeight="1" thickBot="1" x14ac:dyDescent="0.25">
      <c r="B53" s="307"/>
      <c r="C53" s="28"/>
      <c r="D53" s="28"/>
      <c r="E53" s="28"/>
      <c r="F53" s="28"/>
      <c r="G53" s="28"/>
      <c r="H53" s="28"/>
      <c r="I53" s="28"/>
      <c r="J53" s="28"/>
      <c r="K53" s="28"/>
      <c r="L53" s="28"/>
      <c r="M53" s="28"/>
      <c r="N53" s="28"/>
      <c r="O53" s="28"/>
      <c r="P53" s="28"/>
      <c r="Q53" s="28"/>
      <c r="R53" s="28"/>
      <c r="S53" s="28"/>
      <c r="T53" s="308"/>
      <c r="U53" s="307"/>
      <c r="V53" s="28"/>
      <c r="W53" s="28"/>
      <c r="X53" s="28"/>
      <c r="Y53" s="28"/>
      <c r="Z53" s="28"/>
      <c r="AA53" s="28"/>
      <c r="AB53" s="28"/>
      <c r="AC53" s="28"/>
      <c r="AD53" s="28"/>
      <c r="AE53" s="28"/>
      <c r="AF53" s="28"/>
      <c r="AG53" s="28"/>
      <c r="AH53" s="28"/>
      <c r="AI53" s="28"/>
      <c r="AJ53" s="28"/>
      <c r="AK53" s="28"/>
      <c r="AL53" s="28"/>
      <c r="AM53" s="308"/>
      <c r="AN53" s="1093"/>
      <c r="AO53" s="1094"/>
      <c r="AP53" s="1094"/>
      <c r="AQ53" s="1095"/>
      <c r="AR53" s="187">
        <v>0</v>
      </c>
      <c r="AS53" s="188" t="s">
        <v>176</v>
      </c>
    </row>
    <row r="54" spans="2:45" ht="22.5" customHeight="1" thickTop="1" thickBot="1" x14ac:dyDescent="0.25">
      <c r="B54" s="307"/>
      <c r="C54" s="28"/>
      <c r="D54" s="28"/>
      <c r="E54" s="28"/>
      <c r="F54" s="28"/>
      <c r="G54" s="28"/>
      <c r="H54" s="28"/>
      <c r="I54" s="28"/>
      <c r="J54" s="28"/>
      <c r="K54" s="28"/>
      <c r="L54" s="28"/>
      <c r="M54" s="28"/>
      <c r="N54" s="28"/>
      <c r="O54" s="28"/>
      <c r="P54" s="28"/>
      <c r="Q54" s="28"/>
      <c r="R54" s="28"/>
      <c r="S54" s="28"/>
      <c r="T54" s="308"/>
      <c r="U54" s="307"/>
      <c r="V54" s="28"/>
      <c r="W54" s="28"/>
      <c r="X54" s="28"/>
      <c r="Y54" s="28"/>
      <c r="Z54" s="28"/>
      <c r="AA54" s="28"/>
      <c r="AB54" s="28"/>
      <c r="AC54" s="28"/>
      <c r="AD54" s="28"/>
      <c r="AE54" s="28"/>
      <c r="AF54" s="28"/>
      <c r="AG54" s="28"/>
      <c r="AH54" s="28"/>
      <c r="AI54" s="28"/>
      <c r="AJ54" s="28"/>
      <c r="AK54" s="28"/>
      <c r="AL54" s="28"/>
      <c r="AM54" s="308"/>
      <c r="AN54" s="1163">
        <v>11</v>
      </c>
      <c r="AO54" s="1096" t="s">
        <v>175</v>
      </c>
      <c r="AP54" s="1097"/>
      <c r="AQ54" s="206" t="s">
        <v>170</v>
      </c>
      <c r="AR54" s="187">
        <v>0</v>
      </c>
      <c r="AS54" s="188" t="s">
        <v>176</v>
      </c>
    </row>
    <row r="55" spans="2:45" ht="22.5" customHeight="1" thickBot="1" x14ac:dyDescent="0.25">
      <c r="B55" s="307"/>
      <c r="C55" s="28"/>
      <c r="D55" s="28"/>
      <c r="E55" s="28"/>
      <c r="F55" s="28"/>
      <c r="G55" s="28"/>
      <c r="H55" s="28"/>
      <c r="I55" s="28"/>
      <c r="J55" s="28"/>
      <c r="K55" s="28"/>
      <c r="L55" s="28"/>
      <c r="M55" s="28"/>
      <c r="N55" s="28"/>
      <c r="O55" s="28"/>
      <c r="P55" s="28"/>
      <c r="Q55" s="28"/>
      <c r="R55" s="28"/>
      <c r="S55" s="28"/>
      <c r="T55" s="308"/>
      <c r="U55" s="307"/>
      <c r="V55" s="28"/>
      <c r="W55" s="28"/>
      <c r="X55" s="28"/>
      <c r="Y55" s="28"/>
      <c r="Z55" s="28"/>
      <c r="AA55" s="28"/>
      <c r="AB55" s="28"/>
      <c r="AC55" s="28"/>
      <c r="AD55" s="28"/>
      <c r="AE55" s="28"/>
      <c r="AF55" s="28"/>
      <c r="AG55" s="28"/>
      <c r="AH55" s="28"/>
      <c r="AI55" s="28"/>
      <c r="AJ55" s="28"/>
      <c r="AK55" s="28"/>
      <c r="AL55" s="28"/>
      <c r="AM55" s="308"/>
      <c r="AN55" s="1164"/>
      <c r="AO55" s="20"/>
      <c r="AP55" s="38"/>
      <c r="AQ55" s="38"/>
      <c r="AR55" s="187">
        <v>0</v>
      </c>
      <c r="AS55" s="188" t="s">
        <v>176</v>
      </c>
    </row>
    <row r="56" spans="2:45" ht="22.5" customHeight="1" thickBot="1" x14ac:dyDescent="0.25">
      <c r="B56" s="307"/>
      <c r="C56" s="28"/>
      <c r="D56" s="28"/>
      <c r="E56" s="28"/>
      <c r="F56" s="28"/>
      <c r="G56" s="28"/>
      <c r="H56" s="28"/>
      <c r="I56" s="28"/>
      <c r="J56" s="28"/>
      <c r="K56" s="28"/>
      <c r="L56" s="28"/>
      <c r="M56" s="28"/>
      <c r="N56" s="28"/>
      <c r="O56" s="28"/>
      <c r="P56" s="28"/>
      <c r="Q56" s="28"/>
      <c r="R56" s="28"/>
      <c r="S56" s="28"/>
      <c r="T56" s="308"/>
      <c r="U56" s="307"/>
      <c r="V56" s="28"/>
      <c r="W56" s="28"/>
      <c r="X56" s="28"/>
      <c r="Y56" s="28"/>
      <c r="Z56" s="28"/>
      <c r="AA56" s="28"/>
      <c r="AB56" s="28"/>
      <c r="AC56" s="28"/>
      <c r="AD56" s="28"/>
      <c r="AE56" s="28"/>
      <c r="AF56" s="28"/>
      <c r="AG56" s="28"/>
      <c r="AH56" s="28"/>
      <c r="AI56" s="28"/>
      <c r="AJ56" s="28"/>
      <c r="AK56" s="28"/>
      <c r="AL56" s="28"/>
      <c r="AM56" s="308"/>
      <c r="AN56" s="1087"/>
      <c r="AO56" s="1088"/>
      <c r="AP56" s="1088"/>
      <c r="AQ56" s="1089"/>
      <c r="AR56" s="187">
        <v>0</v>
      </c>
      <c r="AS56" s="188" t="s">
        <v>176</v>
      </c>
    </row>
    <row r="57" spans="2:45" ht="22.5" customHeight="1" thickBot="1" x14ac:dyDescent="0.25">
      <c r="B57" s="307"/>
      <c r="C57" s="28"/>
      <c r="D57" s="28"/>
      <c r="E57" s="28"/>
      <c r="F57" s="28"/>
      <c r="G57" s="28"/>
      <c r="H57" s="28"/>
      <c r="I57" s="28"/>
      <c r="J57" s="28"/>
      <c r="K57" s="28"/>
      <c r="L57" s="28"/>
      <c r="M57" s="28"/>
      <c r="N57" s="28"/>
      <c r="O57" s="28"/>
      <c r="P57" s="28"/>
      <c r="Q57" s="28"/>
      <c r="R57" s="28"/>
      <c r="S57" s="28"/>
      <c r="T57" s="308"/>
      <c r="U57" s="307"/>
      <c r="V57" s="28"/>
      <c r="W57" s="28"/>
      <c r="X57" s="28"/>
      <c r="Y57" s="28"/>
      <c r="Z57" s="28"/>
      <c r="AA57" s="28"/>
      <c r="AB57" s="28"/>
      <c r="AC57" s="28"/>
      <c r="AD57" s="28"/>
      <c r="AE57" s="28"/>
      <c r="AF57" s="28"/>
      <c r="AG57" s="28"/>
      <c r="AH57" s="28"/>
      <c r="AI57" s="28"/>
      <c r="AJ57" s="28"/>
      <c r="AK57" s="28"/>
      <c r="AL57" s="28"/>
      <c r="AM57" s="308"/>
      <c r="AN57" s="1090"/>
      <c r="AO57" s="1091"/>
      <c r="AP57" s="1091"/>
      <c r="AQ57" s="1092"/>
      <c r="AR57" s="187">
        <v>0</v>
      </c>
      <c r="AS57" s="188" t="s">
        <v>176</v>
      </c>
    </row>
    <row r="58" spans="2:45" ht="22.5" customHeight="1" thickBot="1" x14ac:dyDescent="0.25">
      <c r="B58" s="307"/>
      <c r="C58" s="28"/>
      <c r="D58" s="28"/>
      <c r="E58" s="28"/>
      <c r="F58" s="28"/>
      <c r="G58" s="28"/>
      <c r="H58" s="28"/>
      <c r="I58" s="28"/>
      <c r="J58" s="28"/>
      <c r="K58" s="28"/>
      <c r="L58" s="28"/>
      <c r="M58" s="28"/>
      <c r="N58" s="28"/>
      <c r="O58" s="28"/>
      <c r="P58" s="28"/>
      <c r="Q58" s="28"/>
      <c r="R58" s="28"/>
      <c r="S58" s="28"/>
      <c r="T58" s="308"/>
      <c r="U58" s="307"/>
      <c r="V58" s="28"/>
      <c r="W58" s="28"/>
      <c r="X58" s="28"/>
      <c r="Y58" s="28"/>
      <c r="Z58" s="28"/>
      <c r="AA58" s="28"/>
      <c r="AB58" s="28"/>
      <c r="AC58" s="28"/>
      <c r="AD58" s="28"/>
      <c r="AE58" s="28"/>
      <c r="AF58" s="28"/>
      <c r="AG58" s="28"/>
      <c r="AH58" s="28"/>
      <c r="AI58" s="28"/>
      <c r="AJ58" s="28"/>
      <c r="AK58" s="28"/>
      <c r="AL58" s="28"/>
      <c r="AM58" s="308"/>
      <c r="AN58" s="1093"/>
      <c r="AO58" s="1094"/>
      <c r="AP58" s="1094"/>
      <c r="AQ58" s="1095"/>
      <c r="AR58" s="187">
        <v>0</v>
      </c>
      <c r="AS58" s="188" t="s">
        <v>176</v>
      </c>
    </row>
    <row r="59" spans="2:45" ht="22.5" customHeight="1" thickTop="1" thickBot="1" x14ac:dyDescent="0.25">
      <c r="B59" s="307"/>
      <c r="C59" s="28"/>
      <c r="D59" s="28"/>
      <c r="E59" s="28"/>
      <c r="F59" s="28"/>
      <c r="G59" s="28"/>
      <c r="H59" s="28"/>
      <c r="I59" s="28"/>
      <c r="J59" s="28"/>
      <c r="K59" s="28"/>
      <c r="L59" s="28"/>
      <c r="M59" s="28"/>
      <c r="N59" s="28"/>
      <c r="O59" s="28"/>
      <c r="P59" s="28"/>
      <c r="Q59" s="28"/>
      <c r="R59" s="28"/>
      <c r="S59" s="28"/>
      <c r="T59" s="308"/>
      <c r="U59" s="307"/>
      <c r="V59" s="28"/>
      <c r="W59" s="28"/>
      <c r="X59" s="28"/>
      <c r="Y59" s="28"/>
      <c r="Z59" s="28"/>
      <c r="AA59" s="28"/>
      <c r="AB59" s="28"/>
      <c r="AC59" s="28"/>
      <c r="AD59" s="28"/>
      <c r="AE59" s="28"/>
      <c r="AF59" s="28"/>
      <c r="AG59" s="28"/>
      <c r="AH59" s="28"/>
      <c r="AI59" s="28"/>
      <c r="AJ59" s="28"/>
      <c r="AK59" s="28"/>
      <c r="AL59" s="28"/>
      <c r="AM59" s="308"/>
      <c r="AN59" s="1163">
        <v>12</v>
      </c>
      <c r="AO59" s="1096" t="s">
        <v>175</v>
      </c>
      <c r="AP59" s="1097"/>
      <c r="AQ59" s="206" t="s">
        <v>170</v>
      </c>
      <c r="AR59" s="187">
        <v>0</v>
      </c>
      <c r="AS59" s="188" t="s">
        <v>176</v>
      </c>
    </row>
    <row r="60" spans="2:45" ht="22.5" customHeight="1" thickBot="1" x14ac:dyDescent="0.25">
      <c r="B60" s="307"/>
      <c r="C60" s="28"/>
      <c r="D60" s="28"/>
      <c r="E60" s="28"/>
      <c r="F60" s="28"/>
      <c r="G60" s="28"/>
      <c r="H60" s="28"/>
      <c r="I60" s="28"/>
      <c r="J60" s="28"/>
      <c r="K60" s="28"/>
      <c r="L60" s="28"/>
      <c r="M60" s="28"/>
      <c r="N60" s="28"/>
      <c r="O60" s="309"/>
      <c r="P60" s="309"/>
      <c r="Q60" s="309"/>
      <c r="R60" s="309"/>
      <c r="S60" s="309"/>
      <c r="T60" s="310"/>
      <c r="U60" s="307"/>
      <c r="V60" s="28"/>
      <c r="W60" s="28"/>
      <c r="X60" s="28"/>
      <c r="Y60" s="28"/>
      <c r="Z60" s="28"/>
      <c r="AA60" s="28"/>
      <c r="AB60" s="28"/>
      <c r="AC60" s="28"/>
      <c r="AD60" s="28"/>
      <c r="AE60" s="28"/>
      <c r="AF60" s="28"/>
      <c r="AG60" s="28"/>
      <c r="AH60" s="309"/>
      <c r="AI60" s="309"/>
      <c r="AJ60" s="309"/>
      <c r="AK60" s="309"/>
      <c r="AL60" s="309"/>
      <c r="AM60" s="310"/>
      <c r="AN60" s="1164"/>
      <c r="AO60" s="20"/>
      <c r="AP60" s="38"/>
      <c r="AQ60" s="38"/>
      <c r="AR60" s="187">
        <v>0</v>
      </c>
      <c r="AS60" s="188" t="s">
        <v>176</v>
      </c>
    </row>
    <row r="61" spans="2:45" ht="22.5" customHeight="1" thickBot="1" x14ac:dyDescent="0.25">
      <c r="B61" s="307"/>
      <c r="C61" s="28"/>
      <c r="D61" s="28"/>
      <c r="E61" s="28"/>
      <c r="F61" s="28"/>
      <c r="G61" s="28"/>
      <c r="H61" s="28"/>
      <c r="I61" s="28"/>
      <c r="J61" s="28"/>
      <c r="K61" s="28"/>
      <c r="L61" s="28"/>
      <c r="M61" s="28"/>
      <c r="N61" s="311"/>
      <c r="O61" s="1138" t="s">
        <v>179</v>
      </c>
      <c r="P61" s="1139"/>
      <c r="Q61" s="1139"/>
      <c r="R61" s="1139"/>
      <c r="S61" s="1140"/>
      <c r="T61" s="312"/>
      <c r="U61" s="307"/>
      <c r="V61" s="28"/>
      <c r="W61" s="28"/>
      <c r="X61" s="28"/>
      <c r="Y61" s="28"/>
      <c r="Z61" s="28"/>
      <c r="AA61" s="28"/>
      <c r="AB61" s="28"/>
      <c r="AC61" s="28"/>
      <c r="AD61" s="28"/>
      <c r="AE61" s="28"/>
      <c r="AF61" s="28"/>
      <c r="AG61" s="311"/>
      <c r="AH61" s="1138" t="s">
        <v>179</v>
      </c>
      <c r="AI61" s="1139"/>
      <c r="AJ61" s="1139"/>
      <c r="AK61" s="1139"/>
      <c r="AL61" s="1140"/>
      <c r="AM61" s="312"/>
      <c r="AN61" s="1087"/>
      <c r="AO61" s="1088"/>
      <c r="AP61" s="1088"/>
      <c r="AQ61" s="1089"/>
      <c r="AR61" s="187">
        <v>0</v>
      </c>
      <c r="AS61" s="188" t="s">
        <v>176</v>
      </c>
    </row>
    <row r="62" spans="2:45" ht="22.5" customHeight="1" thickBot="1" x14ac:dyDescent="0.35">
      <c r="B62" s="307"/>
      <c r="C62" s="28"/>
      <c r="D62" s="28"/>
      <c r="E62" s="28"/>
      <c r="F62" s="28"/>
      <c r="G62" s="28"/>
      <c r="H62" s="309"/>
      <c r="I62" s="309"/>
      <c r="J62" s="309"/>
      <c r="K62" s="309"/>
      <c r="L62" s="309"/>
      <c r="M62" s="309"/>
      <c r="N62" s="313"/>
      <c r="O62" s="1141"/>
      <c r="P62" s="1142"/>
      <c r="Q62" s="1142"/>
      <c r="R62" s="1142"/>
      <c r="S62" s="1143"/>
      <c r="T62" s="314"/>
      <c r="U62" s="307"/>
      <c r="V62" s="28"/>
      <c r="W62" s="28"/>
      <c r="X62" s="28"/>
      <c r="Y62" s="28"/>
      <c r="Z62" s="28"/>
      <c r="AA62" s="309"/>
      <c r="AB62" s="309"/>
      <c r="AC62" s="309"/>
      <c r="AD62" s="309"/>
      <c r="AE62" s="309"/>
      <c r="AF62" s="309"/>
      <c r="AG62" s="313"/>
      <c r="AH62" s="1141"/>
      <c r="AI62" s="1142"/>
      <c r="AJ62" s="1142"/>
      <c r="AK62" s="1142"/>
      <c r="AL62" s="1143"/>
      <c r="AM62" s="314"/>
      <c r="AN62" s="1090"/>
      <c r="AO62" s="1091"/>
      <c r="AP62" s="1091"/>
      <c r="AQ62" s="1092"/>
      <c r="AR62" s="187">
        <v>0</v>
      </c>
      <c r="AS62" s="188" t="s">
        <v>176</v>
      </c>
    </row>
    <row r="63" spans="2:45" ht="22.5" customHeight="1" thickBot="1" x14ac:dyDescent="0.25">
      <c r="B63" s="1129" t="s">
        <v>9</v>
      </c>
      <c r="C63" s="1130"/>
      <c r="D63" s="1132"/>
      <c r="E63" s="1133"/>
      <c r="F63" s="1133"/>
      <c r="G63" s="1130"/>
      <c r="H63" s="36" t="s">
        <v>180</v>
      </c>
      <c r="I63" s="37"/>
      <c r="J63" s="34"/>
      <c r="K63" s="34"/>
      <c r="L63" s="34"/>
      <c r="M63" s="34"/>
      <c r="N63" s="34"/>
      <c r="O63" s="34"/>
      <c r="P63" s="34"/>
      <c r="Q63" s="34"/>
      <c r="R63" s="34"/>
      <c r="S63" s="34"/>
      <c r="T63" s="35"/>
      <c r="U63" s="1129" t="s">
        <v>9</v>
      </c>
      <c r="V63" s="1130"/>
      <c r="W63" s="1132"/>
      <c r="X63" s="1133"/>
      <c r="Y63" s="1133"/>
      <c r="Z63" s="1130"/>
      <c r="AA63" s="36" t="s">
        <v>180</v>
      </c>
      <c r="AB63" s="37"/>
      <c r="AC63" s="34"/>
      <c r="AD63" s="34"/>
      <c r="AE63" s="34"/>
      <c r="AF63" s="34"/>
      <c r="AG63" s="34"/>
      <c r="AH63" s="34"/>
      <c r="AI63" s="34"/>
      <c r="AJ63" s="34"/>
      <c r="AK63" s="34"/>
      <c r="AL63" s="34"/>
      <c r="AM63" s="35"/>
      <c r="AN63" s="1169"/>
      <c r="AO63" s="1170"/>
      <c r="AP63" s="1170"/>
      <c r="AQ63" s="1171"/>
      <c r="AR63" s="357">
        <v>0</v>
      </c>
      <c r="AS63" s="358" t="s">
        <v>176</v>
      </c>
    </row>
    <row r="64" spans="2:45" ht="22.35" customHeight="1" x14ac:dyDescent="0.2">
      <c r="B64" s="1131"/>
      <c r="C64" s="1119"/>
      <c r="D64" s="1101"/>
      <c r="E64" s="1102"/>
      <c r="F64" s="1102"/>
      <c r="G64" s="1119"/>
      <c r="H64" s="20"/>
      <c r="I64" s="38"/>
      <c r="J64" s="34"/>
      <c r="K64" s="34"/>
      <c r="L64" s="34"/>
      <c r="M64" s="34"/>
      <c r="N64" s="34"/>
      <c r="O64" s="34"/>
      <c r="P64" s="34"/>
      <c r="Q64" s="34"/>
      <c r="R64" s="34"/>
      <c r="S64" s="34"/>
      <c r="T64" s="35"/>
      <c r="U64" s="1131"/>
      <c r="V64" s="1119"/>
      <c r="W64" s="1101"/>
      <c r="X64" s="1102"/>
      <c r="Y64" s="1102"/>
      <c r="Z64" s="1119"/>
      <c r="AA64" s="20"/>
      <c r="AB64" s="38"/>
      <c r="AC64" s="34"/>
      <c r="AD64" s="34"/>
      <c r="AE64" s="34"/>
      <c r="AF64" s="34"/>
      <c r="AG64" s="34"/>
      <c r="AH64" s="34"/>
      <c r="AI64" s="34"/>
      <c r="AJ64" s="34"/>
      <c r="AK64" s="34"/>
      <c r="AL64" s="34"/>
      <c r="AM64" s="35"/>
    </row>
    <row r="65" spans="2:39" x14ac:dyDescent="0.2">
      <c r="B65" s="1129" t="s">
        <v>10</v>
      </c>
      <c r="C65" s="1130"/>
      <c r="D65" s="1132"/>
      <c r="E65" s="1133"/>
      <c r="F65" s="1133"/>
      <c r="G65" s="1130"/>
      <c r="H65" s="1153"/>
      <c r="I65" s="1154"/>
      <c r="J65" s="1154"/>
      <c r="K65" s="1154"/>
      <c r="L65" s="1154"/>
      <c r="M65" s="1154"/>
      <c r="N65" s="1154"/>
      <c r="O65" s="1154"/>
      <c r="P65" s="1154"/>
      <c r="Q65" s="1154"/>
      <c r="R65" s="1154"/>
      <c r="S65" s="1154"/>
      <c r="T65" s="1155"/>
      <c r="U65" s="1129" t="s">
        <v>10</v>
      </c>
      <c r="V65" s="1130"/>
      <c r="W65" s="1132"/>
      <c r="X65" s="1133"/>
      <c r="Y65" s="1133"/>
      <c r="Z65" s="1130"/>
      <c r="AA65" s="1153"/>
      <c r="AB65" s="1154"/>
      <c r="AC65" s="1154"/>
      <c r="AD65" s="1154"/>
      <c r="AE65" s="1154"/>
      <c r="AF65" s="1154"/>
      <c r="AG65" s="1154"/>
      <c r="AH65" s="1154"/>
      <c r="AI65" s="1154"/>
      <c r="AJ65" s="1154"/>
      <c r="AK65" s="1154"/>
      <c r="AL65" s="1154"/>
      <c r="AM65" s="1155"/>
    </row>
    <row r="66" spans="2:39" x14ac:dyDescent="0.2">
      <c r="B66" s="1131"/>
      <c r="C66" s="1119"/>
      <c r="D66" s="1101"/>
      <c r="E66" s="1102"/>
      <c r="F66" s="1102"/>
      <c r="G66" s="1119"/>
      <c r="H66" s="1156"/>
      <c r="I66" s="1157"/>
      <c r="J66" s="1157"/>
      <c r="K66" s="1157"/>
      <c r="L66" s="1157"/>
      <c r="M66" s="1157"/>
      <c r="N66" s="1157"/>
      <c r="O66" s="1157"/>
      <c r="P66" s="1157"/>
      <c r="Q66" s="1157"/>
      <c r="R66" s="1157"/>
      <c r="S66" s="1157"/>
      <c r="T66" s="1158"/>
      <c r="U66" s="1131"/>
      <c r="V66" s="1119"/>
      <c r="W66" s="1101"/>
      <c r="X66" s="1102"/>
      <c r="Y66" s="1102"/>
      <c r="Z66" s="1119"/>
      <c r="AA66" s="1156"/>
      <c r="AB66" s="1157"/>
      <c r="AC66" s="1157"/>
      <c r="AD66" s="1157"/>
      <c r="AE66" s="1157"/>
      <c r="AF66" s="1157"/>
      <c r="AG66" s="1157"/>
      <c r="AH66" s="1157"/>
      <c r="AI66" s="1157"/>
      <c r="AJ66" s="1157"/>
      <c r="AK66" s="1157"/>
      <c r="AL66" s="1157"/>
      <c r="AM66" s="1158"/>
    </row>
    <row r="67" spans="2:39" x14ac:dyDescent="0.2">
      <c r="B67" s="1129" t="s">
        <v>181</v>
      </c>
      <c r="C67" s="1130"/>
      <c r="D67" s="1132"/>
      <c r="E67" s="1133"/>
      <c r="F67" s="1133"/>
      <c r="G67" s="1130"/>
      <c r="H67" s="1134" t="s">
        <v>183</v>
      </c>
      <c r="I67" s="1135"/>
      <c r="J67" s="1135"/>
      <c r="K67" s="1135"/>
      <c r="L67" s="1135"/>
      <c r="M67" s="1135"/>
      <c r="N67" s="1135"/>
      <c r="O67" s="1135"/>
      <c r="P67" s="1135"/>
      <c r="Q67" s="1135"/>
      <c r="R67" s="1135"/>
      <c r="S67" s="1135"/>
      <c r="T67" s="1144"/>
      <c r="U67" s="1129" t="s">
        <v>181</v>
      </c>
      <c r="V67" s="1130"/>
      <c r="W67" s="1132"/>
      <c r="X67" s="1133"/>
      <c r="Y67" s="1133"/>
      <c r="Z67" s="1130"/>
      <c r="AA67" s="1134" t="s">
        <v>183</v>
      </c>
      <c r="AB67" s="1135"/>
      <c r="AC67" s="1135"/>
      <c r="AD67" s="1135"/>
      <c r="AE67" s="1135"/>
      <c r="AF67" s="1135"/>
      <c r="AG67" s="1135"/>
      <c r="AH67" s="1135"/>
      <c r="AI67" s="1135"/>
      <c r="AJ67" s="1135"/>
      <c r="AK67" s="1135"/>
      <c r="AL67" s="1135"/>
      <c r="AM67" s="1144"/>
    </row>
    <row r="68" spans="2:39" x14ac:dyDescent="0.2">
      <c r="B68" s="1131"/>
      <c r="C68" s="1119"/>
      <c r="D68" s="1101"/>
      <c r="E68" s="1102"/>
      <c r="F68" s="1102"/>
      <c r="G68" s="1119"/>
      <c r="H68" s="1145"/>
      <c r="I68" s="945"/>
      <c r="J68" s="945"/>
      <c r="K68" s="945"/>
      <c r="L68" s="945"/>
      <c r="M68" s="945"/>
      <c r="N68" s="945"/>
      <c r="O68" s="945"/>
      <c r="P68" s="945"/>
      <c r="Q68" s="945"/>
      <c r="R68" s="945"/>
      <c r="S68" s="945"/>
      <c r="T68" s="946"/>
      <c r="U68" s="1131"/>
      <c r="V68" s="1119"/>
      <c r="W68" s="1101"/>
      <c r="X68" s="1102"/>
      <c r="Y68" s="1102"/>
      <c r="Z68" s="1119"/>
      <c r="AA68" s="1145"/>
      <c r="AB68" s="945"/>
      <c r="AC68" s="945"/>
      <c r="AD68" s="945"/>
      <c r="AE68" s="945"/>
      <c r="AF68" s="945"/>
      <c r="AG68" s="945"/>
      <c r="AH68" s="945"/>
      <c r="AI68" s="945"/>
      <c r="AJ68" s="945"/>
      <c r="AK68" s="945"/>
      <c r="AL68" s="945"/>
      <c r="AM68" s="946"/>
    </row>
    <row r="69" spans="2:39" x14ac:dyDescent="0.2">
      <c r="B69" s="1129" t="s">
        <v>184</v>
      </c>
      <c r="C69" s="1130"/>
      <c r="D69" s="1132"/>
      <c r="E69" s="1133"/>
      <c r="F69" s="1133"/>
      <c r="G69" s="1130"/>
      <c r="H69" s="1145"/>
      <c r="I69" s="945"/>
      <c r="J69" s="945"/>
      <c r="K69" s="945"/>
      <c r="L69" s="945"/>
      <c r="M69" s="945"/>
      <c r="N69" s="945"/>
      <c r="O69" s="945"/>
      <c r="P69" s="945"/>
      <c r="Q69" s="945"/>
      <c r="R69" s="945"/>
      <c r="S69" s="945"/>
      <c r="T69" s="946"/>
      <c r="U69" s="1129" t="s">
        <v>184</v>
      </c>
      <c r="V69" s="1130"/>
      <c r="W69" s="1132"/>
      <c r="X69" s="1133"/>
      <c r="Y69" s="1133"/>
      <c r="Z69" s="1130"/>
      <c r="AA69" s="1145"/>
      <c r="AB69" s="945"/>
      <c r="AC69" s="945"/>
      <c r="AD69" s="945"/>
      <c r="AE69" s="945"/>
      <c r="AF69" s="945"/>
      <c r="AG69" s="945"/>
      <c r="AH69" s="945"/>
      <c r="AI69" s="945"/>
      <c r="AJ69" s="945"/>
      <c r="AK69" s="945"/>
      <c r="AL69" s="945"/>
      <c r="AM69" s="946"/>
    </row>
    <row r="70" spans="2:39" ht="15.75" thickBot="1" x14ac:dyDescent="0.25">
      <c r="B70" s="1159"/>
      <c r="C70" s="1160"/>
      <c r="D70" s="1161"/>
      <c r="E70" s="1162"/>
      <c r="F70" s="1162"/>
      <c r="G70" s="1160"/>
      <c r="H70" s="1146"/>
      <c r="I70" s="948"/>
      <c r="J70" s="948"/>
      <c r="K70" s="948"/>
      <c r="L70" s="948"/>
      <c r="M70" s="948"/>
      <c r="N70" s="948"/>
      <c r="O70" s="948"/>
      <c r="P70" s="948"/>
      <c r="Q70" s="948"/>
      <c r="R70" s="948"/>
      <c r="S70" s="948"/>
      <c r="T70" s="949"/>
      <c r="U70" s="1159"/>
      <c r="V70" s="1160"/>
      <c r="W70" s="1161"/>
      <c r="X70" s="1162"/>
      <c r="Y70" s="1162"/>
      <c r="Z70" s="1160"/>
      <c r="AA70" s="1146"/>
      <c r="AB70" s="948"/>
      <c r="AC70" s="948"/>
      <c r="AD70" s="948"/>
      <c r="AE70" s="948"/>
      <c r="AF70" s="948"/>
      <c r="AG70" s="948"/>
      <c r="AH70" s="948"/>
      <c r="AI70" s="948"/>
      <c r="AJ70" s="948"/>
      <c r="AK70" s="948"/>
      <c r="AL70" s="948"/>
      <c r="AM70" s="949"/>
    </row>
    <row r="71" spans="2:39" ht="15.75" thickTop="1" x14ac:dyDescent="0.2">
      <c r="B71" s="1166"/>
      <c r="C71" s="1166"/>
      <c r="D71" s="1166"/>
      <c r="E71" s="1166"/>
      <c r="F71" s="1166"/>
      <c r="G71" s="1166"/>
      <c r="H71" s="1166"/>
      <c r="I71" s="1166"/>
      <c r="J71" s="1166"/>
      <c r="K71" s="1166"/>
      <c r="L71" s="1166"/>
      <c r="M71" s="1166"/>
      <c r="N71" s="1166"/>
      <c r="O71" s="1166"/>
      <c r="P71" s="1166"/>
      <c r="Q71" s="1167"/>
      <c r="R71" s="1167"/>
      <c r="S71" s="1167"/>
      <c r="T71" s="1167"/>
      <c r="U71" s="1166"/>
      <c r="V71" s="1166"/>
      <c r="W71" s="1166"/>
      <c r="X71" s="1166"/>
      <c r="Y71" s="1166"/>
      <c r="Z71" s="1166"/>
      <c r="AA71" s="1166"/>
      <c r="AB71" s="1166"/>
      <c r="AC71" s="1166"/>
      <c r="AD71" s="1166"/>
      <c r="AE71" s="1166"/>
      <c r="AF71" s="1166"/>
      <c r="AG71" s="1166"/>
      <c r="AH71" s="1166"/>
      <c r="AI71" s="1166"/>
      <c r="AJ71" s="1167"/>
      <c r="AK71" s="1167"/>
      <c r="AL71" s="1167"/>
      <c r="AM71" s="1167"/>
    </row>
    <row r="72" spans="2:39" x14ac:dyDescent="0.2">
      <c r="B72" s="1166"/>
      <c r="C72" s="1166"/>
      <c r="D72" s="1166"/>
      <c r="E72" s="1166"/>
      <c r="F72" s="1166"/>
      <c r="G72" s="1166"/>
      <c r="H72" s="1166"/>
      <c r="I72" s="1166"/>
      <c r="J72" s="1166"/>
      <c r="K72" s="1166"/>
      <c r="L72" s="1166"/>
      <c r="M72" s="1166"/>
      <c r="N72" s="1166"/>
      <c r="O72" s="1166"/>
      <c r="P72" s="1166"/>
      <c r="Q72" s="1167"/>
      <c r="R72" s="1167"/>
      <c r="S72" s="1167"/>
      <c r="T72" s="1167"/>
      <c r="U72" s="1166"/>
      <c r="V72" s="1166"/>
      <c r="W72" s="1166"/>
      <c r="X72" s="1166"/>
      <c r="Y72" s="1166"/>
      <c r="Z72" s="1166"/>
      <c r="AA72" s="1166"/>
      <c r="AB72" s="1166"/>
      <c r="AC72" s="1166"/>
      <c r="AD72" s="1166"/>
      <c r="AE72" s="1166"/>
      <c r="AF72" s="1166"/>
      <c r="AG72" s="1166"/>
      <c r="AH72" s="1166"/>
      <c r="AI72" s="1166"/>
      <c r="AJ72" s="1167"/>
      <c r="AK72" s="1167"/>
      <c r="AL72" s="1167"/>
      <c r="AM72" s="1167"/>
    </row>
    <row r="73" spans="2:39" x14ac:dyDescent="0.2">
      <c r="B73" s="16"/>
      <c r="C73" s="16"/>
      <c r="D73" s="16"/>
      <c r="E73" s="16"/>
      <c r="F73" s="1166"/>
      <c r="G73" s="1166"/>
      <c r="H73" s="1166"/>
      <c r="I73" s="1166"/>
      <c r="J73" s="1166"/>
      <c r="K73" s="1166"/>
      <c r="L73" s="1166"/>
      <c r="M73" s="1166"/>
      <c r="N73" s="1166"/>
      <c r="O73" s="1166"/>
      <c r="P73" s="1166"/>
      <c r="Q73" s="1167"/>
      <c r="R73" s="1167"/>
      <c r="S73" s="1167"/>
      <c r="T73" s="1167"/>
      <c r="U73" s="16"/>
      <c r="V73" s="16"/>
      <c r="W73" s="16"/>
      <c r="X73" s="16"/>
      <c r="Y73" s="1166"/>
      <c r="Z73" s="1166"/>
      <c r="AA73" s="1166"/>
      <c r="AB73" s="1166"/>
      <c r="AC73" s="1166"/>
      <c r="AD73" s="1166"/>
      <c r="AE73" s="1166"/>
      <c r="AF73" s="1166"/>
      <c r="AG73" s="1166"/>
      <c r="AH73" s="1166"/>
      <c r="AI73" s="1166"/>
      <c r="AJ73" s="1167"/>
      <c r="AK73" s="1167"/>
      <c r="AL73" s="1167"/>
      <c r="AM73" s="1167"/>
    </row>
    <row r="74" spans="2:39" x14ac:dyDescent="0.2">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row>
    <row r="75" spans="2:39" x14ac:dyDescent="0.2">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row>
    <row r="76" spans="2:39" x14ac:dyDescent="0.2">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row>
    <row r="77" spans="2:39" x14ac:dyDescent="0.2">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row>
    <row r="78" spans="2:39" x14ac:dyDescent="0.2">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row>
    <row r="79" spans="2:39" x14ac:dyDescent="0.2">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row>
    <row r="80" spans="2:39" x14ac:dyDescent="0.2">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row>
    <row r="81" spans="2:39" x14ac:dyDescent="0.2">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row>
    <row r="82" spans="2:39" x14ac:dyDescent="0.2">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row>
    <row r="83" spans="2:39" x14ac:dyDescent="0.2">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row>
    <row r="84" spans="2:39" x14ac:dyDescent="0.2">
      <c r="B84" s="16"/>
      <c r="C84" s="16"/>
      <c r="D84" s="16"/>
      <c r="E84" s="16"/>
      <c r="F84" s="16"/>
      <c r="G84" s="16"/>
      <c r="H84" s="16"/>
      <c r="I84" s="16"/>
      <c r="J84" s="16"/>
      <c r="K84" s="16"/>
      <c r="L84" s="16"/>
      <c r="M84" s="16"/>
      <c r="N84" s="16"/>
      <c r="O84" s="1166"/>
      <c r="P84" s="1166"/>
      <c r="Q84" s="1166"/>
      <c r="R84" s="1166"/>
      <c r="S84" s="1166"/>
      <c r="T84" s="16"/>
      <c r="U84" s="16"/>
      <c r="V84" s="16"/>
      <c r="W84" s="16"/>
      <c r="X84" s="16"/>
      <c r="Y84" s="16"/>
      <c r="Z84" s="16"/>
      <c r="AA84" s="16"/>
      <c r="AB84" s="16"/>
      <c r="AC84" s="16"/>
      <c r="AD84" s="16"/>
      <c r="AE84" s="16"/>
      <c r="AF84" s="16"/>
      <c r="AG84" s="16"/>
      <c r="AH84" s="1166"/>
      <c r="AI84" s="1166"/>
      <c r="AJ84" s="1166"/>
      <c r="AK84" s="1166"/>
      <c r="AL84" s="1166"/>
      <c r="AM84" s="16"/>
    </row>
    <row r="85" spans="2:39" ht="21" x14ac:dyDescent="0.3">
      <c r="B85" s="16"/>
      <c r="C85" s="16"/>
      <c r="D85" s="16"/>
      <c r="E85" s="16"/>
      <c r="F85" s="16"/>
      <c r="G85" s="16"/>
      <c r="H85" s="16"/>
      <c r="I85" s="16"/>
      <c r="J85" s="16"/>
      <c r="K85" s="16"/>
      <c r="L85" s="16"/>
      <c r="M85" s="16"/>
      <c r="N85" s="16"/>
      <c r="O85" s="1166"/>
      <c r="P85" s="1166"/>
      <c r="Q85" s="1166"/>
      <c r="R85" s="1166"/>
      <c r="S85" s="1166"/>
      <c r="T85" s="39"/>
      <c r="U85" s="16"/>
      <c r="V85" s="16"/>
      <c r="W85" s="16"/>
      <c r="X85" s="16"/>
      <c r="Y85" s="16"/>
      <c r="Z85" s="16"/>
      <c r="AA85" s="16"/>
      <c r="AB85" s="16"/>
      <c r="AC85" s="16"/>
      <c r="AD85" s="16"/>
      <c r="AE85" s="16"/>
      <c r="AF85" s="16"/>
      <c r="AG85" s="16"/>
      <c r="AH85" s="1166"/>
      <c r="AI85" s="1166"/>
      <c r="AJ85" s="1166"/>
      <c r="AK85" s="1166"/>
      <c r="AL85" s="1166"/>
      <c r="AM85" s="39"/>
    </row>
    <row r="86" spans="2:39" x14ac:dyDescent="0.2">
      <c r="B86" s="1166"/>
      <c r="C86" s="1166"/>
      <c r="D86" s="1166"/>
      <c r="E86" s="1166"/>
      <c r="F86" s="1166"/>
      <c r="G86" s="1166"/>
      <c r="H86" s="40"/>
      <c r="I86" s="40"/>
      <c r="J86" s="40"/>
      <c r="K86" s="40"/>
      <c r="L86" s="40"/>
      <c r="M86" s="40"/>
      <c r="N86" s="40"/>
      <c r="O86" s="40"/>
      <c r="P86" s="40"/>
      <c r="Q86" s="40"/>
      <c r="R86" s="40"/>
      <c r="S86" s="40"/>
      <c r="T86" s="40"/>
      <c r="U86" s="1166"/>
      <c r="V86" s="1166"/>
      <c r="W86" s="1166"/>
      <c r="X86" s="1166"/>
      <c r="Y86" s="1166"/>
      <c r="Z86" s="1166"/>
      <c r="AA86" s="40"/>
      <c r="AB86" s="40"/>
      <c r="AC86" s="40"/>
      <c r="AD86" s="40"/>
      <c r="AE86" s="40"/>
      <c r="AF86" s="40"/>
      <c r="AG86" s="40"/>
      <c r="AH86" s="40"/>
      <c r="AI86" s="40"/>
      <c r="AJ86" s="40"/>
      <c r="AK86" s="40"/>
      <c r="AL86" s="40"/>
      <c r="AM86" s="40"/>
    </row>
    <row r="87" spans="2:39" x14ac:dyDescent="0.2">
      <c r="B87" s="1166"/>
      <c r="C87" s="1166"/>
      <c r="D87" s="1166"/>
      <c r="E87" s="1166"/>
      <c r="F87" s="1166"/>
      <c r="G87" s="1166"/>
      <c r="H87" s="40"/>
      <c r="I87" s="40"/>
      <c r="J87" s="40"/>
      <c r="K87" s="40"/>
      <c r="L87" s="40"/>
      <c r="M87" s="40"/>
      <c r="N87" s="40"/>
      <c r="O87" s="40"/>
      <c r="P87" s="40"/>
      <c r="Q87" s="40"/>
      <c r="R87" s="40"/>
      <c r="S87" s="40"/>
      <c r="T87" s="40"/>
      <c r="U87" s="1166"/>
      <c r="V87" s="1166"/>
      <c r="W87" s="1166"/>
      <c r="X87" s="1166"/>
      <c r="Y87" s="1166"/>
      <c r="Z87" s="1166"/>
      <c r="AA87" s="40"/>
      <c r="AB87" s="40"/>
      <c r="AC87" s="40"/>
      <c r="AD87" s="40"/>
      <c r="AE87" s="40"/>
      <c r="AF87" s="40"/>
      <c r="AG87" s="40"/>
      <c r="AH87" s="40"/>
      <c r="AI87" s="40"/>
      <c r="AJ87" s="40"/>
      <c r="AK87" s="40"/>
      <c r="AL87" s="40"/>
      <c r="AM87" s="40"/>
    </row>
    <row r="88" spans="2:39" x14ac:dyDescent="0.2">
      <c r="B88" s="1166"/>
      <c r="C88" s="1166"/>
      <c r="D88" s="1166"/>
      <c r="E88" s="1166"/>
      <c r="F88" s="1166"/>
      <c r="G88" s="1166"/>
      <c r="H88" s="920"/>
      <c r="I88" s="920"/>
      <c r="J88" s="920"/>
      <c r="K88" s="920"/>
      <c r="L88" s="920"/>
      <c r="M88" s="920"/>
      <c r="N88" s="920"/>
      <c r="O88" s="920"/>
      <c r="P88" s="920"/>
      <c r="Q88" s="920"/>
      <c r="R88" s="920"/>
      <c r="S88" s="920"/>
      <c r="T88" s="920"/>
      <c r="U88" s="1166"/>
      <c r="V88" s="1166"/>
      <c r="W88" s="1166"/>
      <c r="X88" s="1166"/>
      <c r="Y88" s="1166"/>
      <c r="Z88" s="1166"/>
      <c r="AA88" s="920"/>
      <c r="AB88" s="920"/>
      <c r="AC88" s="920"/>
      <c r="AD88" s="920"/>
      <c r="AE88" s="920"/>
      <c r="AF88" s="920"/>
      <c r="AG88" s="920"/>
      <c r="AH88" s="920"/>
      <c r="AI88" s="920"/>
      <c r="AJ88" s="920"/>
      <c r="AK88" s="920"/>
      <c r="AL88" s="920"/>
      <c r="AM88" s="920"/>
    </row>
    <row r="89" spans="2:39" x14ac:dyDescent="0.2">
      <c r="B89" s="1166"/>
      <c r="C89" s="1166"/>
      <c r="D89" s="1166"/>
      <c r="E89" s="1166"/>
      <c r="F89" s="1166"/>
      <c r="G89" s="1166"/>
      <c r="H89" s="920"/>
      <c r="I89" s="920"/>
      <c r="J89" s="920"/>
      <c r="K89" s="920"/>
      <c r="L89" s="920"/>
      <c r="M89" s="920"/>
      <c r="N89" s="920"/>
      <c r="O89" s="920"/>
      <c r="P89" s="920"/>
      <c r="Q89" s="920"/>
      <c r="R89" s="920"/>
      <c r="S89" s="920"/>
      <c r="T89" s="920"/>
      <c r="U89" s="1166"/>
      <c r="V89" s="1166"/>
      <c r="W89" s="1166"/>
      <c r="X89" s="1166"/>
      <c r="Y89" s="1166"/>
      <c r="Z89" s="1166"/>
      <c r="AA89" s="920"/>
      <c r="AB89" s="920"/>
      <c r="AC89" s="920"/>
      <c r="AD89" s="920"/>
      <c r="AE89" s="920"/>
      <c r="AF89" s="920"/>
      <c r="AG89" s="920"/>
      <c r="AH89" s="920"/>
      <c r="AI89" s="920"/>
      <c r="AJ89" s="920"/>
      <c r="AK89" s="920"/>
      <c r="AL89" s="920"/>
      <c r="AM89" s="920"/>
    </row>
    <row r="90" spans="2:39" x14ac:dyDescent="0.2">
      <c r="B90" s="1166"/>
      <c r="C90" s="1166"/>
      <c r="D90" s="1166"/>
      <c r="E90" s="1166"/>
      <c r="F90" s="1166"/>
      <c r="G90" s="1166"/>
      <c r="H90" s="1168"/>
      <c r="I90" s="1168"/>
      <c r="J90" s="1168"/>
      <c r="K90" s="1168"/>
      <c r="L90" s="1168"/>
      <c r="M90" s="1168"/>
      <c r="N90" s="1168"/>
      <c r="O90" s="1168"/>
      <c r="P90" s="1168"/>
      <c r="Q90" s="1168"/>
      <c r="R90" s="1168"/>
      <c r="S90" s="1168"/>
      <c r="T90" s="1168"/>
      <c r="U90" s="1166"/>
      <c r="V90" s="1166"/>
      <c r="W90" s="1166"/>
      <c r="X90" s="1166"/>
      <c r="Y90" s="1166"/>
      <c r="Z90" s="1166"/>
      <c r="AA90" s="1168"/>
      <c r="AB90" s="1168"/>
      <c r="AC90" s="1168"/>
      <c r="AD90" s="1168"/>
      <c r="AE90" s="1168"/>
      <c r="AF90" s="1168"/>
      <c r="AG90" s="1168"/>
      <c r="AH90" s="1168"/>
      <c r="AI90" s="1168"/>
      <c r="AJ90" s="1168"/>
      <c r="AK90" s="1168"/>
      <c r="AL90" s="1168"/>
      <c r="AM90" s="1168"/>
    </row>
    <row r="91" spans="2:39" x14ac:dyDescent="0.2">
      <c r="B91" s="1166"/>
      <c r="C91" s="1166"/>
      <c r="D91" s="1166"/>
      <c r="E91" s="1166"/>
      <c r="F91" s="1166"/>
      <c r="G91" s="1166"/>
      <c r="H91" s="1168"/>
      <c r="I91" s="1168"/>
      <c r="J91" s="1168"/>
      <c r="K91" s="1168"/>
      <c r="L91" s="1168"/>
      <c r="M91" s="1168"/>
      <c r="N91" s="1168"/>
      <c r="O91" s="1168"/>
      <c r="P91" s="1168"/>
      <c r="Q91" s="1168"/>
      <c r="R91" s="1168"/>
      <c r="S91" s="1168"/>
      <c r="T91" s="1168"/>
      <c r="U91" s="1166"/>
      <c r="V91" s="1166"/>
      <c r="W91" s="1166"/>
      <c r="X91" s="1166"/>
      <c r="Y91" s="1166"/>
      <c r="Z91" s="1166"/>
      <c r="AA91" s="1168"/>
      <c r="AB91" s="1168"/>
      <c r="AC91" s="1168"/>
      <c r="AD91" s="1168"/>
      <c r="AE91" s="1168"/>
      <c r="AF91" s="1168"/>
      <c r="AG91" s="1168"/>
      <c r="AH91" s="1168"/>
      <c r="AI91" s="1168"/>
      <c r="AJ91" s="1168"/>
      <c r="AK91" s="1168"/>
      <c r="AL91" s="1168"/>
      <c r="AM91" s="1168"/>
    </row>
    <row r="92" spans="2:39" x14ac:dyDescent="0.2">
      <c r="B92" s="1166"/>
      <c r="C92" s="1166"/>
      <c r="D92" s="1166"/>
      <c r="E92" s="1166"/>
      <c r="F92" s="1166"/>
      <c r="G92" s="1166"/>
      <c r="H92" s="1168"/>
      <c r="I92" s="1168"/>
      <c r="J92" s="1168"/>
      <c r="K92" s="1168"/>
      <c r="L92" s="1168"/>
      <c r="M92" s="1168"/>
      <c r="N92" s="1168"/>
      <c r="O92" s="1168"/>
      <c r="P92" s="1168"/>
      <c r="Q92" s="1168"/>
      <c r="R92" s="1168"/>
      <c r="S92" s="1168"/>
      <c r="T92" s="1168"/>
      <c r="U92" s="1166"/>
      <c r="V92" s="1166"/>
      <c r="W92" s="1166"/>
      <c r="X92" s="1166"/>
      <c r="Y92" s="1166"/>
      <c r="Z92" s="1166"/>
      <c r="AA92" s="1168"/>
      <c r="AB92" s="1168"/>
      <c r="AC92" s="1168"/>
      <c r="AD92" s="1168"/>
      <c r="AE92" s="1168"/>
      <c r="AF92" s="1168"/>
      <c r="AG92" s="1168"/>
      <c r="AH92" s="1168"/>
      <c r="AI92" s="1168"/>
      <c r="AJ92" s="1168"/>
      <c r="AK92" s="1168"/>
      <c r="AL92" s="1168"/>
      <c r="AM92" s="1168"/>
    </row>
    <row r="93" spans="2:39" x14ac:dyDescent="0.2">
      <c r="B93" s="1166"/>
      <c r="C93" s="1166"/>
      <c r="D93" s="1166"/>
      <c r="E93" s="1166"/>
      <c r="F93" s="1166"/>
      <c r="G93" s="1166"/>
      <c r="H93" s="1168"/>
      <c r="I93" s="1168"/>
      <c r="J93" s="1168"/>
      <c r="K93" s="1168"/>
      <c r="L93" s="1168"/>
      <c r="M93" s="1168"/>
      <c r="N93" s="1168"/>
      <c r="O93" s="1168"/>
      <c r="P93" s="1168"/>
      <c r="Q93" s="1168"/>
      <c r="R93" s="1168"/>
      <c r="S93" s="1168"/>
      <c r="T93" s="1168"/>
      <c r="U93" s="1166"/>
      <c r="V93" s="1166"/>
      <c r="W93" s="1166"/>
      <c r="X93" s="1166"/>
      <c r="Y93" s="1166"/>
      <c r="Z93" s="1166"/>
      <c r="AA93" s="1168"/>
      <c r="AB93" s="1168"/>
      <c r="AC93" s="1168"/>
      <c r="AD93" s="1168"/>
      <c r="AE93" s="1168"/>
      <c r="AF93" s="1168"/>
      <c r="AG93" s="1168"/>
      <c r="AH93" s="1168"/>
      <c r="AI93" s="1168"/>
      <c r="AJ93" s="1168"/>
      <c r="AK93" s="1168"/>
      <c r="AL93" s="1168"/>
      <c r="AM93" s="1168"/>
    </row>
  </sheetData>
  <mergeCells count="183">
    <mergeCell ref="AN61:AQ63"/>
    <mergeCell ref="AO44:AP44"/>
    <mergeCell ref="AN46:AQ48"/>
    <mergeCell ref="AN49:AN50"/>
    <mergeCell ref="AO49:AP49"/>
    <mergeCell ref="AN51:AQ53"/>
    <mergeCell ref="AN54:AN55"/>
    <mergeCell ref="AO54:AP54"/>
    <mergeCell ref="AN56:AQ58"/>
    <mergeCell ref="AN59:AN60"/>
    <mergeCell ref="AO59:AP59"/>
    <mergeCell ref="B90:C91"/>
    <mergeCell ref="D90:G91"/>
    <mergeCell ref="H90:T93"/>
    <mergeCell ref="U90:V91"/>
    <mergeCell ref="W90:Z91"/>
    <mergeCell ref="AA90:AM93"/>
    <mergeCell ref="B92:C93"/>
    <mergeCell ref="D92:G93"/>
    <mergeCell ref="U92:V93"/>
    <mergeCell ref="W92:Z93"/>
    <mergeCell ref="B88:C89"/>
    <mergeCell ref="D88:G89"/>
    <mergeCell ref="H88:T89"/>
    <mergeCell ref="U88:V89"/>
    <mergeCell ref="W88:Z89"/>
    <mergeCell ref="AA88:AM89"/>
    <mergeCell ref="O84:S85"/>
    <mergeCell ref="AH84:AL85"/>
    <mergeCell ref="B86:C87"/>
    <mergeCell ref="D86:G87"/>
    <mergeCell ref="U86:V87"/>
    <mergeCell ref="W86:Z87"/>
    <mergeCell ref="W71:X72"/>
    <mergeCell ref="Y71:Z72"/>
    <mergeCell ref="AA71:AI73"/>
    <mergeCell ref="AJ71:AM71"/>
    <mergeCell ref="Q72:T73"/>
    <mergeCell ref="AJ72:AM73"/>
    <mergeCell ref="Y73:Z73"/>
    <mergeCell ref="B71:C72"/>
    <mergeCell ref="D71:E72"/>
    <mergeCell ref="F71:G72"/>
    <mergeCell ref="H71:P73"/>
    <mergeCell ref="Q71:T71"/>
    <mergeCell ref="U71:V72"/>
    <mergeCell ref="F73:G73"/>
    <mergeCell ref="B67:C68"/>
    <mergeCell ref="D67:G68"/>
    <mergeCell ref="H67:T70"/>
    <mergeCell ref="U67:V68"/>
    <mergeCell ref="W67:Z68"/>
    <mergeCell ref="AA67:AM70"/>
    <mergeCell ref="B69:C70"/>
    <mergeCell ref="D69:G70"/>
    <mergeCell ref="U69:V70"/>
    <mergeCell ref="W69:Z70"/>
    <mergeCell ref="B65:C66"/>
    <mergeCell ref="D65:G66"/>
    <mergeCell ref="H65:T66"/>
    <mergeCell ref="U65:V66"/>
    <mergeCell ref="W65:Z66"/>
    <mergeCell ref="AA65:AM66"/>
    <mergeCell ref="F50:G50"/>
    <mergeCell ref="Y50:Z50"/>
    <mergeCell ref="O61:S62"/>
    <mergeCell ref="AH61:AL62"/>
    <mergeCell ref="B63:C64"/>
    <mergeCell ref="D63:G64"/>
    <mergeCell ref="U63:V64"/>
    <mergeCell ref="W63:Z64"/>
    <mergeCell ref="U48:V49"/>
    <mergeCell ref="W48:X49"/>
    <mergeCell ref="Y48:Z49"/>
    <mergeCell ref="AA48:AI50"/>
    <mergeCell ref="AJ48:AM48"/>
    <mergeCell ref="Q49:T50"/>
    <mergeCell ref="AJ49:AM50"/>
    <mergeCell ref="B46:C47"/>
    <mergeCell ref="D46:G47"/>
    <mergeCell ref="U46:V47"/>
    <mergeCell ref="W46:Z47"/>
    <mergeCell ref="B48:C49"/>
    <mergeCell ref="D48:E49"/>
    <mergeCell ref="F48:G49"/>
    <mergeCell ref="H48:P50"/>
    <mergeCell ref="Q48:T48"/>
    <mergeCell ref="B44:C45"/>
    <mergeCell ref="D44:G45"/>
    <mergeCell ref="H44:T47"/>
    <mergeCell ref="U44:V45"/>
    <mergeCell ref="W44:Z45"/>
    <mergeCell ref="AA44:AM47"/>
    <mergeCell ref="AN44:AN45"/>
    <mergeCell ref="F27:G27"/>
    <mergeCell ref="Y27:Z27"/>
    <mergeCell ref="AN29:AN30"/>
    <mergeCell ref="AN34:AN35"/>
    <mergeCell ref="O38:S39"/>
    <mergeCell ref="AH38:AL39"/>
    <mergeCell ref="AN39:AN40"/>
    <mergeCell ref="AN41:AQ43"/>
    <mergeCell ref="B40:C41"/>
    <mergeCell ref="D40:G41"/>
    <mergeCell ref="U40:V41"/>
    <mergeCell ref="W40:Z41"/>
    <mergeCell ref="B42:C43"/>
    <mergeCell ref="D42:G43"/>
    <mergeCell ref="H42:T43"/>
    <mergeCell ref="U42:V43"/>
    <mergeCell ref="W42:Z43"/>
    <mergeCell ref="H25:P27"/>
    <mergeCell ref="Q25:T25"/>
    <mergeCell ref="U25:V26"/>
    <mergeCell ref="W25:X26"/>
    <mergeCell ref="Y25:Z26"/>
    <mergeCell ref="AA25:AI27"/>
    <mergeCell ref="Q26:T27"/>
    <mergeCell ref="AA42:AM43"/>
    <mergeCell ref="AJ26:AM27"/>
    <mergeCell ref="AO14:AP14"/>
    <mergeCell ref="AN16:AQ18"/>
    <mergeCell ref="B21:C22"/>
    <mergeCell ref="D21:G22"/>
    <mergeCell ref="H21:T24"/>
    <mergeCell ref="U21:V22"/>
    <mergeCell ref="W21:Z22"/>
    <mergeCell ref="AA21:AM24"/>
    <mergeCell ref="B19:C20"/>
    <mergeCell ref="D19:G20"/>
    <mergeCell ref="H19:T20"/>
    <mergeCell ref="U19:V20"/>
    <mergeCell ref="W19:Z20"/>
    <mergeCell ref="AA19:AM20"/>
    <mergeCell ref="B23:C24"/>
    <mergeCell ref="D23:G24"/>
    <mergeCell ref="U23:V24"/>
    <mergeCell ref="W23:Z24"/>
    <mergeCell ref="AN24:AN25"/>
    <mergeCell ref="AJ25:AM25"/>
    <mergeCell ref="AN19:AN20"/>
    <mergeCell ref="B25:C26"/>
    <mergeCell ref="D25:E26"/>
    <mergeCell ref="F25:G26"/>
    <mergeCell ref="B17:C18"/>
    <mergeCell ref="D17:G18"/>
    <mergeCell ref="H17:I18"/>
    <mergeCell ref="U17:V18"/>
    <mergeCell ref="W17:Z18"/>
    <mergeCell ref="AA17:AB18"/>
    <mergeCell ref="AN14:AN15"/>
    <mergeCell ref="O15:S16"/>
    <mergeCell ref="AH15:AL16"/>
    <mergeCell ref="AN9:AN10"/>
    <mergeCell ref="W2:X3"/>
    <mergeCell ref="Y2:Z3"/>
    <mergeCell ref="AA2:AI4"/>
    <mergeCell ref="AJ2:AM2"/>
    <mergeCell ref="AO4:AP4"/>
    <mergeCell ref="AN6:AQ8"/>
    <mergeCell ref="AO9:AP9"/>
    <mergeCell ref="AN11:AQ13"/>
    <mergeCell ref="Q3:T4"/>
    <mergeCell ref="AJ3:AM4"/>
    <mergeCell ref="W4:Z4"/>
    <mergeCell ref="AN4:AN5"/>
    <mergeCell ref="B2:C3"/>
    <mergeCell ref="D2:E3"/>
    <mergeCell ref="F2:G3"/>
    <mergeCell ref="H2:P4"/>
    <mergeCell ref="Q2:T2"/>
    <mergeCell ref="U2:V3"/>
    <mergeCell ref="E4:G4"/>
    <mergeCell ref="AN2:AQ3"/>
    <mergeCell ref="AO19:AP19"/>
    <mergeCell ref="AN21:AQ23"/>
    <mergeCell ref="AO24:AP24"/>
    <mergeCell ref="AN26:AQ28"/>
    <mergeCell ref="AO29:AP29"/>
    <mergeCell ref="AN31:AQ33"/>
    <mergeCell ref="AO34:AP34"/>
    <mergeCell ref="AN36:AQ38"/>
    <mergeCell ref="AO39:AP39"/>
  </mergeCells>
  <conditionalFormatting sqref="N18">
    <cfRule type="expression" dxfId="48" priority="11">
      <formula>AND(N$17="(T)",BA$7&gt;1500)</formula>
    </cfRule>
  </conditionalFormatting>
  <conditionalFormatting sqref="O18">
    <cfRule type="expression" dxfId="47" priority="10">
      <formula>AND(O$17="(T)",BB$7&gt;1500)</formula>
    </cfRule>
  </conditionalFormatting>
  <conditionalFormatting sqref="P18">
    <cfRule type="expression" dxfId="46" priority="9">
      <formula>AND(P$17="(T)",BC$7&gt;1500)</formula>
    </cfRule>
  </conditionalFormatting>
  <conditionalFormatting sqref="Q18">
    <cfRule type="expression" dxfId="45" priority="8">
      <formula>AND(Q$17="(T)",BD$7&gt;1500)</formula>
    </cfRule>
  </conditionalFormatting>
  <conditionalFormatting sqref="R18">
    <cfRule type="expression" dxfId="44" priority="7">
      <formula>AND(R$17="(T)",BE$7&gt;1500)</formula>
    </cfRule>
  </conditionalFormatting>
  <conditionalFormatting sqref="S18">
    <cfRule type="expression" dxfId="43" priority="6">
      <formula>AND(S$17="(T)",BF$7&gt;1500)</formula>
    </cfRule>
  </conditionalFormatting>
  <conditionalFormatting sqref="T18">
    <cfRule type="expression" dxfId="42" priority="5">
      <formula>AND(T$17="(T)",BG$7&gt;1500)</formula>
    </cfRule>
  </conditionalFormatting>
  <conditionalFormatting sqref="M18">
    <cfRule type="expression" dxfId="41" priority="4">
      <formula>AND(M$17="(T)",AZ$7&gt;1500)</formula>
    </cfRule>
  </conditionalFormatting>
  <conditionalFormatting sqref="L18">
    <cfRule type="expression" dxfId="40" priority="3">
      <formula>AND(L$17="(T)",AY$7&gt;1500)</formula>
    </cfRule>
  </conditionalFormatting>
  <conditionalFormatting sqref="K18">
    <cfRule type="expression" dxfId="39" priority="2">
      <formula>AND(K$17="(T)",AX$7&gt;1500)</formula>
    </cfRule>
  </conditionalFormatting>
  <conditionalFormatting sqref="J18">
    <cfRule type="expression" dxfId="38" priority="1">
      <formula>AND(J$17="(T)",AW$7&gt;1500)</formula>
    </cfRule>
  </conditionalFormatting>
  <dataValidations count="9">
    <dataValidation type="list" allowBlank="1" showInputMessage="1" showErrorMessage="1" sqref="F2:G3 Y2:Z3 F25:G26 Y25:Z26 F48:G49 Y48:Z49" xr:uid="{683CAE42-2C2D-43E2-8210-79380B284D3F}">
      <formula1>"Select,1,2,3,4,5,6,7,8,9,10,11,12,13,14,15"</formula1>
    </dataValidation>
    <dataValidation type="list" allowBlank="1" showInputMessage="1" showErrorMessage="1" sqref="Y71:Z72 F71:G72" xr:uid="{8784CD17-CD3C-4AE6-A481-7C384A3C635C}">
      <formula1>"Select,1,2,3,4,5,6,7,8"</formula1>
    </dataValidation>
    <dataValidation type="list" allowBlank="1" showInputMessage="1" showErrorMessage="1" sqref="B2:C3" xr:uid="{1623EB60-AAA8-4CF8-8D54-8D59A6C5B75D}">
      <formula1>"0,1,2,3,4,5,6,7,8"</formula1>
    </dataValidation>
    <dataValidation type="list" allowBlank="1" showInputMessage="1" showErrorMessage="1" sqref="AC86:AM86 AC17:AM17 J40:T40 AC40:AM40 J63:T63 AC63:AM63 J86:T86 J17:T17" xr:uid="{89137D1A-88E9-44AF-9098-58A6A5DDFDEA}">
      <formula1>Config</formula1>
    </dataValidation>
    <dataValidation type="list" allowBlank="1" showInputMessage="1" showErrorMessage="1" sqref="T16 AM16 T39 AM39 T62 AM62 T85 AM85" xr:uid="{E219AE9E-43AB-454C-81EA-225B956D1BC0}">
      <formula1>"Yes,No"</formula1>
    </dataValidation>
    <dataValidation type="list" allowBlank="1" showInputMessage="1" showErrorMessage="1" sqref="AQ4 AQ9 AQ14 AQ19 AQ24 AQ29 AQ34 AQ39 AQ44 AQ49 AQ54 AQ59" xr:uid="{410B7852-0F61-4BBD-8C73-A28F7A26C3D3}">
      <formula1>"Select,Yes,No"</formula1>
    </dataValidation>
    <dataValidation type="list" allowBlank="1" showInputMessage="1" showErrorMessage="1" sqref="AR4:AR63" xr:uid="{2339A2C9-CD2D-422A-8828-3AA5F7701F82}">
      <formula1>"0,1,2,3,4,5,6,7,8,9,10"</formula1>
    </dataValidation>
    <dataValidation type="list" allowBlank="1" showInputMessage="1" sqref="AS4:AS63" xr:uid="{2AF1E511-7F45-43F7-A52F-A8D24D2E8E70}">
      <formula1>"None,@30 x 1500, @30 x 3000"</formula1>
    </dataValidation>
    <dataValidation type="list" allowBlank="1" showInputMessage="1" sqref="Q3:T4 AJ3:AM4 AJ26:AM27 Q26:T27 Q49:T50 AJ49:AM50" xr:uid="{09709E79-C2D3-4D83-8E9F-A1B4F70DA30D}">
      <formula1>"Select,None,20,25,30,35,40,45,50,55,60,65,70"</formula1>
    </dataValidation>
  </dataValidations>
  <pageMargins left="0.7" right="0.7" top="0.75" bottom="0.75" header="0.3" footer="0.3"/>
  <pageSetup paperSize="9" scale="5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2A54B-FBA6-4789-90DB-AE243566B8C0}">
  <sheetPr codeName="Sheet19"/>
  <dimension ref="B2:K49"/>
  <sheetViews>
    <sheetView topLeftCell="A16" zoomScaleNormal="100" workbookViewId="0">
      <selection activeCell="H17" sqref="H17"/>
    </sheetView>
  </sheetViews>
  <sheetFormatPr defaultRowHeight="15" x14ac:dyDescent="0.2"/>
  <cols>
    <col min="2" max="2" width="17.484375" bestFit="1" customWidth="1"/>
    <col min="6" max="6" width="4.4375" customWidth="1"/>
    <col min="7" max="7" width="9.68359375" customWidth="1"/>
    <col min="9" max="9" width="6.9921875" customWidth="1"/>
    <col min="12" max="12" width="10.35546875" bestFit="1" customWidth="1"/>
  </cols>
  <sheetData>
    <row r="2" spans="2:11" ht="18.75" x14ac:dyDescent="0.25">
      <c r="B2" s="350" t="s">
        <v>185</v>
      </c>
    </row>
    <row r="4" spans="2:11" x14ac:dyDescent="0.2">
      <c r="B4" s="351"/>
      <c r="C4" s="352"/>
      <c r="D4" s="352"/>
      <c r="E4" s="352"/>
      <c r="F4" s="352"/>
      <c r="G4" s="352"/>
      <c r="H4" s="352"/>
      <c r="I4" s="353"/>
      <c r="K4" t="str">
        <f>RIGHT(K3,10)</f>
        <v/>
      </c>
    </row>
    <row r="5" spans="2:11" x14ac:dyDescent="0.2">
      <c r="B5" s="129" t="s">
        <v>186</v>
      </c>
      <c r="C5" s="1157" t="str">
        <f>IF(Pricing!B59="","",Pricing!B59)</f>
        <v/>
      </c>
      <c r="D5" s="1157"/>
      <c r="E5" s="1157"/>
      <c r="F5" s="1157"/>
      <c r="G5" t="s">
        <v>187</v>
      </c>
      <c r="H5" s="1172"/>
      <c r="I5" s="1173"/>
    </row>
    <row r="6" spans="2:11" x14ac:dyDescent="0.2">
      <c r="B6" s="129" t="s">
        <v>33</v>
      </c>
      <c r="C6" s="952" t="str">
        <f>IF(Pricing!E59="","",Pricing!E59)</f>
        <v/>
      </c>
      <c r="D6" s="952"/>
      <c r="I6" s="354"/>
    </row>
    <row r="7" spans="2:11" x14ac:dyDescent="0.2">
      <c r="B7" s="129" t="s">
        <v>81</v>
      </c>
      <c r="C7" s="1174" t="str">
        <f>RIGHT('Survey Front'!U6,10)</f>
        <v xml:space="preserve">Day: </v>
      </c>
      <c r="D7" s="952"/>
      <c r="G7" t="s">
        <v>188</v>
      </c>
      <c r="H7" s="1172"/>
      <c r="I7" s="1173"/>
    </row>
    <row r="8" spans="2:11" x14ac:dyDescent="0.2">
      <c r="B8" s="129" t="s">
        <v>155</v>
      </c>
      <c r="C8" s="1172" t="str">
        <f>IF('Survey Front'!W8="","",'Survey Front'!W8)</f>
        <v/>
      </c>
      <c r="D8" s="1172"/>
      <c r="E8" s="1172"/>
      <c r="I8" s="354"/>
    </row>
    <row r="9" spans="2:11" x14ac:dyDescent="0.2">
      <c r="B9" s="129" t="s">
        <v>189</v>
      </c>
      <c r="C9" s="952"/>
      <c r="D9" s="952"/>
      <c r="E9" s="952"/>
      <c r="I9" s="354"/>
    </row>
    <row r="10" spans="2:11" x14ac:dyDescent="0.2">
      <c r="B10" s="129"/>
      <c r="I10" s="354"/>
    </row>
    <row r="11" spans="2:11" x14ac:dyDescent="0.2">
      <c r="B11" s="129" t="s">
        <v>190</v>
      </c>
      <c r="C11" s="1176"/>
      <c r="D11" s="1176"/>
      <c r="E11" s="1176"/>
      <c r="F11" s="1176"/>
      <c r="G11" s="1176"/>
      <c r="H11" s="1176"/>
      <c r="I11" s="1176"/>
    </row>
    <row r="12" spans="2:11" x14ac:dyDescent="0.2">
      <c r="B12" s="129"/>
      <c r="C12" s="1176"/>
      <c r="D12" s="1176"/>
      <c r="E12" s="1176"/>
      <c r="F12" s="1176"/>
      <c r="G12" s="1176"/>
      <c r="H12" s="1176"/>
      <c r="I12" s="1176"/>
    </row>
    <row r="13" spans="2:11" x14ac:dyDescent="0.2">
      <c r="B13" s="129"/>
      <c r="C13" s="1176"/>
      <c r="D13" s="1176"/>
      <c r="E13" s="1176"/>
      <c r="F13" s="1176"/>
      <c r="G13" s="1176"/>
      <c r="H13" s="1176"/>
      <c r="I13" s="1176"/>
    </row>
    <row r="14" spans="2:11" x14ac:dyDescent="0.2">
      <c r="B14" s="129"/>
      <c r="C14" s="1176"/>
      <c r="D14" s="1176"/>
      <c r="E14" s="1176"/>
      <c r="F14" s="1176"/>
      <c r="G14" s="1176"/>
      <c r="H14" s="1176"/>
      <c r="I14" s="1176"/>
    </row>
    <row r="15" spans="2:11" x14ac:dyDescent="0.2">
      <c r="B15" s="129"/>
      <c r="C15" s="1176"/>
      <c r="D15" s="1176"/>
      <c r="E15" s="1176"/>
      <c r="F15" s="1176"/>
      <c r="G15" s="1176"/>
      <c r="H15" s="1176"/>
      <c r="I15" s="1176"/>
    </row>
    <row r="16" spans="2:11" x14ac:dyDescent="0.2">
      <c r="B16" s="129" t="s">
        <v>191</v>
      </c>
      <c r="I16" s="354"/>
    </row>
    <row r="17" spans="2:9" x14ac:dyDescent="0.2">
      <c r="B17" s="129"/>
      <c r="C17" s="1175"/>
      <c r="D17" s="1175"/>
      <c r="E17" s="1175"/>
      <c r="F17" s="1175"/>
      <c r="G17" s="1175"/>
      <c r="I17" s="354"/>
    </row>
    <row r="18" spans="2:9" x14ac:dyDescent="0.2">
      <c r="B18" s="129"/>
      <c r="C18" s="1175"/>
      <c r="D18" s="1175"/>
      <c r="E18" s="1175"/>
      <c r="F18" s="1175"/>
      <c r="G18" s="1175"/>
      <c r="I18" s="354"/>
    </row>
    <row r="19" spans="2:9" x14ac:dyDescent="0.2">
      <c r="B19" s="129"/>
      <c r="C19" s="1175"/>
      <c r="D19" s="1175"/>
      <c r="E19" s="1175"/>
      <c r="F19" s="1175"/>
      <c r="G19" s="1175"/>
      <c r="I19" s="354"/>
    </row>
    <row r="20" spans="2:9" x14ac:dyDescent="0.2">
      <c r="B20" s="129"/>
      <c r="C20" s="1175"/>
      <c r="D20" s="1175"/>
      <c r="E20" s="1175"/>
      <c r="F20" s="1175"/>
      <c r="G20" s="1175"/>
      <c r="I20" s="354"/>
    </row>
    <row r="21" spans="2:9" x14ac:dyDescent="0.2">
      <c r="B21" s="129"/>
      <c r="C21" s="1175"/>
      <c r="D21" s="1175"/>
      <c r="E21" s="1175"/>
      <c r="F21" s="1175"/>
      <c r="G21" s="1175"/>
      <c r="I21" s="354"/>
    </row>
    <row r="22" spans="2:9" x14ac:dyDescent="0.2">
      <c r="B22" s="129"/>
      <c r="C22" s="1175"/>
      <c r="D22" s="1175"/>
      <c r="E22" s="1175"/>
      <c r="F22" s="1175"/>
      <c r="G22" s="1175"/>
      <c r="I22" s="354"/>
    </row>
    <row r="23" spans="2:9" x14ac:dyDescent="0.2">
      <c r="B23" s="129"/>
      <c r="C23" s="1175"/>
      <c r="D23" s="1175"/>
      <c r="E23" s="1175"/>
      <c r="F23" s="1175"/>
      <c r="G23" s="1175"/>
      <c r="I23" s="354"/>
    </row>
    <row r="24" spans="2:9" x14ac:dyDescent="0.2">
      <c r="B24" s="129"/>
      <c r="C24" s="1175"/>
      <c r="D24" s="1175"/>
      <c r="E24" s="1175"/>
      <c r="F24" s="1175"/>
      <c r="G24" s="1175"/>
      <c r="I24" s="354"/>
    </row>
    <row r="25" spans="2:9" x14ac:dyDescent="0.2">
      <c r="B25" s="129"/>
      <c r="C25" s="1175"/>
      <c r="D25" s="1175"/>
      <c r="E25" s="1175"/>
      <c r="F25" s="1175"/>
      <c r="G25" s="1175"/>
      <c r="I25" s="354"/>
    </row>
    <row r="26" spans="2:9" x14ac:dyDescent="0.2">
      <c r="B26" s="129" t="s">
        <v>192</v>
      </c>
      <c r="I26" s="354"/>
    </row>
    <row r="27" spans="2:9" x14ac:dyDescent="0.2">
      <c r="B27" s="129"/>
      <c r="C27" s="1175"/>
      <c r="D27" s="1175"/>
      <c r="E27" s="1175"/>
      <c r="F27" s="1175"/>
      <c r="G27" s="1175"/>
      <c r="I27" s="354"/>
    </row>
    <row r="28" spans="2:9" x14ac:dyDescent="0.2">
      <c r="B28" s="129"/>
      <c r="C28" s="1175"/>
      <c r="D28" s="1175"/>
      <c r="E28" s="1175"/>
      <c r="F28" s="1175"/>
      <c r="G28" s="1175"/>
      <c r="I28" s="354"/>
    </row>
    <row r="29" spans="2:9" x14ac:dyDescent="0.2">
      <c r="B29" s="129"/>
      <c r="C29" s="1175"/>
      <c r="D29" s="1175"/>
      <c r="E29" s="1175"/>
      <c r="F29" s="1175"/>
      <c r="G29" s="1175"/>
      <c r="I29" s="354"/>
    </row>
    <row r="30" spans="2:9" x14ac:dyDescent="0.2">
      <c r="B30" s="129"/>
      <c r="C30" s="1175"/>
      <c r="D30" s="1175"/>
      <c r="E30" s="1175"/>
      <c r="F30" s="1175"/>
      <c r="G30" s="1175"/>
      <c r="I30" s="354"/>
    </row>
    <row r="31" spans="2:9" x14ac:dyDescent="0.2">
      <c r="B31" s="129"/>
      <c r="C31" s="1175"/>
      <c r="D31" s="1175"/>
      <c r="E31" s="1175"/>
      <c r="F31" s="1175"/>
      <c r="G31" s="1175"/>
      <c r="I31" s="354"/>
    </row>
    <row r="32" spans="2:9" x14ac:dyDescent="0.2">
      <c r="B32" s="129"/>
      <c r="C32" s="1175"/>
      <c r="D32" s="1175"/>
      <c r="E32" s="1175"/>
      <c r="F32" s="1175"/>
      <c r="G32" s="1175"/>
      <c r="I32" s="354"/>
    </row>
    <row r="33" spans="2:9" x14ac:dyDescent="0.2">
      <c r="B33" s="129"/>
      <c r="C33" s="1175"/>
      <c r="D33" s="1175"/>
      <c r="E33" s="1175"/>
      <c r="F33" s="1175"/>
      <c r="G33" s="1175"/>
      <c r="I33" s="354"/>
    </row>
    <row r="34" spans="2:9" x14ac:dyDescent="0.2">
      <c r="B34" s="129"/>
      <c r="C34" s="1175"/>
      <c r="D34" s="1175"/>
      <c r="E34" s="1175"/>
      <c r="F34" s="1175"/>
      <c r="G34" s="1175"/>
      <c r="I34" s="354"/>
    </row>
    <row r="35" spans="2:9" x14ac:dyDescent="0.2">
      <c r="B35" s="129"/>
      <c r="C35" s="1175"/>
      <c r="D35" s="1175"/>
      <c r="E35" s="1175"/>
      <c r="F35" s="1175"/>
      <c r="G35" s="1175"/>
      <c r="I35" s="354"/>
    </row>
    <row r="36" spans="2:9" x14ac:dyDescent="0.2">
      <c r="B36" s="129"/>
      <c r="C36" s="1175"/>
      <c r="D36" s="1175"/>
      <c r="E36" s="1175"/>
      <c r="F36" s="1175"/>
      <c r="G36" s="1175"/>
      <c r="I36" s="354"/>
    </row>
    <row r="37" spans="2:9" x14ac:dyDescent="0.2">
      <c r="B37" s="129" t="s">
        <v>193</v>
      </c>
      <c r="I37" s="354"/>
    </row>
    <row r="38" spans="2:9" x14ac:dyDescent="0.2">
      <c r="B38" s="129"/>
      <c r="C38" s="1175"/>
      <c r="D38" s="1175"/>
      <c r="E38" s="1175"/>
      <c r="F38" s="1175"/>
      <c r="G38" s="1175"/>
      <c r="H38" s="1175"/>
      <c r="I38" s="1175"/>
    </row>
    <row r="39" spans="2:9" x14ac:dyDescent="0.2">
      <c r="B39" s="129"/>
      <c r="C39" s="1175"/>
      <c r="D39" s="1175"/>
      <c r="E39" s="1175"/>
      <c r="F39" s="1175"/>
      <c r="G39" s="1175"/>
      <c r="H39" s="1175"/>
      <c r="I39" s="1175"/>
    </row>
    <row r="40" spans="2:9" x14ac:dyDescent="0.2">
      <c r="B40" s="129"/>
      <c r="C40" s="1175"/>
      <c r="D40" s="1175"/>
      <c r="E40" s="1175"/>
      <c r="F40" s="1175"/>
      <c r="G40" s="1175"/>
      <c r="H40" s="1175"/>
      <c r="I40" s="1175"/>
    </row>
    <row r="41" spans="2:9" x14ac:dyDescent="0.2">
      <c r="B41" s="294"/>
      <c r="C41" s="1175"/>
      <c r="D41" s="1175"/>
      <c r="E41" s="1175"/>
      <c r="F41" s="1175"/>
      <c r="G41" s="1175"/>
      <c r="H41" s="1175"/>
      <c r="I41" s="1175"/>
    </row>
    <row r="42" spans="2:9" x14ac:dyDescent="0.2">
      <c r="B42" s="129"/>
      <c r="C42" s="1175"/>
      <c r="D42" s="1175"/>
      <c r="E42" s="1175"/>
      <c r="F42" s="1175"/>
      <c r="G42" s="1175"/>
      <c r="H42" s="1175"/>
      <c r="I42" s="1175"/>
    </row>
    <row r="43" spans="2:9" x14ac:dyDescent="0.2">
      <c r="B43" s="129" t="s">
        <v>194</v>
      </c>
      <c r="I43" s="354"/>
    </row>
    <row r="44" spans="2:9" x14ac:dyDescent="0.2">
      <c r="B44" s="129"/>
      <c r="I44" s="354"/>
    </row>
    <row r="45" spans="2:9" x14ac:dyDescent="0.2">
      <c r="B45" s="129"/>
      <c r="I45" s="354"/>
    </row>
    <row r="46" spans="2:9" x14ac:dyDescent="0.2">
      <c r="B46" s="129"/>
      <c r="I46" s="354"/>
    </row>
    <row r="47" spans="2:9" x14ac:dyDescent="0.2">
      <c r="B47" s="129"/>
      <c r="I47" s="354"/>
    </row>
    <row r="48" spans="2:9" x14ac:dyDescent="0.2">
      <c r="B48" s="129" t="s">
        <v>195</v>
      </c>
      <c r="C48" s="1175"/>
      <c r="D48" s="1175"/>
      <c r="I48" s="354"/>
    </row>
    <row r="49" spans="2:9" x14ac:dyDescent="0.2">
      <c r="B49" s="355"/>
      <c r="C49" s="141"/>
      <c r="D49" s="141"/>
      <c r="E49" s="141"/>
      <c r="F49" s="141"/>
      <c r="G49" s="141"/>
      <c r="H49" s="141"/>
      <c r="I49" s="356"/>
    </row>
  </sheetData>
  <mergeCells count="12">
    <mergeCell ref="C48:D48"/>
    <mergeCell ref="C11:I15"/>
    <mergeCell ref="C17:G25"/>
    <mergeCell ref="C27:G36"/>
    <mergeCell ref="C38:I42"/>
    <mergeCell ref="H5:I5"/>
    <mergeCell ref="H7:I7"/>
    <mergeCell ref="C9:E9"/>
    <mergeCell ref="C8:E8"/>
    <mergeCell ref="C7:D7"/>
    <mergeCell ref="C6:D6"/>
    <mergeCell ref="C5:F5"/>
  </mergeCells>
  <dataValidations count="1">
    <dataValidation type="list" allowBlank="1" showInputMessage="1" showErrorMessage="1" sqref="H7:I7" xr:uid="{C14DC06D-04BE-4A19-8177-B6938E5D40AC}">
      <formula1>"Code 1, Code 2, Code 3"</formula1>
    </dataValidation>
  </dataValidations>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f8670b9-b8ad-4d96-91b8-825fcd20d3a2">
      <UserInfo>
        <DisplayName>Paul // PerfectShutters</DisplayName>
        <AccountId>29</AccountId>
        <AccountType/>
      </UserInfo>
      <UserInfo>
        <DisplayName>Michelle // Perfect Shutters</DisplayName>
        <AccountId>27</AccountId>
        <AccountType/>
      </UserInfo>
      <UserInfo>
        <DisplayName>Matt // Perfect Shutters</DisplayName>
        <AccountId>33</AccountId>
        <AccountType/>
      </UserInfo>
      <UserInfo>
        <DisplayName>Kelly // Perfect Shutters</DisplayName>
        <AccountId>64</AccountId>
        <AccountType/>
      </UserInfo>
      <UserInfo>
        <DisplayName>Edward // Perfect Shutters</DisplayName>
        <AccountId>156</AccountId>
        <AccountType/>
      </UserInfo>
    </SharedWithUsers>
    <lcf76f155ced4ddcb4097134ff3c332f xmlns="06e90b66-35ff-44ba-8d49-d75b1562051f">
      <Terms xmlns="http://schemas.microsoft.com/office/infopath/2007/PartnerControls"/>
    </lcf76f155ced4ddcb4097134ff3c332f>
    <TaxCatchAll xmlns="cf8670b9-b8ad-4d96-91b8-825fcd20d3a2" xsi:nil="true"/>
    <Frontrightlowerbay xmlns="06e90b66-35ff-44ba-8d49-d75b156205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074E10E3EEF9F40922F4D3D72B434B9" ma:contentTypeVersion="24" ma:contentTypeDescription="Create a new document." ma:contentTypeScope="" ma:versionID="de3f251d54b7829d5bc24ad171c171fa">
  <xsd:schema xmlns:xsd="http://www.w3.org/2001/XMLSchema" xmlns:xs="http://www.w3.org/2001/XMLSchema" xmlns:p="http://schemas.microsoft.com/office/2006/metadata/properties" xmlns:ns2="cf8670b9-b8ad-4d96-91b8-825fcd20d3a2" xmlns:ns3="06e90b66-35ff-44ba-8d49-d75b1562051f" targetNamespace="http://schemas.microsoft.com/office/2006/metadata/properties" ma:root="true" ma:fieldsID="9fd296d8eb1fda221e5a0f34402060d6" ns2:_="" ns3:_="">
    <xsd:import namespace="cf8670b9-b8ad-4d96-91b8-825fcd20d3a2"/>
    <xsd:import namespace="06e90b66-35ff-44ba-8d49-d75b1562051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AutoKeyPoints" minOccurs="0"/>
                <xsd:element ref="ns3:MediaServiceKeyPoints" minOccurs="0"/>
                <xsd:element ref="ns3:MediaServiceLocation" minOccurs="0"/>
                <xsd:element ref="ns3:lcf76f155ced4ddcb4097134ff3c332f" minOccurs="0"/>
                <xsd:element ref="ns2:TaxCatchAll" minOccurs="0"/>
                <xsd:element ref="ns3:Frontrightlowerbay" minOccurs="0"/>
                <xsd:element ref="ns3:e314e91a-5d90-4366-994d-22e954e855a5CountryOrRegion" minOccurs="0"/>
                <xsd:element ref="ns3:e314e91a-5d90-4366-994d-22e954e855a5State" minOccurs="0"/>
                <xsd:element ref="ns3:e314e91a-5d90-4366-994d-22e954e855a5City" minOccurs="0"/>
                <xsd:element ref="ns3:e314e91a-5d90-4366-994d-22e954e855a5PostalCode" minOccurs="0"/>
                <xsd:element ref="ns3:e314e91a-5d90-4366-994d-22e954e855a5Street" minOccurs="0"/>
                <xsd:element ref="ns3:e314e91a-5d90-4366-994d-22e954e855a5GeoLoc" minOccurs="0"/>
                <xsd:element ref="ns3:e314e91a-5d90-4366-994d-22e954e855a5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8670b9-b8ad-4d96-91b8-825fcd20d3a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28536a7-617b-4439-805d-594194ed6fd2}" ma:internalName="TaxCatchAll" ma:showField="CatchAllData" ma:web="cf8670b9-b8ad-4d96-91b8-825fcd20d3a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6e90b66-35ff-44ba-8d49-d75b1562051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dfd2305-b443-4943-8db4-2f56bfb730bb" ma:termSetId="09814cd3-568e-fe90-9814-8d621ff8fb84" ma:anchorId="fba54fb3-c3e1-fe81-a776-ca4b69148c4d" ma:open="true" ma:isKeyword="false">
      <xsd:complexType>
        <xsd:sequence>
          <xsd:element ref="pc:Terms" minOccurs="0" maxOccurs="1"/>
        </xsd:sequence>
      </xsd:complexType>
    </xsd:element>
    <xsd:element name="Frontrightlowerbay" ma:index="24" nillable="true" ma:displayName="Front right lower bay" ma:format="Dropdown" ma:internalName="Frontrightlowerbay">
      <xsd:simpleType>
        <xsd:restriction base="dms:Unknown"/>
      </xsd:simpleType>
    </xsd:element>
    <xsd:element name="e314e91a-5d90-4366-994d-22e954e855a5CountryOrRegion" ma:index="25" nillable="true" ma:displayName="Front right lower bay: Country/Region" ma:internalName="CountryOrRegion" ma:readOnly="true">
      <xsd:simpleType>
        <xsd:restriction base="dms:Text"/>
      </xsd:simpleType>
    </xsd:element>
    <xsd:element name="e314e91a-5d90-4366-994d-22e954e855a5State" ma:index="26" nillable="true" ma:displayName="Front right lower bay: State" ma:internalName="State" ma:readOnly="true">
      <xsd:simpleType>
        <xsd:restriction base="dms:Text"/>
      </xsd:simpleType>
    </xsd:element>
    <xsd:element name="e314e91a-5d90-4366-994d-22e954e855a5City" ma:index="27" nillable="true" ma:displayName="Front right lower bay: City" ma:internalName="City" ma:readOnly="true">
      <xsd:simpleType>
        <xsd:restriction base="dms:Text"/>
      </xsd:simpleType>
    </xsd:element>
    <xsd:element name="e314e91a-5d90-4366-994d-22e954e855a5PostalCode" ma:index="28" nillable="true" ma:displayName="Front right lower bay: Postal Code" ma:internalName="PostalCode" ma:readOnly="true">
      <xsd:simpleType>
        <xsd:restriction base="dms:Text"/>
      </xsd:simpleType>
    </xsd:element>
    <xsd:element name="e314e91a-5d90-4366-994d-22e954e855a5Street" ma:index="29" nillable="true" ma:displayName="Front right lower bay: Street" ma:internalName="Street" ma:readOnly="true">
      <xsd:simpleType>
        <xsd:restriction base="dms:Text"/>
      </xsd:simpleType>
    </xsd:element>
    <xsd:element name="e314e91a-5d90-4366-994d-22e954e855a5GeoLoc" ma:index="30" nillable="true" ma:displayName="Front right lower bay: Coordinates" ma:internalName="GeoLoc" ma:readOnly="true">
      <xsd:simpleType>
        <xsd:restriction base="dms:Unknown"/>
      </xsd:simpleType>
    </xsd:element>
    <xsd:element name="e314e91a-5d90-4366-994d-22e954e855a5DispName" ma:index="31" nillable="true" ma:displayName="Front right lower bay: Name" ma:internalName="DispNa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9DB3A6-8DF1-47D9-8838-1F391854C19E}">
  <ds:schemaRefs>
    <ds:schemaRef ds:uri="http://schemas.microsoft.com/sharepoint/v3/contenttype/forms"/>
  </ds:schemaRefs>
</ds:datastoreItem>
</file>

<file path=customXml/itemProps2.xml><?xml version="1.0" encoding="utf-8"?>
<ds:datastoreItem xmlns:ds="http://schemas.openxmlformats.org/officeDocument/2006/customXml" ds:itemID="{1C8374C8-2ED5-4940-AA63-D5F43D17A075}">
  <ds:schemaRefs>
    <ds:schemaRef ds:uri="http://schemas.microsoft.com/office/2006/metadata/properties"/>
    <ds:schemaRef ds:uri="http://www.w3.org/2000/xmlns/"/>
    <ds:schemaRef ds:uri="cf8670b9-b8ad-4d96-91b8-825fcd20d3a2"/>
    <ds:schemaRef ds:uri="06e90b66-35ff-44ba-8d49-d75b1562051f"/>
    <ds:schemaRef ds:uri="http://schemas.microsoft.com/office/infopath/2007/PartnerControls"/>
    <ds:schemaRef ds:uri="http://www.w3.org/2001/XMLSchema-instance"/>
  </ds:schemaRefs>
</ds:datastoreItem>
</file>

<file path=customXml/itemProps3.xml><?xml version="1.0" encoding="utf-8"?>
<ds:datastoreItem xmlns:ds="http://schemas.openxmlformats.org/officeDocument/2006/customXml" ds:itemID="{759C97B6-2080-48A8-B892-A6C42996DAA4}">
  <ds:schemaRefs>
    <ds:schemaRef ds:uri="http://schemas.microsoft.com/office/2006/metadata/contentType"/>
    <ds:schemaRef ds:uri="http://schemas.microsoft.com/office/2006/metadata/properties/metaAttributes"/>
    <ds:schemaRef ds:uri="http://www.w3.org/2000/xmlns/"/>
    <ds:schemaRef ds:uri="http://www.w3.org/2001/XMLSchema"/>
    <ds:schemaRef ds:uri="cf8670b9-b8ad-4d96-91b8-825fcd20d3a2"/>
    <ds:schemaRef ds:uri="06e90b66-35ff-44ba-8d49-d75b1562051f"/>
  </ds:schemaRefs>
</ds:datastoreItem>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19</vt:i4>
      </vt:variant>
      <vt:variant>
        <vt:lpstr>Named Ranges</vt:lpstr>
      </vt:variant>
      <vt:variant>
        <vt:i4>501</vt:i4>
      </vt:variant>
    </vt:vector>
  </HeadingPairs>
  <TitlesOfParts>
    <vt:vector size="520" baseType="lpstr">
      <vt:lpstr>Pricing</vt:lpstr>
      <vt:lpstr>Helper</vt:lpstr>
      <vt:lpstr>Pro Quote</vt:lpstr>
      <vt:lpstr>Blind Pricing</vt:lpstr>
      <vt:lpstr>Comparison</vt:lpstr>
      <vt:lpstr>Survey Front</vt:lpstr>
      <vt:lpstr>Drawing</vt:lpstr>
      <vt:lpstr>Blind Survey</vt:lpstr>
      <vt:lpstr>Signoff Sheet</vt:lpstr>
      <vt:lpstr>Job Sheet</vt:lpstr>
      <vt:lpstr>Antigua</vt:lpstr>
      <vt:lpstr>Bermuda</vt:lpstr>
      <vt:lpstr>Cuba</vt:lpstr>
      <vt:lpstr>Java</vt:lpstr>
      <vt:lpstr>Fiji</vt:lpstr>
      <vt:lpstr>Samoa</vt:lpstr>
      <vt:lpstr>Technical</vt:lpstr>
      <vt:lpstr>Hampton Spec</vt:lpstr>
      <vt:lpstr>Aruba Spec</vt:lpstr>
      <vt:lpstr>AdjustableHinge</vt:lpstr>
      <vt:lpstr>Antigua!Alouvre</vt:lpstr>
      <vt:lpstr>Aruba Spec!Alouvre</vt:lpstr>
      <vt:lpstr>Bermuda!Alouvre</vt:lpstr>
      <vt:lpstr>Blind Survey!Alouvre</vt:lpstr>
      <vt:lpstr>CS2!Alouvre</vt:lpstr>
      <vt:lpstr>Cuba!Alouvre</vt:lpstr>
      <vt:lpstr>Drawing!Alouvre</vt:lpstr>
      <vt:lpstr>Fiji!Alouvre</vt:lpstr>
      <vt:lpstr>Java!Alouvre</vt:lpstr>
      <vt:lpstr>Matrix!Alouvre</vt:lpstr>
      <vt:lpstr>Matrix2!Alouvre</vt:lpstr>
      <vt:lpstr>OLD Pro Quote!Alouvre</vt:lpstr>
      <vt:lpstr>Pricing!Alouvre</vt:lpstr>
      <vt:lpstr>Samoa!Alouvre</vt:lpstr>
      <vt:lpstr>Signoff Sheet!Alouvre</vt:lpstr>
      <vt:lpstr>Survey Front!Alouvre</vt:lpstr>
      <vt:lpstr>Technical!Alouvre</vt:lpstr>
      <vt:lpstr>Alouvre</vt:lpstr>
      <vt:lpstr>Bermuda!Antigua</vt:lpstr>
      <vt:lpstr>Cuba!Antigua</vt:lpstr>
      <vt:lpstr>Fiji!Antigua</vt:lpstr>
      <vt:lpstr>Java!Antigua</vt:lpstr>
      <vt:lpstr>Pricing!Antigua</vt:lpstr>
      <vt:lpstr>Samoa!Antigua</vt:lpstr>
      <vt:lpstr>Antigua</vt:lpstr>
      <vt:lpstr>Pricing!AntiguaH</vt:lpstr>
      <vt:lpstr>AntiguaH</vt:lpstr>
      <vt:lpstr>Antigua!AntiguaL</vt:lpstr>
      <vt:lpstr>Aruba Spec!AntiguaL</vt:lpstr>
      <vt:lpstr>Bermuda!AntiguaL</vt:lpstr>
      <vt:lpstr>Blind Survey!AntiguaL</vt:lpstr>
      <vt:lpstr>CS2!AntiguaL</vt:lpstr>
      <vt:lpstr>Cuba!AntiguaL</vt:lpstr>
      <vt:lpstr>Drawing!AntiguaL</vt:lpstr>
      <vt:lpstr>Fiji!AntiguaL</vt:lpstr>
      <vt:lpstr>Java!AntiguaL</vt:lpstr>
      <vt:lpstr>Matrix!AntiguaL</vt:lpstr>
      <vt:lpstr>Matrix2!AntiguaL</vt:lpstr>
      <vt:lpstr>OLD Pro Quote!AntiguaL</vt:lpstr>
      <vt:lpstr>Pricing!AntiguaL</vt:lpstr>
      <vt:lpstr>Samoa!AntiguaL</vt:lpstr>
      <vt:lpstr>Signoff Sheet!AntiguaL</vt:lpstr>
      <vt:lpstr>Survey Front!AntiguaL</vt:lpstr>
      <vt:lpstr>Technical!AntiguaL</vt:lpstr>
      <vt:lpstr>AntiguaL</vt:lpstr>
      <vt:lpstr>AntiguaPrice</vt:lpstr>
      <vt:lpstr>AntiguaRules</vt:lpstr>
      <vt:lpstr>Aruba</vt:lpstr>
      <vt:lpstr>ArubaH</vt:lpstr>
      <vt:lpstr>ArubaL</vt:lpstr>
      <vt:lpstr>ArubaTilt</vt:lpstr>
      <vt:lpstr>AutoClose</vt:lpstr>
      <vt:lpstr>Bermuda!Bermuda</vt:lpstr>
      <vt:lpstr>Cuba!Bermuda</vt:lpstr>
      <vt:lpstr>Fiji!Bermuda</vt:lpstr>
      <vt:lpstr>Java!Bermuda</vt:lpstr>
      <vt:lpstr>Pricing!Bermuda</vt:lpstr>
      <vt:lpstr>Samoa!Bermuda</vt:lpstr>
      <vt:lpstr>Bermuda</vt:lpstr>
      <vt:lpstr>Pricing!BermudaH</vt:lpstr>
      <vt:lpstr>BermudaH</vt:lpstr>
      <vt:lpstr>Antigua!BermudaL</vt:lpstr>
      <vt:lpstr>Aruba Spec!BermudaL</vt:lpstr>
      <vt:lpstr>Bermuda!BermudaL</vt:lpstr>
      <vt:lpstr>Blind Survey!BermudaL</vt:lpstr>
      <vt:lpstr>CS2!BermudaL</vt:lpstr>
      <vt:lpstr>Cuba!BermudaL</vt:lpstr>
      <vt:lpstr>Drawing!BermudaL</vt:lpstr>
      <vt:lpstr>Fiji!BermudaL</vt:lpstr>
      <vt:lpstr>Java!BermudaL</vt:lpstr>
      <vt:lpstr>Matrix!BermudaL</vt:lpstr>
      <vt:lpstr>Matrix2!BermudaL</vt:lpstr>
      <vt:lpstr>OLD Pro Quote!BermudaL</vt:lpstr>
      <vt:lpstr>Pricing!BermudaL</vt:lpstr>
      <vt:lpstr>Samoa!BermudaL</vt:lpstr>
      <vt:lpstr>Signoff Sheet!BermudaL</vt:lpstr>
      <vt:lpstr>Survey Front!BermudaL</vt:lpstr>
      <vt:lpstr>Technical!BermudaL</vt:lpstr>
      <vt:lpstr>BermudaL</vt:lpstr>
      <vt:lpstr>BermudaPrice</vt:lpstr>
      <vt:lpstr>BermudaRules</vt:lpstr>
      <vt:lpstr>Bolt</vt:lpstr>
      <vt:lpstr>ConcealedHinge</vt:lpstr>
      <vt:lpstr>Antigua!Config</vt:lpstr>
      <vt:lpstr>Aruba Spec!Config</vt:lpstr>
      <vt:lpstr>Bermuda!Config</vt:lpstr>
      <vt:lpstr>Blind Survey!Config</vt:lpstr>
      <vt:lpstr>CS2!Config</vt:lpstr>
      <vt:lpstr>Cuba!Config</vt:lpstr>
      <vt:lpstr>Drawing!Config</vt:lpstr>
      <vt:lpstr>Fiji!Config</vt:lpstr>
      <vt:lpstr>Java!Config</vt:lpstr>
      <vt:lpstr>Matrix!Config</vt:lpstr>
      <vt:lpstr>Matrix2!Config</vt:lpstr>
      <vt:lpstr>OLD Pro Quote!Config</vt:lpstr>
      <vt:lpstr>Pricing!Config</vt:lpstr>
      <vt:lpstr>Samoa!Config</vt:lpstr>
      <vt:lpstr>Signoff Sheet!Config</vt:lpstr>
      <vt:lpstr>Survey Front!Config</vt:lpstr>
      <vt:lpstr>Technical!Config</vt:lpstr>
      <vt:lpstr>Config</vt:lpstr>
      <vt:lpstr>Aruba Spec!Config1</vt:lpstr>
      <vt:lpstr>Blind Survey!Config1</vt:lpstr>
      <vt:lpstr>Signoff Sheet!Config1</vt:lpstr>
      <vt:lpstr>Config1</vt:lpstr>
      <vt:lpstr>Bermuda!Cuba</vt:lpstr>
      <vt:lpstr>Cuba!Cuba</vt:lpstr>
      <vt:lpstr>Fiji!Cuba</vt:lpstr>
      <vt:lpstr>Java!Cuba</vt:lpstr>
      <vt:lpstr>Pricing!Cuba</vt:lpstr>
      <vt:lpstr>Samoa!Cuba</vt:lpstr>
      <vt:lpstr>Cuba</vt:lpstr>
      <vt:lpstr>Pricing!CubaH</vt:lpstr>
      <vt:lpstr>CubaH</vt:lpstr>
      <vt:lpstr>Antigua!CubaL</vt:lpstr>
      <vt:lpstr>Aruba Spec!CubaL</vt:lpstr>
      <vt:lpstr>Bermuda!CubaL</vt:lpstr>
      <vt:lpstr>Blind Survey!CubaL</vt:lpstr>
      <vt:lpstr>CS2!CubaL</vt:lpstr>
      <vt:lpstr>Cuba!CubaL</vt:lpstr>
      <vt:lpstr>Drawing!CubaL</vt:lpstr>
      <vt:lpstr>Fiji!CubaL</vt:lpstr>
      <vt:lpstr>Java!CubaL</vt:lpstr>
      <vt:lpstr>Matrix!CubaL</vt:lpstr>
      <vt:lpstr>Matrix2!CubaL</vt:lpstr>
      <vt:lpstr>OLD Pro Quote!CubaL</vt:lpstr>
      <vt:lpstr>Pricing!CubaL</vt:lpstr>
      <vt:lpstr>Samoa!CubaL</vt:lpstr>
      <vt:lpstr>Signoff Sheet!CubaL</vt:lpstr>
      <vt:lpstr>Survey Front!CubaL</vt:lpstr>
      <vt:lpstr>Technical!CubaL</vt:lpstr>
      <vt:lpstr>CubaL</vt:lpstr>
      <vt:lpstr>CubaPrice</vt:lpstr>
      <vt:lpstr>CubaRules</vt:lpstr>
      <vt:lpstr>Discount</vt:lpstr>
      <vt:lpstr>Antigua!Discounts</vt:lpstr>
      <vt:lpstr>Aruba Spec!Discounts</vt:lpstr>
      <vt:lpstr>Bermuda!Discounts</vt:lpstr>
      <vt:lpstr>Blind Survey!Discounts</vt:lpstr>
      <vt:lpstr>CS2!Discounts</vt:lpstr>
      <vt:lpstr>Cuba!Discounts</vt:lpstr>
      <vt:lpstr>Drawing!Discounts</vt:lpstr>
      <vt:lpstr>Fiji!Discounts</vt:lpstr>
      <vt:lpstr>Java!Discounts</vt:lpstr>
      <vt:lpstr>Matrix!Discounts</vt:lpstr>
      <vt:lpstr>Matrix2!Discounts</vt:lpstr>
      <vt:lpstr>OLD Pro Quote!Discounts</vt:lpstr>
      <vt:lpstr>Pricing!Discounts</vt:lpstr>
      <vt:lpstr>Samoa!Discounts</vt:lpstr>
      <vt:lpstr>Signoff Sheet!Discounts</vt:lpstr>
      <vt:lpstr>Survey Front!Discounts</vt:lpstr>
      <vt:lpstr>Technical!Discounts</vt:lpstr>
      <vt:lpstr>Discounts</vt:lpstr>
      <vt:lpstr>DiscountsFin</vt:lpstr>
      <vt:lpstr>Antigua!Fiji</vt:lpstr>
      <vt:lpstr>Aruba Spec!Fiji</vt:lpstr>
      <vt:lpstr>Bermuda!Fiji</vt:lpstr>
      <vt:lpstr>Blind Survey!Fiji</vt:lpstr>
      <vt:lpstr>CS2!Fiji</vt:lpstr>
      <vt:lpstr>Cuba!Fiji</vt:lpstr>
      <vt:lpstr>Drawing!Fiji</vt:lpstr>
      <vt:lpstr>Fiji!Fiji</vt:lpstr>
      <vt:lpstr>Java!Fiji</vt:lpstr>
      <vt:lpstr>Matrix!Fiji</vt:lpstr>
      <vt:lpstr>Matrix2!Fiji</vt:lpstr>
      <vt:lpstr>OLD Pro Quote!Fiji</vt:lpstr>
      <vt:lpstr>Pricing!Fiji</vt:lpstr>
      <vt:lpstr>Samoa!Fiji</vt:lpstr>
      <vt:lpstr>Signoff Sheet!Fiji</vt:lpstr>
      <vt:lpstr>Survey Front!Fiji</vt:lpstr>
      <vt:lpstr>Technical!Fiji</vt:lpstr>
      <vt:lpstr>Fiji</vt:lpstr>
      <vt:lpstr>Pricing!FijiH</vt:lpstr>
      <vt:lpstr>FijiH</vt:lpstr>
      <vt:lpstr>Antigua!FijiL</vt:lpstr>
      <vt:lpstr>Aruba Spec!FijiL</vt:lpstr>
      <vt:lpstr>Bermuda!FijiL</vt:lpstr>
      <vt:lpstr>Blind Survey!FijiL</vt:lpstr>
      <vt:lpstr>CS2!FijiL</vt:lpstr>
      <vt:lpstr>Cuba!FijiL</vt:lpstr>
      <vt:lpstr>Drawing!FijiL</vt:lpstr>
      <vt:lpstr>Fiji!FijiL</vt:lpstr>
      <vt:lpstr>Java!FijiL</vt:lpstr>
      <vt:lpstr>Matrix!FijiL</vt:lpstr>
      <vt:lpstr>Matrix2!FijiL</vt:lpstr>
      <vt:lpstr>OLD Pro Quote!FijiL</vt:lpstr>
      <vt:lpstr>Pricing!FijiL</vt:lpstr>
      <vt:lpstr>Samoa!FijiL</vt:lpstr>
      <vt:lpstr>Signoff Sheet!FijiL</vt:lpstr>
      <vt:lpstr>Survey Front!FijiL</vt:lpstr>
      <vt:lpstr>Technical!FijiL</vt:lpstr>
      <vt:lpstr>FijiL</vt:lpstr>
      <vt:lpstr>FijiPrice</vt:lpstr>
      <vt:lpstr>FijiRules</vt:lpstr>
      <vt:lpstr>Antigua!Frame</vt:lpstr>
      <vt:lpstr>Aruba Spec!Frame</vt:lpstr>
      <vt:lpstr>Bermuda!Frame</vt:lpstr>
      <vt:lpstr>Blind Survey!Frame</vt:lpstr>
      <vt:lpstr>CS2!Frame</vt:lpstr>
      <vt:lpstr>Cuba!Frame</vt:lpstr>
      <vt:lpstr>Drawing!Frame</vt:lpstr>
      <vt:lpstr>Fiji!Frame</vt:lpstr>
      <vt:lpstr>Java!Frame</vt:lpstr>
      <vt:lpstr>Matrix!Frame</vt:lpstr>
      <vt:lpstr>Matrix2!Frame</vt:lpstr>
      <vt:lpstr>OLD Pro Quote!Frame</vt:lpstr>
      <vt:lpstr>Pricing!Frame</vt:lpstr>
      <vt:lpstr>Samoa!Frame</vt:lpstr>
      <vt:lpstr>Signoff Sheet!Frame</vt:lpstr>
      <vt:lpstr>Survey Front!Frame</vt:lpstr>
      <vt:lpstr>Technical!Frame</vt:lpstr>
      <vt:lpstr>Frame</vt:lpstr>
      <vt:lpstr>Hampton</vt:lpstr>
      <vt:lpstr>Hamptonf</vt:lpstr>
      <vt:lpstr>Aruba Spec!HamptonL</vt:lpstr>
      <vt:lpstr>HamptonL</vt:lpstr>
      <vt:lpstr>Aruba Spec!HamptonStyle</vt:lpstr>
      <vt:lpstr>HamptonStyle</vt:lpstr>
      <vt:lpstr>HamptonT</vt:lpstr>
      <vt:lpstr>Aruba Spec!HamptonTilt</vt:lpstr>
      <vt:lpstr>HamptonTilt</vt:lpstr>
      <vt:lpstr>Antigua!HorizontalPost</vt:lpstr>
      <vt:lpstr>Aruba Spec!HorizontalPost</vt:lpstr>
      <vt:lpstr>Bermuda!HorizontalPost</vt:lpstr>
      <vt:lpstr>Blind Survey!HorizontalPost</vt:lpstr>
      <vt:lpstr>CS2!HorizontalPost</vt:lpstr>
      <vt:lpstr>Cuba!HorizontalPost</vt:lpstr>
      <vt:lpstr>Drawing!HorizontalPost</vt:lpstr>
      <vt:lpstr>Fiji!HorizontalPost</vt:lpstr>
      <vt:lpstr>Java!HorizontalPost</vt:lpstr>
      <vt:lpstr>Matrix!HorizontalPost</vt:lpstr>
      <vt:lpstr>Matrix2!HorizontalPost</vt:lpstr>
      <vt:lpstr>OLD Pro Quote!HorizontalPost</vt:lpstr>
      <vt:lpstr>Pricing!HorizontalPost</vt:lpstr>
      <vt:lpstr>Samoa!HorizontalPost</vt:lpstr>
      <vt:lpstr>Signoff Sheet!HorizontalPost</vt:lpstr>
      <vt:lpstr>Survey Front!HorizontalPost</vt:lpstr>
      <vt:lpstr>Technical!HorizontalPost</vt:lpstr>
      <vt:lpstr>HorizontalPost</vt:lpstr>
      <vt:lpstr>Bermuda!Java</vt:lpstr>
      <vt:lpstr>Cuba!Java</vt:lpstr>
      <vt:lpstr>Fiji!Java</vt:lpstr>
      <vt:lpstr>Java!Java</vt:lpstr>
      <vt:lpstr>Pricing!Java</vt:lpstr>
      <vt:lpstr>Samoa!Java</vt:lpstr>
      <vt:lpstr>Java</vt:lpstr>
      <vt:lpstr>Pricing!JavaH</vt:lpstr>
      <vt:lpstr>JavaH</vt:lpstr>
      <vt:lpstr>Antigua!JavaL</vt:lpstr>
      <vt:lpstr>Aruba Spec!JavaL</vt:lpstr>
      <vt:lpstr>Bermuda!JavaL</vt:lpstr>
      <vt:lpstr>Blind Survey!JavaL</vt:lpstr>
      <vt:lpstr>CS2!JavaL</vt:lpstr>
      <vt:lpstr>Cuba!JavaL</vt:lpstr>
      <vt:lpstr>Drawing!JavaL</vt:lpstr>
      <vt:lpstr>Fiji!JavaL</vt:lpstr>
      <vt:lpstr>Java!JavaL</vt:lpstr>
      <vt:lpstr>Matrix!JavaL</vt:lpstr>
      <vt:lpstr>Matrix2!JavaL</vt:lpstr>
      <vt:lpstr>OLD Pro Quote!JavaL</vt:lpstr>
      <vt:lpstr>Pricing!JavaL</vt:lpstr>
      <vt:lpstr>Samoa!JavaL</vt:lpstr>
      <vt:lpstr>Signoff Sheet!JavaL</vt:lpstr>
      <vt:lpstr>Survey Front!JavaL</vt:lpstr>
      <vt:lpstr>Technical!JavaL</vt:lpstr>
      <vt:lpstr>JavaL</vt:lpstr>
      <vt:lpstr>JavaPrice</vt:lpstr>
      <vt:lpstr>JavaRules</vt:lpstr>
      <vt:lpstr>Antigua!MMaterial</vt:lpstr>
      <vt:lpstr>Bermuda!MMaterial</vt:lpstr>
      <vt:lpstr>CS2!MMaterial</vt:lpstr>
      <vt:lpstr>Cuba!MMaterial</vt:lpstr>
      <vt:lpstr>Drawing!MMaterial</vt:lpstr>
      <vt:lpstr>Fiji!MMaterial</vt:lpstr>
      <vt:lpstr>Java!MMaterial</vt:lpstr>
      <vt:lpstr>Matrix!MMaterial</vt:lpstr>
      <vt:lpstr>Matrix2!MMaterial</vt:lpstr>
      <vt:lpstr>OLD Pro Quote!MMaterial</vt:lpstr>
      <vt:lpstr>Pricing!MMaterial</vt:lpstr>
      <vt:lpstr>Samoa!MMaterial</vt:lpstr>
      <vt:lpstr>Signoff Sheet!MMaterial</vt:lpstr>
      <vt:lpstr>Survey Front!MMaterial</vt:lpstr>
      <vt:lpstr>Technical!MMaterial</vt:lpstr>
      <vt:lpstr>MMaterial</vt:lpstr>
      <vt:lpstr>NickelKnobA</vt:lpstr>
      <vt:lpstr>NickelKnobB</vt:lpstr>
      <vt:lpstr>NoneStdShape</vt:lpstr>
      <vt:lpstr>PowerMotion</vt:lpstr>
      <vt:lpstr>PowerMotionRemote</vt:lpstr>
      <vt:lpstr>Comparison!Print_Area</vt:lpstr>
      <vt:lpstr>Delivery Note!Print_Area</vt:lpstr>
      <vt:lpstr>Job Sheet!Print_Area</vt:lpstr>
      <vt:lpstr>OLD Pro Quote!Print_Area</vt:lpstr>
      <vt:lpstr>Pricing!Print_Area</vt:lpstr>
      <vt:lpstr>Pro Quote!Print_Area</vt:lpstr>
      <vt:lpstr>Signoff Sheet!Print_Area</vt:lpstr>
      <vt:lpstr>Reps</vt:lpstr>
      <vt:lpstr>RingPull</vt:lpstr>
      <vt:lpstr>Antigua!RoomLoc</vt:lpstr>
      <vt:lpstr>Bermuda!RoomLoc</vt:lpstr>
      <vt:lpstr>CS2!RoomLoc</vt:lpstr>
      <vt:lpstr>Cuba!RoomLoc</vt:lpstr>
      <vt:lpstr>Drawing!RoomLoc</vt:lpstr>
      <vt:lpstr>Fiji!RoomLoc</vt:lpstr>
      <vt:lpstr>Java!RoomLoc</vt:lpstr>
      <vt:lpstr>Matrix!RoomLoc</vt:lpstr>
      <vt:lpstr>Matrix2!RoomLoc</vt:lpstr>
      <vt:lpstr>OLD Pro Quote!RoomLoc</vt:lpstr>
      <vt:lpstr>Pricing!RoomLoc</vt:lpstr>
      <vt:lpstr>Samoa!RoomLoc</vt:lpstr>
      <vt:lpstr>Signoff Sheet!RoomLoc</vt:lpstr>
      <vt:lpstr>Survey Front!RoomLoc</vt:lpstr>
      <vt:lpstr>Technical!RoomLoc</vt:lpstr>
      <vt:lpstr>RoomLoc</vt:lpstr>
      <vt:lpstr>Antigua!rooms</vt:lpstr>
      <vt:lpstr>Bermuda!rooms</vt:lpstr>
      <vt:lpstr>CS2!rooms</vt:lpstr>
      <vt:lpstr>Cuba!rooms</vt:lpstr>
      <vt:lpstr>Drawing!rooms</vt:lpstr>
      <vt:lpstr>Fiji!rooms</vt:lpstr>
      <vt:lpstr>Java!rooms</vt:lpstr>
      <vt:lpstr>Matrix!rooms</vt:lpstr>
      <vt:lpstr>Matrix2!rooms</vt:lpstr>
      <vt:lpstr>OLD Pro Quote!rooms</vt:lpstr>
      <vt:lpstr>Pricing!rooms</vt:lpstr>
      <vt:lpstr>Samoa!rooms</vt:lpstr>
      <vt:lpstr>Signoff Sheet!rooms</vt:lpstr>
      <vt:lpstr>Survey Front!rooms</vt:lpstr>
      <vt:lpstr>Technical!rooms</vt:lpstr>
      <vt:lpstr>rooms</vt:lpstr>
      <vt:lpstr>SalesTeam</vt:lpstr>
      <vt:lpstr>Antigua!Samoa</vt:lpstr>
      <vt:lpstr>Aruba Spec!Samoa</vt:lpstr>
      <vt:lpstr>Bermuda!Samoa</vt:lpstr>
      <vt:lpstr>Blind Survey!Samoa</vt:lpstr>
      <vt:lpstr>CS2!Samoa</vt:lpstr>
      <vt:lpstr>Cuba!Samoa</vt:lpstr>
      <vt:lpstr>Drawing!Samoa</vt:lpstr>
      <vt:lpstr>Fiji!Samoa</vt:lpstr>
      <vt:lpstr>Java!Samoa</vt:lpstr>
      <vt:lpstr>Matrix!Samoa</vt:lpstr>
      <vt:lpstr>Matrix2!Samoa</vt:lpstr>
      <vt:lpstr>OLD Pro Quote!Samoa</vt:lpstr>
      <vt:lpstr>Pricing!Samoa</vt:lpstr>
      <vt:lpstr>Samoa!Samoa</vt:lpstr>
      <vt:lpstr>Signoff Sheet!Samoa</vt:lpstr>
      <vt:lpstr>Survey Front!Samoa</vt:lpstr>
      <vt:lpstr>Technical!Samoa</vt:lpstr>
      <vt:lpstr>Samoa</vt:lpstr>
      <vt:lpstr>Antigua!SamoaH</vt:lpstr>
      <vt:lpstr>Aruba Spec!SamoaH</vt:lpstr>
      <vt:lpstr>Bermuda!SamoaH</vt:lpstr>
      <vt:lpstr>Blind Survey!SamoaH</vt:lpstr>
      <vt:lpstr>CS2!SamoaH</vt:lpstr>
      <vt:lpstr>Cuba!SamoaH</vt:lpstr>
      <vt:lpstr>Drawing!SamoaH</vt:lpstr>
      <vt:lpstr>Fiji!SamoaH</vt:lpstr>
      <vt:lpstr>Java!SamoaH</vt:lpstr>
      <vt:lpstr>Matrix!SamoaH</vt:lpstr>
      <vt:lpstr>Matrix2!SamoaH</vt:lpstr>
      <vt:lpstr>OLD Pro Quote!SamoaH</vt:lpstr>
      <vt:lpstr>Pricing!SamoaH</vt:lpstr>
      <vt:lpstr>Samoa!SamoaH</vt:lpstr>
      <vt:lpstr>Signoff Sheet!SamoaH</vt:lpstr>
      <vt:lpstr>Survey Front!SamoaH</vt:lpstr>
      <vt:lpstr>Technical!SamoaH</vt:lpstr>
      <vt:lpstr>SamoaH</vt:lpstr>
      <vt:lpstr>Antigua!SamoaL</vt:lpstr>
      <vt:lpstr>Bermuda!SamoaL</vt:lpstr>
      <vt:lpstr>Blind Survey!SamoaL</vt:lpstr>
      <vt:lpstr>CS2!SamoaL</vt:lpstr>
      <vt:lpstr>Cuba!SamoaL</vt:lpstr>
      <vt:lpstr>Drawing!SamoaL</vt:lpstr>
      <vt:lpstr>Fiji!SamoaL</vt:lpstr>
      <vt:lpstr>Java!SamoaL</vt:lpstr>
      <vt:lpstr>Matrix!SamoaL</vt:lpstr>
      <vt:lpstr>Matrix2!SamoaL</vt:lpstr>
      <vt:lpstr>OLD Pro Quote!SamoaL</vt:lpstr>
      <vt:lpstr>Pricing!SamoaL</vt:lpstr>
      <vt:lpstr>Samoa!SamoaL</vt:lpstr>
      <vt:lpstr>Signoff Sheet!SamoaL</vt:lpstr>
      <vt:lpstr>Survey Front!SamoaL</vt:lpstr>
      <vt:lpstr>Technical!SamoaL</vt:lpstr>
      <vt:lpstr>SamoaL</vt:lpstr>
      <vt:lpstr>SamoaPrice</vt:lpstr>
      <vt:lpstr>Shapes</vt:lpstr>
      <vt:lpstr>Shuttype</vt:lpstr>
      <vt:lpstr>Antigua!Sides</vt:lpstr>
      <vt:lpstr>Aruba Spec!Sides</vt:lpstr>
      <vt:lpstr>Bermuda!Sides</vt:lpstr>
      <vt:lpstr>Blind Survey!Sides</vt:lpstr>
      <vt:lpstr>CS2!Sides</vt:lpstr>
      <vt:lpstr>Cuba!Sides</vt:lpstr>
      <vt:lpstr>Drawing!Sides</vt:lpstr>
      <vt:lpstr>Fiji!Sides</vt:lpstr>
      <vt:lpstr>Java!Sides</vt:lpstr>
      <vt:lpstr>Matrix!Sides</vt:lpstr>
      <vt:lpstr>Matrix2!Sides</vt:lpstr>
      <vt:lpstr>OLD Pro Quote!Sides</vt:lpstr>
      <vt:lpstr>Pricing!Sides</vt:lpstr>
      <vt:lpstr>Samoa!Sides</vt:lpstr>
      <vt:lpstr>Signoff Sheet!Sides</vt:lpstr>
      <vt:lpstr>Survey Front!Sides</vt:lpstr>
      <vt:lpstr>Technical!Sides</vt:lpstr>
      <vt:lpstr>Sides</vt:lpstr>
      <vt:lpstr>SSFrame</vt:lpstr>
      <vt:lpstr>Antigua!Style</vt:lpstr>
      <vt:lpstr>Aruba Spec!Style</vt:lpstr>
      <vt:lpstr>Bermuda!Style</vt:lpstr>
      <vt:lpstr>Blind Survey!Style</vt:lpstr>
      <vt:lpstr>CS2!Style</vt:lpstr>
      <vt:lpstr>Cuba!Style</vt:lpstr>
      <vt:lpstr>Drawing!Style</vt:lpstr>
      <vt:lpstr>Fiji!Style</vt:lpstr>
      <vt:lpstr>Java!Style</vt:lpstr>
      <vt:lpstr>Matrix!Style</vt:lpstr>
      <vt:lpstr>Matrix2!Style</vt:lpstr>
      <vt:lpstr>OLD Pro Quote!Style</vt:lpstr>
      <vt:lpstr>Pricing!Style</vt:lpstr>
      <vt:lpstr>Samoa!Style</vt:lpstr>
      <vt:lpstr>Signoff Sheet!Style</vt:lpstr>
      <vt:lpstr>Survey Front!Style</vt:lpstr>
      <vt:lpstr>Technical!Style</vt:lpstr>
      <vt:lpstr>Style</vt:lpstr>
      <vt:lpstr>Antigua!Surveyors</vt:lpstr>
      <vt:lpstr>Aruba Spec!Surveyors</vt:lpstr>
      <vt:lpstr>Bermuda!Surveyors</vt:lpstr>
      <vt:lpstr>Blind Survey!Surveyors</vt:lpstr>
      <vt:lpstr>CS2!Surveyors</vt:lpstr>
      <vt:lpstr>Cuba!Surveyors</vt:lpstr>
      <vt:lpstr>Drawing!Surveyors</vt:lpstr>
      <vt:lpstr>Fiji!Surveyors</vt:lpstr>
      <vt:lpstr>Java!Surveyors</vt:lpstr>
      <vt:lpstr>Matrix!Surveyors</vt:lpstr>
      <vt:lpstr>Matrix2!Surveyors</vt:lpstr>
      <vt:lpstr>OLD Pro Quote!Surveyors</vt:lpstr>
      <vt:lpstr>Pricing!Surveyors</vt:lpstr>
      <vt:lpstr>Samoa!Surveyors</vt:lpstr>
      <vt:lpstr>Signoff Sheet!Surveyors</vt:lpstr>
      <vt:lpstr>Survey Front!Surveyors</vt:lpstr>
      <vt:lpstr>Technical!Surveyors</vt:lpstr>
      <vt:lpstr>Surveyors</vt:lpstr>
      <vt:lpstr>TelescopicWand</vt:lpstr>
      <vt:lpstr>Aruba Spec!TFrame</vt:lpstr>
      <vt:lpstr>Blind Survey!TFrame</vt:lpstr>
      <vt:lpstr>Signoff Sheet!TFrame</vt:lpstr>
      <vt:lpstr>TFrame</vt:lpstr>
      <vt:lpstr>Antigua!TFrames</vt:lpstr>
      <vt:lpstr>Aruba Spec!TFrames</vt:lpstr>
      <vt:lpstr>Bermuda!TFrames</vt:lpstr>
      <vt:lpstr>Blind Survey!TFrames</vt:lpstr>
      <vt:lpstr>CS2!TFrames</vt:lpstr>
      <vt:lpstr>Cuba!TFrames</vt:lpstr>
      <vt:lpstr>Drawing!TFrames</vt:lpstr>
      <vt:lpstr>Fiji!TFrames</vt:lpstr>
      <vt:lpstr>Java!TFrames</vt:lpstr>
      <vt:lpstr>Matrix!TFrames</vt:lpstr>
      <vt:lpstr>Matrix2!TFrames</vt:lpstr>
      <vt:lpstr>OLD Pro Quote!TFrames</vt:lpstr>
      <vt:lpstr>Pricing!TFrames</vt:lpstr>
      <vt:lpstr>Samoa!TFrames</vt:lpstr>
      <vt:lpstr>Signoff Sheet!TFrames</vt:lpstr>
      <vt:lpstr>Survey Front!TFrames</vt:lpstr>
      <vt:lpstr>Technical!TFrames</vt:lpstr>
      <vt:lpstr>TFrames</vt:lpstr>
      <vt:lpstr>Antigua!TiltRod</vt:lpstr>
      <vt:lpstr>Aruba Spec!TiltRod</vt:lpstr>
      <vt:lpstr>Bermuda!TiltRod</vt:lpstr>
      <vt:lpstr>Blind Survey!TiltRod</vt:lpstr>
      <vt:lpstr>CS2!TiltRod</vt:lpstr>
      <vt:lpstr>Cuba!TiltRod</vt:lpstr>
      <vt:lpstr>Drawing!TiltRod</vt:lpstr>
      <vt:lpstr>Fiji!TiltRod</vt:lpstr>
      <vt:lpstr>Java!TiltRod</vt:lpstr>
      <vt:lpstr>Matrix!TiltRod</vt:lpstr>
      <vt:lpstr>Matrix2!TiltRod</vt:lpstr>
      <vt:lpstr>OLD Pro Quote!TiltRod</vt:lpstr>
      <vt:lpstr>Pricing!TiltRod</vt:lpstr>
      <vt:lpstr>Samoa!TiltRod</vt:lpstr>
      <vt:lpstr>Signoff Sheet!TiltRod</vt:lpstr>
      <vt:lpstr>Survey Front!TiltRod</vt:lpstr>
      <vt:lpstr>Technical!TiltRod</vt:lpstr>
      <vt:lpstr>TiltRod</vt:lpstr>
      <vt:lpstr>Antigua!Type</vt:lpstr>
      <vt:lpstr>Bermuda!Type</vt:lpstr>
      <vt:lpstr>CS2!Type</vt:lpstr>
      <vt:lpstr>Cuba!Type</vt:lpstr>
      <vt:lpstr>Drawing!Type</vt:lpstr>
      <vt:lpstr>Fiji!Type</vt:lpstr>
      <vt:lpstr>Java!Type</vt:lpstr>
      <vt:lpstr>Matrix!Type</vt:lpstr>
      <vt:lpstr>Matrix2!Type</vt:lpstr>
      <vt:lpstr>OLD Pro Quote!Type</vt:lpstr>
      <vt:lpstr>Pricing!Type</vt:lpstr>
      <vt:lpstr>Samoa!Type</vt:lpstr>
      <vt:lpstr>Signoff Sheet!Type</vt:lpstr>
      <vt:lpstr>Survey Front!Type</vt:lpstr>
      <vt:lpstr>Technical!Type</vt:lpstr>
      <vt:lpstr>Type</vt:lpstr>
      <vt:lpstr>UrbanTilt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andy spark</dc:creator>
  <cp:keywords/>
  <dc:description/>
  <cp:lastModifiedBy>andy spark</cp:lastModifiedBy>
  <cp:revision/>
  <cp:lastPrinted>2022-10-03T16:11:49Z</cp:lastPrinted>
  <dcterms:created xsi:type="dcterms:W3CDTF">2021-08-08T18:00:44Z</dcterms:created>
  <dcterms:modified xsi:type="dcterms:W3CDTF">2023-01-26T11:44:14Z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0x0101007074E10E3EEF9F40922F4D3D72B434B9</vt:lpwstr>
  </property>
  <property fmtid="{D5CDD505-2E9C-101B-9397-08002B2CF9AE}" pid="3" name="MediaServiceImageTags">
    <vt:lpwstr/>
  </property>
</Properties>
</file>