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https://perfectshutters-my.sharepoint.com/personal/helen_perfectshutters_co_uk/Documents/Desktop/"/>
    </mc:Choice>
  </mc:AlternateContent>
  <xr:revisionPtr revIDLastSave="0" documentId="8_{2CA6F087-2BB4-4F0F-B878-49AF60297CF1}" xr6:coauthVersionLast="47" xr6:coauthVersionMax="47" xr10:uidLastSave="{00000000-0000-0000-0000-000000000000}"/>
  <bookViews>
    <workbookView xWindow="3075" yWindow="3075" windowWidth="25440" windowHeight="11400" xr2:uid="{6926EE6A-0BF6-4A00-B0FC-A9A9D977EB11}"/>
  </bookViews>
  <sheets>
    <sheet name="Pricing" sheetId="2" r:id="rId1"/>
    <sheet name="Pro Quote" sheetId="7" r:id="rId2"/>
    <sheet name="Technical" sheetId="5" r:id="rId3"/>
    <sheet name="Survey Front" sheetId="3" state="veryHidden" r:id="rId4"/>
    <sheet name="Drawing" sheetId="4" state="veryHidden" r:id="rId5"/>
    <sheet name="Matrix2" sheetId="6" state="veryHidden" r:id="rId6"/>
    <sheet name="Data" sheetId="1" state="veryHidden" r:id="rId7"/>
    <sheet name="CS2" sheetId="8" state="veryHidden" r:id="rId8"/>
    <sheet name="Job Sheet" sheetId="16" state="hidden" r:id="rId9"/>
    <sheet name="Matrix" sheetId="9" state="veryHidden" r:id="rId10"/>
    <sheet name="Antigua" sheetId="10" state="hidden" r:id="rId11"/>
    <sheet name="Bermuda" sheetId="14" state="hidden" r:id="rId12"/>
    <sheet name="Cuba" sheetId="11" state="hidden" r:id="rId13"/>
    <sheet name="Java" sheetId="12" state="hidden" r:id="rId14"/>
    <sheet name="Fiji" sheetId="13" state="hidden" r:id="rId15"/>
    <sheet name="Samoa" sheetId="15" state="hidden" r:id="rId16"/>
  </sheets>
  <externalReferences>
    <externalReference r:id="rId17"/>
  </externalReferences>
  <definedNames>
    <definedName name="AdjustableHinge">Data!$AH$20</definedName>
    <definedName name="Alouvre" localSheetId="10">Table2[AntiguaL]</definedName>
    <definedName name="Alouvre" localSheetId="11">Table2[AntiguaL]</definedName>
    <definedName name="Alouvre" localSheetId="7">Table2[AntiguaL]</definedName>
    <definedName name="Alouvre" localSheetId="12">Table2[AntiguaL]</definedName>
    <definedName name="Alouvre" localSheetId="4">Table2[AntiguaL]</definedName>
    <definedName name="Alouvre" localSheetId="14">Table2[AntiguaL]</definedName>
    <definedName name="Alouvre" localSheetId="13">Table2[AntiguaL]</definedName>
    <definedName name="Alouvre" localSheetId="9">Table2[AntiguaL]</definedName>
    <definedName name="Alouvre" localSheetId="5">Table2[AntiguaL]</definedName>
    <definedName name="Alouvre" localSheetId="0">Table2[AntiguaL]</definedName>
    <definedName name="Alouvre" localSheetId="1">Table2[AntiguaL]</definedName>
    <definedName name="Alouvre" localSheetId="15">Table2[AntiguaL]</definedName>
    <definedName name="Alouvre" localSheetId="3">Table2[AntiguaL]</definedName>
    <definedName name="Alouvre" localSheetId="2">Table2[AntiguaL]</definedName>
    <definedName name="Alouvre">Table2[AntiguaL]</definedName>
    <definedName name="Antigua" localSheetId="11">Table1[Antigua]</definedName>
    <definedName name="Antigua" localSheetId="12">Table1[Antigua]</definedName>
    <definedName name="Antigua" localSheetId="14">Table1[Antigua]</definedName>
    <definedName name="Antigua" localSheetId="13">Table1[Antigua]</definedName>
    <definedName name="Antigua" localSheetId="0">Data!$E$2:$E$9</definedName>
    <definedName name="Antigua" localSheetId="15">Table1[Antigua]</definedName>
    <definedName name="Antigua">Data!$E$2:$E$10</definedName>
    <definedName name="AntiguaH" localSheetId="0">Data!$AA$2:$AA$11</definedName>
    <definedName name="AntiguaH">Data!$AA$2:$AA$11</definedName>
    <definedName name="AntiguaL" localSheetId="10">Table2[AntiguaL]</definedName>
    <definedName name="AntiguaL" localSheetId="11">Table2[AntiguaL]</definedName>
    <definedName name="AntiguaL" localSheetId="7">Table2[AntiguaL]</definedName>
    <definedName name="AntiguaL" localSheetId="12">Table2[AntiguaL]</definedName>
    <definedName name="AntiguaL" localSheetId="4">Table2[AntiguaL]</definedName>
    <definedName name="AntiguaL" localSheetId="14">Table2[AntiguaL]</definedName>
    <definedName name="AntiguaL" localSheetId="13">Table2[AntiguaL]</definedName>
    <definedName name="AntiguaL" localSheetId="9">Table2[AntiguaL]</definedName>
    <definedName name="AntiguaL" localSheetId="5">Table2[AntiguaL]</definedName>
    <definedName name="AntiguaL" localSheetId="0">Table2[AntiguaL]</definedName>
    <definedName name="AntiguaL" localSheetId="1">Table2[AntiguaL]</definedName>
    <definedName name="AntiguaL" localSheetId="15">Table2[AntiguaL]</definedName>
    <definedName name="AntiguaL" localSheetId="3">Table2[AntiguaL]</definedName>
    <definedName name="AntiguaL" localSheetId="2">Table2[AntiguaL]</definedName>
    <definedName name="AntiguaL">Table2[AntiguaL]</definedName>
    <definedName name="AntiguaPrice">Matrix!$J$13:$Q$13</definedName>
    <definedName name="AntiguaRules">Pricing!$AI$8</definedName>
    <definedName name="AutoClose">Data!$AH$14</definedName>
    <definedName name="Bermuda" localSheetId="11">Table1[Bermuda]</definedName>
    <definedName name="Bermuda" localSheetId="12">Table1[Bermuda]</definedName>
    <definedName name="Bermuda" localSheetId="14">Table1[Bermuda]</definedName>
    <definedName name="Bermuda" localSheetId="13">Table1[Bermuda]</definedName>
    <definedName name="Bermuda" localSheetId="0">Data!$I$2:$I$25</definedName>
    <definedName name="Bermuda" localSheetId="15">Table1[Bermuda]</definedName>
    <definedName name="Bermuda">Data!$I$2:$I$25</definedName>
    <definedName name="BermudaH" localSheetId="0">Data!$AE$2:$AE$11</definedName>
    <definedName name="BermudaH">Data!$AE$2:$AE$11</definedName>
    <definedName name="BermudaL" localSheetId="10">Table2[BermudaL]</definedName>
    <definedName name="BermudaL" localSheetId="11">Table2[BermudaL]</definedName>
    <definedName name="BermudaL" localSheetId="7">Table2[BermudaL]</definedName>
    <definedName name="BermudaL" localSheetId="12">Table2[BermudaL]</definedName>
    <definedName name="BermudaL" localSheetId="4">Table2[BermudaL]</definedName>
    <definedName name="BermudaL" localSheetId="14">Table2[BermudaL]</definedName>
    <definedName name="BermudaL" localSheetId="13">Table2[BermudaL]</definedName>
    <definedName name="BermudaL" localSheetId="9">Table2[BermudaL]</definedName>
    <definedName name="BermudaL" localSheetId="5">Table2[BermudaL]</definedName>
    <definedName name="BermudaL" localSheetId="0">Table2[BermudaL]</definedName>
    <definedName name="BermudaL" localSheetId="1">Table2[BermudaL]</definedName>
    <definedName name="BermudaL" localSheetId="15">Table2[BermudaL]</definedName>
    <definedName name="BermudaL" localSheetId="3">Table2[BermudaL]</definedName>
    <definedName name="BermudaL" localSheetId="2">Table2[BermudaL]</definedName>
    <definedName name="BermudaL">Table2[BermudaL]</definedName>
    <definedName name="BermudaPrice">Matrix!$J$14:$Q$14</definedName>
    <definedName name="BermudaRules">Pricing!$AI$11</definedName>
    <definedName name="Bolt">Data!$AH$19</definedName>
    <definedName name="ConcealedHinge">Data!$AH$15</definedName>
    <definedName name="Config" localSheetId="10">Table14[Samoa_Config]</definedName>
    <definedName name="Config" localSheetId="11">Table14[Samoa_Config]</definedName>
    <definedName name="Config" localSheetId="7">Table14[Samoa_Config]</definedName>
    <definedName name="Config" localSheetId="12">Table14[Samoa_Config]</definedName>
    <definedName name="Config" localSheetId="4">Table14[Samoa_Config]</definedName>
    <definedName name="Config" localSheetId="14">Table14[Samoa_Config]</definedName>
    <definedName name="Config" localSheetId="13">Table14[Samoa_Config]</definedName>
    <definedName name="Config" localSheetId="9">Table14[Samoa_Config]</definedName>
    <definedName name="Config" localSheetId="5">Table14[Samoa_Config]</definedName>
    <definedName name="Config" localSheetId="0">Table14[Samoa_Config]</definedName>
    <definedName name="Config" localSheetId="1">Table14[Samoa_Config]</definedName>
    <definedName name="Config" localSheetId="15">Table14[Samoa_Config]</definedName>
    <definedName name="Config" localSheetId="3">Table14[Samoa_Config]</definedName>
    <definedName name="Config" localSheetId="2">Table14[Samoa_Config]</definedName>
    <definedName name="Config">Table14[Samoa_Config]</definedName>
    <definedName name="Config1">Table14[Samoa_Config]</definedName>
    <definedName name="Cuba" localSheetId="11">Table1[Cuba]</definedName>
    <definedName name="Cuba" localSheetId="12">Table1[Cuba]</definedName>
    <definedName name="Cuba" localSheetId="14">Table1[Cuba]</definedName>
    <definedName name="Cuba" localSheetId="13">Table1[Cuba]</definedName>
    <definedName name="Cuba" localSheetId="0">Data!$F$2:$F$26</definedName>
    <definedName name="Cuba" localSheetId="15">Table1[Cuba]</definedName>
    <definedName name="Cuba">Data!$F$2:$F$26</definedName>
    <definedName name="CubaH" localSheetId="0">Data!$AB$2:$AB$13</definedName>
    <definedName name="CubaH">Data!$AB$2:$AB$13</definedName>
    <definedName name="CubaL" localSheetId="10">Table2[CubaL]</definedName>
    <definedName name="CubaL" localSheetId="11">Table2[CubaL]</definedName>
    <definedName name="CubaL" localSheetId="7">Table2[CubaL]</definedName>
    <definedName name="CubaL" localSheetId="12">Table2[CubaL]</definedName>
    <definedName name="CubaL" localSheetId="4">Table2[CubaL]</definedName>
    <definedName name="CubaL" localSheetId="14">Table2[CubaL]</definedName>
    <definedName name="CubaL" localSheetId="13">Table2[CubaL]</definedName>
    <definedName name="CubaL" localSheetId="9">Table2[CubaL]</definedName>
    <definedName name="CubaL" localSheetId="5">Table2[CubaL]</definedName>
    <definedName name="CubaL" localSheetId="0">Table2[CubaL]</definedName>
    <definedName name="CubaL" localSheetId="1">Table2[CubaL]</definedName>
    <definedName name="CubaL" localSheetId="15">Table2[CubaL]</definedName>
    <definedName name="CubaL" localSheetId="3">Table2[CubaL]</definedName>
    <definedName name="CubaL" localSheetId="2">Table2[CubaL]</definedName>
    <definedName name="CubaL">Table2[CubaL]</definedName>
    <definedName name="CubaPrice">Matrix!$J$15:$Q$15</definedName>
    <definedName name="CubaRules">Pricing!$AI$14</definedName>
    <definedName name="Discounts" localSheetId="10">Table18[Discount Reason]</definedName>
    <definedName name="Discounts" localSheetId="11">Table18[Discount Reason]</definedName>
    <definedName name="Discounts" localSheetId="7">Table18[Discount Reason]</definedName>
    <definedName name="Discounts" localSheetId="12">Table18[Discount Reason]</definedName>
    <definedName name="Discounts" localSheetId="4">Table18[Discount Reason]</definedName>
    <definedName name="Discounts" localSheetId="14">Table18[Discount Reason]</definedName>
    <definedName name="Discounts" localSheetId="13">Table18[Discount Reason]</definedName>
    <definedName name="Discounts" localSheetId="9">Table18[Discount Reason]</definedName>
    <definedName name="Discounts" localSheetId="5">Table18[Discount Reason]</definedName>
    <definedName name="Discounts" localSheetId="0">Table18[Discount Reason]</definedName>
    <definedName name="Discounts" localSheetId="1">Table18[Discount Reason]</definedName>
    <definedName name="Discounts" localSheetId="15">Table18[Discount Reason]</definedName>
    <definedName name="Discounts" localSheetId="3">Table18[Discount Reason]</definedName>
    <definedName name="Discounts" localSheetId="2">Table18[Discount Reason]</definedName>
    <definedName name="Discounts">Table18[Discount Reason]</definedName>
    <definedName name="Fiji" localSheetId="10">Table1[Fiji]</definedName>
    <definedName name="Fiji" localSheetId="11">Table1[Fiji]</definedName>
    <definedName name="Fiji" localSheetId="7">Table1[Fiji]</definedName>
    <definedName name="Fiji" localSheetId="12">Table1[Fiji]</definedName>
    <definedName name="Fiji" localSheetId="4">Table1[Fiji]</definedName>
    <definedName name="Fiji" localSheetId="14">Table1[Fiji]</definedName>
    <definedName name="Fiji" localSheetId="13">Table1[Fiji]</definedName>
    <definedName name="Fiji" localSheetId="9">Table1[Fiji]</definedName>
    <definedName name="Fiji" localSheetId="5">Table1[Fiji]</definedName>
    <definedName name="Fiji" localSheetId="0">Table1[Fiji]</definedName>
    <definedName name="Fiji" localSheetId="1">Table1[Fiji]</definedName>
    <definedName name="Fiji" localSheetId="15">Table1[Fiji]</definedName>
    <definedName name="Fiji" localSheetId="3">Table1[Fiji]</definedName>
    <definedName name="Fiji" localSheetId="2">Table1[Fiji]</definedName>
    <definedName name="Fiji">Table1[Fiji]</definedName>
    <definedName name="FijiH" localSheetId="0">Data!$AD$2:$AD$14</definedName>
    <definedName name="FijiH">Data!$AD$2:$AD$14</definedName>
    <definedName name="FijiL" localSheetId="10">Table2[FijiL]</definedName>
    <definedName name="FijiL" localSheetId="11">Table2[FijiL]</definedName>
    <definedName name="FijiL" localSheetId="7">Table2[FijiL]</definedName>
    <definedName name="FijiL" localSheetId="12">Table2[FijiL]</definedName>
    <definedName name="FijiL" localSheetId="4">Table2[FijiL]</definedName>
    <definedName name="FijiL" localSheetId="14">Table2[FijiL]</definedName>
    <definedName name="FijiL" localSheetId="13">Table2[FijiL]</definedName>
    <definedName name="FijiL" localSheetId="9">Table2[FijiL]</definedName>
    <definedName name="FijiL" localSheetId="5">Table2[FijiL]</definedName>
    <definedName name="FijiL" localSheetId="0">Table2[FijiL]</definedName>
    <definedName name="FijiL" localSheetId="1">Table2[FijiL]</definedName>
    <definedName name="FijiL" localSheetId="15">Table2[FijiL]</definedName>
    <definedName name="FijiL" localSheetId="3">Table2[FijiL]</definedName>
    <definedName name="FijiL" localSheetId="2">Table2[FijiL]</definedName>
    <definedName name="FijiL">Table2[FijiL]</definedName>
    <definedName name="FijiPrice">Matrix!$J$16:$Q$16</definedName>
    <definedName name="FijiRules">Pricing!$AI$20</definedName>
    <definedName name="Frame" localSheetId="10">Table3[Frames]</definedName>
    <definedName name="Frame" localSheetId="11">Table3[Frames]</definedName>
    <definedName name="Frame" localSheetId="7">Table3[Frames]</definedName>
    <definedName name="Frame" localSheetId="12">Table3[Frames]</definedName>
    <definedName name="Frame" localSheetId="4">Table3[Frames]</definedName>
    <definedName name="Frame" localSheetId="14">Table3[Frames]</definedName>
    <definedName name="Frame" localSheetId="13">Table3[Frames]</definedName>
    <definedName name="Frame" localSheetId="9">Table3[Frames]</definedName>
    <definedName name="Frame" localSheetId="5">Table3[Frames]</definedName>
    <definedName name="Frame" localSheetId="0">Table3[Frames]</definedName>
    <definedName name="Frame" localSheetId="1">Table3[Frames]</definedName>
    <definedName name="Frame" localSheetId="15">Table3[Frames]</definedName>
    <definedName name="Frame" localSheetId="3">Table3[Frames]</definedName>
    <definedName name="Frame" localSheetId="2">Table3[Frames]</definedName>
    <definedName name="Frame">Table3[Frames]</definedName>
    <definedName name="HorizontalPost" localSheetId="10">Table6[HorizontalPost]</definedName>
    <definedName name="HorizontalPost" localSheetId="11">Table6[HorizontalPost]</definedName>
    <definedName name="HorizontalPost" localSheetId="7">Table6[HorizontalPost]</definedName>
    <definedName name="HorizontalPost" localSheetId="12">Table6[HorizontalPost]</definedName>
    <definedName name="HorizontalPost" localSheetId="4">Table6[HorizontalPost]</definedName>
    <definedName name="HorizontalPost" localSheetId="14">Table6[HorizontalPost]</definedName>
    <definedName name="HorizontalPost" localSheetId="13">Table6[HorizontalPost]</definedName>
    <definedName name="HorizontalPost" localSheetId="9">Table6[HorizontalPost]</definedName>
    <definedName name="HorizontalPost" localSheetId="5">Table6[HorizontalPost]</definedName>
    <definedName name="HorizontalPost" localSheetId="0">Table6[HorizontalPost]</definedName>
    <definedName name="HorizontalPost" localSheetId="1">Table6[HorizontalPost]</definedName>
    <definedName name="HorizontalPost" localSheetId="15">Table6[HorizontalPost]</definedName>
    <definedName name="HorizontalPost" localSheetId="3">Table6[HorizontalPost]</definedName>
    <definedName name="HorizontalPost" localSheetId="2">Table6[HorizontalPost]</definedName>
    <definedName name="HorizontalPost">Table6[HorizontalPost]</definedName>
    <definedName name="Java" localSheetId="11">Table1[Java]</definedName>
    <definedName name="Java" localSheetId="12">Table1[Java]</definedName>
    <definedName name="Java" localSheetId="14">Table1[Java]</definedName>
    <definedName name="Java" localSheetId="13">Table1[Java]</definedName>
    <definedName name="Java" localSheetId="0">Data!$G$2:$G$25</definedName>
    <definedName name="Java" localSheetId="15">Table1[Java]</definedName>
    <definedName name="Java">Data!$G$2:$G$25</definedName>
    <definedName name="JavaH" localSheetId="0">Data!$AC$2</definedName>
    <definedName name="JavaH">Data!$AC$2</definedName>
    <definedName name="JavaL" localSheetId="10">Table2[JavaL]</definedName>
    <definedName name="JavaL" localSheetId="11">Table2[JavaL]</definedName>
    <definedName name="JavaL" localSheetId="7">Table2[JavaL]</definedName>
    <definedName name="JavaL" localSheetId="12">Table2[JavaL]</definedName>
    <definedName name="JavaL" localSheetId="4">Table2[JavaL]</definedName>
    <definedName name="JavaL" localSheetId="14">Table2[JavaL]</definedName>
    <definedName name="JavaL" localSheetId="13">Table2[JavaL]</definedName>
    <definedName name="JavaL" localSheetId="9">Table2[JavaL]</definedName>
    <definedName name="JavaL" localSheetId="5">Table2[JavaL]</definedName>
    <definedName name="JavaL" localSheetId="0">Table2[JavaL]</definedName>
    <definedName name="JavaL" localSheetId="1">Table2[JavaL]</definedName>
    <definedName name="JavaL" localSheetId="15">Table2[JavaL]</definedName>
    <definedName name="JavaL" localSheetId="3">Table2[JavaL]</definedName>
    <definedName name="JavaL" localSheetId="2">Table2[JavaL]</definedName>
    <definedName name="JavaL">Table2[JavaL]</definedName>
    <definedName name="JavaPrice">Matrix!$J$17:$Q$17</definedName>
    <definedName name="JavaRules">Pricing!$AI$17</definedName>
    <definedName name="MMaterial" localSheetId="10">Data!$D$2:$D$7</definedName>
    <definedName name="MMaterial" localSheetId="11">Table1[Material]</definedName>
    <definedName name="MMaterial" localSheetId="7">Data!$D$2:$D$7</definedName>
    <definedName name="MMaterial" localSheetId="12">Table1[Material]</definedName>
    <definedName name="MMaterial" localSheetId="4">Data!$D$2:$D$7</definedName>
    <definedName name="MMaterial" localSheetId="14">Table1[Material]</definedName>
    <definedName name="MMaterial" localSheetId="13">Table1[Material]</definedName>
    <definedName name="MMaterial" localSheetId="8">[1]Data!$D$2:$D$7</definedName>
    <definedName name="MMaterial" localSheetId="9">Data!$D$2:$D$7</definedName>
    <definedName name="MMaterial" localSheetId="5">Data!$D$2:$D$7</definedName>
    <definedName name="MMaterial" localSheetId="0">Data!$D$2:$D$7</definedName>
    <definedName name="MMaterial" localSheetId="1">Data!$D$2:$D$7</definedName>
    <definedName name="MMaterial" localSheetId="15">Table1[Material]</definedName>
    <definedName name="MMaterial" localSheetId="3">Data!$D$2:$D$7</definedName>
    <definedName name="MMaterial" localSheetId="2">Data!$D$2:$D$7</definedName>
    <definedName name="MMaterial">Data!$D$2:$D$7</definedName>
    <definedName name="NickelKnobA">Data!$AH$23</definedName>
    <definedName name="NickelKnobB">Data!$AH$24</definedName>
    <definedName name="NoneStdShape">Data!$AH$17</definedName>
    <definedName name="PowerMotion">Data!$AH$21</definedName>
    <definedName name="PowerMotionRemote">Data!$AH$22</definedName>
    <definedName name="_xlnm.Print_Area" localSheetId="8">'Job Sheet'!$A$1:$W$57</definedName>
    <definedName name="_xlnm.Print_Area" localSheetId="0">Pricing!$A$1:$AF$88</definedName>
    <definedName name="_xlnm.Print_Area" localSheetId="1">'Pro Quote'!$A$1:$K$51</definedName>
    <definedName name="RingPull">Data!$AH$18</definedName>
    <definedName name="RoomLoc" localSheetId="10">Data!$B$5:$B$18</definedName>
    <definedName name="RoomLoc" localSheetId="11">Table1[Room2]</definedName>
    <definedName name="RoomLoc" localSheetId="7">Data!$B$2:$B$20</definedName>
    <definedName name="RoomLoc" localSheetId="12">Table1[Room2]</definedName>
    <definedName name="RoomLoc" localSheetId="4">Data!$B$2:$B$20</definedName>
    <definedName name="RoomLoc" localSheetId="14">Table1[Room2]</definedName>
    <definedName name="RoomLoc" localSheetId="13">Table1[Room2]</definedName>
    <definedName name="RoomLoc" localSheetId="8">[1]Data!$B$2:$B$13</definedName>
    <definedName name="RoomLoc" localSheetId="9">Data!$B$5:$B$18</definedName>
    <definedName name="RoomLoc" localSheetId="5">Data!$B$2:$B$20</definedName>
    <definedName name="RoomLoc" localSheetId="0">Data!$B$2:$B$20</definedName>
    <definedName name="RoomLoc" localSheetId="1">Data!$B$2:$B$20</definedName>
    <definedName name="RoomLoc" localSheetId="15">Table1[Room2]</definedName>
    <definedName name="RoomLoc" localSheetId="3">Data!$B$2:$B$20</definedName>
    <definedName name="RoomLoc" localSheetId="2">Data!$B$2:$B$20</definedName>
    <definedName name="RoomLoc">Data!$B$2:$B$20</definedName>
    <definedName name="rooms" localSheetId="10">Data!$A$2:$A$9</definedName>
    <definedName name="rooms" localSheetId="11">Table1[Rooms]</definedName>
    <definedName name="rooms" localSheetId="7">Data!$A$2:$A$9</definedName>
    <definedName name="rooms" localSheetId="12">Table1[Rooms]</definedName>
    <definedName name="rooms" localSheetId="4">Data!$A$2:$A$9</definedName>
    <definedName name="rooms" localSheetId="14">Table1[Rooms]</definedName>
    <definedName name="rooms" localSheetId="13">Table1[Rooms]</definedName>
    <definedName name="rooms" localSheetId="8">[1]Data!$A$2:$A$8</definedName>
    <definedName name="rooms" localSheetId="9">Data!$A$2:$A$9</definedName>
    <definedName name="rooms" localSheetId="5">Data!$A$2:$A$9</definedName>
    <definedName name="rooms" localSheetId="0">Data!$A$2:$A$9</definedName>
    <definedName name="rooms" localSheetId="1">Data!$A$2:$A$9</definedName>
    <definedName name="rooms" localSheetId="15">Table1[Rooms]</definedName>
    <definedName name="rooms" localSheetId="3">Data!$A$2:$A$9</definedName>
    <definedName name="rooms" localSheetId="2">Data!$A$2:$A$9</definedName>
    <definedName name="rooms">Data!$A$2:$A$9</definedName>
    <definedName name="SalesTeam">Data!$Y$9:$Y$15</definedName>
    <definedName name="Samoa" localSheetId="10">Table1[Samoa]</definedName>
    <definedName name="Samoa" localSheetId="11">Table1[Samoa]</definedName>
    <definedName name="Samoa" localSheetId="7">Table1[Samoa]</definedName>
    <definedName name="Samoa" localSheetId="12">Table1[Samoa]</definedName>
    <definedName name="Samoa" localSheetId="4">Table1[Samoa]</definedName>
    <definedName name="Samoa" localSheetId="14">Table1[Samoa]</definedName>
    <definedName name="Samoa" localSheetId="13">Table1[Samoa]</definedName>
    <definedName name="Samoa" localSheetId="9">Table1[Samoa]</definedName>
    <definedName name="Samoa" localSheetId="5">Table1[Samoa]</definedName>
    <definedName name="Samoa" localSheetId="0">Table1[Samoa]</definedName>
    <definedName name="Samoa" localSheetId="1">Table1[Samoa]</definedName>
    <definedName name="Samoa" localSheetId="15">Table1[Samoa]</definedName>
    <definedName name="Samoa" localSheetId="3">Table1[Samoa]</definedName>
    <definedName name="Samoa" localSheetId="2">Table1[Samoa]</definedName>
    <definedName name="Samoa">Table1[Samoa]</definedName>
    <definedName name="SamoaH" localSheetId="10">Table13[SamoaH]</definedName>
    <definedName name="SamoaH" localSheetId="11">Table13[SamoaH]</definedName>
    <definedName name="SamoaH" localSheetId="7">Table13[SamoaH]</definedName>
    <definedName name="SamoaH" localSheetId="12">Table13[SamoaH]</definedName>
    <definedName name="SamoaH" localSheetId="4">Table13[SamoaH]</definedName>
    <definedName name="SamoaH" localSheetId="14">Table13[SamoaH]</definedName>
    <definedName name="SamoaH" localSheetId="13">Table13[SamoaH]</definedName>
    <definedName name="SamoaH" localSheetId="9">Table13[SamoaH]</definedName>
    <definedName name="SamoaH" localSheetId="5">Table13[SamoaH]</definedName>
    <definedName name="SamoaH" localSheetId="0">Table13[SamoaH]</definedName>
    <definedName name="SamoaH" localSheetId="1">Table13[SamoaH]</definedName>
    <definedName name="SamoaH" localSheetId="15">Table13[SamoaH]</definedName>
    <definedName name="SamoaH" localSheetId="3">Table13[SamoaH]</definedName>
    <definedName name="SamoaH" localSheetId="2">Table13[SamoaH]</definedName>
    <definedName name="SamoaH">Table13[SamoaH]</definedName>
    <definedName name="SamoaL" localSheetId="10">Table2[SamoaL]</definedName>
    <definedName name="SamoaL" localSheetId="11">Table2[SamoaL]</definedName>
    <definedName name="SamoaL" localSheetId="7">Table2[SamoaL]</definedName>
    <definedName name="SamoaL" localSheetId="12">Table2[SamoaL]</definedName>
    <definedName name="SamoaL" localSheetId="4">Table2[SamoaL]</definedName>
    <definedName name="SamoaL" localSheetId="14">Table2[SamoaL]</definedName>
    <definedName name="SamoaL" localSheetId="13">Table2[SamoaL]</definedName>
    <definedName name="SamoaL" localSheetId="9">Table2[SamoaL]</definedName>
    <definedName name="SamoaL" localSheetId="5">Table2[SamoaL]</definedName>
    <definedName name="SamoaL" localSheetId="0">Table2[SamoaL]</definedName>
    <definedName name="SamoaL" localSheetId="1">Table2[SamoaL]</definedName>
    <definedName name="SamoaL" localSheetId="15">Table2[SamoaL]</definedName>
    <definedName name="SamoaL" localSheetId="3">Table2[SamoaL]</definedName>
    <definedName name="SamoaL" localSheetId="2">Table2[SamoaL]</definedName>
    <definedName name="SamoaL">Table2[SamoaL]</definedName>
    <definedName name="SamoaPrice">Matrix!$J$18:$Q$18</definedName>
    <definedName name="Shapes">Data!$D$6:$D$7</definedName>
    <definedName name="Shuttype">Data!$C$2:$C$8</definedName>
    <definedName name="Sides" localSheetId="10">Table16[Sides]</definedName>
    <definedName name="Sides" localSheetId="11">Table16[Sides]</definedName>
    <definedName name="Sides" localSheetId="7">Table16[Sides]</definedName>
    <definedName name="Sides" localSheetId="12">Table16[Sides]</definedName>
    <definedName name="Sides" localSheetId="4">Table16[Sides]</definedName>
    <definedName name="Sides" localSheetId="14">Table16[Sides]</definedName>
    <definedName name="Sides" localSheetId="13">Table16[Sides]</definedName>
    <definedName name="Sides" localSheetId="9">Table16[Sides]</definedName>
    <definedName name="Sides" localSheetId="5">Table16[Sides]</definedName>
    <definedName name="Sides" localSheetId="0">Table16[Sides]</definedName>
    <definedName name="Sides" localSheetId="1">Table16[Sides]</definedName>
    <definedName name="Sides" localSheetId="15">Table16[Sides]</definedName>
    <definedName name="Sides" localSheetId="3">Table16[Sides]</definedName>
    <definedName name="Sides" localSheetId="2">Table16[Sides]</definedName>
    <definedName name="Sides">Table16[Sides]</definedName>
    <definedName name="SSFrame">Data!$L$24</definedName>
    <definedName name="Style" localSheetId="10">Table4[Style]</definedName>
    <definedName name="Style" localSheetId="11">Table4[Style]</definedName>
    <definedName name="Style" localSheetId="7">Table4[Style]</definedName>
    <definedName name="Style" localSheetId="12">Table4[Style]</definedName>
    <definedName name="Style" localSheetId="4">Table4[Style]</definedName>
    <definedName name="Style" localSheetId="14">Table4[Style]</definedName>
    <definedName name="Style" localSheetId="13">Table4[Style]</definedName>
    <definedName name="Style" localSheetId="9">Table4[Style]</definedName>
    <definedName name="Style" localSheetId="5">Table4[Style]</definedName>
    <definedName name="Style" localSheetId="0">Table4[Style]</definedName>
    <definedName name="Style" localSheetId="1">Table4[Style]</definedName>
    <definedName name="Style" localSheetId="15">Table4[Style]</definedName>
    <definedName name="Style" localSheetId="3">Table4[Style]</definedName>
    <definedName name="Style" localSheetId="2">Table4[Style]</definedName>
    <definedName name="Style">Table4[Style]</definedName>
    <definedName name="Surveyors" localSheetId="10">Table17[Surveyors]</definedName>
    <definedName name="Surveyors" localSheetId="11">Table17[Surveyors]</definedName>
    <definedName name="Surveyors" localSheetId="7">Table17[Surveyors]</definedName>
    <definedName name="Surveyors" localSheetId="12">Table17[Surveyors]</definedName>
    <definedName name="Surveyors" localSheetId="4">Table17[Surveyors]</definedName>
    <definedName name="Surveyors" localSheetId="14">Table17[Surveyors]</definedName>
    <definedName name="Surveyors" localSheetId="13">Table17[Surveyors]</definedName>
    <definedName name="Surveyors" localSheetId="9">Table17[Surveyors]</definedName>
    <definedName name="Surveyors" localSheetId="5">Table17[Surveyors]</definedName>
    <definedName name="Surveyors" localSheetId="0">Table17[Surveyors]</definedName>
    <definedName name="Surveyors" localSheetId="1">Table17[Surveyors]</definedName>
    <definedName name="Surveyors" localSheetId="15">Table17[Surveyors]</definedName>
    <definedName name="Surveyors" localSheetId="3">Table17[Surveyors]</definedName>
    <definedName name="Surveyors" localSheetId="2">Table17[Surveyors]</definedName>
    <definedName name="Surveyors">Table17[Surveyors]</definedName>
    <definedName name="TelescopicWand">Data!$AH$16</definedName>
    <definedName name="TFrame">Table19[Tframes]</definedName>
    <definedName name="TFrames" localSheetId="10">Table19[Tframes]</definedName>
    <definedName name="TFrames" localSheetId="11">Table19[Tframes]</definedName>
    <definedName name="TFrames" localSheetId="7">Table19[Tframes]</definedName>
    <definedName name="TFrames" localSheetId="12">Table19[Tframes]</definedName>
    <definedName name="TFrames" localSheetId="4">Table19[Tframes]</definedName>
    <definedName name="TFrames" localSheetId="14">Table19[Tframes]</definedName>
    <definedName name="TFrames" localSheetId="13">Table19[Tframes]</definedName>
    <definedName name="TFrames" localSheetId="9">Table19[Tframes]</definedName>
    <definedName name="TFrames" localSheetId="5">Table19[Tframes]</definedName>
    <definedName name="TFrames" localSheetId="0">Table19[Tframes]</definedName>
    <definedName name="TFrames" localSheetId="1">Table19[Tframes]</definedName>
    <definedName name="TFrames" localSheetId="15">Table19[Tframes]</definedName>
    <definedName name="TFrames" localSheetId="3">Table19[Tframes]</definedName>
    <definedName name="TFrames" localSheetId="2">Table19[Tframes]</definedName>
    <definedName name="TFrames">Table19[Tframes]</definedName>
    <definedName name="TiltRod" localSheetId="10">Table5[TiltRod]</definedName>
    <definedName name="TiltRod" localSheetId="11">Table5[TiltRod]</definedName>
    <definedName name="TiltRod" localSheetId="7">Table5[TiltRod]</definedName>
    <definedName name="TiltRod" localSheetId="12">Table5[TiltRod]</definedName>
    <definedName name="TiltRod" localSheetId="4">Table5[TiltRod]</definedName>
    <definedName name="TiltRod" localSheetId="14">Table5[TiltRod]</definedName>
    <definedName name="TiltRod" localSheetId="13">Table5[TiltRod]</definedName>
    <definedName name="TiltRod" localSheetId="9">Table5[TiltRod]</definedName>
    <definedName name="TiltRod" localSheetId="5">Table5[TiltRod]</definedName>
    <definedName name="TiltRod" localSheetId="0">Table5[TiltRod]</definedName>
    <definedName name="TiltRod" localSheetId="1">Table5[TiltRod]</definedName>
    <definedName name="TiltRod" localSheetId="15">Table5[TiltRod]</definedName>
    <definedName name="TiltRod" localSheetId="3">Table5[TiltRod]</definedName>
    <definedName name="TiltRod" localSheetId="2">Table5[TiltRod]</definedName>
    <definedName name="TiltRod">Table5[TiltRod]</definedName>
    <definedName name="Type" localSheetId="10">Data!$C$2:$C$6</definedName>
    <definedName name="Type" localSheetId="11">Table1[Type]</definedName>
    <definedName name="Type" localSheetId="7">Data!$C$2:$C$6</definedName>
    <definedName name="Type" localSheetId="12">Table1[Type]</definedName>
    <definedName name="Type" localSheetId="4">Data!$C$2:$C$6</definedName>
    <definedName name="Type" localSheetId="14">Table1[Type]</definedName>
    <definedName name="Type" localSheetId="13">Table1[Type]</definedName>
    <definedName name="Type" localSheetId="8">[1]Data!$C$2:$C$7</definedName>
    <definedName name="Type" localSheetId="9">Data!$C$2:$C$6</definedName>
    <definedName name="Type" localSheetId="5">Data!$C$2:$C$6</definedName>
    <definedName name="Type" localSheetId="0">Data!$C$2:$C$6</definedName>
    <definedName name="Type" localSheetId="1">Data!$C$2:$C$6</definedName>
    <definedName name="Type" localSheetId="15">Table1[Type]</definedName>
    <definedName name="Type" localSheetId="3">Data!$C$2:$C$6</definedName>
    <definedName name="Type" localSheetId="2">Data!$C$2:$C$6</definedName>
    <definedName name="Type">Data!$C$2:$C$6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 i="3" l="1"/>
  <c r="N12" i="3"/>
  <c r="M73" i="2"/>
  <c r="P73" i="2"/>
  <c r="J6" i="3"/>
  <c r="E6" i="3"/>
  <c r="E15" i="3"/>
  <c r="H12" i="3"/>
  <c r="H15" i="3"/>
  <c r="I15" i="3"/>
  <c r="S18" i="3"/>
  <c r="T18" i="3"/>
  <c r="N15" i="3"/>
  <c r="N18" i="3"/>
  <c r="AE53" i="2"/>
  <c r="T22" i="3"/>
  <c r="U22" i="3"/>
  <c r="V22" i="3"/>
  <c r="W22" i="3"/>
  <c r="X22" i="3"/>
  <c r="Y22" i="3"/>
  <c r="Z22" i="3"/>
  <c r="AA22" i="3"/>
  <c r="AB22" i="3"/>
  <c r="S22" i="3"/>
  <c r="T19" i="3"/>
  <c r="U19" i="3"/>
  <c r="V19" i="3"/>
  <c r="W19" i="3"/>
  <c r="X19" i="3"/>
  <c r="Y19" i="3"/>
  <c r="Z19" i="3"/>
  <c r="AA19" i="3"/>
  <c r="AB19" i="3"/>
  <c r="S19" i="3"/>
  <c r="T16" i="3"/>
  <c r="U16" i="3"/>
  <c r="V16" i="3"/>
  <c r="W16" i="3"/>
  <c r="X16" i="3"/>
  <c r="Y16" i="3"/>
  <c r="Z16" i="3"/>
  <c r="AA16" i="3"/>
  <c r="AB16" i="3"/>
  <c r="S16" i="3"/>
  <c r="U18" i="3"/>
  <c r="V18" i="3"/>
  <c r="W18" i="3"/>
  <c r="X18" i="3"/>
  <c r="Y18" i="3"/>
  <c r="Z18" i="3"/>
  <c r="AA18" i="3"/>
  <c r="AB18" i="3"/>
  <c r="C56" i="3"/>
  <c r="C54" i="3"/>
  <c r="C53" i="3"/>
  <c r="C51" i="3"/>
  <c r="C50" i="3"/>
  <c r="C48" i="3"/>
  <c r="C47" i="3"/>
  <c r="C45" i="3"/>
  <c r="C44" i="3"/>
  <c r="C42" i="3"/>
  <c r="C39" i="3"/>
  <c r="C36" i="3"/>
  <c r="C33" i="3"/>
  <c r="C30" i="3"/>
  <c r="C27" i="3"/>
  <c r="C24" i="3"/>
  <c r="C22" i="3"/>
  <c r="C12" i="3"/>
  <c r="C13" i="3"/>
  <c r="C14" i="3"/>
  <c r="C15" i="3"/>
  <c r="C21" i="3"/>
  <c r="C18" i="3"/>
  <c r="H25" i="4"/>
  <c r="H48" i="4"/>
  <c r="AA48" i="4"/>
  <c r="AA25" i="4"/>
  <c r="AA2" i="4"/>
  <c r="H2" i="4"/>
  <c r="Q3" i="8"/>
  <c r="U6" i="3"/>
  <c r="S51" i="3"/>
  <c r="AG8" i="6"/>
  <c r="AH8" i="6"/>
  <c r="AI8" i="6"/>
  <c r="AQ8" i="6"/>
  <c r="AJ8" i="6"/>
  <c r="AR8" i="6"/>
  <c r="AK8" i="6"/>
  <c r="AL8" i="6"/>
  <c r="AM8" i="6"/>
  <c r="AN8" i="6"/>
  <c r="AO8" i="6"/>
  <c r="AP8" i="6"/>
  <c r="AG9" i="6"/>
  <c r="AH9" i="6"/>
  <c r="AI9" i="6"/>
  <c r="AQ9" i="6"/>
  <c r="AJ9" i="6"/>
  <c r="AR9" i="6"/>
  <c r="AK9" i="6"/>
  <c r="AL9" i="6"/>
  <c r="AM9" i="6"/>
  <c r="AN9" i="6"/>
  <c r="AO9" i="6"/>
  <c r="AP9" i="6"/>
  <c r="AG10" i="6"/>
  <c r="AH10" i="6"/>
  <c r="AI10" i="6"/>
  <c r="AQ10" i="6"/>
  <c r="AJ10" i="6"/>
  <c r="AR10" i="6"/>
  <c r="AK10" i="6"/>
  <c r="AL10" i="6"/>
  <c r="AM10" i="6"/>
  <c r="AN10" i="6"/>
  <c r="AO10" i="6"/>
  <c r="AP10" i="6"/>
  <c r="AG11" i="6"/>
  <c r="AH11" i="6"/>
  <c r="AI11" i="6"/>
  <c r="AQ11" i="6"/>
  <c r="AJ11" i="6"/>
  <c r="AR11" i="6"/>
  <c r="AK11" i="6"/>
  <c r="AL11" i="6"/>
  <c r="AM11" i="6"/>
  <c r="AN11" i="6"/>
  <c r="AO11" i="6"/>
  <c r="AP11" i="6"/>
  <c r="AG12" i="6"/>
  <c r="AH12" i="6"/>
  <c r="AI12" i="6"/>
  <c r="AQ12" i="6"/>
  <c r="AJ12" i="6"/>
  <c r="AR12" i="6"/>
  <c r="AK12" i="6"/>
  <c r="AL12" i="6"/>
  <c r="AM12" i="6"/>
  <c r="AN12" i="6"/>
  <c r="AO12" i="6"/>
  <c r="AP12" i="6"/>
  <c r="AG13" i="6"/>
  <c r="AH13" i="6"/>
  <c r="AI13" i="6"/>
  <c r="AJ13" i="6"/>
  <c r="AR13" i="6"/>
  <c r="AK13" i="6"/>
  <c r="AL13" i="6"/>
  <c r="AM13" i="6"/>
  <c r="AN13" i="6"/>
  <c r="AO13" i="6"/>
  <c r="AP13" i="6"/>
  <c r="AQ13" i="6"/>
  <c r="AG14" i="6"/>
  <c r="AH14" i="6"/>
  <c r="AI14" i="6"/>
  <c r="AQ14" i="6"/>
  <c r="AJ14" i="6"/>
  <c r="AR14" i="6"/>
  <c r="AK14" i="6"/>
  <c r="AL14" i="6"/>
  <c r="AM14" i="6"/>
  <c r="AN14" i="6"/>
  <c r="AO14" i="6"/>
  <c r="AP14" i="6"/>
  <c r="AG15" i="6"/>
  <c r="AH15" i="6"/>
  <c r="AI15" i="6"/>
  <c r="AQ15" i="6"/>
  <c r="AJ15" i="6"/>
  <c r="AR15" i="6"/>
  <c r="AK15" i="6"/>
  <c r="AL15" i="6"/>
  <c r="AM15" i="6"/>
  <c r="AN15" i="6"/>
  <c r="AO15" i="6"/>
  <c r="AP15" i="6"/>
  <c r="AG16" i="6"/>
  <c r="AH16" i="6"/>
  <c r="AI16" i="6"/>
  <c r="AQ16" i="6"/>
  <c r="AJ16" i="6"/>
  <c r="AR16" i="6"/>
  <c r="AK16" i="6"/>
  <c r="AL16" i="6"/>
  <c r="AM16" i="6"/>
  <c r="AN16" i="6"/>
  <c r="AO16" i="6"/>
  <c r="AP16" i="6"/>
  <c r="AG17" i="6"/>
  <c r="AH17" i="6"/>
  <c r="AI17" i="6"/>
  <c r="AQ17" i="6"/>
  <c r="AJ17" i="6"/>
  <c r="AR17" i="6"/>
  <c r="AK17" i="6"/>
  <c r="AL17" i="6"/>
  <c r="AM17" i="6"/>
  <c r="AN17" i="6"/>
  <c r="AO17" i="6"/>
  <c r="AP17" i="6"/>
  <c r="AG18" i="6"/>
  <c r="AH18" i="6"/>
  <c r="AI18" i="6"/>
  <c r="AQ18" i="6"/>
  <c r="AJ18" i="6"/>
  <c r="AR18" i="6"/>
  <c r="AK18" i="6"/>
  <c r="AL18" i="6"/>
  <c r="AM18" i="6"/>
  <c r="AN18" i="6"/>
  <c r="AO18" i="6"/>
  <c r="AP18" i="6"/>
  <c r="AF8" i="6"/>
  <c r="AF9" i="6"/>
  <c r="AF10" i="6"/>
  <c r="AF11" i="6"/>
  <c r="AF12" i="6"/>
  <c r="AF13" i="6"/>
  <c r="AF14" i="6"/>
  <c r="AF15" i="6"/>
  <c r="AF16" i="6"/>
  <c r="AF17" i="6"/>
  <c r="AF18" i="6"/>
  <c r="AE8" i="6"/>
  <c r="AE9" i="6"/>
  <c r="AE10" i="6"/>
  <c r="AE11" i="6"/>
  <c r="AE12" i="6"/>
  <c r="AE13" i="6"/>
  <c r="AE14" i="6"/>
  <c r="AE15" i="6"/>
  <c r="AE16" i="6"/>
  <c r="AE17" i="6"/>
  <c r="AE18" i="6"/>
  <c r="AD8" i="6"/>
  <c r="AD9" i="6"/>
  <c r="AD10" i="6"/>
  <c r="AD11" i="6"/>
  <c r="AD12" i="6"/>
  <c r="AD13" i="6"/>
  <c r="AD14" i="6"/>
  <c r="AD15" i="6"/>
  <c r="AD16" i="6"/>
  <c r="AD17" i="6"/>
  <c r="AD18" i="6"/>
  <c r="F51" i="2"/>
  <c r="F48" i="2"/>
  <c r="F45" i="2"/>
  <c r="F49" i="3"/>
  <c r="F42" i="2"/>
  <c r="F39" i="2"/>
  <c r="F36" i="2"/>
  <c r="F33" i="2"/>
  <c r="F37" i="3"/>
  <c r="F30" i="2"/>
  <c r="F27" i="2"/>
  <c r="F25" i="3"/>
  <c r="F16" i="3"/>
  <c r="F13" i="3"/>
  <c r="F22" i="3"/>
  <c r="AB55" i="3"/>
  <c r="AA55" i="3"/>
  <c r="Z55" i="3"/>
  <c r="Y55" i="3"/>
  <c r="X55" i="3"/>
  <c r="W55" i="3"/>
  <c r="V55" i="3"/>
  <c r="U55" i="3"/>
  <c r="T55" i="3"/>
  <c r="S55" i="3"/>
  <c r="AB52" i="3"/>
  <c r="AA52" i="3"/>
  <c r="Z52" i="3"/>
  <c r="Y52" i="3"/>
  <c r="X52" i="3"/>
  <c r="W52" i="3"/>
  <c r="V52" i="3"/>
  <c r="U52" i="3"/>
  <c r="T52" i="3"/>
  <c r="S52" i="3"/>
  <c r="AB49" i="3"/>
  <c r="AA49" i="3"/>
  <c r="Z49" i="3"/>
  <c r="Y49" i="3"/>
  <c r="X49" i="3"/>
  <c r="W49" i="3"/>
  <c r="V49" i="3"/>
  <c r="U49" i="3"/>
  <c r="T49" i="3"/>
  <c r="S49" i="3"/>
  <c r="AB46" i="3"/>
  <c r="AA46" i="3"/>
  <c r="Z46" i="3"/>
  <c r="Y46" i="3"/>
  <c r="X46" i="3"/>
  <c r="W46" i="3"/>
  <c r="V46" i="3"/>
  <c r="U46" i="3"/>
  <c r="T46" i="3"/>
  <c r="S46" i="3"/>
  <c r="AB43" i="3"/>
  <c r="AA43" i="3"/>
  <c r="Z43" i="3"/>
  <c r="Y43" i="3"/>
  <c r="X43" i="3"/>
  <c r="W43" i="3"/>
  <c r="V43" i="3"/>
  <c r="U43" i="3"/>
  <c r="T43" i="3"/>
  <c r="S43" i="3"/>
  <c r="AB40" i="3"/>
  <c r="AA40" i="3"/>
  <c r="Z40" i="3"/>
  <c r="Y40" i="3"/>
  <c r="X40" i="3"/>
  <c r="W40" i="3"/>
  <c r="V40" i="3"/>
  <c r="U40" i="3"/>
  <c r="T40" i="3"/>
  <c r="S40" i="3"/>
  <c r="AB37" i="3"/>
  <c r="AA37" i="3"/>
  <c r="Z37" i="3"/>
  <c r="Y37" i="3"/>
  <c r="X37" i="3"/>
  <c r="W37" i="3"/>
  <c r="V37" i="3"/>
  <c r="U37" i="3"/>
  <c r="T37" i="3"/>
  <c r="S37" i="3"/>
  <c r="AB34" i="3"/>
  <c r="AA34" i="3"/>
  <c r="Z34" i="3"/>
  <c r="Y34" i="3"/>
  <c r="X34" i="3"/>
  <c r="W34" i="3"/>
  <c r="V34" i="3"/>
  <c r="U34" i="3"/>
  <c r="T34" i="3"/>
  <c r="S34" i="3"/>
  <c r="AB31" i="3"/>
  <c r="AA31" i="3"/>
  <c r="Z31" i="3"/>
  <c r="Y31" i="3"/>
  <c r="X31" i="3"/>
  <c r="W31" i="3"/>
  <c r="V31" i="3"/>
  <c r="U31" i="3"/>
  <c r="T31" i="3"/>
  <c r="S31" i="3"/>
  <c r="AB28" i="3"/>
  <c r="AA28" i="3"/>
  <c r="Z28" i="3"/>
  <c r="Y28" i="3"/>
  <c r="X28" i="3"/>
  <c r="W28" i="3"/>
  <c r="V28" i="3"/>
  <c r="U28" i="3"/>
  <c r="T28" i="3"/>
  <c r="S28" i="3"/>
  <c r="AB25" i="3"/>
  <c r="AA25" i="3"/>
  <c r="Z25" i="3"/>
  <c r="Y25" i="3"/>
  <c r="X25" i="3"/>
  <c r="W25" i="3"/>
  <c r="V25" i="3"/>
  <c r="U25" i="3"/>
  <c r="T25" i="3"/>
  <c r="S25" i="3"/>
  <c r="G14" i="3"/>
  <c r="BB10" i="4"/>
  <c r="BA10" i="4"/>
  <c r="AZ10" i="4"/>
  <c r="AY10" i="4"/>
  <c r="AX10" i="4"/>
  <c r="AW10" i="4"/>
  <c r="BG5" i="4"/>
  <c r="AC12" i="3"/>
  <c r="AC27" i="3"/>
  <c r="BF5" i="4"/>
  <c r="AB15" i="3"/>
  <c r="BE5" i="4"/>
  <c r="AA12" i="3"/>
  <c r="AA15" i="3"/>
  <c r="BD5" i="4"/>
  <c r="Z15" i="3"/>
  <c r="BC5" i="4"/>
  <c r="Y12" i="3"/>
  <c r="Y15" i="3"/>
  <c r="BB5" i="4"/>
  <c r="X15" i="3"/>
  <c r="BA5" i="4"/>
  <c r="W12" i="3"/>
  <c r="W15" i="3"/>
  <c r="AZ5" i="4"/>
  <c r="V15" i="3"/>
  <c r="AY5" i="4"/>
  <c r="U12" i="3"/>
  <c r="AW5" i="4"/>
  <c r="S12" i="3"/>
  <c r="AX5" i="4"/>
  <c r="O8" i="7"/>
  <c r="A15" i="7"/>
  <c r="B88" i="2"/>
  <c r="D12" i="3"/>
  <c r="B6" i="8"/>
  <c r="E12" i="3"/>
  <c r="E18" i="3"/>
  <c r="K11" i="6"/>
  <c r="AP7" i="6"/>
  <c r="AO7" i="6"/>
  <c r="AN7" i="6"/>
  <c r="AM7" i="6"/>
  <c r="AL7" i="6"/>
  <c r="AP6" i="6"/>
  <c r="AO6" i="6"/>
  <c r="AN6" i="6"/>
  <c r="AM6" i="6"/>
  <c r="AL6" i="6"/>
  <c r="AP4" i="6"/>
  <c r="AO4" i="6"/>
  <c r="AN4" i="6"/>
  <c r="AM4" i="6"/>
  <c r="AL4" i="6"/>
  <c r="AP5" i="6"/>
  <c r="AO5" i="6"/>
  <c r="AN5" i="6"/>
  <c r="AM5" i="6"/>
  <c r="AL5" i="6"/>
  <c r="C41" i="3"/>
  <c r="C38" i="3"/>
  <c r="C35" i="3"/>
  <c r="C32" i="3"/>
  <c r="C29" i="3"/>
  <c r="C26" i="3"/>
  <c r="C23" i="3"/>
  <c r="C20" i="3"/>
  <c r="C17" i="3"/>
  <c r="C16" i="3"/>
  <c r="O54" i="3"/>
  <c r="O51" i="3"/>
  <c r="O48" i="3"/>
  <c r="O45" i="3"/>
  <c r="O42" i="3"/>
  <c r="O39" i="3"/>
  <c r="O36" i="3"/>
  <c r="O33" i="3"/>
  <c r="O30" i="3"/>
  <c r="O27" i="3"/>
  <c r="O24" i="3"/>
  <c r="O21" i="3"/>
  <c r="O18" i="3"/>
  <c r="O15" i="3"/>
  <c r="O12" i="3"/>
  <c r="N54" i="3"/>
  <c r="N51" i="3"/>
  <c r="N48" i="3"/>
  <c r="N45" i="3"/>
  <c r="N42" i="3"/>
  <c r="N39" i="3"/>
  <c r="N36" i="3"/>
  <c r="N33" i="3"/>
  <c r="N30" i="3"/>
  <c r="N27" i="3"/>
  <c r="N24" i="3"/>
  <c r="N21" i="3"/>
  <c r="M54" i="3"/>
  <c r="AE55" i="3"/>
  <c r="M51" i="3"/>
  <c r="AE52" i="3"/>
  <c r="M48" i="3"/>
  <c r="M45" i="3"/>
  <c r="AE46" i="3"/>
  <c r="M42" i="3"/>
  <c r="M39" i="3"/>
  <c r="AE40" i="3"/>
  <c r="M36" i="3"/>
  <c r="M33" i="3"/>
  <c r="M30" i="3"/>
  <c r="E45" i="9"/>
  <c r="M27" i="3"/>
  <c r="H44" i="9"/>
  <c r="M24" i="3"/>
  <c r="H43" i="9"/>
  <c r="M21" i="3"/>
  <c r="H42" i="9"/>
  <c r="M18" i="3"/>
  <c r="H41" i="9"/>
  <c r="M15" i="3"/>
  <c r="H40" i="9"/>
  <c r="L12" i="3"/>
  <c r="P6" i="8"/>
  <c r="I12" i="3"/>
  <c r="J6" i="8"/>
  <c r="F15" i="3"/>
  <c r="F12" i="3"/>
  <c r="V6" i="8" s="1"/>
  <c r="E21" i="3"/>
  <c r="E24" i="3"/>
  <c r="P39" i="9"/>
  <c r="P45" i="9"/>
  <c r="E27" i="3"/>
  <c r="Q39" i="9"/>
  <c r="Q45" i="9"/>
  <c r="E30" i="3"/>
  <c r="E33" i="3"/>
  <c r="S45" i="9"/>
  <c r="E36" i="3"/>
  <c r="E39" i="3"/>
  <c r="E42" i="3"/>
  <c r="E45" i="3"/>
  <c r="E48" i="3"/>
  <c r="E51" i="3"/>
  <c r="E54" i="3"/>
  <c r="D15" i="3"/>
  <c r="D18" i="3"/>
  <c r="G41" i="9"/>
  <c r="D21" i="3"/>
  <c r="G42" i="9"/>
  <c r="D24" i="3"/>
  <c r="G43" i="9"/>
  <c r="D27" i="3"/>
  <c r="G44" i="9"/>
  <c r="D30" i="3"/>
  <c r="G45" i="9"/>
  <c r="D33" i="3"/>
  <c r="I46" i="9"/>
  <c r="D36" i="3"/>
  <c r="D39" i="3"/>
  <c r="D42" i="3"/>
  <c r="D45" i="3"/>
  <c r="D48" i="3"/>
  <c r="D51" i="3"/>
  <c r="D54" i="3"/>
  <c r="C19" i="3"/>
  <c r="C25" i="3"/>
  <c r="C28" i="3"/>
  <c r="C31" i="3"/>
  <c r="C34" i="3"/>
  <c r="C37" i="3"/>
  <c r="C40" i="3"/>
  <c r="C43" i="3"/>
  <c r="C46" i="3"/>
  <c r="C49" i="3"/>
  <c r="C52" i="3"/>
  <c r="C55" i="3"/>
  <c r="T13" i="3"/>
  <c r="U13" i="3"/>
  <c r="V13" i="3"/>
  <c r="W13" i="3"/>
  <c r="X13" i="3"/>
  <c r="Y13" i="3"/>
  <c r="Z13" i="3"/>
  <c r="AA13" i="3"/>
  <c r="AB13" i="3"/>
  <c r="S13" i="3"/>
  <c r="U54" i="3"/>
  <c r="V54" i="3"/>
  <c r="Y54" i="3"/>
  <c r="Z54" i="3"/>
  <c r="AC54" i="3"/>
  <c r="U51" i="3"/>
  <c r="X51" i="3"/>
  <c r="Y51" i="3"/>
  <c r="AB51" i="3"/>
  <c r="AC51" i="3"/>
  <c r="U48" i="3"/>
  <c r="V48" i="3"/>
  <c r="W48" i="3"/>
  <c r="Y48" i="3"/>
  <c r="Z48" i="3"/>
  <c r="AA48" i="3"/>
  <c r="AC48" i="3"/>
  <c r="X45" i="3"/>
  <c r="Y45" i="3"/>
  <c r="AB45" i="3"/>
  <c r="V42" i="3"/>
  <c r="X42" i="3"/>
  <c r="Z42" i="3"/>
  <c r="T39" i="3"/>
  <c r="V39" i="3"/>
  <c r="W39" i="3"/>
  <c r="X39" i="3"/>
  <c r="Z39" i="3"/>
  <c r="AA39" i="3"/>
  <c r="AB39" i="3"/>
  <c r="U36" i="3"/>
  <c r="V36" i="3"/>
  <c r="Z36" i="3"/>
  <c r="AB36" i="3"/>
  <c r="T33" i="3"/>
  <c r="V33" i="3"/>
  <c r="Y33" i="3"/>
  <c r="Z33" i="3"/>
  <c r="AA33" i="3"/>
  <c r="T30" i="3"/>
  <c r="V30" i="3"/>
  <c r="W30" i="3"/>
  <c r="X30" i="3"/>
  <c r="Z30" i="3"/>
  <c r="AA30" i="3"/>
  <c r="T27" i="3"/>
  <c r="V27" i="3"/>
  <c r="W27" i="3"/>
  <c r="X27" i="3"/>
  <c r="Z27" i="3"/>
  <c r="AA27" i="3"/>
  <c r="AB27" i="3"/>
  <c r="U24" i="3"/>
  <c r="W24" i="3"/>
  <c r="X24" i="3"/>
  <c r="Y24" i="3"/>
  <c r="AA24" i="3"/>
  <c r="AB24" i="3"/>
  <c r="AC24" i="3"/>
  <c r="U21" i="3"/>
  <c r="V21" i="3"/>
  <c r="W21" i="3"/>
  <c r="Y21" i="3"/>
  <c r="Z21" i="3"/>
  <c r="AC21" i="3"/>
  <c r="AV30" i="4"/>
  <c r="AV25" i="4"/>
  <c r="AV20" i="4"/>
  <c r="AV15" i="4"/>
  <c r="AV10" i="4"/>
  <c r="AV5" i="4"/>
  <c r="AW30" i="4"/>
  <c r="AC15" i="3"/>
  <c r="AB54" i="3"/>
  <c r="X54" i="3"/>
  <c r="T54" i="3"/>
  <c r="AA54" i="3"/>
  <c r="W54" i="3"/>
  <c r="AA51" i="3"/>
  <c r="W51" i="3"/>
  <c r="Z51" i="3"/>
  <c r="V51" i="3"/>
  <c r="T51" i="3"/>
  <c r="AB48" i="3"/>
  <c r="X48" i="3"/>
  <c r="T48" i="3"/>
  <c r="S48" i="3"/>
  <c r="AC45" i="3"/>
  <c r="U45" i="3"/>
  <c r="V45" i="3"/>
  <c r="Z45" i="3"/>
  <c r="T45" i="3"/>
  <c r="S45" i="3"/>
  <c r="AA45" i="3"/>
  <c r="W45" i="3"/>
  <c r="AB42" i="3"/>
  <c r="W42" i="3"/>
  <c r="AA42" i="3"/>
  <c r="AC42" i="3"/>
  <c r="Y42" i="3"/>
  <c r="U42" i="3"/>
  <c r="T42" i="3"/>
  <c r="S42" i="3"/>
  <c r="AC39" i="3"/>
  <c r="Y39" i="3"/>
  <c r="U39" i="3"/>
  <c r="S39" i="3"/>
  <c r="Y36" i="3"/>
  <c r="AC36" i="3"/>
  <c r="X36" i="3"/>
  <c r="S36" i="3"/>
  <c r="T36" i="3"/>
  <c r="AA36" i="3"/>
  <c r="W36" i="3"/>
  <c r="AC33" i="3"/>
  <c r="W33" i="3"/>
  <c r="U33" i="3"/>
  <c r="S33" i="3"/>
  <c r="AB33" i="3"/>
  <c r="X33" i="3"/>
  <c r="AB30" i="3"/>
  <c r="AC30" i="3"/>
  <c r="Y30" i="3"/>
  <c r="U30" i="3"/>
  <c r="S30" i="3"/>
  <c r="Y27" i="3"/>
  <c r="U27" i="3"/>
  <c r="S27" i="3"/>
  <c r="V24" i="3"/>
  <c r="Z24" i="3"/>
  <c r="T24" i="3"/>
  <c r="S24" i="3"/>
  <c r="AA21" i="3"/>
  <c r="T21" i="3"/>
  <c r="S21" i="3"/>
  <c r="AB21" i="3"/>
  <c r="X21" i="3"/>
  <c r="U15" i="3"/>
  <c r="T15" i="3"/>
  <c r="S15" i="3"/>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V12" i="3"/>
  <c r="X12" i="3"/>
  <c r="Z12" i="3"/>
  <c r="AB12" i="3"/>
  <c r="AX31" i="4"/>
  <c r="AY31" i="4"/>
  <c r="AY32" i="4"/>
  <c r="AZ31" i="4"/>
  <c r="AZ32" i="4"/>
  <c r="BA31" i="4"/>
  <c r="BA32" i="4"/>
  <c r="BB31" i="4"/>
  <c r="BB32" i="4"/>
  <c r="BC31" i="4"/>
  <c r="BC32" i="4"/>
  <c r="BD31" i="4"/>
  <c r="BD32" i="4"/>
  <c r="BE31" i="4"/>
  <c r="BE32" i="4"/>
  <c r="BF31"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Y21" i="4"/>
  <c r="AZ21" i="4"/>
  <c r="BA21" i="4"/>
  <c r="BB21" i="4"/>
  <c r="BC21" i="4"/>
  <c r="BD21" i="4"/>
  <c r="BE21" i="4"/>
  <c r="BF21" i="4"/>
  <c r="BG21" i="4"/>
  <c r="AW21" i="4"/>
  <c r="AX16" i="4"/>
  <c r="AY16" i="4"/>
  <c r="AZ16" i="4"/>
  <c r="BA16" i="4"/>
  <c r="BB16" i="4"/>
  <c r="BC16" i="4"/>
  <c r="BD16" i="4"/>
  <c r="BE16" i="4"/>
  <c r="BF16" i="4"/>
  <c r="BG16" i="4"/>
  <c r="AW16" i="4"/>
  <c r="R20" i="7"/>
  <c r="F36" i="7"/>
  <c r="R19" i="7"/>
  <c r="R18" i="7"/>
  <c r="F34" i="7"/>
  <c r="R17" i="7"/>
  <c r="F33" i="7"/>
  <c r="R16" i="7"/>
  <c r="F32" i="7"/>
  <c r="R15" i="7"/>
  <c r="F31" i="7"/>
  <c r="R14" i="7"/>
  <c r="F30" i="7"/>
  <c r="R13" i="7"/>
  <c r="F29" i="7"/>
  <c r="R12" i="7"/>
  <c r="F28" i="7"/>
  <c r="R11" i="7"/>
  <c r="F27" i="7"/>
  <c r="R10" i="7"/>
  <c r="F26" i="7"/>
  <c r="R9" i="7"/>
  <c r="F25" i="7"/>
  <c r="R8" i="7"/>
  <c r="F24" i="7"/>
  <c r="R7" i="7"/>
  <c r="F23" i="7"/>
  <c r="R6" i="7"/>
  <c r="F22" i="7"/>
  <c r="O74" i="6"/>
  <c r="O73" i="6"/>
  <c r="O72" i="6"/>
  <c r="O71" i="6"/>
  <c r="O70" i="6"/>
  <c r="O69" i="6"/>
  <c r="O68" i="6"/>
  <c r="O67" i="6"/>
  <c r="O66" i="6"/>
  <c r="O65" i="6"/>
  <c r="O64" i="6"/>
  <c r="O63" i="6"/>
  <c r="O62" i="6"/>
  <c r="O61" i="6"/>
  <c r="O36" i="6"/>
  <c r="O35" i="6"/>
  <c r="N65" i="2" s="1"/>
  <c r="O65" i="2" s="1"/>
  <c r="O34" i="6"/>
  <c r="O33" i="6"/>
  <c r="O32" i="6"/>
  <c r="O30" i="6"/>
  <c r="N28" i="6"/>
  <c r="O28" i="6"/>
  <c r="U74" i="6"/>
  <c r="U73" i="6"/>
  <c r="U72" i="6"/>
  <c r="U71" i="6"/>
  <c r="U70" i="6"/>
  <c r="U69" i="6"/>
  <c r="U68" i="6"/>
  <c r="U67" i="6"/>
  <c r="U66" i="6"/>
  <c r="U65" i="6"/>
  <c r="U64" i="6"/>
  <c r="U63" i="6"/>
  <c r="U62" i="6"/>
  <c r="U61" i="6"/>
  <c r="U36" i="6"/>
  <c r="U35" i="6"/>
  <c r="U34" i="6"/>
  <c r="U33" i="6"/>
  <c r="U32" i="6"/>
  <c r="U31" i="6"/>
  <c r="U30" i="6"/>
  <c r="U29" i="6"/>
  <c r="U28" i="6"/>
  <c r="U27" i="6"/>
  <c r="U26" i="6"/>
  <c r="U25" i="6"/>
  <c r="U24" i="6"/>
  <c r="U23" i="6"/>
  <c r="U22" i="6"/>
  <c r="A31" i="7"/>
  <c r="A28" i="7"/>
  <c r="A25" i="7"/>
  <c r="A22" i="7"/>
  <c r="BF32" i="4"/>
  <c r="AX32" i="4"/>
  <c r="AC18" i="3"/>
  <c r="AA74" i="6"/>
  <c r="AA73" i="6"/>
  <c r="AA72" i="6"/>
  <c r="AA71" i="6"/>
  <c r="AA70" i="6"/>
  <c r="AA69" i="6"/>
  <c r="AA68" i="6"/>
  <c r="AA67" i="6"/>
  <c r="AA66" i="6"/>
  <c r="AA65" i="6"/>
  <c r="AA64" i="6"/>
  <c r="AA63" i="6"/>
  <c r="AA62" i="6"/>
  <c r="AA61" i="6"/>
  <c r="AA60" i="6"/>
  <c r="Y74" i="6"/>
  <c r="Y73" i="6"/>
  <c r="Y72" i="6"/>
  <c r="Y71" i="6"/>
  <c r="Y70" i="6"/>
  <c r="Y69" i="6"/>
  <c r="Y68" i="6"/>
  <c r="Y66" i="6"/>
  <c r="Y65" i="6"/>
  <c r="Y64" i="6"/>
  <c r="Y62" i="6"/>
  <c r="Y61" i="6"/>
  <c r="Y60" i="6"/>
  <c r="X74" i="6"/>
  <c r="X73" i="6"/>
  <c r="X72" i="6"/>
  <c r="X71" i="6"/>
  <c r="X70" i="6"/>
  <c r="X69" i="6"/>
  <c r="X68" i="6"/>
  <c r="X67" i="6"/>
  <c r="X66" i="6"/>
  <c r="X65" i="6"/>
  <c r="X64" i="6"/>
  <c r="X63" i="6"/>
  <c r="X62" i="6"/>
  <c r="X61" i="6"/>
  <c r="X60" i="6"/>
  <c r="W74" i="6"/>
  <c r="W73" i="6"/>
  <c r="W72" i="6"/>
  <c r="W71" i="6"/>
  <c r="W70" i="6"/>
  <c r="W69" i="6"/>
  <c r="W68" i="6"/>
  <c r="W67" i="6"/>
  <c r="W66" i="6"/>
  <c r="W65" i="6"/>
  <c r="W64" i="6"/>
  <c r="W63" i="6"/>
  <c r="W62" i="6"/>
  <c r="W61" i="6"/>
  <c r="W60" i="6"/>
  <c r="V74" i="6"/>
  <c r="V73" i="6"/>
  <c r="V72" i="6"/>
  <c r="V71" i="6"/>
  <c r="V70" i="6"/>
  <c r="V69" i="6"/>
  <c r="V68" i="6"/>
  <c r="V67" i="6"/>
  <c r="V66" i="6"/>
  <c r="V65" i="6"/>
  <c r="V64" i="6"/>
  <c r="V63" i="6"/>
  <c r="V62" i="6"/>
  <c r="V61" i="6"/>
  <c r="V60" i="6"/>
  <c r="R74" i="6"/>
  <c r="R73" i="6"/>
  <c r="T73" i="6"/>
  <c r="R72" i="6"/>
  <c r="T72" i="6"/>
  <c r="R71" i="6"/>
  <c r="T71" i="6"/>
  <c r="R70" i="6"/>
  <c r="T70" i="6"/>
  <c r="R69" i="6"/>
  <c r="R68" i="6"/>
  <c r="T68" i="6"/>
  <c r="R67" i="6"/>
  <c r="T67" i="6"/>
  <c r="R66" i="6"/>
  <c r="T66" i="6"/>
  <c r="R64" i="6"/>
  <c r="T64" i="6"/>
  <c r="R63" i="6"/>
  <c r="T63" i="6"/>
  <c r="R61" i="6"/>
  <c r="T61" i="6"/>
  <c r="P74" i="6"/>
  <c r="P73" i="6"/>
  <c r="P72" i="6"/>
  <c r="P71" i="6"/>
  <c r="P70" i="6"/>
  <c r="P69" i="6"/>
  <c r="P68" i="6"/>
  <c r="P67" i="6"/>
  <c r="P66" i="6"/>
  <c r="P65" i="6"/>
  <c r="P64" i="6"/>
  <c r="P63" i="6"/>
  <c r="P62" i="6"/>
  <c r="P61" i="6"/>
  <c r="P60" i="6"/>
  <c r="AA36" i="6"/>
  <c r="AA35" i="6"/>
  <c r="AA34" i="6"/>
  <c r="AA33" i="6"/>
  <c r="AA32" i="6"/>
  <c r="AA31" i="6"/>
  <c r="AA30" i="6"/>
  <c r="AA29" i="6"/>
  <c r="AA28" i="6"/>
  <c r="AA27" i="6"/>
  <c r="AA26" i="6"/>
  <c r="AA25" i="6"/>
  <c r="AA24" i="6"/>
  <c r="AA23" i="6"/>
  <c r="AA22" i="6"/>
  <c r="Y36" i="6"/>
  <c r="Y35" i="6"/>
  <c r="Y34" i="6"/>
  <c r="Y33" i="6"/>
  <c r="Y32" i="6"/>
  <c r="Y31" i="6"/>
  <c r="Y30" i="6"/>
  <c r="Y28" i="6"/>
  <c r="Y27" i="6"/>
  <c r="Y26" i="6"/>
  <c r="Y24" i="6"/>
  <c r="Y23" i="6"/>
  <c r="Y22" i="6"/>
  <c r="X36" i="6"/>
  <c r="X35" i="6"/>
  <c r="X34" i="6"/>
  <c r="X33" i="6"/>
  <c r="X32" i="6"/>
  <c r="X31" i="6"/>
  <c r="X30" i="6"/>
  <c r="X29" i="6"/>
  <c r="X28" i="6"/>
  <c r="X27" i="6"/>
  <c r="X26" i="6"/>
  <c r="X25" i="6"/>
  <c r="X24" i="6"/>
  <c r="X23" i="6"/>
  <c r="X22" i="6"/>
  <c r="M69" i="2" s="1"/>
  <c r="N69" i="2" s="1"/>
  <c r="W36" i="6"/>
  <c r="W35" i="6"/>
  <c r="W34" i="6"/>
  <c r="W33" i="6"/>
  <c r="W32" i="6"/>
  <c r="W31" i="6"/>
  <c r="W30" i="6"/>
  <c r="W29" i="6"/>
  <c r="W28" i="6"/>
  <c r="W27" i="6"/>
  <c r="W26" i="6"/>
  <c r="W25" i="6"/>
  <c r="W24" i="6"/>
  <c r="W23" i="6"/>
  <c r="W22" i="6"/>
  <c r="V36" i="6"/>
  <c r="V35" i="6"/>
  <c r="V34" i="6"/>
  <c r="V33" i="6"/>
  <c r="V32" i="6"/>
  <c r="V30" i="6"/>
  <c r="V29" i="6"/>
  <c r="V28" i="6"/>
  <c r="V27" i="6"/>
  <c r="V26" i="6"/>
  <c r="V25" i="6"/>
  <c r="V24" i="6"/>
  <c r="V23" i="6"/>
  <c r="R36" i="6"/>
  <c r="T36" i="6"/>
  <c r="R35" i="6"/>
  <c r="T35" i="6"/>
  <c r="R34" i="6"/>
  <c r="T34" i="6"/>
  <c r="R33" i="6"/>
  <c r="T33" i="6"/>
  <c r="R32" i="6"/>
  <c r="T32" i="6"/>
  <c r="R31" i="6"/>
  <c r="T31" i="6"/>
  <c r="R30" i="6"/>
  <c r="R29" i="6"/>
  <c r="T29" i="6"/>
  <c r="R28" i="6"/>
  <c r="T28" i="6"/>
  <c r="R26" i="6"/>
  <c r="T26" i="6"/>
  <c r="R25" i="6"/>
  <c r="T25" i="6"/>
  <c r="R23" i="6"/>
  <c r="T23" i="6"/>
  <c r="P36" i="6"/>
  <c r="P35" i="6"/>
  <c r="P34" i="6"/>
  <c r="P33" i="6"/>
  <c r="P32" i="6"/>
  <c r="P31" i="6"/>
  <c r="P30" i="6"/>
  <c r="P29" i="6"/>
  <c r="P27" i="6"/>
  <c r="P26" i="6"/>
  <c r="P25" i="6"/>
  <c r="W41" i="6"/>
  <c r="V41" i="6"/>
  <c r="U41" i="6"/>
  <c r="T41" i="6"/>
  <c r="S41" i="6"/>
  <c r="R41" i="6"/>
  <c r="M41" i="6"/>
  <c r="AI24" i="1"/>
  <c r="AI23" i="1"/>
  <c r="AI22" i="1"/>
  <c r="AI21" i="1"/>
  <c r="AI20" i="1"/>
  <c r="AI19" i="1"/>
  <c r="AI18" i="1"/>
  <c r="AI17" i="1"/>
  <c r="AI16" i="1"/>
  <c r="AI15" i="1"/>
  <c r="AI14" i="1"/>
  <c r="F35" i="7"/>
  <c r="A39" i="7"/>
  <c r="A17" i="7"/>
  <c r="A16" i="7"/>
  <c r="O17" i="7"/>
  <c r="E9" i="7"/>
  <c r="O15" i="7"/>
  <c r="E7" i="7"/>
  <c r="O6" i="7"/>
  <c r="A12" i="7"/>
  <c r="O4" i="7"/>
  <c r="A9" i="7"/>
  <c r="A44" i="7"/>
  <c r="A43" i="7"/>
  <c r="A42" i="7"/>
  <c r="A6" i="7"/>
  <c r="AV4" i="6"/>
  <c r="AW4" i="6"/>
  <c r="AX4" i="6"/>
  <c r="AY4" i="6"/>
  <c r="AZ4" i="6"/>
  <c r="BA4" i="6"/>
  <c r="BB4" i="6"/>
  <c r="BC4" i="6"/>
  <c r="BD4" i="6"/>
  <c r="AU4" i="6"/>
  <c r="AV3" i="6"/>
  <c r="AW3" i="6"/>
  <c r="AX3" i="6"/>
  <c r="AY3" i="6"/>
  <c r="AZ3" i="6"/>
  <c r="BA3" i="6"/>
  <c r="BB3" i="6"/>
  <c r="BC3" i="6"/>
  <c r="BD3" i="6"/>
  <c r="BE3" i="6"/>
  <c r="AU3" i="6"/>
  <c r="AD33" i="6"/>
  <c r="Z91" i="6"/>
  <c r="Z102" i="6"/>
  <c r="Y91" i="6"/>
  <c r="Y102" i="6"/>
  <c r="X91" i="6"/>
  <c r="X102" i="6"/>
  <c r="W91" i="6"/>
  <c r="W102" i="6"/>
  <c r="V91" i="6"/>
  <c r="V102" i="6"/>
  <c r="U91" i="6"/>
  <c r="U102" i="6"/>
  <c r="T91" i="6"/>
  <c r="T102" i="6"/>
  <c r="S91" i="6"/>
  <c r="S102" i="6"/>
  <c r="R91" i="6"/>
  <c r="R102" i="6"/>
  <c r="Q91" i="6"/>
  <c r="Q102" i="6"/>
  <c r="P91" i="6"/>
  <c r="P102" i="6"/>
  <c r="O91" i="6"/>
  <c r="O102" i="6"/>
  <c r="N91" i="6"/>
  <c r="N102" i="6"/>
  <c r="M91" i="6"/>
  <c r="M102" i="6"/>
  <c r="X94" i="6"/>
  <c r="X105" i="6"/>
  <c r="W94" i="6"/>
  <c r="W105" i="6"/>
  <c r="V94" i="6"/>
  <c r="V105" i="6"/>
  <c r="U94" i="6"/>
  <c r="U105" i="6"/>
  <c r="T94" i="6"/>
  <c r="T105" i="6"/>
  <c r="S94" i="6"/>
  <c r="S105" i="6"/>
  <c r="R94" i="6"/>
  <c r="R105" i="6"/>
  <c r="Q94" i="6"/>
  <c r="Q105" i="6"/>
  <c r="P94" i="6"/>
  <c r="P105" i="6"/>
  <c r="O94" i="6"/>
  <c r="O105" i="6"/>
  <c r="N94" i="6"/>
  <c r="N105" i="6"/>
  <c r="M94" i="6"/>
  <c r="M105" i="6"/>
  <c r="Z93" i="6"/>
  <c r="Z104" i="6"/>
  <c r="Z94" i="6"/>
  <c r="Y94" i="6"/>
  <c r="Y105" i="6"/>
  <c r="Y93" i="6"/>
  <c r="Y104" i="6"/>
  <c r="X93" i="6"/>
  <c r="X104" i="6"/>
  <c r="W93" i="6"/>
  <c r="W104" i="6"/>
  <c r="V93" i="6"/>
  <c r="V104" i="6"/>
  <c r="U93" i="6"/>
  <c r="U104" i="6"/>
  <c r="T93" i="6"/>
  <c r="T104" i="6"/>
  <c r="S93" i="6"/>
  <c r="S104" i="6"/>
  <c r="R93" i="6"/>
  <c r="R104" i="6"/>
  <c r="Q93" i="6"/>
  <c r="Q104" i="6"/>
  <c r="P93" i="6"/>
  <c r="P104" i="6"/>
  <c r="O93" i="6"/>
  <c r="O104" i="6"/>
  <c r="M93" i="6"/>
  <c r="M104" i="6"/>
  <c r="Z90" i="6"/>
  <c r="Z101" i="6"/>
  <c r="Y90" i="6"/>
  <c r="Y101" i="6"/>
  <c r="X90" i="6"/>
  <c r="X101" i="6"/>
  <c r="W90" i="6"/>
  <c r="W101" i="6"/>
  <c r="V90" i="6"/>
  <c r="V101" i="6"/>
  <c r="U90" i="6"/>
  <c r="U101" i="6"/>
  <c r="T90" i="6"/>
  <c r="T101" i="6"/>
  <c r="S90" i="6"/>
  <c r="S101" i="6"/>
  <c r="R90" i="6"/>
  <c r="R101" i="6"/>
  <c r="Q90" i="6"/>
  <c r="Q101" i="6"/>
  <c r="P90" i="6"/>
  <c r="P101" i="6"/>
  <c r="O90" i="6"/>
  <c r="O101" i="6"/>
  <c r="N90" i="6"/>
  <c r="N101" i="6"/>
  <c r="M90" i="6"/>
  <c r="M101" i="6"/>
  <c r="Z92" i="6"/>
  <c r="Z103" i="6"/>
  <c r="Y92" i="6"/>
  <c r="Y103" i="6"/>
  <c r="X92" i="6"/>
  <c r="X103" i="6"/>
  <c r="W92" i="6"/>
  <c r="W103" i="6"/>
  <c r="V92" i="6"/>
  <c r="V103" i="6"/>
  <c r="U92" i="6"/>
  <c r="U103" i="6"/>
  <c r="T92" i="6"/>
  <c r="T103" i="6"/>
  <c r="S92" i="6"/>
  <c r="S103" i="6"/>
  <c r="R92" i="6"/>
  <c r="R103" i="6"/>
  <c r="Q92" i="6"/>
  <c r="Q103" i="6"/>
  <c r="P92" i="6"/>
  <c r="P103" i="6"/>
  <c r="O92" i="6"/>
  <c r="O103" i="6"/>
  <c r="M92" i="6"/>
  <c r="M103" i="6"/>
  <c r="N92" i="6"/>
  <c r="N103" i="6"/>
  <c r="N93" i="6"/>
  <c r="N104" i="6"/>
  <c r="L94" i="6"/>
  <c r="L105" i="6"/>
  <c r="L92" i="6"/>
  <c r="L103" i="6"/>
  <c r="L91" i="6"/>
  <c r="L102" i="6"/>
  <c r="Z83" i="6"/>
  <c r="Z82" i="6"/>
  <c r="Z81" i="6"/>
  <c r="Z80" i="6"/>
  <c r="Y83" i="6"/>
  <c r="Y82" i="6"/>
  <c r="Y81" i="6"/>
  <c r="Y80" i="6"/>
  <c r="X83" i="6"/>
  <c r="X82" i="6"/>
  <c r="X81" i="6"/>
  <c r="X80" i="6"/>
  <c r="W83" i="6"/>
  <c r="W82" i="6"/>
  <c r="W81" i="6"/>
  <c r="W80" i="6"/>
  <c r="V83" i="6"/>
  <c r="V82" i="6"/>
  <c r="V81" i="6"/>
  <c r="V80" i="6"/>
  <c r="U82" i="6"/>
  <c r="U81" i="6"/>
  <c r="T82" i="6"/>
  <c r="T81" i="6"/>
  <c r="T80" i="6"/>
  <c r="S84" i="6"/>
  <c r="S81" i="6"/>
  <c r="S80" i="6"/>
  <c r="R84" i="6"/>
  <c r="R82" i="6"/>
  <c r="R81" i="6"/>
  <c r="Q84" i="6"/>
  <c r="Q81" i="6"/>
  <c r="P84" i="6"/>
  <c r="P82" i="6"/>
  <c r="O84" i="6"/>
  <c r="O81" i="6"/>
  <c r="Q60" i="6"/>
  <c r="Q26" i="6"/>
  <c r="Q22" i="6"/>
  <c r="Q74" i="6"/>
  <c r="Q73" i="6"/>
  <c r="Q72" i="6"/>
  <c r="Q71" i="6"/>
  <c r="Q70" i="6"/>
  <c r="Q69" i="6"/>
  <c r="Q68" i="6"/>
  <c r="Q67" i="6"/>
  <c r="Q66" i="6"/>
  <c r="Q65" i="6"/>
  <c r="Q64" i="6"/>
  <c r="Q63" i="6"/>
  <c r="Q62" i="6"/>
  <c r="Q61" i="6"/>
  <c r="Q36" i="6"/>
  <c r="Q35" i="6"/>
  <c r="Q34" i="6"/>
  <c r="Q33" i="6"/>
  <c r="Q32" i="6"/>
  <c r="Q31" i="6"/>
  <c r="Q30" i="6"/>
  <c r="Q29" i="6"/>
  <c r="Q28" i="6"/>
  <c r="P28" i="6"/>
  <c r="Q27" i="6"/>
  <c r="Q25" i="6"/>
  <c r="Q24" i="6"/>
  <c r="P24" i="6"/>
  <c r="Q23" i="6"/>
  <c r="P23" i="6"/>
  <c r="F55" i="3"/>
  <c r="F52" i="3"/>
  <c r="F43" i="3"/>
  <c r="F40" i="3"/>
  <c r="F34" i="3"/>
  <c r="F31" i="3"/>
  <c r="F28" i="3"/>
  <c r="F19" i="3"/>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1" i="9"/>
  <c r="I51" i="9"/>
  <c r="H51" i="9"/>
  <c r="G51" i="9"/>
  <c r="F51" i="9"/>
  <c r="E51" i="9"/>
  <c r="X41" i="9"/>
  <c r="I50" i="9"/>
  <c r="H50" i="9"/>
  <c r="G50" i="9"/>
  <c r="F50" i="9"/>
  <c r="E50" i="9"/>
  <c r="W44" i="9"/>
  <c r="I49" i="9"/>
  <c r="H49" i="9"/>
  <c r="G49" i="9"/>
  <c r="F49" i="9"/>
  <c r="E49" i="9"/>
  <c r="V40" i="9"/>
  <c r="I48" i="9"/>
  <c r="H48" i="9"/>
  <c r="G48" i="9"/>
  <c r="F48" i="9"/>
  <c r="E48" i="9"/>
  <c r="U41" i="9"/>
  <c r="I47" i="9"/>
  <c r="H47" i="9"/>
  <c r="G47" i="9"/>
  <c r="F47" i="9"/>
  <c r="E47" i="9"/>
  <c r="T44" i="9"/>
  <c r="Z46" i="9"/>
  <c r="Y46" i="9"/>
  <c r="X46" i="9"/>
  <c r="W46" i="9"/>
  <c r="V46" i="9"/>
  <c r="U46" i="9"/>
  <c r="T46" i="9"/>
  <c r="Y45" i="9"/>
  <c r="X45" i="9"/>
  <c r="U45" i="9"/>
  <c r="H45" i="9"/>
  <c r="I39" i="9"/>
  <c r="AF25" i="9"/>
  <c r="AF24" i="9"/>
  <c r="AF23" i="9"/>
  <c r="AF22" i="9"/>
  <c r="AF21" i="9"/>
  <c r="AF20" i="9"/>
  <c r="AF19" i="9"/>
  <c r="C47" i="9"/>
  <c r="D47" i="9"/>
  <c r="AT11" i="9"/>
  <c r="AP24" i="9"/>
  <c r="AP22" i="9"/>
  <c r="AP20" i="9"/>
  <c r="AP18" i="9"/>
  <c r="AP16" i="9"/>
  <c r="AP14" i="9"/>
  <c r="AP12" i="9"/>
  <c r="Z85" i="9"/>
  <c r="Y85" i="9"/>
  <c r="X85" i="9"/>
  <c r="W85" i="9"/>
  <c r="V85" i="9"/>
  <c r="U85" i="9"/>
  <c r="T85" i="9"/>
  <c r="S85" i="9"/>
  <c r="R85" i="9"/>
  <c r="Q85" i="9"/>
  <c r="P85" i="9"/>
  <c r="O85" i="9"/>
  <c r="N85" i="9"/>
  <c r="M85" i="9"/>
  <c r="Z84" i="9"/>
  <c r="Y84" i="9"/>
  <c r="X84" i="9"/>
  <c r="W84" i="9"/>
  <c r="V84" i="9"/>
  <c r="U84" i="9"/>
  <c r="T84" i="9"/>
  <c r="S84" i="9"/>
  <c r="R84" i="9"/>
  <c r="Q84" i="9"/>
  <c r="P84" i="9"/>
  <c r="O84" i="9"/>
  <c r="M84" i="9"/>
  <c r="Z83" i="9"/>
  <c r="Y83" i="9"/>
  <c r="X83" i="9"/>
  <c r="W83" i="9"/>
  <c r="V83" i="9"/>
  <c r="U83" i="9"/>
  <c r="T83" i="9"/>
  <c r="S83" i="9"/>
  <c r="R83" i="9"/>
  <c r="Q83" i="9"/>
  <c r="P83" i="9"/>
  <c r="O83" i="9"/>
  <c r="N83" i="9"/>
  <c r="M83" i="9"/>
  <c r="Z82" i="9"/>
  <c r="Y82" i="9"/>
  <c r="X82" i="9"/>
  <c r="W82" i="9"/>
  <c r="V82" i="9"/>
  <c r="U82" i="9"/>
  <c r="T82" i="9"/>
  <c r="S82" i="9"/>
  <c r="R82" i="9"/>
  <c r="Q82" i="9"/>
  <c r="P82" i="9"/>
  <c r="O82" i="9"/>
  <c r="N82" i="9"/>
  <c r="M82" i="9"/>
  <c r="L82" i="9"/>
  <c r="O81" i="9"/>
  <c r="Z74" i="9"/>
  <c r="Y74" i="9"/>
  <c r="X74" i="9"/>
  <c r="W74" i="9"/>
  <c r="V74" i="9"/>
  <c r="U74" i="9"/>
  <c r="T74" i="9"/>
  <c r="S74" i="9"/>
  <c r="R74" i="9"/>
  <c r="Q74" i="9"/>
  <c r="P74" i="9"/>
  <c r="O74" i="9"/>
  <c r="N74" i="9"/>
  <c r="M74" i="9"/>
  <c r="L74" i="9"/>
  <c r="Z73" i="9"/>
  <c r="Y73" i="9"/>
  <c r="X73" i="9"/>
  <c r="W73" i="9"/>
  <c r="V73" i="9"/>
  <c r="U73" i="9"/>
  <c r="T73" i="9"/>
  <c r="S73" i="9"/>
  <c r="R73" i="9"/>
  <c r="Q73" i="9"/>
  <c r="P73" i="9"/>
  <c r="O73" i="9"/>
  <c r="N73" i="9"/>
  <c r="L73" i="9"/>
  <c r="Z72" i="9"/>
  <c r="Y72" i="9"/>
  <c r="X72" i="9"/>
  <c r="W72" i="9"/>
  <c r="W75" i="9"/>
  <c r="V72" i="9"/>
  <c r="V75" i="9"/>
  <c r="U72" i="9"/>
  <c r="T72" i="9"/>
  <c r="T75" i="9"/>
  <c r="S72" i="9"/>
  <c r="R72" i="9"/>
  <c r="Q72" i="9"/>
  <c r="P72" i="9"/>
  <c r="O72"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Q75" i="9"/>
  <c r="P70" i="9"/>
  <c r="O70" i="9"/>
  <c r="N70" i="9"/>
  <c r="N75"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G87" i="9"/>
  <c r="F87" i="9"/>
  <c r="E87" i="9"/>
  <c r="H86" i="9"/>
  <c r="G86" i="9"/>
  <c r="F86" i="9"/>
  <c r="E86" i="9"/>
  <c r="G83" i="9"/>
  <c r="E83" i="9"/>
  <c r="F83" i="9"/>
  <c r="G82" i="9"/>
  <c r="F82" i="9"/>
  <c r="E82" i="9"/>
  <c r="G81" i="9"/>
  <c r="E81" i="9"/>
  <c r="F81" i="9"/>
  <c r="G80" i="9"/>
  <c r="E80" i="9"/>
  <c r="F80" i="9"/>
  <c r="G79" i="9"/>
  <c r="E79" i="9"/>
  <c r="F79" i="9"/>
  <c r="G78" i="9"/>
  <c r="E78" i="9"/>
  <c r="F78" i="9"/>
  <c r="G77" i="9"/>
  <c r="E77" i="9"/>
  <c r="F77" i="9"/>
  <c r="G76" i="9"/>
  <c r="E76" i="9"/>
  <c r="F76" i="9"/>
  <c r="G75" i="9"/>
  <c r="E75" i="9"/>
  <c r="F75" i="9"/>
  <c r="G74" i="9"/>
  <c r="E74" i="9"/>
  <c r="F74" i="9"/>
  <c r="G73" i="9"/>
  <c r="E73" i="9"/>
  <c r="F73" i="9"/>
  <c r="G72" i="9"/>
  <c r="E72" i="9"/>
  <c r="F72" i="9"/>
  <c r="E71" i="9"/>
  <c r="F71" i="9"/>
  <c r="G70" i="9"/>
  <c r="E70" i="9"/>
  <c r="F70" i="9"/>
  <c r="E69" i="9"/>
  <c r="F69"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AF34" i="9"/>
  <c r="C52" i="9"/>
  <c r="D52" i="9"/>
  <c r="AF33" i="9"/>
  <c r="C72" i="9"/>
  <c r="D72" i="9"/>
  <c r="AF32" i="9"/>
  <c r="C50" i="9"/>
  <c r="D50" i="9"/>
  <c r="AF31" i="9"/>
  <c r="C70" i="9"/>
  <c r="D70" i="9"/>
  <c r="AF30" i="9"/>
  <c r="C69" i="9"/>
  <c r="D69" i="9"/>
  <c r="I35" i="9"/>
  <c r="I83" i="9"/>
  <c r="H35" i="9"/>
  <c r="H83" i="9"/>
  <c r="G35" i="9"/>
  <c r="E35" i="9"/>
  <c r="F35" i="9"/>
  <c r="C35" i="9"/>
  <c r="D35" i="9"/>
  <c r="I34" i="9"/>
  <c r="I82" i="9"/>
  <c r="H34" i="9"/>
  <c r="H82" i="9"/>
  <c r="G34" i="9"/>
  <c r="F34" i="9"/>
  <c r="E34" i="9"/>
  <c r="C34" i="9"/>
  <c r="D34" i="9"/>
  <c r="I33" i="9"/>
  <c r="I81" i="9"/>
  <c r="H33" i="9"/>
  <c r="H81" i="9"/>
  <c r="G33" i="9"/>
  <c r="F33" i="9"/>
  <c r="E33" i="9"/>
  <c r="C33" i="9"/>
  <c r="D33" i="9"/>
  <c r="I32" i="9"/>
  <c r="K32" i="9"/>
  <c r="H32" i="9"/>
  <c r="H80" i="9"/>
  <c r="G32" i="9"/>
  <c r="E32" i="9"/>
  <c r="F32" i="9"/>
  <c r="C32" i="9"/>
  <c r="D32" i="9"/>
  <c r="I31" i="9"/>
  <c r="K31" i="9"/>
  <c r="H31" i="9"/>
  <c r="H79" i="9"/>
  <c r="G31" i="9"/>
  <c r="E31" i="9"/>
  <c r="F31" i="9"/>
  <c r="C31" i="9"/>
  <c r="D31" i="9"/>
  <c r="I30" i="9"/>
  <c r="H30" i="9"/>
  <c r="H78" i="9"/>
  <c r="G30" i="9"/>
  <c r="E30" i="9"/>
  <c r="F30" i="9"/>
  <c r="C30" i="9"/>
  <c r="D30" i="9"/>
  <c r="I29" i="9"/>
  <c r="I77" i="9"/>
  <c r="H29" i="9"/>
  <c r="H77" i="9"/>
  <c r="G29" i="9"/>
  <c r="E29" i="9"/>
  <c r="F29" i="9"/>
  <c r="C29" i="9"/>
  <c r="D29" i="9"/>
  <c r="I28" i="9"/>
  <c r="K28" i="9"/>
  <c r="H28" i="9"/>
  <c r="H76" i="9"/>
  <c r="G28" i="9"/>
  <c r="E28" i="9"/>
  <c r="C28" i="9"/>
  <c r="D28" i="9"/>
  <c r="I27" i="9"/>
  <c r="K27" i="9"/>
  <c r="H27" i="9"/>
  <c r="H75" i="9"/>
  <c r="G27" i="9"/>
  <c r="F27" i="9"/>
  <c r="E27" i="9"/>
  <c r="C27" i="9"/>
  <c r="D27" i="9"/>
  <c r="E26" i="9"/>
  <c r="I26" i="9"/>
  <c r="K26" i="9"/>
  <c r="H26" i="9"/>
  <c r="H74" i="9"/>
  <c r="G26" i="9"/>
  <c r="C26" i="9"/>
  <c r="D26" i="9"/>
  <c r="I25" i="9"/>
  <c r="I73" i="9"/>
  <c r="H25" i="9"/>
  <c r="H73" i="9"/>
  <c r="G25" i="9"/>
  <c r="E25" i="9"/>
  <c r="C25" i="9"/>
  <c r="D25" i="9"/>
  <c r="I24" i="9"/>
  <c r="I72" i="9"/>
  <c r="H24" i="9"/>
  <c r="H72" i="9"/>
  <c r="G24" i="9"/>
  <c r="F24" i="9"/>
  <c r="E24" i="9"/>
  <c r="C24" i="9"/>
  <c r="D24" i="9"/>
  <c r="H23" i="9"/>
  <c r="H71" i="9"/>
  <c r="G71" i="9"/>
  <c r="G23" i="9"/>
  <c r="E23" i="9"/>
  <c r="C23" i="9"/>
  <c r="D23" i="9"/>
  <c r="I22" i="9"/>
  <c r="I70" i="9"/>
  <c r="H22" i="9"/>
  <c r="H70" i="9"/>
  <c r="G22" i="9"/>
  <c r="E22" i="9"/>
  <c r="C22" i="9"/>
  <c r="D22" i="9"/>
  <c r="H21" i="9"/>
  <c r="H69" i="9"/>
  <c r="G69" i="9"/>
  <c r="G21" i="9"/>
  <c r="E21" i="9"/>
  <c r="L80"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H4" i="9"/>
  <c r="AG4" i="9"/>
  <c r="AF4" i="9"/>
  <c r="AE4" i="9"/>
  <c r="AD4" i="9"/>
  <c r="AC4" i="9"/>
  <c r="AJ3" i="9"/>
  <c r="AJ9" i="9"/>
  <c r="AI3" i="9"/>
  <c r="AH3" i="9"/>
  <c r="AH9" i="9"/>
  <c r="AG3" i="9"/>
  <c r="AG9" i="9"/>
  <c r="AF3" i="9"/>
  <c r="AE3" i="9"/>
  <c r="AD3" i="9"/>
  <c r="AC3" i="9"/>
  <c r="F2" i="5"/>
  <c r="L3" i="8"/>
  <c r="D3" i="8"/>
  <c r="T74" i="6"/>
  <c r="N74" i="6"/>
  <c r="Z74" i="6"/>
  <c r="L74" i="6"/>
  <c r="M74" i="6"/>
  <c r="N73" i="6"/>
  <c r="Z73" i="6"/>
  <c r="L73" i="6"/>
  <c r="M73" i="6"/>
  <c r="N72" i="6"/>
  <c r="Z72" i="6"/>
  <c r="L72" i="6"/>
  <c r="M72" i="6"/>
  <c r="N71" i="6"/>
  <c r="L71" i="6"/>
  <c r="M71" i="6"/>
  <c r="N70" i="6"/>
  <c r="L70" i="6"/>
  <c r="M70" i="6"/>
  <c r="T69" i="6"/>
  <c r="N69" i="6"/>
  <c r="U44" i="6"/>
  <c r="L69" i="6"/>
  <c r="M69" i="6"/>
  <c r="N68" i="6"/>
  <c r="T44" i="6"/>
  <c r="L68" i="6"/>
  <c r="M68" i="6"/>
  <c r="N67" i="6"/>
  <c r="Z67" i="6"/>
  <c r="L67" i="6"/>
  <c r="M67" i="6"/>
  <c r="N66" i="6"/>
  <c r="Z66" i="6"/>
  <c r="N65" i="6"/>
  <c r="L65" i="6"/>
  <c r="M65" i="6"/>
  <c r="N64" i="6"/>
  <c r="P89" i="6"/>
  <c r="P100" i="6"/>
  <c r="L64" i="6"/>
  <c r="M64" i="6"/>
  <c r="N63" i="6"/>
  <c r="O89" i="6"/>
  <c r="O100" i="6"/>
  <c r="L63" i="6"/>
  <c r="M63" i="6"/>
  <c r="N62" i="6"/>
  <c r="N89" i="6"/>
  <c r="N100" i="6"/>
  <c r="L62" i="6"/>
  <c r="M62" i="6"/>
  <c r="N61" i="6"/>
  <c r="Z61" i="6"/>
  <c r="L61" i="6"/>
  <c r="M61" i="6"/>
  <c r="N60" i="6"/>
  <c r="L89" i="6"/>
  <c r="L100" i="6"/>
  <c r="R60" i="6"/>
  <c r="T60" i="6"/>
  <c r="L60" i="6"/>
  <c r="M60" i="6"/>
  <c r="AD36" i="6"/>
  <c r="N36" i="6"/>
  <c r="L36" i="6"/>
  <c r="M36" i="6"/>
  <c r="AD35" i="6"/>
  <c r="N35" i="6"/>
  <c r="Z35" i="6"/>
  <c r="L35" i="6"/>
  <c r="M35" i="6"/>
  <c r="AD34" i="6"/>
  <c r="N34" i="6"/>
  <c r="L34" i="6"/>
  <c r="M34" i="6"/>
  <c r="X3" i="6"/>
  <c r="N33" i="6"/>
  <c r="Z33" i="6"/>
  <c r="L33" i="6"/>
  <c r="M33" i="6"/>
  <c r="AD32" i="6"/>
  <c r="N32" i="6"/>
  <c r="Z32" i="6"/>
  <c r="L32" i="6"/>
  <c r="M32" i="6"/>
  <c r="AD31" i="6"/>
  <c r="AF40" i="9"/>
  <c r="C79" i="9"/>
  <c r="D79" i="9"/>
  <c r="N31" i="6"/>
  <c r="Z31" i="6"/>
  <c r="L31" i="6"/>
  <c r="M31" i="6"/>
  <c r="AD30" i="6"/>
  <c r="AF39" i="9"/>
  <c r="C78" i="9"/>
  <c r="D78" i="9"/>
  <c r="T30" i="6"/>
  <c r="N30" i="6"/>
  <c r="L30" i="6"/>
  <c r="M30" i="6"/>
  <c r="AD29" i="6"/>
  <c r="AF38" i="9"/>
  <c r="C77" i="9"/>
  <c r="D77" i="9"/>
  <c r="N29" i="6"/>
  <c r="L29" i="6"/>
  <c r="M29" i="6"/>
  <c r="S3" i="6"/>
  <c r="AD28" i="6"/>
  <c r="L28" i="6"/>
  <c r="M28" i="6"/>
  <c r="AD27" i="6"/>
  <c r="AI2" i="6"/>
  <c r="AQ2" i="6"/>
  <c r="AI3" i="6"/>
  <c r="AQ3" i="6"/>
  <c r="AI4" i="6"/>
  <c r="AQ4" i="6"/>
  <c r="AI5" i="6"/>
  <c r="AQ5" i="6"/>
  <c r="AI6" i="6"/>
  <c r="AQ6" i="6"/>
  <c r="AI7" i="6"/>
  <c r="AQ7" i="6"/>
  <c r="N27" i="6"/>
  <c r="L27" i="6"/>
  <c r="M27" i="6"/>
  <c r="AD26" i="6"/>
  <c r="AH2" i="6"/>
  <c r="AH3" i="6"/>
  <c r="AH4" i="6"/>
  <c r="AH5" i="6"/>
  <c r="AH6" i="6"/>
  <c r="AH7" i="6"/>
  <c r="N26" i="6"/>
  <c r="L26" i="6"/>
  <c r="M26" i="6"/>
  <c r="AD25" i="6"/>
  <c r="N25" i="6"/>
  <c r="AC19" i="2"/>
  <c r="L25" i="6"/>
  <c r="M25" i="6"/>
  <c r="AD24" i="6"/>
  <c r="AF2" i="6"/>
  <c r="AF3" i="6"/>
  <c r="AF4" i="6"/>
  <c r="AF5" i="6"/>
  <c r="AF6" i="6"/>
  <c r="AF7" i="6"/>
  <c r="N24" i="6"/>
  <c r="L24" i="6"/>
  <c r="M24" i="6"/>
  <c r="AD23" i="6"/>
  <c r="AE2" i="6"/>
  <c r="AE3" i="6"/>
  <c r="AE4" i="6"/>
  <c r="AE5" i="6"/>
  <c r="AE6" i="6"/>
  <c r="AE7" i="6"/>
  <c r="AD2" i="6"/>
  <c r="AD3" i="6"/>
  <c r="AD4" i="6"/>
  <c r="AD5" i="6"/>
  <c r="AD6" i="6"/>
  <c r="AD7" i="6"/>
  <c r="N23" i="6"/>
  <c r="M81" i="6"/>
  <c r="L23" i="6"/>
  <c r="M23" i="6"/>
  <c r="AD22" i="6"/>
  <c r="N22" i="6"/>
  <c r="AC10" i="2"/>
  <c r="R22" i="6"/>
  <c r="T22" i="6"/>
  <c r="L22" i="6"/>
  <c r="M22" i="6"/>
  <c r="AK7" i="6"/>
  <c r="AJ7" i="6"/>
  <c r="AR7" i="6"/>
  <c r="AG7" i="6"/>
  <c r="AK6" i="6"/>
  <c r="AJ6" i="6"/>
  <c r="AG6" i="6"/>
  <c r="AK5" i="6"/>
  <c r="AJ5" i="6"/>
  <c r="AR5" i="6"/>
  <c r="AG5" i="6"/>
  <c r="AK4" i="6"/>
  <c r="AJ4" i="6"/>
  <c r="AR4" i="6"/>
  <c r="AG4" i="6"/>
  <c r="AP3" i="6"/>
  <c r="AO3" i="6"/>
  <c r="AN3" i="6"/>
  <c r="AM3" i="6"/>
  <c r="AL3" i="6"/>
  <c r="AK3" i="6"/>
  <c r="AJ3" i="6"/>
  <c r="AR3" i="6"/>
  <c r="AG3" i="6"/>
  <c r="AP2" i="6"/>
  <c r="AO2" i="6"/>
  <c r="AN2" i="6"/>
  <c r="AM2" i="6"/>
  <c r="AM19" i="6"/>
  <c r="AL2" i="6"/>
  <c r="AK2" i="6"/>
  <c r="AJ2" i="6"/>
  <c r="AG2" i="6"/>
  <c r="G56" i="3"/>
  <c r="P76" i="9"/>
  <c r="L54" i="3"/>
  <c r="I54" i="3"/>
  <c r="H54" i="3"/>
  <c r="F54" i="3"/>
  <c r="G53" i="3"/>
  <c r="O76" i="9"/>
  <c r="L51" i="3"/>
  <c r="I51" i="3"/>
  <c r="H51" i="3"/>
  <c r="F51" i="3"/>
  <c r="G50" i="3"/>
  <c r="N76" i="9"/>
  <c r="L48" i="3"/>
  <c r="I48" i="3"/>
  <c r="H48" i="3"/>
  <c r="F48" i="3"/>
  <c r="G47" i="3"/>
  <c r="F46" i="3"/>
  <c r="M76" i="9"/>
  <c r="L45" i="3"/>
  <c r="I45" i="3"/>
  <c r="H45" i="3"/>
  <c r="F45" i="3"/>
  <c r="G44" i="3"/>
  <c r="L76" i="9"/>
  <c r="L42" i="3"/>
  <c r="I42" i="3"/>
  <c r="H42" i="3"/>
  <c r="F42" i="3"/>
  <c r="G41" i="3"/>
  <c r="L39" i="3"/>
  <c r="I39" i="3"/>
  <c r="H39" i="3"/>
  <c r="F39" i="3"/>
  <c r="G38" i="3"/>
  <c r="L36" i="3"/>
  <c r="I36" i="3"/>
  <c r="H36" i="3"/>
  <c r="F36" i="3"/>
  <c r="G35" i="3"/>
  <c r="S46" i="9"/>
  <c r="L33" i="3"/>
  <c r="F46" i="9"/>
  <c r="I33" i="3"/>
  <c r="W45" i="9"/>
  <c r="H33" i="3"/>
  <c r="V45" i="9"/>
  <c r="F33" i="3"/>
  <c r="T45" i="9"/>
  <c r="G46" i="9"/>
  <c r="G32" i="3"/>
  <c r="R46" i="9"/>
  <c r="L30" i="3"/>
  <c r="F45" i="9"/>
  <c r="I30" i="3"/>
  <c r="H30" i="3"/>
  <c r="F30" i="3"/>
  <c r="G29" i="3"/>
  <c r="Q46" i="9"/>
  <c r="L27" i="3"/>
  <c r="F44" i="9"/>
  <c r="I27" i="3"/>
  <c r="H27" i="3"/>
  <c r="F27" i="3"/>
  <c r="G26" i="3"/>
  <c r="P46" i="9"/>
  <c r="L24" i="3"/>
  <c r="F43" i="9"/>
  <c r="I24" i="3"/>
  <c r="H24" i="3"/>
  <c r="F24" i="3"/>
  <c r="G23" i="3"/>
  <c r="L21" i="3"/>
  <c r="F42" i="9"/>
  <c r="I21" i="3"/>
  <c r="H21" i="3"/>
  <c r="F21" i="3"/>
  <c r="G20" i="3"/>
  <c r="N46" i="9"/>
  <c r="L18" i="3"/>
  <c r="F41" i="9"/>
  <c r="I18" i="3"/>
  <c r="H18" i="3"/>
  <c r="F18" i="3"/>
  <c r="G17" i="3"/>
  <c r="M46" i="9"/>
  <c r="F40" i="9"/>
  <c r="L46" i="9"/>
  <c r="U7" i="16"/>
  <c r="P7" i="16"/>
  <c r="J5" i="16"/>
  <c r="U40" i="9"/>
  <c r="U44" i="9"/>
  <c r="U43" i="9"/>
  <c r="U42" i="9"/>
  <c r="Y40" i="9"/>
  <c r="W39" i="9"/>
  <c r="T39" i="9"/>
  <c r="C37" i="9"/>
  <c r="AT23" i="9"/>
  <c r="AU23" i="9"/>
  <c r="AT21" i="9"/>
  <c r="AT19" i="9"/>
  <c r="AT17" i="9"/>
  <c r="AT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U15" i="9"/>
  <c r="T6" i="9"/>
  <c r="S6" i="9"/>
  <c r="R6" i="9"/>
  <c r="Q6" i="9"/>
  <c r="P6" i="9"/>
  <c r="O6" i="9"/>
  <c r="N6" i="9"/>
  <c r="M6" i="9"/>
  <c r="L6" i="9"/>
  <c r="K6" i="9"/>
  <c r="J6" i="9"/>
  <c r="X5" i="9"/>
  <c r="W5" i="9"/>
  <c r="V5" i="9"/>
  <c r="U5" i="9"/>
  <c r="T5" i="9"/>
  <c r="S5" i="9"/>
  <c r="R5" i="9"/>
  <c r="Q5" i="9"/>
  <c r="P5" i="9"/>
  <c r="O5" i="9"/>
  <c r="N5" i="9"/>
  <c r="M5" i="9"/>
  <c r="L5" i="9"/>
  <c r="K5" i="9"/>
  <c r="M70" i="9"/>
  <c r="J5" i="9"/>
  <c r="L70" i="9"/>
  <c r="L75" i="9"/>
  <c r="X4" i="9"/>
  <c r="Z75" i="9"/>
  <c r="W4" i="9"/>
  <c r="V4" i="9"/>
  <c r="X75" i="9"/>
  <c r="U4" i="9"/>
  <c r="W63" i="9"/>
  <c r="T4" i="9"/>
  <c r="S4" i="9"/>
  <c r="R4" i="9"/>
  <c r="Q4" i="9"/>
  <c r="S69" i="9"/>
  <c r="P4" i="9"/>
  <c r="R69" i="9"/>
  <c r="O4" i="9"/>
  <c r="N4" i="9"/>
  <c r="P75" i="9"/>
  <c r="M4" i="9"/>
  <c r="O75" i="9"/>
  <c r="L4" i="9"/>
  <c r="K4" i="9"/>
  <c r="J4" i="9"/>
  <c r="A18" i="7"/>
  <c r="BG22" i="4"/>
  <c r="BF22" i="4"/>
  <c r="BE22" i="4"/>
  <c r="BD22" i="4"/>
  <c r="BC22" i="4"/>
  <c r="BB22" i="4"/>
  <c r="BA22" i="4"/>
  <c r="AZ22" i="4"/>
  <c r="AY22" i="4"/>
  <c r="AX22" i="4"/>
  <c r="AW22" i="4"/>
  <c r="BG17" i="4"/>
  <c r="BF17" i="4"/>
  <c r="BE17" i="4"/>
  <c r="BD17" i="4"/>
  <c r="BC17" i="4"/>
  <c r="BB17" i="4"/>
  <c r="BA17" i="4"/>
  <c r="AZ17" i="4"/>
  <c r="AY17" i="4"/>
  <c r="AX17" i="4"/>
  <c r="AW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AE43" i="3"/>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S75" i="9"/>
  <c r="I21" i="9"/>
  <c r="K21" i="9"/>
  <c r="F28" i="9"/>
  <c r="S62" i="9"/>
  <c r="F25" i="9"/>
  <c r="I7" i="5"/>
  <c r="M7" i="5"/>
  <c r="E8" i="5"/>
  <c r="M8" i="5"/>
  <c r="I9" i="5"/>
  <c r="E6" i="5"/>
  <c r="Y81" i="9"/>
  <c r="M81" i="9"/>
  <c r="X81" i="9"/>
  <c r="R81" i="9"/>
  <c r="U80" i="9"/>
  <c r="N81" i="9"/>
  <c r="Z81" i="9"/>
  <c r="P81" i="9"/>
  <c r="AS11" i="9"/>
  <c r="S81" i="9"/>
  <c r="T81" i="9"/>
  <c r="L85" i="9"/>
  <c r="U81" i="9"/>
  <c r="Y44" i="9"/>
  <c r="V81" i="9"/>
  <c r="X42" i="9"/>
  <c r="W81" i="9"/>
  <c r="Z44" i="9"/>
  <c r="Z41" i="9"/>
  <c r="V43" i="9"/>
  <c r="V42" i="9"/>
  <c r="V39" i="9"/>
  <c r="V41" i="9"/>
  <c r="V44" i="9"/>
  <c r="Z39" i="9"/>
  <c r="Z42" i="9"/>
  <c r="U75" i="9"/>
  <c r="U80" i="6"/>
  <c r="O29" i="6"/>
  <c r="Y29" i="6"/>
  <c r="Y67" i="6"/>
  <c r="O27" i="6"/>
  <c r="O26" i="6"/>
  <c r="O25" i="6"/>
  <c r="O24" i="6"/>
  <c r="R75" i="9"/>
  <c r="S82" i="6"/>
  <c r="R80" i="6"/>
  <c r="R65" i="6"/>
  <c r="T65" i="6"/>
  <c r="R27" i="6"/>
  <c r="T27" i="6"/>
  <c r="N83" i="6"/>
  <c r="O31" i="6"/>
  <c r="U83" i="6"/>
  <c r="M82" i="6"/>
  <c r="T83" i="6"/>
  <c r="S83" i="6"/>
  <c r="Q83" i="6"/>
  <c r="M83" i="6"/>
  <c r="I23" i="9"/>
  <c r="R62" i="6"/>
  <c r="T62" i="6"/>
  <c r="R24" i="6"/>
  <c r="T24" i="6"/>
  <c r="R39" i="9"/>
  <c r="R45" i="9"/>
  <c r="U60" i="6"/>
  <c r="O60" i="6"/>
  <c r="Z79" i="6"/>
  <c r="X41" i="6"/>
  <c r="Y41" i="6"/>
  <c r="Y43" i="6"/>
  <c r="Z41" i="6"/>
  <c r="O41" i="6"/>
  <c r="N81" i="6"/>
  <c r="V79" i="6"/>
  <c r="S79" i="6"/>
  <c r="X79" i="6"/>
  <c r="Y79" i="6"/>
  <c r="W79" i="6"/>
  <c r="T79" i="6"/>
  <c r="U79" i="6"/>
  <c r="L81" i="6"/>
  <c r="L41" i="6"/>
  <c r="L90" i="6"/>
  <c r="L101" i="6"/>
  <c r="F21" i="9"/>
  <c r="N84" i="6"/>
  <c r="V31" i="6"/>
  <c r="T84" i="6"/>
  <c r="U84" i="6"/>
  <c r="X84" i="6"/>
  <c r="Y84" i="6"/>
  <c r="P81" i="6"/>
  <c r="V84" i="6"/>
  <c r="O83" i="6"/>
  <c r="R83" i="6"/>
  <c r="W84" i="6"/>
  <c r="L83" i="6"/>
  <c r="F22" i="9"/>
  <c r="P80" i="6"/>
  <c r="O80" i="6"/>
  <c r="N80" i="6"/>
  <c r="M80" i="6"/>
  <c r="L93" i="6"/>
  <c r="O46" i="9"/>
  <c r="F23" i="9"/>
  <c r="Q82" i="6"/>
  <c r="Q79" i="6"/>
  <c r="P79" i="6"/>
  <c r="R79" i="6"/>
  <c r="S80" i="9"/>
  <c r="Z84" i="6"/>
  <c r="P83" i="6"/>
  <c r="L82" i="6"/>
  <c r="L84" i="6"/>
  <c r="M84" i="6"/>
  <c r="X80" i="9"/>
  <c r="R80" i="9"/>
  <c r="W80" i="9"/>
  <c r="Y80" i="9"/>
  <c r="Z80" i="9"/>
  <c r="T80" i="9"/>
  <c r="V80" i="9"/>
  <c r="M75" i="9"/>
  <c r="Y75" i="9"/>
  <c r="O80" i="9"/>
  <c r="N82" i="6"/>
  <c r="N84" i="9"/>
  <c r="L81" i="9"/>
  <c r="I86" i="9"/>
  <c r="L84" i="9"/>
  <c r="L83" i="9"/>
  <c r="Q80" i="6"/>
  <c r="Q81" i="9"/>
  <c r="F26" i="9"/>
  <c r="V22" i="6"/>
  <c r="AA13" i="9"/>
  <c r="E39" i="9"/>
  <c r="AE13" i="3"/>
  <c r="H39" i="9"/>
  <c r="O79" i="6"/>
  <c r="N79" i="6"/>
  <c r="Z45" i="9"/>
  <c r="G39" i="9"/>
  <c r="I45" i="9"/>
  <c r="S43" i="6"/>
  <c r="K29" i="9"/>
  <c r="K34" i="9"/>
  <c r="I80" i="9"/>
  <c r="W44" i="6"/>
  <c r="U16" i="9"/>
  <c r="V42" i="6"/>
  <c r="W46" i="6"/>
  <c r="I75" i="9"/>
  <c r="T46" i="6"/>
  <c r="AC52" i="2"/>
  <c r="Z29" i="6"/>
  <c r="I40" i="9"/>
  <c r="G40" i="9"/>
  <c r="I44" i="9"/>
  <c r="F6" i="8"/>
  <c r="X14" i="9"/>
  <c r="W42" i="6"/>
  <c r="AP19" i="6"/>
  <c r="AR6" i="6"/>
  <c r="C73" i="9"/>
  <c r="D73" i="9"/>
  <c r="K35" i="9"/>
  <c r="Y89" i="6"/>
  <c r="Y100" i="6"/>
  <c r="AC54" i="2"/>
  <c r="Z30" i="6"/>
  <c r="T13" i="6"/>
  <c r="T15" i="6"/>
  <c r="AC43" i="2"/>
  <c r="Z105" i="6"/>
  <c r="Z69" i="6"/>
  <c r="U46" i="6"/>
  <c r="U89" i="6"/>
  <c r="U100" i="6"/>
  <c r="I78" i="9"/>
  <c r="K30" i="9"/>
  <c r="T43" i="6"/>
  <c r="Q13" i="9"/>
  <c r="AC37" i="2"/>
  <c r="Z34" i="6"/>
  <c r="AC46" i="2"/>
  <c r="X13" i="9"/>
  <c r="W51" i="6"/>
  <c r="W53" i="6"/>
  <c r="W3" i="6"/>
  <c r="AD42" i="2"/>
  <c r="AE49" i="3"/>
  <c r="AE34" i="3"/>
  <c r="E46" i="9"/>
  <c r="S41" i="9"/>
  <c r="H46" i="9"/>
  <c r="E42" i="9"/>
  <c r="O41" i="9"/>
  <c r="AE22" i="3"/>
  <c r="S43" i="9"/>
  <c r="L80" i="6"/>
  <c r="I43" i="9"/>
  <c r="I41" i="9"/>
  <c r="AD9" i="9"/>
  <c r="AF9" i="9"/>
  <c r="AL19" i="6"/>
  <c r="Y51" i="6"/>
  <c r="Y52" i="6"/>
  <c r="AN19" i="6"/>
  <c r="AI9" i="9"/>
  <c r="AO19" i="6"/>
  <c r="M66" i="2"/>
  <c r="AC9" i="9"/>
  <c r="J21" i="9"/>
  <c r="P22" i="6"/>
  <c r="N66" i="2"/>
  <c r="O66" i="2"/>
  <c r="Y53" i="6"/>
  <c r="Y56" i="6"/>
  <c r="Q14" i="9"/>
  <c r="S60" i="9"/>
  <c r="T42" i="6"/>
  <c r="Z68" i="6"/>
  <c r="U42" i="6"/>
  <c r="U45" i="6"/>
  <c r="U43" i="6"/>
  <c r="Y44" i="6"/>
  <c r="Y46" i="6"/>
  <c r="S46" i="6"/>
  <c r="R45" i="6"/>
  <c r="S42" i="6"/>
  <c r="I76" i="9"/>
  <c r="R89" i="6"/>
  <c r="R100" i="6"/>
  <c r="Q15" i="9"/>
  <c r="S45" i="6"/>
  <c r="Y42" i="9"/>
  <c r="Y43" i="9"/>
  <c r="U39" i="9"/>
  <c r="I6" i="5"/>
  <c r="E9" i="5"/>
  <c r="I8" i="5"/>
  <c r="B8" i="5"/>
  <c r="E7" i="5"/>
  <c r="G7" i="5"/>
  <c r="M18" i="9"/>
  <c r="X17" i="9"/>
  <c r="Q18" i="9"/>
  <c r="Y39" i="9"/>
  <c r="W42" i="9"/>
  <c r="W43" i="9"/>
  <c r="AK19" i="6"/>
  <c r="S51" i="6"/>
  <c r="S54" i="6"/>
  <c r="U51" i="6"/>
  <c r="U54" i="6"/>
  <c r="V51" i="6"/>
  <c r="V55" i="6"/>
  <c r="X65" i="9"/>
  <c r="S4" i="6"/>
  <c r="S7" i="6"/>
  <c r="Y3" i="6"/>
  <c r="Y5" i="6"/>
  <c r="Y13" i="6"/>
  <c r="Y16" i="6"/>
  <c r="U60" i="9"/>
  <c r="Z64" i="9"/>
  <c r="R14" i="9"/>
  <c r="S16" i="9"/>
  <c r="V46" i="6"/>
  <c r="V43" i="6"/>
  <c r="K24" i="9"/>
  <c r="Z42" i="6"/>
  <c r="N18" i="9"/>
  <c r="X44" i="9"/>
  <c r="AJ19" i="6"/>
  <c r="AH19" i="6"/>
  <c r="Q51" i="6"/>
  <c r="Q54" i="6"/>
  <c r="I74" i="9"/>
  <c r="Q3" i="6"/>
  <c r="Q8" i="6"/>
  <c r="Q41" i="6"/>
  <c r="Q45" i="6"/>
  <c r="Q65" i="9"/>
  <c r="K25" i="9"/>
  <c r="N17" i="9"/>
  <c r="L64" i="9"/>
  <c r="P41" i="6"/>
  <c r="P44" i="6"/>
  <c r="AC22" i="2"/>
  <c r="AA73" i="9"/>
  <c r="N41" i="6"/>
  <c r="N45" i="6"/>
  <c r="AC16" i="2"/>
  <c r="AC13" i="2"/>
  <c r="AE9" i="9"/>
  <c r="Z63" i="6"/>
  <c r="P69" i="2"/>
  <c r="Y25" i="6"/>
  <c r="N68" i="2"/>
  <c r="O68" i="2"/>
  <c r="Y63" i="6"/>
  <c r="P68" i="2"/>
  <c r="N7" i="5"/>
  <c r="J10" i="5"/>
  <c r="N10" i="5"/>
  <c r="N6" i="5"/>
  <c r="F10" i="5"/>
  <c r="F7" i="5"/>
  <c r="F6" i="5"/>
  <c r="O7" i="5"/>
  <c r="K7" i="5"/>
  <c r="H7" i="5"/>
  <c r="L7" i="5"/>
  <c r="K9" i="5"/>
  <c r="G6" i="5"/>
  <c r="O9" i="5"/>
  <c r="O8" i="5"/>
  <c r="B6" i="5"/>
  <c r="O6" i="5"/>
  <c r="K8" i="5"/>
  <c r="K6" i="5"/>
  <c r="B18" i="5"/>
  <c r="B21" i="5"/>
  <c r="B20" i="5"/>
  <c r="D10" i="5"/>
  <c r="H10" i="5"/>
  <c r="L6" i="5"/>
  <c r="L9" i="5"/>
  <c r="D6" i="5"/>
  <c r="H6" i="5"/>
  <c r="D7" i="5"/>
  <c r="D9" i="5"/>
  <c r="B19" i="5"/>
  <c r="H9" i="5"/>
  <c r="L10" i="5"/>
  <c r="AG19" i="6"/>
  <c r="C51" i="9"/>
  <c r="D51" i="9"/>
  <c r="AF19" i="6"/>
  <c r="L16" i="9"/>
  <c r="N64" i="9"/>
  <c r="L14" i="9"/>
  <c r="AE19" i="6"/>
  <c r="C49" i="9"/>
  <c r="D49" i="9"/>
  <c r="K18" i="9"/>
  <c r="O23" i="6"/>
  <c r="L63" i="9"/>
  <c r="O82" i="6"/>
  <c r="AA82" i="6"/>
  <c r="M62" i="2"/>
  <c r="N62" i="2"/>
  <c r="O62" i="2"/>
  <c r="O44" i="6"/>
  <c r="O45" i="6"/>
  <c r="O43" i="6"/>
  <c r="O60" i="9"/>
  <c r="I42" i="9"/>
  <c r="N51" i="6"/>
  <c r="N53" i="6"/>
  <c r="AA70" i="9"/>
  <c r="C48" i="9"/>
  <c r="D48" i="9"/>
  <c r="O22" i="6"/>
  <c r="Z60" i="6"/>
  <c r="F39" i="9"/>
  <c r="M89" i="6"/>
  <c r="M100" i="6"/>
  <c r="AA51" i="9"/>
  <c r="P65" i="2"/>
  <c r="AA84" i="9"/>
  <c r="M46" i="6"/>
  <c r="M44" i="6"/>
  <c r="M51" i="6"/>
  <c r="M55" i="6"/>
  <c r="M79" i="6"/>
  <c r="L13" i="6"/>
  <c r="AA94" i="6"/>
  <c r="P64" i="2"/>
  <c r="AA92" i="6"/>
  <c r="P62" i="2"/>
  <c r="AD45" i="2"/>
  <c r="X4" i="6"/>
  <c r="U53" i="6"/>
  <c r="U56" i="6"/>
  <c r="AD30" i="2"/>
  <c r="M3" i="6"/>
  <c r="AD12" i="2"/>
  <c r="S18" i="9"/>
  <c r="R60" i="9"/>
  <c r="Z64" i="6"/>
  <c r="W56" i="6"/>
  <c r="AI19" i="6"/>
  <c r="V44" i="6"/>
  <c r="Z89" i="6"/>
  <c r="Z100" i="6"/>
  <c r="W7" i="6"/>
  <c r="V53" i="6"/>
  <c r="M13" i="6"/>
  <c r="M14" i="6"/>
  <c r="P3" i="6"/>
  <c r="P5" i="6"/>
  <c r="R61" i="9"/>
  <c r="X64" i="9"/>
  <c r="AC40" i="2"/>
  <c r="I79" i="9"/>
  <c r="V13" i="6"/>
  <c r="V15" i="6"/>
  <c r="Y45" i="6"/>
  <c r="Y42" i="6"/>
  <c r="P51" i="6"/>
  <c r="AA90" i="6"/>
  <c r="P60" i="2"/>
  <c r="W13" i="9"/>
  <c r="T63" i="9"/>
  <c r="R18" i="9"/>
  <c r="V45" i="6"/>
  <c r="K33" i="9"/>
  <c r="P46" i="6"/>
  <c r="F9" i="5"/>
  <c r="AA85" i="9"/>
  <c r="N9" i="5"/>
  <c r="T43" i="9"/>
  <c r="X40" i="9"/>
  <c r="R13" i="6"/>
  <c r="R18" i="6"/>
  <c r="U3" i="6"/>
  <c r="U7" i="6"/>
  <c r="W13" i="6"/>
  <c r="AD43" i="2"/>
  <c r="V17" i="7"/>
  <c r="J33" i="7"/>
  <c r="X13" i="6"/>
  <c r="AD46" i="2"/>
  <c r="V18" i="7"/>
  <c r="J34" i="7"/>
  <c r="AC49" i="2"/>
  <c r="Z62" i="6"/>
  <c r="T51" i="6"/>
  <c r="T52" i="6"/>
  <c r="W15" i="9"/>
  <c r="Z61" i="9"/>
  <c r="S5" i="6"/>
  <c r="W8" i="6"/>
  <c r="O13" i="6"/>
  <c r="O18" i="6"/>
  <c r="Q13" i="6"/>
  <c r="Q17" i="6"/>
  <c r="Y60" i="9"/>
  <c r="X60" i="9"/>
  <c r="N14" i="9"/>
  <c r="V3" i="6"/>
  <c r="V5" i="6"/>
  <c r="Y62" i="9"/>
  <c r="W55" i="6"/>
  <c r="Z70" i="6"/>
  <c r="X89" i="6"/>
  <c r="X100" i="6"/>
  <c r="C71" i="9"/>
  <c r="D71" i="9"/>
  <c r="L62" i="9"/>
  <c r="Y69" i="9"/>
  <c r="X39" i="9"/>
  <c r="X43" i="9"/>
  <c r="N15" i="9"/>
  <c r="T62" i="9"/>
  <c r="Y63" i="9"/>
  <c r="T40" i="9"/>
  <c r="T42" i="9"/>
  <c r="AR2" i="6"/>
  <c r="AR19" i="6"/>
  <c r="AI20" i="2"/>
  <c r="U13" i="6"/>
  <c r="U14" i="6"/>
  <c r="M43" i="6"/>
  <c r="X51" i="6"/>
  <c r="X56" i="6"/>
  <c r="Z51" i="6"/>
  <c r="Z53" i="6"/>
  <c r="U13" i="9"/>
  <c r="X61" i="9"/>
  <c r="AA50" i="9"/>
  <c r="AA54" i="9"/>
  <c r="AA71" i="9"/>
  <c r="W18" i="9"/>
  <c r="V89" i="6"/>
  <c r="V100" i="6"/>
  <c r="J7" i="5"/>
  <c r="J9" i="5"/>
  <c r="J6" i="5"/>
  <c r="O63" i="9"/>
  <c r="Q16" i="9"/>
  <c r="T41" i="9"/>
  <c r="AD36" i="2"/>
  <c r="W18" i="6"/>
  <c r="W14" i="6"/>
  <c r="X18" i="6"/>
  <c r="X17" i="6"/>
  <c r="X16" i="6"/>
  <c r="M13" i="9"/>
  <c r="M14" i="9"/>
  <c r="S15" i="9"/>
  <c r="S13" i="9"/>
  <c r="V15" i="9"/>
  <c r="V18" i="9"/>
  <c r="V16" i="9"/>
  <c r="P13" i="6"/>
  <c r="AC34" i="2"/>
  <c r="T3" i="6"/>
  <c r="Z36" i="6"/>
  <c r="Z3" i="6"/>
  <c r="Q89" i="6"/>
  <c r="Q100" i="6"/>
  <c r="Z71" i="6"/>
  <c r="W89" i="6"/>
  <c r="W100" i="6"/>
  <c r="V61" i="9"/>
  <c r="T13" i="9"/>
  <c r="C74" i="9"/>
  <c r="D74" i="9"/>
  <c r="L65" i="9"/>
  <c r="C53" i="9"/>
  <c r="D53" i="9"/>
  <c r="W41" i="9"/>
  <c r="W40" i="9"/>
  <c r="M10" i="5"/>
  <c r="M6" i="5"/>
  <c r="X44" i="6"/>
  <c r="X45" i="6"/>
  <c r="X46" i="6"/>
  <c r="T17" i="6"/>
  <c r="U64" i="9"/>
  <c r="M17" i="9"/>
  <c r="X43" i="6"/>
  <c r="S61" i="9"/>
  <c r="W5" i="6"/>
  <c r="Y4" i="6"/>
  <c r="Z24" i="6"/>
  <c r="O46" i="6"/>
  <c r="U62" i="9"/>
  <c r="U61" i="9"/>
  <c r="X63" i="9"/>
  <c r="W62" i="9"/>
  <c r="W43" i="6"/>
  <c r="M16" i="9"/>
  <c r="Z25" i="6"/>
  <c r="L44" i="6"/>
  <c r="L42" i="6"/>
  <c r="Z43" i="9"/>
  <c r="W69" i="9"/>
  <c r="X62" i="9"/>
  <c r="N16" i="9"/>
  <c r="V8" i="6"/>
  <c r="Y8" i="6"/>
  <c r="P45" i="6"/>
  <c r="X8" i="6"/>
  <c r="X7" i="6"/>
  <c r="L17" i="9"/>
  <c r="O64" i="9"/>
  <c r="P13" i="9"/>
  <c r="P17" i="9"/>
  <c r="R64" i="9"/>
  <c r="S6" i="6"/>
  <c r="V4" i="6"/>
  <c r="Y6" i="6"/>
  <c r="P56" i="6"/>
  <c r="Z23" i="6"/>
  <c r="O51" i="6"/>
  <c r="O54" i="6"/>
  <c r="R63" i="9"/>
  <c r="K15" i="9"/>
  <c r="R3" i="6"/>
  <c r="N13" i="6"/>
  <c r="W52" i="6"/>
  <c r="Z65" i="6"/>
  <c r="Z26" i="6"/>
  <c r="O65" i="9"/>
  <c r="W45" i="6"/>
  <c r="R65" i="9"/>
  <c r="N63" i="9"/>
  <c r="S8" i="6"/>
  <c r="V7" i="6"/>
  <c r="W6" i="6"/>
  <c r="Y7" i="6"/>
  <c r="X6" i="6"/>
  <c r="X5" i="6"/>
  <c r="O3" i="6"/>
  <c r="O6" i="6"/>
  <c r="N3" i="6"/>
  <c r="N8" i="6"/>
  <c r="Y64" i="9"/>
  <c r="W16" i="9"/>
  <c r="O42" i="6"/>
  <c r="S17" i="9"/>
  <c r="P18" i="9"/>
  <c r="O62" i="9"/>
  <c r="Z13" i="6"/>
  <c r="Z16" i="6"/>
  <c r="W54" i="6"/>
  <c r="V13" i="9"/>
  <c r="M15" i="9"/>
  <c r="K14" i="9"/>
  <c r="AQ19" i="6"/>
  <c r="N61" i="9"/>
  <c r="P16" i="9"/>
  <c r="O61" i="9"/>
  <c r="L13" i="9"/>
  <c r="N80" i="9"/>
  <c r="U65" i="9"/>
  <c r="X42" i="6"/>
  <c r="K22" i="9"/>
  <c r="Z43" i="6"/>
  <c r="O69" i="9"/>
  <c r="O16" i="9"/>
  <c r="R15" i="9"/>
  <c r="T61" i="9"/>
  <c r="Z63" i="9"/>
  <c r="Z60" i="9"/>
  <c r="P14" i="9"/>
  <c r="S89" i="6"/>
  <c r="S100" i="6"/>
  <c r="S44" i="6"/>
  <c r="B7" i="5"/>
  <c r="B10" i="5"/>
  <c r="G10" i="5"/>
  <c r="G9" i="5"/>
  <c r="AJ45" i="6"/>
  <c r="AK52" i="6"/>
  <c r="AN53" i="6"/>
  <c r="AO56" i="6"/>
  <c r="AQ55" i="6"/>
  <c r="AA55" i="9"/>
  <c r="M45" i="6"/>
  <c r="M42" i="6"/>
  <c r="R46" i="6"/>
  <c r="AA83" i="9"/>
  <c r="AA93" i="6"/>
  <c r="P63" i="2"/>
  <c r="AA101" i="6"/>
  <c r="S63" i="9"/>
  <c r="W65" i="9"/>
  <c r="M65" i="2"/>
  <c r="Z8" i="6"/>
  <c r="U4" i="6"/>
  <c r="AD25" i="2"/>
  <c r="V11" i="7"/>
  <c r="J27" i="7"/>
  <c r="W17" i="6"/>
  <c r="V56" i="6"/>
  <c r="T8" i="6"/>
  <c r="T4" i="6"/>
  <c r="I71" i="9"/>
  <c r="K23" i="9"/>
  <c r="L69" i="9"/>
  <c r="J13" i="9"/>
  <c r="T64" i="9"/>
  <c r="T65" i="9"/>
  <c r="T60" i="9"/>
  <c r="T69" i="9"/>
  <c r="R13" i="9"/>
  <c r="AU21" i="9"/>
  <c r="Z28" i="6"/>
  <c r="AC28" i="2"/>
  <c r="AC31" i="2"/>
  <c r="S13" i="6"/>
  <c r="U14" i="9"/>
  <c r="W61" i="9"/>
  <c r="U18" i="9"/>
  <c r="W60" i="9"/>
  <c r="R17" i="9"/>
  <c r="R16" i="9"/>
  <c r="AA84" i="6"/>
  <c r="M64" i="2"/>
  <c r="N64" i="2"/>
  <c r="O64" i="2"/>
  <c r="AA81" i="6"/>
  <c r="M61" i="2"/>
  <c r="N61" i="2"/>
  <c r="O61" i="2"/>
  <c r="U69" i="9"/>
  <c r="U63" i="9"/>
  <c r="X16" i="9"/>
  <c r="X18" i="9"/>
  <c r="Z65" i="9"/>
  <c r="Z69" i="9"/>
  <c r="Y7" i="9"/>
  <c r="AU15" i="9"/>
  <c r="AV15" i="9"/>
  <c r="Y65" i="9"/>
  <c r="W17" i="9"/>
  <c r="Z4" i="6"/>
  <c r="U8" i="6"/>
  <c r="U5" i="6"/>
  <c r="V52" i="6"/>
  <c r="Q53" i="6"/>
  <c r="T6" i="6"/>
  <c r="T7" i="6"/>
  <c r="U17" i="6"/>
  <c r="U16" i="6"/>
  <c r="Z7" i="6"/>
  <c r="U6" i="6"/>
  <c r="W4" i="6"/>
  <c r="V54" i="6"/>
  <c r="U18" i="6"/>
  <c r="N69" i="9"/>
  <c r="L18" i="9"/>
  <c r="N65" i="9"/>
  <c r="N60" i="9"/>
  <c r="V14" i="9"/>
  <c r="V17" i="9"/>
  <c r="X69" i="9"/>
  <c r="AU17" i="9"/>
  <c r="AD19" i="6"/>
  <c r="AI11" i="2"/>
  <c r="AC25" i="2"/>
  <c r="Z27" i="6"/>
  <c r="P69" i="9"/>
  <c r="P63" i="9"/>
  <c r="P65" i="9"/>
  <c r="N13" i="9"/>
  <c r="P80" i="9"/>
  <c r="S65" i="9"/>
  <c r="AU19" i="9"/>
  <c r="AV19" i="9"/>
  <c r="T89" i="6"/>
  <c r="T100" i="6"/>
  <c r="T45" i="6"/>
  <c r="AA80" i="6"/>
  <c r="M60" i="2"/>
  <c r="N60" i="2"/>
  <c r="O60" i="2"/>
  <c r="Y5" i="9"/>
  <c r="S14" i="9"/>
  <c r="Y8" i="9"/>
  <c r="AA52" i="9"/>
  <c r="AA72" i="9"/>
  <c r="AA74" i="9"/>
  <c r="AA82" i="9"/>
  <c r="P66" i="2"/>
  <c r="L61" i="9"/>
  <c r="AA102" i="6"/>
  <c r="R44" i="6"/>
  <c r="R43" i="6"/>
  <c r="R42" i="6"/>
  <c r="AA53" i="9"/>
  <c r="AA105" i="6"/>
  <c r="AE54" i="6"/>
  <c r="AI48" i="6"/>
  <c r="E40" i="9"/>
  <c r="M41" i="9"/>
  <c r="AF56" i="6"/>
  <c r="AP50" i="6"/>
  <c r="AM48" i="6"/>
  <c r="AF15" i="9"/>
  <c r="C43" i="9"/>
  <c r="D43" i="9"/>
  <c r="AL44" i="6"/>
  <c r="AN45" i="6"/>
  <c r="AF17" i="9"/>
  <c r="C45" i="9"/>
  <c r="D45" i="9"/>
  <c r="AP40" i="6"/>
  <c r="AE55" i="6"/>
  <c r="AJ48" i="6"/>
  <c r="AG54" i="6"/>
  <c r="AM55" i="6"/>
  <c r="AR44" i="6"/>
  <c r="AI51" i="6"/>
  <c r="AE40" i="6"/>
  <c r="AI40" i="6"/>
  <c r="E43" i="9"/>
  <c r="AL54" i="6"/>
  <c r="AH52" i="6"/>
  <c r="AE47" i="6"/>
  <c r="AN40" i="6"/>
  <c r="AK51" i="6"/>
  <c r="AJ41" i="6"/>
  <c r="AJ29" i="6"/>
  <c r="AF47" i="6"/>
  <c r="AJ24" i="6"/>
  <c r="AF13" i="9"/>
  <c r="C41" i="9"/>
  <c r="D41" i="9"/>
  <c r="AQ53" i="6"/>
  <c r="AJ36" i="6"/>
  <c r="AQ49" i="6"/>
  <c r="AG50" i="6"/>
  <c r="AQ42" i="6"/>
  <c r="AE25" i="3"/>
  <c r="AE51" i="6"/>
  <c r="AG56" i="6"/>
  <c r="AH45" i="6"/>
  <c r="AI56" i="6"/>
  <c r="AL43" i="6"/>
  <c r="AJ31" i="6"/>
  <c r="AN50" i="6"/>
  <c r="AO40" i="6"/>
  <c r="AP41" i="6"/>
  <c r="AQ56" i="6"/>
  <c r="AR42" i="6"/>
  <c r="AJ47" i="6"/>
  <c r="AK54" i="6"/>
  <c r="AE37" i="3"/>
  <c r="AG55" i="6"/>
  <c r="R42" i="9"/>
  <c r="R44" i="9"/>
  <c r="R43" i="9"/>
  <c r="AQ45" i="6"/>
  <c r="AQ52" i="6"/>
  <c r="AR50" i="6"/>
  <c r="AM46" i="6"/>
  <c r="AL56" i="6"/>
  <c r="AL51" i="6"/>
  <c r="AH42" i="6"/>
  <c r="AH53" i="6"/>
  <c r="AJ25" i="6"/>
  <c r="AG49" i="6"/>
  <c r="AE56" i="6"/>
  <c r="AE50" i="6"/>
  <c r="AO47" i="6"/>
  <c r="AO41" i="6"/>
  <c r="AN48" i="6"/>
  <c r="AK42" i="6"/>
  <c r="AK45" i="6"/>
  <c r="AJ49" i="6"/>
  <c r="AQ50" i="6"/>
  <c r="AR56" i="6"/>
  <c r="AK55" i="6"/>
  <c r="AL41" i="6"/>
  <c r="AF43" i="6"/>
  <c r="AQ47" i="6"/>
  <c r="AF14" i="9"/>
  <c r="C42" i="9"/>
  <c r="D42" i="9"/>
  <c r="AF18" i="9"/>
  <c r="C46" i="9"/>
  <c r="D46" i="9"/>
  <c r="S42" i="9"/>
  <c r="AE31" i="3"/>
  <c r="E41" i="9"/>
  <c r="AP56" i="6"/>
  <c r="AP49" i="6"/>
  <c r="AJ28" i="6"/>
  <c r="AP55" i="6"/>
  <c r="AM52" i="6"/>
  <c r="AI47" i="6"/>
  <c r="AQ48" i="6"/>
  <c r="AP44" i="6"/>
  <c r="AP45" i="6"/>
  <c r="AM51" i="6"/>
  <c r="AE53" i="6"/>
  <c r="AR47" i="6"/>
  <c r="AP46" i="6"/>
  <c r="AM53" i="6"/>
  <c r="AM41" i="6"/>
  <c r="AJ30" i="6"/>
  <c r="AI41" i="6"/>
  <c r="AI52" i="6"/>
  <c r="AH56" i="6"/>
  <c r="AH46" i="6"/>
  <c r="AG48" i="6"/>
  <c r="AG41" i="6"/>
  <c r="AE49" i="6"/>
  <c r="AJ35" i="6"/>
  <c r="AO42" i="6"/>
  <c r="AO43" i="6"/>
  <c r="AN44" i="6"/>
  <c r="AK50" i="6"/>
  <c r="AJ46" i="6"/>
  <c r="AJ40" i="6"/>
  <c r="AP52" i="6"/>
  <c r="AO54" i="6"/>
  <c r="AR52" i="6"/>
  <c r="AL49" i="6"/>
  <c r="AF42" i="6"/>
  <c r="AP43" i="6"/>
  <c r="AQ43" i="6"/>
  <c r="S40" i="9"/>
  <c r="AE19" i="3"/>
  <c r="AJ50" i="6"/>
  <c r="AN47" i="6"/>
  <c r="AL55" i="6"/>
  <c r="AR48" i="6"/>
  <c r="AP53" i="6"/>
  <c r="AL42" i="6"/>
  <c r="AI49" i="6"/>
  <c r="AI54" i="6"/>
  <c r="AH55" i="6"/>
  <c r="AG46" i="6"/>
  <c r="AJ23" i="6"/>
  <c r="AO45" i="6"/>
  <c r="AJ32" i="6"/>
  <c r="AN51" i="6"/>
  <c r="AJ43" i="6"/>
  <c r="AI53" i="6"/>
  <c r="S44" i="9"/>
  <c r="AF16" i="9"/>
  <c r="C44" i="9"/>
  <c r="D44" i="9"/>
  <c r="AF48" i="6"/>
  <c r="AF55" i="6"/>
  <c r="AF50" i="6"/>
  <c r="AF40" i="6"/>
  <c r="AF54" i="6"/>
  <c r="AF53" i="6"/>
  <c r="AF51" i="6"/>
  <c r="AF46" i="6"/>
  <c r="AF49" i="6"/>
  <c r="AF41" i="6"/>
  <c r="T12" i="3"/>
  <c r="BI5" i="4"/>
  <c r="AJ52" i="6"/>
  <c r="AJ54" i="6"/>
  <c r="AJ53" i="6"/>
  <c r="AJ42" i="6"/>
  <c r="AJ44" i="6"/>
  <c r="AJ55" i="6"/>
  <c r="AJ51" i="6"/>
  <c r="AJ56" i="6"/>
  <c r="AK53" i="6"/>
  <c r="AK40" i="6"/>
  <c r="AK49" i="6"/>
  <c r="AK56" i="6"/>
  <c r="AK46" i="6"/>
  <c r="AK47" i="6"/>
  <c r="AK43" i="6"/>
  <c r="AK41" i="6"/>
  <c r="AK48" i="6"/>
  <c r="AK44" i="6"/>
  <c r="AN54" i="6"/>
  <c r="AN55" i="6"/>
  <c r="AN52" i="6"/>
  <c r="AN42" i="6"/>
  <c r="AN49" i="6"/>
  <c r="AN43" i="6"/>
  <c r="AN41" i="6"/>
  <c r="AN46" i="6"/>
  <c r="AN56" i="6"/>
  <c r="AO49" i="6"/>
  <c r="AO53" i="6"/>
  <c r="AO51" i="6"/>
  <c r="AO48" i="6"/>
  <c r="AO55" i="6"/>
  <c r="AO44" i="6"/>
  <c r="AO52" i="6"/>
  <c r="AO46" i="6"/>
  <c r="AO50" i="6"/>
  <c r="AJ33" i="6"/>
  <c r="AQ44" i="6"/>
  <c r="AQ40" i="6"/>
  <c r="AQ46" i="6"/>
  <c r="AQ41" i="6"/>
  <c r="AQ51" i="6"/>
  <c r="AQ54" i="6"/>
  <c r="AE48" i="6"/>
  <c r="AE44" i="6"/>
  <c r="AE42" i="6"/>
  <c r="AE52" i="6"/>
  <c r="AE46" i="6"/>
  <c r="AE43" i="6"/>
  <c r="AG45" i="6"/>
  <c r="AG42" i="6"/>
  <c r="AG52" i="6"/>
  <c r="AG44" i="6"/>
  <c r="AG40" i="6"/>
  <c r="AG51" i="6"/>
  <c r="AG53" i="6"/>
  <c r="AG47" i="6"/>
  <c r="AG43" i="6"/>
  <c r="AH47" i="6"/>
  <c r="AH40" i="6"/>
  <c r="AH44" i="6"/>
  <c r="AJ26" i="6"/>
  <c r="AH50" i="6"/>
  <c r="AH51" i="6"/>
  <c r="AH48" i="6"/>
  <c r="AH43" i="6"/>
  <c r="AH49" i="6"/>
  <c r="AI44" i="6"/>
  <c r="AI42" i="6"/>
  <c r="AI50" i="6"/>
  <c r="AI46" i="6"/>
  <c r="AI55" i="6"/>
  <c r="AI45" i="6"/>
  <c r="AJ27" i="6"/>
  <c r="AL50" i="6"/>
  <c r="AL45" i="6"/>
  <c r="AL53" i="6"/>
  <c r="AL48" i="6"/>
  <c r="AL52" i="6"/>
  <c r="AL47" i="6"/>
  <c r="AL40" i="6"/>
  <c r="AL46" i="6"/>
  <c r="AM47" i="6"/>
  <c r="AM40" i="6"/>
  <c r="AM50" i="6"/>
  <c r="AM54" i="6"/>
  <c r="AM42" i="6"/>
  <c r="AM56" i="6"/>
  <c r="AM49" i="6"/>
  <c r="AM44" i="6"/>
  <c r="AM45" i="6"/>
  <c r="AM43" i="6"/>
  <c r="AP48" i="6"/>
  <c r="AP54" i="6"/>
  <c r="AP47" i="6"/>
  <c r="AP42" i="6"/>
  <c r="AP51" i="6"/>
  <c r="AJ34" i="6"/>
  <c r="AR49" i="6"/>
  <c r="AR46" i="6"/>
  <c r="AR41" i="6"/>
  <c r="AR51" i="6"/>
  <c r="AR45" i="6"/>
  <c r="AR40" i="6"/>
  <c r="AR54" i="6"/>
  <c r="AR55" i="6"/>
  <c r="AR43" i="6"/>
  <c r="AF45" i="6"/>
  <c r="AF44" i="6"/>
  <c r="AF52" i="6"/>
  <c r="BJ5" i="4"/>
  <c r="AA46" i="9"/>
  <c r="AU11" i="9"/>
  <c r="AE41" i="6"/>
  <c r="AH41" i="6"/>
  <c r="AR53" i="6"/>
  <c r="AH54" i="6"/>
  <c r="AI43" i="6"/>
  <c r="AF12" i="9"/>
  <c r="C40" i="9"/>
  <c r="D40" i="9"/>
  <c r="R41" i="9"/>
  <c r="R40" i="9"/>
  <c r="AE16" i="3"/>
  <c r="AE28" i="3"/>
  <c r="AV23" i="9"/>
  <c r="AW23" i="9"/>
  <c r="AX23" i="9"/>
  <c r="E44" i="9"/>
  <c r="Q41" i="9"/>
  <c r="AE45" i="6"/>
  <c r="AA103" i="6"/>
  <c r="AA76" i="9"/>
  <c r="L3" i="6"/>
  <c r="L104" i="6"/>
  <c r="AA104" i="6"/>
  <c r="Z22" i="6"/>
  <c r="P67" i="2"/>
  <c r="L60" i="9"/>
  <c r="J16" i="9"/>
  <c r="J18" i="9"/>
  <c r="J15" i="9"/>
  <c r="AD54" i="2"/>
  <c r="AE7" i="3"/>
  <c r="AA91" i="6"/>
  <c r="P61" i="2"/>
  <c r="J17" i="9"/>
  <c r="J14" i="9"/>
  <c r="L79" i="6"/>
  <c r="M67" i="2"/>
  <c r="N67" i="2"/>
  <c r="O67" i="2"/>
  <c r="L43" i="6"/>
  <c r="L46" i="6"/>
  <c r="L51" i="6"/>
  <c r="I69" i="9"/>
  <c r="L45" i="6"/>
  <c r="Z18" i="6"/>
  <c r="AD28" i="2"/>
  <c r="V12" i="7" s="1"/>
  <c r="M69" i="9"/>
  <c r="M60" i="9"/>
  <c r="M61" i="9"/>
  <c r="M64" i="9"/>
  <c r="Y4" i="9"/>
  <c r="K16" i="9"/>
  <c r="M62" i="9"/>
  <c r="M65" i="9"/>
  <c r="M63" i="9"/>
  <c r="K17" i="9"/>
  <c r="K13" i="9"/>
  <c r="M80" i="9"/>
  <c r="Q69" i="9"/>
  <c r="Q62" i="9"/>
  <c r="Q60" i="9"/>
  <c r="O13" i="9"/>
  <c r="Q80" i="9"/>
  <c r="Q63" i="9"/>
  <c r="O18" i="9"/>
  <c r="O17" i="9"/>
  <c r="Q64" i="9"/>
  <c r="O14" i="9"/>
  <c r="Q61" i="9"/>
  <c r="O15" i="9"/>
  <c r="V69" i="9"/>
  <c r="T16" i="9"/>
  <c r="V63" i="9"/>
  <c r="V65" i="9"/>
  <c r="T18" i="9"/>
  <c r="V60" i="9"/>
  <c r="T14" i="9"/>
  <c r="V62" i="9"/>
  <c r="T15" i="9"/>
  <c r="V64" i="9"/>
  <c r="T17" i="9"/>
  <c r="W14" i="9"/>
  <c r="Y61" i="9"/>
  <c r="L15" i="9"/>
  <c r="N62" i="9"/>
  <c r="R62" i="9"/>
  <c r="P15" i="9"/>
  <c r="Z62" i="9"/>
  <c r="X15" i="9"/>
  <c r="Q17" i="9"/>
  <c r="S64" i="9"/>
  <c r="U17" i="9"/>
  <c r="W64" i="9"/>
  <c r="Y9" i="9"/>
  <c r="Q4" i="6"/>
  <c r="Q5" i="6"/>
  <c r="X14" i="6"/>
  <c r="X15" i="6"/>
  <c r="S53" i="6"/>
  <c r="S56" i="6"/>
  <c r="S55" i="6"/>
  <c r="S52" i="6"/>
  <c r="AA75" i="9"/>
  <c r="P60" i="9"/>
  <c r="P62" i="9"/>
  <c r="P64" i="9"/>
  <c r="P61" i="9"/>
  <c r="V14" i="6"/>
  <c r="Y17" i="6"/>
  <c r="Y14" i="6"/>
  <c r="Z46" i="6"/>
  <c r="Z45" i="6"/>
  <c r="Z44" i="6"/>
  <c r="Y6" i="9"/>
  <c r="T18" i="6"/>
  <c r="T16" i="6"/>
  <c r="T14" i="6"/>
  <c r="AD34" i="2"/>
  <c r="V14" i="7"/>
  <c r="J30" i="7"/>
  <c r="Q55" i="6"/>
  <c r="Q52" i="6"/>
  <c r="Q56" i="6"/>
  <c r="AA81" i="9"/>
  <c r="AA83" i="6"/>
  <c r="M63" i="2"/>
  <c r="N63" i="2"/>
  <c r="AV13" i="9"/>
  <c r="X53" i="6"/>
  <c r="AD48" i="2"/>
  <c r="O42" i="9"/>
  <c r="O43" i="9"/>
  <c r="O39" i="9"/>
  <c r="O45" i="9"/>
  <c r="O44" i="9"/>
  <c r="M39" i="9"/>
  <c r="M45" i="9"/>
  <c r="S39" i="9"/>
  <c r="O40" i="9"/>
  <c r="AA80" i="9"/>
  <c r="M53" i="6"/>
  <c r="T55" i="6"/>
  <c r="AD24" i="2"/>
  <c r="Q6" i="6"/>
  <c r="X54" i="6"/>
  <c r="Y55" i="6"/>
  <c r="Y54" i="6"/>
  <c r="T56" i="6"/>
  <c r="Y15" i="6"/>
  <c r="AD49" i="2"/>
  <c r="J35" i="7"/>
  <c r="W15" i="6"/>
  <c r="N42" i="6"/>
  <c r="T54" i="6"/>
  <c r="T53" i="6"/>
  <c r="W16" i="6"/>
  <c r="Y18" i="6"/>
  <c r="U52" i="6"/>
  <c r="U55" i="6"/>
  <c r="N44" i="6"/>
  <c r="V18" i="6"/>
  <c r="R16" i="6"/>
  <c r="Z52" i="6"/>
  <c r="X52" i="6"/>
  <c r="R17" i="6"/>
  <c r="R15" i="6"/>
  <c r="X55" i="6"/>
  <c r="R14" i="6"/>
  <c r="Z55" i="6"/>
  <c r="N43" i="6"/>
  <c r="Q7" i="6"/>
  <c r="Q43" i="6"/>
  <c r="Q15" i="6"/>
  <c r="Q16" i="6"/>
  <c r="Q18" i="6"/>
  <c r="Q46" i="6"/>
  <c r="Q42" i="6"/>
  <c r="Q14" i="6"/>
  <c r="Q44" i="6"/>
  <c r="AD21" i="2"/>
  <c r="P42" i="6"/>
  <c r="P8" i="6"/>
  <c r="P4" i="6"/>
  <c r="P43" i="6"/>
  <c r="AA41" i="6"/>
  <c r="P7" i="6"/>
  <c r="P6" i="6"/>
  <c r="N46" i="6"/>
  <c r="AD18" i="2"/>
  <c r="M68" i="2"/>
  <c r="P70" i="2"/>
  <c r="N55" i="6"/>
  <c r="AD15" i="2"/>
  <c r="N52" i="6"/>
  <c r="N4" i="6"/>
  <c r="AI8" i="2"/>
  <c r="O17" i="6"/>
  <c r="O15" i="6"/>
  <c r="O16" i="6"/>
  <c r="AD19" i="2"/>
  <c r="V9" i="7"/>
  <c r="J25" i="7"/>
  <c r="O14" i="6"/>
  <c r="N54" i="6"/>
  <c r="N56" i="6"/>
  <c r="AI17" i="2"/>
  <c r="AA79" i="6"/>
  <c r="M59" i="2"/>
  <c r="M5" i="6"/>
  <c r="AA3" i="6"/>
  <c r="M7" i="6"/>
  <c r="M52" i="6"/>
  <c r="M56" i="6"/>
  <c r="M54" i="6"/>
  <c r="M8" i="6"/>
  <c r="Z56" i="6"/>
  <c r="M15" i="6"/>
  <c r="AD13" i="2"/>
  <c r="V7" i="7"/>
  <c r="J23" i="7"/>
  <c r="M17" i="6"/>
  <c r="M16" i="6"/>
  <c r="M18" i="6"/>
  <c r="Z54" i="6"/>
  <c r="AD37" i="2"/>
  <c r="V15" i="7"/>
  <c r="U15" i="6"/>
  <c r="AD40" i="2"/>
  <c r="V16" i="7"/>
  <c r="J32" i="7"/>
  <c r="V17" i="6"/>
  <c r="V16" i="6"/>
  <c r="AD39" i="2"/>
  <c r="V6" i="6"/>
  <c r="P55" i="6"/>
  <c r="P54" i="6"/>
  <c r="P52" i="6"/>
  <c r="P53" i="6"/>
  <c r="M6" i="6"/>
  <c r="M4" i="6"/>
  <c r="Z5" i="6"/>
  <c r="Z6" i="6"/>
  <c r="N7" i="6"/>
  <c r="N6" i="6"/>
  <c r="N18" i="6"/>
  <c r="N17" i="6"/>
  <c r="N16" i="6"/>
  <c r="AD16" i="2"/>
  <c r="V8" i="7"/>
  <c r="J24" i="7"/>
  <c r="N15" i="6"/>
  <c r="N14" i="6"/>
  <c r="O53" i="6"/>
  <c r="O55" i="6"/>
  <c r="P18" i="6"/>
  <c r="AD22" i="2"/>
  <c r="V10" i="7"/>
  <c r="J26" i="7"/>
  <c r="P15" i="6"/>
  <c r="P16" i="6"/>
  <c r="P14" i="6"/>
  <c r="P17" i="6"/>
  <c r="AE54" i="2"/>
  <c r="N5" i="6"/>
  <c r="O52" i="6"/>
  <c r="Z14" i="6"/>
  <c r="Z15" i="6"/>
  <c r="Z17" i="6"/>
  <c r="AD52" i="2"/>
  <c r="V20" i="7"/>
  <c r="J36" i="7"/>
  <c r="AD51" i="2"/>
  <c r="O7" i="6"/>
  <c r="O8" i="6"/>
  <c r="O5" i="6"/>
  <c r="O4" i="6"/>
  <c r="R4" i="6"/>
  <c r="AD27" i="2"/>
  <c r="R6" i="6"/>
  <c r="R7" i="6"/>
  <c r="R5" i="6"/>
  <c r="R8" i="6"/>
  <c r="T5" i="6"/>
  <c r="AD33" i="2"/>
  <c r="O56" i="6"/>
  <c r="AW19" i="9"/>
  <c r="AW15" i="9"/>
  <c r="AX15" i="9"/>
  <c r="AV17" i="9"/>
  <c r="AA100" i="6"/>
  <c r="L5" i="6"/>
  <c r="W64" i="2"/>
  <c r="AA64" i="2"/>
  <c r="AI14" i="2"/>
  <c r="AA8" i="3"/>
  <c r="AA89" i="6"/>
  <c r="S18" i="6"/>
  <c r="S15" i="6"/>
  <c r="S17" i="6"/>
  <c r="AD31" i="2"/>
  <c r="V13" i="7"/>
  <c r="J29" i="7"/>
  <c r="S16" i="6"/>
  <c r="S14" i="6"/>
  <c r="AV21" i="9"/>
  <c r="M43" i="9"/>
  <c r="M44" i="9"/>
  <c r="M42" i="9"/>
  <c r="M40" i="9"/>
  <c r="P41" i="9"/>
  <c r="P40" i="9"/>
  <c r="P44" i="9"/>
  <c r="P42" i="9"/>
  <c r="P43" i="9"/>
  <c r="AN57" i="6"/>
  <c r="AM57" i="6"/>
  <c r="AJ57" i="6"/>
  <c r="AK57" i="6"/>
  <c r="AO57" i="6"/>
  <c r="M9" i="3"/>
  <c r="R8" i="3"/>
  <c r="N41" i="9"/>
  <c r="N40" i="9"/>
  <c r="N43" i="9"/>
  <c r="N42" i="9"/>
  <c r="N44" i="9"/>
  <c r="AY23" i="9"/>
  <c r="AZ23" i="9"/>
  <c r="N39" i="9"/>
  <c r="N45" i="9"/>
  <c r="AH57" i="6"/>
  <c r="AG57" i="6"/>
  <c r="AD45" i="6"/>
  <c r="AD46" i="6"/>
  <c r="AD42" i="6"/>
  <c r="AD44" i="6"/>
  <c r="AD43" i="6"/>
  <c r="AD48" i="6"/>
  <c r="AD56" i="6"/>
  <c r="AD53" i="6"/>
  <c r="AD40" i="6"/>
  <c r="AD51" i="6"/>
  <c r="AD50" i="6"/>
  <c r="AD52" i="6"/>
  <c r="AD49" i="6"/>
  <c r="AD54" i="6"/>
  <c r="AD41" i="6"/>
  <c r="AD47" i="6"/>
  <c r="AD55" i="6"/>
  <c r="AF11" i="9"/>
  <c r="AJ22" i="6"/>
  <c r="Q40" i="9"/>
  <c r="Q43" i="9"/>
  <c r="Q44" i="9"/>
  <c r="Q42" i="9"/>
  <c r="AL57" i="6"/>
  <c r="AI57" i="6"/>
  <c r="AE57" i="6"/>
  <c r="AR57" i="6"/>
  <c r="AP57" i="6"/>
  <c r="AV11" i="9"/>
  <c r="AQ57" i="6"/>
  <c r="AF57" i="6"/>
  <c r="AD9" i="2"/>
  <c r="L7" i="6"/>
  <c r="L6" i="6"/>
  <c r="L4" i="6"/>
  <c r="L8" i="6"/>
  <c r="AA45" i="6"/>
  <c r="L18" i="6"/>
  <c r="L15" i="6"/>
  <c r="AD10" i="2"/>
  <c r="V6" i="7"/>
  <c r="J22" i="7"/>
  <c r="AA13" i="6"/>
  <c r="L14" i="6"/>
  <c r="S22" i="6"/>
  <c r="L17" i="6"/>
  <c r="L16" i="6"/>
  <c r="L52" i="6"/>
  <c r="L53" i="6"/>
  <c r="L56" i="6"/>
  <c r="L55" i="6"/>
  <c r="L54" i="6"/>
  <c r="O63" i="2"/>
  <c r="AW13" i="9"/>
  <c r="AX13" i="9"/>
  <c r="AY13" i="9"/>
  <c r="AA69" i="9"/>
  <c r="BA23" i="9"/>
  <c r="BB23" i="9"/>
  <c r="AA44" i="6"/>
  <c r="AA46" i="6"/>
  <c r="AA42" i="6"/>
  <c r="AA43" i="6"/>
  <c r="N59" i="2"/>
  <c r="AA16" i="6"/>
  <c r="AA7" i="6"/>
  <c r="AA6" i="6"/>
  <c r="J41" i="7"/>
  <c r="AE9" i="3"/>
  <c r="AX19" i="9"/>
  <c r="AA8" i="6"/>
  <c r="AA17" i="6"/>
  <c r="AA4" i="6"/>
  <c r="AA5" i="6"/>
  <c r="AA15" i="6"/>
  <c r="AA18" i="6"/>
  <c r="AY15" i="9"/>
  <c r="AW21" i="9"/>
  <c r="AW17" i="9"/>
  <c r="AX17" i="9"/>
  <c r="AY17" i="9"/>
  <c r="AJ11" i="9"/>
  <c r="AI11" i="9"/>
  <c r="AK11" i="9"/>
  <c r="C39" i="9"/>
  <c r="D39" i="9"/>
  <c r="AD57" i="6"/>
  <c r="AC8" i="3"/>
  <c r="AW11" i="9"/>
  <c r="AA14" i="6"/>
  <c r="O59" i="2"/>
  <c r="AB13" i="6"/>
  <c r="AZ13" i="9"/>
  <c r="BA13" i="9"/>
  <c r="AD63" i="2"/>
  <c r="BC23" i="9"/>
  <c r="BD23" i="9"/>
  <c r="W59" i="2"/>
  <c r="AY19" i="9"/>
  <c r="AZ17" i="9"/>
  <c r="AX21" i="9"/>
  <c r="AY21" i="9"/>
  <c r="AZ15" i="9"/>
  <c r="L39" i="9"/>
  <c r="L45" i="9"/>
  <c r="AA45" i="9"/>
  <c r="L42" i="9"/>
  <c r="L44" i="9"/>
  <c r="L43" i="9"/>
  <c r="L41" i="9"/>
  <c r="L40" i="9"/>
  <c r="AX11" i="9"/>
  <c r="AY11" i="9"/>
  <c r="AA59" i="2"/>
  <c r="AD58" i="2"/>
  <c r="R59" i="2"/>
  <c r="BB13" i="9"/>
  <c r="BC13" i="9"/>
  <c r="J38" i="7"/>
  <c r="J39" i="7"/>
  <c r="AZ21" i="9"/>
  <c r="BA21" i="9"/>
  <c r="BB21" i="9"/>
  <c r="AZ19" i="9"/>
  <c r="BA19" i="9"/>
  <c r="BA15" i="9"/>
  <c r="BB15" i="9"/>
  <c r="BC15" i="9"/>
  <c r="BD15" i="9"/>
  <c r="BA17" i="9"/>
  <c r="AZ11" i="9"/>
  <c r="AA17" i="9"/>
  <c r="AA15" i="9"/>
  <c r="BD13" i="9"/>
  <c r="BB19" i="9"/>
  <c r="BC21" i="9"/>
  <c r="BD21" i="9"/>
  <c r="BB17" i="9"/>
  <c r="BC17" i="9"/>
  <c r="BA11" i="9"/>
  <c r="T67" i="2"/>
  <c r="B43" i="7" s="1"/>
  <c r="BC19" i="9"/>
  <c r="BD19" i="9"/>
  <c r="BD17" i="9"/>
  <c r="BB11" i="9"/>
  <c r="BC11" i="9"/>
  <c r="T68" i="2"/>
  <c r="B44" i="7" s="1"/>
  <c r="T64" i="2"/>
  <c r="B41" i="7"/>
  <c r="T66" i="2"/>
  <c r="B42" i="7"/>
  <c r="BD11" i="9"/>
  <c r="P72" i="2"/>
  <c r="W21" i="7" l="1"/>
  <c r="J28" i="7"/>
  <c r="O69" i="2"/>
  <c r="R60" i="2" s="1"/>
  <c r="N71" i="2"/>
  <c r="W62" i="2"/>
  <c r="W66" i="2" l="1"/>
  <c r="AA62" i="2"/>
  <c r="O71" i="2"/>
  <c r="J40" i="7" l="1"/>
  <c r="AA66" i="2"/>
  <c r="AD61" i="2"/>
  <c r="AD69" i="2" l="1"/>
  <c r="W69" i="2"/>
  <c r="J42" i="7"/>
  <c r="T62" i="2"/>
  <c r="K73" i="2"/>
  <c r="AA71" i="2"/>
  <c r="J44" i="7" s="1"/>
  <c r="AA69" i="2"/>
  <c r="AD66" i="2"/>
  <c r="E22" i="6" l="1"/>
  <c r="T63" i="2"/>
  <c r="B40" i="7" s="1"/>
  <c r="AA73" i="2"/>
  <c r="T65" i="2" l="1"/>
  <c r="L66" i="6" s="1"/>
  <c r="M66" i="6" s="1"/>
  <c r="R51" i="6" s="1"/>
  <c r="AA51" i="6" l="1"/>
  <c r="R52" i="6"/>
  <c r="AA52" i="6" s="1"/>
  <c r="R54" i="6"/>
  <c r="AA54" i="6" s="1"/>
  <c r="R56" i="6"/>
  <c r="AA56" i="6" s="1"/>
  <c r="R53" i="6"/>
  <c r="AA53" i="6" s="1"/>
  <c r="R55" i="6"/>
  <c r="AA55" i="6" s="1"/>
  <c r="AB51" i="6" l="1"/>
  <c r="P59" i="2"/>
  <c r="P71" i="2" s="1"/>
</calcChain>
</file>

<file path=xl/sharedStrings.xml><?xml version="1.0" encoding="utf-8"?>
<sst xmlns="http://schemas.openxmlformats.org/spreadsheetml/2006/main" count="2696" uniqueCount="722">
  <si>
    <t>Location</t>
  </si>
  <si>
    <t>Type</t>
  </si>
  <si>
    <t>Material</t>
  </si>
  <si>
    <t>Colour</t>
  </si>
  <si>
    <t>Louvre Size</t>
  </si>
  <si>
    <t>Frame</t>
  </si>
  <si>
    <t>Tilt Rod</t>
  </si>
  <si>
    <t>Drawing</t>
  </si>
  <si>
    <t>Width</t>
  </si>
  <si>
    <t>Height</t>
  </si>
  <si>
    <t>Midrail</t>
  </si>
  <si>
    <t>Configuration &amp; positions</t>
  </si>
  <si>
    <t>Build Out</t>
  </si>
  <si>
    <t>Square Meters</t>
  </si>
  <si>
    <t>Price 
no upgrades</t>
  </si>
  <si>
    <t>Antigua Rules</t>
  </si>
  <si>
    <t>Please Select</t>
  </si>
  <si>
    <t>Configuration:</t>
  </si>
  <si>
    <t>Price</t>
  </si>
  <si>
    <t>Posts Positions:</t>
  </si>
  <si>
    <t>ROL</t>
  </si>
  <si>
    <t>B/OUT</t>
  </si>
  <si>
    <t>SQM</t>
  </si>
  <si>
    <t>Notes:</t>
  </si>
  <si>
    <t>NO</t>
  </si>
  <si>
    <t>Bermuda Rules</t>
  </si>
  <si>
    <t>Cuba Rules</t>
  </si>
  <si>
    <t>Java Rules</t>
  </si>
  <si>
    <t>Hinge:</t>
  </si>
  <si>
    <t>Fiji Rules</t>
  </si>
  <si>
    <t>Samoa Rules</t>
  </si>
  <si>
    <t>3-4-2 SQM</t>
  </si>
  <si>
    <t>Total SQM</t>
  </si>
  <si>
    <t>Customer:</t>
  </si>
  <si>
    <t>Ref No:</t>
  </si>
  <si>
    <t>Follow Up</t>
  </si>
  <si>
    <t>Pricing Matrix</t>
  </si>
  <si>
    <t>SQM/QTY/LNR</t>
  </si>
  <si>
    <t>£</t>
  </si>
  <si>
    <t>Promotion</t>
  </si>
  <si>
    <t>Quoted Lines</t>
  </si>
  <si>
    <t>Discount %</t>
  </si>
  <si>
    <t>RRP</t>
  </si>
  <si>
    <t>Antigua</t>
  </si>
  <si>
    <t>Installation Required?</t>
  </si>
  <si>
    <t>Bermuda</t>
  </si>
  <si>
    <t>Source:</t>
  </si>
  <si>
    <t>Rep:</t>
  </si>
  <si>
    <t>Cuba</t>
  </si>
  <si>
    <t>Finance Please Select</t>
  </si>
  <si>
    <t>Upgrade &amp; Extras</t>
  </si>
  <si>
    <t>Had other quote</t>
  </si>
  <si>
    <t>Java</t>
  </si>
  <si>
    <t>Value: £</t>
  </si>
  <si>
    <t>Fiji</t>
  </si>
  <si>
    <t>Deposit: £</t>
  </si>
  <si>
    <t>Details</t>
  </si>
  <si>
    <t>Samoa</t>
  </si>
  <si>
    <t>Deposit %</t>
  </si>
  <si>
    <t>Telephone:</t>
  </si>
  <si>
    <t>Date:</t>
  </si>
  <si>
    <t>Silent / Split Tilt</t>
  </si>
  <si>
    <t>Total</t>
  </si>
  <si>
    <t>Total Price</t>
  </si>
  <si>
    <t>Final Price</t>
  </si>
  <si>
    <t>Saving</t>
  </si>
  <si>
    <t>Tracked</t>
  </si>
  <si>
    <t>12 Months</t>
  </si>
  <si>
    <t>Shutter &amp; Shade</t>
  </si>
  <si>
    <t>24 Months</t>
  </si>
  <si>
    <t>Address</t>
  </si>
  <si>
    <t>Hinge Upgrades</t>
  </si>
  <si>
    <t>36 Months</t>
  </si>
  <si>
    <t>Custom Colour</t>
  </si>
  <si>
    <t>HV Notes</t>
  </si>
  <si>
    <t>Pro Quote
Required?</t>
  </si>
  <si>
    <t>Deposit Required</t>
  </si>
  <si>
    <t>Select Method</t>
  </si>
  <si>
    <t>TOTAL</t>
  </si>
  <si>
    <t>Please Select:</t>
  </si>
  <si>
    <t>Balance</t>
  </si>
  <si>
    <t>Survey Date:</t>
  </si>
  <si>
    <t>Name:</t>
  </si>
  <si>
    <t>Telephone Number:</t>
  </si>
  <si>
    <t>LOCATIONS</t>
  </si>
  <si>
    <t>QTY</t>
  </si>
  <si>
    <t>PRICE - £</t>
  </si>
  <si>
    <t>HOME DESIGNER:</t>
  </si>
  <si>
    <t>Telephone: 0151 525 0050</t>
  </si>
  <si>
    <t>sales@perfectshutters.co.uk</t>
  </si>
  <si>
    <t>Address:</t>
  </si>
  <si>
    <t>CUSTOMER NAME:</t>
  </si>
  <si>
    <t xml:space="preserve">Quote Ref - </t>
  </si>
  <si>
    <t>MOBILE / TEL:</t>
  </si>
  <si>
    <t>ADDRESS:</t>
  </si>
  <si>
    <t>Home Designer:</t>
  </si>
  <si>
    <t>Quote Ref:</t>
  </si>
  <si>
    <t>Description</t>
  </si>
  <si>
    <t>PRICE SUMMARY</t>
  </si>
  <si>
    <t>MATERIAL:</t>
  </si>
  <si>
    <t>Total:</t>
  </si>
  <si>
    <t>TILT OPTION:</t>
  </si>
  <si>
    <t>LOUVRE SIZE:</t>
  </si>
  <si>
    <t>FINISH:</t>
  </si>
  <si>
    <t>FURTHER INFORMATION:</t>
  </si>
  <si>
    <t>DEPOSIT £:</t>
  </si>
  <si>
    <t>Upgrades &amp; Extras:</t>
  </si>
  <si>
    <t xml:space="preserve">    SURVEY &amp; INSTALLATION:</t>
  </si>
  <si>
    <t>TOTAL AMOUNT:</t>
  </si>
  <si>
    <t xml:space="preserve">              DEPOSIT REQUIRED:</t>
  </si>
  <si>
    <t>Prices are based on full project. Individual windows ordered separately may be subject to additional price changes.
Prices quoted are valid for 30 days  from the date of stated on the quotation.
TO DISCUSS ANY FURTHER DETAILS OR PLACE YOUR ORDER, PLEASE CALL 0151  525 0050.</t>
  </si>
  <si>
    <t>PerfectShutters Ltd. Head Office : Unit 3a Bechers Drive, Aintree Racecourse Retail Park (By ScrewFix), Aintree, Merseyside, L9 5AY.</t>
  </si>
  <si>
    <t>Range:</t>
  </si>
  <si>
    <t>Material:</t>
  </si>
  <si>
    <t>Louvre Clearances (From Back of frame)</t>
  </si>
  <si>
    <t>Max Single Panel Width</t>
  </si>
  <si>
    <t>Max Bifold Panel Width</t>
  </si>
  <si>
    <t>Max Panels Hinged together</t>
  </si>
  <si>
    <t>Max Panel Height</t>
  </si>
  <si>
    <t>Special Shapes</t>
  </si>
  <si>
    <t>Custom Bayposts</t>
  </si>
  <si>
    <t>Stile Type</t>
  </si>
  <si>
    <t>Silent Tilt Split</t>
  </si>
  <si>
    <t>Mid Rail Tollerance (Up /Down)</t>
  </si>
  <si>
    <t>Max Louvres (Silent Tilt)</t>
  </si>
  <si>
    <t>Fixed Louvres</t>
  </si>
  <si>
    <t>Solid Panels</t>
  </si>
  <si>
    <t>Full</t>
  </si>
  <si>
    <t>5.4 mm</t>
  </si>
  <si>
    <t>11.7 mm</t>
  </si>
  <si>
    <t>18.7mm</t>
  </si>
  <si>
    <t>Max Panel Width (Top &amp; Bottom Track)</t>
  </si>
  <si>
    <t>Max Panel Width (Top Track Only)</t>
  </si>
  <si>
    <t>Midrail Height</t>
  </si>
  <si>
    <t xml:space="preserve">Mid Rail Required at: </t>
  </si>
  <si>
    <t>Bi-Fold / Bi-Pass</t>
  </si>
  <si>
    <t>Office Use Only</t>
  </si>
  <si>
    <t>Ref no:</t>
  </si>
  <si>
    <t>U</t>
  </si>
  <si>
    <t>C</t>
  </si>
  <si>
    <t>P</t>
  </si>
  <si>
    <t>Sales: Panels</t>
  </si>
  <si>
    <t>Survey: Panels</t>
  </si>
  <si>
    <t>Sales SQM:</t>
  </si>
  <si>
    <t>Postcode:</t>
  </si>
  <si>
    <t>SC Code</t>
  </si>
  <si>
    <t>Number of  Installers:</t>
  </si>
  <si>
    <t>Surveyor:</t>
  </si>
  <si>
    <t>Survey SQM:</t>
  </si>
  <si>
    <t>Sides</t>
  </si>
  <si>
    <t>Style</t>
  </si>
  <si>
    <t>Split</t>
  </si>
  <si>
    <t>TOT 
(Mid2)</t>
  </si>
  <si>
    <t>Quoted?</t>
  </si>
  <si>
    <t>CFG</t>
  </si>
  <si>
    <t>Posts</t>
  </si>
  <si>
    <t>No HTP</t>
  </si>
  <si>
    <t>Misc</t>
  </si>
  <si>
    <t>Designer Notes:</t>
  </si>
  <si>
    <t>Line No:</t>
  </si>
  <si>
    <t>Select</t>
  </si>
  <si>
    <t>Blockout</t>
  </si>
  <si>
    <t>Shutter Notes:</t>
  </si>
  <si>
    <t>Qty</t>
  </si>
  <si>
    <t>Size</t>
  </si>
  <si>
    <t>Cover Strips</t>
  </si>
  <si>
    <t>None</t>
  </si>
  <si>
    <t>Panels</t>
  </si>
  <si>
    <t>C,B,T,G</t>
  </si>
  <si>
    <t>Custom Angle</t>
  </si>
  <si>
    <t>Config:</t>
  </si>
  <si>
    <t>Mid</t>
  </si>
  <si>
    <t xml:space="preserve">Info: </t>
  </si>
  <si>
    <t>Info:</t>
  </si>
  <si>
    <t>C/S</t>
  </si>
  <si>
    <t>Site/Further Info:</t>
  </si>
  <si>
    <t>List Price X Square Meters + Custom Bays + Buildout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</si>
  <si>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</si>
  <si>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</si>
  <si>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</si>
  <si>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</si>
  <si>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</si>
  <si>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</si>
  <si>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</si>
  <si>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</si>
  <si>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</si>
  <si>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</si>
  <si>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</si>
  <si>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</si>
  <si>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</si>
  <si>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</si>
  <si>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</si>
  <si>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</si>
  <si>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</si>
  <si>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Top Track</t>
  </si>
  <si>
    <t>PLM</t>
  </si>
  <si>
    <t>L</t>
  </si>
  <si>
    <t>Cell 1</t>
  </si>
  <si>
    <t>Cell 2</t>
  </si>
  <si>
    <t>Cell 3</t>
  </si>
  <si>
    <t>Cell 4</t>
  </si>
  <si>
    <t>Cell 5</t>
  </si>
  <si>
    <t>Cell 6</t>
  </si>
  <si>
    <t>Cell 7</t>
  </si>
  <si>
    <t>Cell 8</t>
  </si>
  <si>
    <t>Cell 9</t>
  </si>
  <si>
    <t>Cell 10</t>
  </si>
  <si>
    <t>Cell 11</t>
  </si>
  <si>
    <t>S/Shade</t>
  </si>
  <si>
    <t>Per SQM</t>
  </si>
  <si>
    <t>R</t>
  </si>
  <si>
    <t>French Door Cut Out</t>
  </si>
  <si>
    <t>Each</t>
  </si>
  <si>
    <t>LL</t>
  </si>
  <si>
    <t>TGBC LOC</t>
  </si>
  <si>
    <t>Ring Pull</t>
  </si>
  <si>
    <t>RR</t>
  </si>
  <si>
    <t>Work/Error</t>
  </si>
  <si>
    <t>Bolt</t>
  </si>
  <si>
    <t>FF</t>
  </si>
  <si>
    <t>Adjustable Hinge (Samoa)</t>
  </si>
  <si>
    <t>LR</t>
  </si>
  <si>
    <t>Custom Angles</t>
  </si>
  <si>
    <t>Power Motion</t>
  </si>
  <si>
    <t>Per Section</t>
  </si>
  <si>
    <t>L(T)L</t>
  </si>
  <si>
    <t>Silent Tilt</t>
  </si>
  <si>
    <t>Fitting Under 2sqm</t>
  </si>
  <si>
    <t>L(T)R</t>
  </si>
  <si>
    <t>Power Motion Remote</t>
  </si>
  <si>
    <t>R(T)R</t>
  </si>
  <si>
    <t>Track System</t>
  </si>
  <si>
    <t>Custom Colour (Per Colour)</t>
  </si>
  <si>
    <t>Per Colour</t>
  </si>
  <si>
    <t>R(T)L</t>
  </si>
  <si>
    <t>Deposit</t>
  </si>
  <si>
    <t>Hinges Stainless Steel</t>
  </si>
  <si>
    <t>IFC DC</t>
  </si>
  <si>
    <t>L(C)L</t>
  </si>
  <si>
    <t>Auto Close</t>
  </si>
  <si>
    <t>Hinges Brushed Nickel</t>
  </si>
  <si>
    <t>L(C)R</t>
  </si>
  <si>
    <t>Concealed Hinge (Not Antigua)</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</si>
  <si>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</si>
  <si>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</si>
  <si>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</si>
  <si>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</si>
  <si>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</si>
  <si>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</si>
  <si>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</si>
  <si>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</si>
  <si>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</si>
  <si>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</si>
  <si>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</si>
  <si>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</si>
  <si>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</si>
  <si>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</si>
  <si>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</si>
  <si>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</si>
  <si>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</si>
  <si>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Price Calculation Area &amp; Upgrades</t>
  </si>
  <si>
    <t>Configs</t>
  </si>
  <si>
    <t>IFC</t>
  </si>
  <si>
    <t>CB's</t>
  </si>
  <si>
    <t>CB'sCost</t>
  </si>
  <si>
    <t>Top Track or FF</t>
  </si>
  <si>
    <t>Linear Meterage</t>
  </si>
  <si>
    <t>S/Shade SqM</t>
  </si>
  <si>
    <t>S/Tilt SQM</t>
  </si>
  <si>
    <t>Shape</t>
  </si>
  <si>
    <t>Fr/D Cutout</t>
  </si>
  <si>
    <t>CstmColour</t>
  </si>
  <si>
    <t>Hinges</t>
  </si>
  <si>
    <t>Surv/del/inst</t>
  </si>
  <si>
    <t>Sales line 1 Config</t>
  </si>
  <si>
    <t>Survey line 1 Config</t>
  </si>
  <si>
    <t>Sales line 2 Config</t>
  </si>
  <si>
    <t>Survey line 2 Config</t>
  </si>
  <si>
    <t>Sales line 3 Config</t>
  </si>
  <si>
    <t>Survey line 3 Config</t>
  </si>
  <si>
    <t>Sales line 4 Config</t>
  </si>
  <si>
    <t>Survey line 4 Config</t>
  </si>
  <si>
    <t>Sales line 5 Config</t>
  </si>
  <si>
    <t>Survey line 5 Config</t>
  </si>
  <si>
    <t>Sales line 6 Config</t>
  </si>
  <si>
    <t>Survey line 6 Config</t>
  </si>
  <si>
    <t>Deposite Value</t>
  </si>
  <si>
    <t>Sales line 7 Config</t>
  </si>
  <si>
    <t>Survey line 7 Config</t>
  </si>
  <si>
    <t>Sales line 8 Config</t>
  </si>
  <si>
    <t>Survey line 8 Config</t>
  </si>
  <si>
    <t>Sales line 9 Config</t>
  </si>
  <si>
    <t>Survey line 9 Config</t>
  </si>
  <si>
    <t>Sales line 10 Config</t>
  </si>
  <si>
    <t>Survey line 10 Config</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</si>
  <si>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</si>
  <si>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</si>
  <si>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</si>
  <si>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</si>
  <si>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</si>
  <si>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</si>
  <si>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</si>
  <si>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</si>
  <si>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</si>
  <si>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</si>
  <si>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</si>
  <si>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Quoted Price X Square Meters + Custom Bay &amp; Std Shapes</t>
  </si>
  <si>
    <t>Quoted Price - 25% Discount + Bay Posts + Std Shapes + Custom Colours + Hinges</t>
  </si>
  <si>
    <t>Quoted Calculation Area &amp; Upgrades</t>
  </si>
  <si>
    <t>Square Meters per material</t>
  </si>
  <si>
    <t>Quoted Square Meters per material</t>
  </si>
  <si>
    <t>Quoted Price per material</t>
  </si>
  <si>
    <t>Rooms</t>
  </si>
  <si>
    <t>Room2</t>
  </si>
  <si>
    <t>AntiguaL</t>
  </si>
  <si>
    <t>CubaL</t>
  </si>
  <si>
    <t>JavaL</t>
  </si>
  <si>
    <t>FijiL</t>
  </si>
  <si>
    <t>BermudaL</t>
  </si>
  <si>
    <t>SamoaL</t>
  </si>
  <si>
    <t>Frames</t>
  </si>
  <si>
    <t>Frame alowance</t>
  </si>
  <si>
    <t>TiltRod</t>
  </si>
  <si>
    <t>HorizontalPost</t>
  </si>
  <si>
    <t>AntiguaH</t>
  </si>
  <si>
    <t>CubaH</t>
  </si>
  <si>
    <t>JavaH</t>
  </si>
  <si>
    <t>FijiH</t>
  </si>
  <si>
    <t>BermudaH</t>
  </si>
  <si>
    <t>SamoaH</t>
  </si>
  <si>
    <t>Samoa Hinged P</t>
  </si>
  <si>
    <t>Fiji Hinged P</t>
  </si>
  <si>
    <t>Java Hinged P</t>
  </si>
  <si>
    <t>Cuba Hinged P</t>
  </si>
  <si>
    <t>Bermuda Hinged P</t>
  </si>
  <si>
    <t>Antigua Hinged P</t>
  </si>
  <si>
    <t>Living room</t>
  </si>
  <si>
    <t>Left</t>
  </si>
  <si>
    <t>Full Height</t>
  </si>
  <si>
    <t>Pure White</t>
  </si>
  <si>
    <t>47mm</t>
  </si>
  <si>
    <t>Plain L</t>
  </si>
  <si>
    <t>B</t>
  </si>
  <si>
    <t>Central</t>
  </si>
  <si>
    <t>HTP</t>
  </si>
  <si>
    <t>Stainless Steel</t>
  </si>
  <si>
    <t>Dining room</t>
  </si>
  <si>
    <t>Centre</t>
  </si>
  <si>
    <t>Café</t>
  </si>
  <si>
    <t>Silk White</t>
  </si>
  <si>
    <t>Extra White</t>
  </si>
  <si>
    <t>63mm</t>
  </si>
  <si>
    <t>Z Frame</t>
  </si>
  <si>
    <t>DM</t>
  </si>
  <si>
    <t>Silent</t>
  </si>
  <si>
    <t>White</t>
  </si>
  <si>
    <t>Kitchen</t>
  </si>
  <si>
    <t>Right</t>
  </si>
  <si>
    <t>Tier on Tier</t>
  </si>
  <si>
    <t>Pearl</t>
  </si>
  <si>
    <t>76mm</t>
  </si>
  <si>
    <t>Z Tiara</t>
  </si>
  <si>
    <t>Rebate</t>
  </si>
  <si>
    <t>Split Tilt</t>
  </si>
  <si>
    <t>Hall</t>
  </si>
  <si>
    <t>Front</t>
  </si>
  <si>
    <t>Crisp Linen</t>
  </si>
  <si>
    <t>Bright White</t>
  </si>
  <si>
    <t>89mm</t>
  </si>
  <si>
    <t>Camber Deco</t>
  </si>
  <si>
    <t>Offset</t>
  </si>
  <si>
    <t>Bisque</t>
  </si>
  <si>
    <t>Samoa Config</t>
  </si>
  <si>
    <t>Master Bedroom</t>
  </si>
  <si>
    <t>Back</t>
  </si>
  <si>
    <t>String</t>
  </si>
  <si>
    <t>114mm</t>
  </si>
  <si>
    <t>Insert L</t>
  </si>
  <si>
    <t>Custom</t>
  </si>
  <si>
    <t>Antique-Brass</t>
  </si>
  <si>
    <t>Bedroom</t>
  </si>
  <si>
    <t>Bay</t>
  </si>
  <si>
    <t>Sea Mist</t>
  </si>
  <si>
    <t>Ivory Lace</t>
  </si>
  <si>
    <t>Bright-Brass</t>
  </si>
  <si>
    <t>Bright Brass</t>
  </si>
  <si>
    <t>Bathroom</t>
  </si>
  <si>
    <t>Front Left</t>
  </si>
  <si>
    <t>French Door Cutout</t>
  </si>
  <si>
    <t>Stone Grey</t>
  </si>
  <si>
    <t>Creamy</t>
  </si>
  <si>
    <t>Tframes</t>
  </si>
  <si>
    <t>SalesTeam</t>
  </si>
  <si>
    <t>Conservatory</t>
  </si>
  <si>
    <t>Front Right</t>
  </si>
  <si>
    <t>Brown Grey</t>
  </si>
  <si>
    <t>Cameo</t>
  </si>
  <si>
    <t>M Track</t>
  </si>
  <si>
    <t>Discount Reason</t>
  </si>
  <si>
    <t>Anna</t>
  </si>
  <si>
    <t>Black</t>
  </si>
  <si>
    <t>Nickel Plated</t>
  </si>
  <si>
    <t>Landing</t>
  </si>
  <si>
    <t>Front Centre</t>
  </si>
  <si>
    <t>Taupe Grey</t>
  </si>
  <si>
    <t>Track and Board</t>
  </si>
  <si>
    <t>10 % promo</t>
  </si>
  <si>
    <t>Chris</t>
  </si>
  <si>
    <t>Nickle-Plated</t>
  </si>
  <si>
    <t>Ensuite</t>
  </si>
  <si>
    <t>Back Left</t>
  </si>
  <si>
    <t>Surveyors</t>
  </si>
  <si>
    <t>Top Track Only</t>
  </si>
  <si>
    <t>Previous customer</t>
  </si>
  <si>
    <t>Jack</t>
  </si>
  <si>
    <t>Brushed Nickel Plated</t>
  </si>
  <si>
    <t>Back Right</t>
  </si>
  <si>
    <t>Alabaster</t>
  </si>
  <si>
    <t>L,T,R</t>
  </si>
  <si>
    <t>Track Inside</t>
  </si>
  <si>
    <t>Recommendation</t>
  </si>
  <si>
    <t>Jezz</t>
  </si>
  <si>
    <t>Back Centre</t>
  </si>
  <si>
    <t>Butter</t>
  </si>
  <si>
    <t>L,R,B</t>
  </si>
  <si>
    <t>Paul Nixon</t>
  </si>
  <si>
    <t>Track Outside</t>
  </si>
  <si>
    <t>Joe</t>
  </si>
  <si>
    <t>Patio Doors</t>
  </si>
  <si>
    <t>T,R,B</t>
  </si>
  <si>
    <t>Steve Holland</t>
  </si>
  <si>
    <t>Julian</t>
  </si>
  <si>
    <t>Antique Brass</t>
  </si>
  <si>
    <t>Nickel Knob B,Nickel Knob A,Auto Close,</t>
  </si>
  <si>
    <t>Moondust</t>
  </si>
  <si>
    <t>L,T,B</t>
  </si>
  <si>
    <t>John Costello</t>
  </si>
  <si>
    <t>Lisa</t>
  </si>
  <si>
    <t>Concealed Hinge</t>
  </si>
  <si>
    <t>MoonDdust</t>
  </si>
  <si>
    <t>L,T,R + L/Strip</t>
  </si>
  <si>
    <t>Karl Reynolds</t>
  </si>
  <si>
    <t>Telescopic Wand</t>
  </si>
  <si>
    <t>Chai</t>
  </si>
  <si>
    <t>T,R,B + L/Strip</t>
  </si>
  <si>
    <r>
      <t xml:space="preserve">Jose </t>
    </r>
    <r>
      <rPr>
        <sz val="10"/>
        <color theme="1"/>
        <rFont val="Calibri"/>
        <family val="2"/>
        <scheme val="minor"/>
      </rPr>
      <t>Iglesias</t>
    </r>
  </si>
  <si>
    <t>None Std Shape</t>
  </si>
  <si>
    <t>L,T,B + L/Strip</t>
  </si>
  <si>
    <t>Andy Spark</t>
  </si>
  <si>
    <t>Clay</t>
  </si>
  <si>
    <t>Winchester White</t>
  </si>
  <si>
    <t>Winchester White 2010</t>
  </si>
  <si>
    <t>Samoa_Config</t>
  </si>
  <si>
    <t>Samoa_Tracked</t>
  </si>
  <si>
    <t>Mattingley</t>
  </si>
  <si>
    <t>Mattingley 267</t>
  </si>
  <si>
    <t>Mattingley 2671</t>
  </si>
  <si>
    <t>SSFrame</t>
  </si>
  <si>
    <t>Nickel Knob A</t>
  </si>
  <si>
    <t>Classic Black (S/Charge)</t>
  </si>
  <si>
    <t>FFrame</t>
  </si>
  <si>
    <t>Nickel Knob B</t>
  </si>
  <si>
    <t>NO BLACK</t>
  </si>
  <si>
    <t>Rustic Grey</t>
  </si>
  <si>
    <t>Weathered Teak</t>
  </si>
  <si>
    <t>Limed White</t>
  </si>
  <si>
    <t>(C)</t>
  </si>
  <si>
    <t>Pebble</t>
  </si>
  <si>
    <t>(B)</t>
  </si>
  <si>
    <t>LLLL</t>
  </si>
  <si>
    <t>Taupe</t>
  </si>
  <si>
    <t>(CB)</t>
  </si>
  <si>
    <t>RRRR</t>
  </si>
  <si>
    <t>Golden Oak</t>
  </si>
  <si>
    <t>(T)</t>
  </si>
  <si>
    <t>Oak Mantel</t>
  </si>
  <si>
    <t>Oak Mantle</t>
  </si>
  <si>
    <t>(G)</t>
  </si>
  <si>
    <t>Goldenrod</t>
  </si>
  <si>
    <t>Cherry</t>
  </si>
  <si>
    <t>Dark Teak</t>
  </si>
  <si>
    <t>Cordovan</t>
  </si>
  <si>
    <t>Mahogany</t>
  </si>
  <si>
    <t>New Ebony</t>
  </si>
  <si>
    <t>Black Walnut</t>
  </si>
  <si>
    <t>Red Oak</t>
  </si>
  <si>
    <t>Rich Walnut</t>
  </si>
  <si>
    <t>Old Teak</t>
  </si>
  <si>
    <t>Red Mahogany</t>
  </si>
  <si>
    <t>Wnge</t>
  </si>
  <si>
    <t>Dark Mahogany</t>
  </si>
  <si>
    <t>Auburn</t>
  </si>
  <si>
    <t>Wenge</t>
  </si>
  <si>
    <t>Matte Black</t>
  </si>
  <si>
    <t>Toffee</t>
  </si>
  <si>
    <t>Matte Black (S/Charge)</t>
  </si>
  <si>
    <t>Driftwood</t>
  </si>
  <si>
    <t>Silver Grey</t>
  </si>
  <si>
    <t>Mist</t>
  </si>
  <si>
    <t>French Oak</t>
  </si>
  <si>
    <r>
      <t xml:space="preserve">CUSTOMER SUMMARY </t>
    </r>
    <r>
      <rPr>
        <b/>
        <sz val="11"/>
        <color theme="0" tint="-0.249977111117893"/>
        <rFont val="Calibri"/>
        <family val="2"/>
        <scheme val="minor"/>
      </rPr>
      <t>DESIGN SURVEY</t>
    </r>
  </si>
  <si>
    <t>Customer Name:</t>
  </si>
  <si>
    <t>Order Ref:</t>
  </si>
  <si>
    <t>STYLE</t>
  </si>
  <si>
    <t>MATERIAL</t>
  </si>
  <si>
    <t>LOUVRE SIZE</t>
  </si>
  <si>
    <t>TILT OPTION</t>
  </si>
  <si>
    <t>COLOUR</t>
  </si>
  <si>
    <t>Additional Notes:</t>
  </si>
  <si>
    <t>CHECK</t>
  </si>
  <si>
    <t>No of Shutters</t>
  </si>
  <si>
    <t>Second Measure</t>
  </si>
  <si>
    <t>No</t>
  </si>
  <si>
    <t>Bay Angles</t>
  </si>
  <si>
    <t>B-Outs / C-Strips</t>
  </si>
  <si>
    <t>I Agree and confirm the above choices</t>
  </si>
  <si>
    <t>Configuration</t>
  </si>
  <si>
    <t>Obstructions</t>
  </si>
  <si>
    <t>3 Louvres</t>
  </si>
  <si>
    <t>Customers Signature:</t>
  </si>
  <si>
    <t xml:space="preserve">Our Estimated delivery times are currently </t>
  </si>
  <si>
    <t>-</t>
  </si>
  <si>
    <t xml:space="preserve"> Weeks</t>
  </si>
  <si>
    <t>Sales Amount:</t>
  </si>
  <si>
    <t>Deposit:</t>
  </si>
  <si>
    <t>Balance Due</t>
  </si>
  <si>
    <t>The estimated delivery time is correct at the time of survey.</t>
  </si>
  <si>
    <t>TBC</t>
  </si>
  <si>
    <t>Prior to installation there will be no structural or cosmetic works undertaken around the specified window area for my products, including windows, sills and flooring, tiling or plastering of the property as this could compromise installation.</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</si>
  <si>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</si>
  <si>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</si>
  <si>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Delivery Note</t>
  </si>
  <si>
    <t>Custoner Ref:</t>
  </si>
  <si>
    <t>Job completion form</t>
  </si>
  <si>
    <t>Installers:</t>
  </si>
  <si>
    <t>Customer Ref:</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</si>
  <si>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</si>
  <si>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</si>
  <si>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</si>
  <si>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</si>
  <si>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</si>
  <si>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</si>
  <si>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</si>
  <si>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</si>
  <si>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</si>
  <si>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</si>
  <si>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</si>
  <si>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</si>
  <si>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Room</t>
  </si>
  <si>
    <t>Curved Bay, Track Required etc,</t>
  </si>
  <si>
    <t>Office Notes:</t>
  </si>
  <si>
    <t>OFFICE USE ONLY</t>
  </si>
  <si>
    <t>Revisit Booked for:</t>
  </si>
  <si>
    <t>Booked By:</t>
  </si>
  <si>
    <t>Date Booked:</t>
  </si>
  <si>
    <t>Issue Code:</t>
  </si>
  <si>
    <t>EDR Code:</t>
  </si>
  <si>
    <t>I (Print Name)___________________________Confirm that I am happy with my shutter installation and have received the customer</t>
  </si>
  <si>
    <t>handover pack, and I have been given instruction on how to operate and maintain my Perfect Shutters.</t>
  </si>
  <si>
    <t>Signature:</t>
  </si>
  <si>
    <t>List Price</t>
  </si>
  <si>
    <t>Base Price</t>
  </si>
  <si>
    <t>F</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</si>
  <si>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</si>
  <si>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</si>
  <si>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</si>
  <si>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</si>
  <si>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</si>
  <si>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</si>
  <si>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</si>
  <si>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</si>
  <si>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</si>
  <si>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</si>
  <si>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</si>
  <si>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</si>
  <si>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</si>
  <si>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</si>
  <si>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</si>
  <si>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</si>
  <si>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</si>
  <si>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</si>
  <si>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</si>
  <si>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</si>
  <si>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</si>
  <si>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</si>
  <si>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</si>
  <si>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</si>
  <si>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</si>
  <si>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</si>
  <si>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</si>
  <si>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</si>
  <si>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</si>
  <si>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</si>
  <si>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</si>
  <si>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</si>
  <si>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</si>
  <si>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</si>
  <si>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</si>
  <si>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</si>
  <si>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</si>
  <si>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</si>
  <si>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</si>
  <si>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</si>
  <si>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</si>
  <si>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</si>
  <si>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</si>
  <si>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</si>
  <si>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</si>
  <si>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</si>
  <si>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</si>
  <si>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</si>
  <si>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</si>
  <si>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</si>
  <si>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</si>
  <si>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</si>
  <si>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</si>
  <si>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</si>
  <si>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</si>
  <si>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</si>
  <si>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</si>
  <si>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</si>
  <si>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</si>
  <si>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</si>
  <si>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</si>
  <si>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</si>
  <si>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</si>
  <si>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</si>
  <si>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</si>
  <si>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</si>
  <si>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Custom Bay Posts</t>
  </si>
  <si>
    <t>Fixed Luvres</t>
  </si>
  <si>
    <t>Midrail Tollerance</t>
  </si>
  <si>
    <t>Max Louvre Split</t>
  </si>
  <si>
    <t>Bifold/Bipass</t>
  </si>
  <si>
    <t>Column1</t>
  </si>
  <si>
    <t>47 mm</t>
  </si>
  <si>
    <t>152 mm</t>
  </si>
  <si>
    <t>600 mm</t>
  </si>
  <si>
    <t>600 mm (2 Max) (Not for doors)</t>
  </si>
  <si>
    <t>600 mm (2 Max)</t>
  </si>
  <si>
    <t>250 mm</t>
  </si>
  <si>
    <t>3000 mm (See Tech Spech if Over 2500mm)</t>
  </si>
  <si>
    <t>&gt;1879 mm</t>
  </si>
  <si>
    <t>MDF</t>
  </si>
  <si>
    <t>2 (1 If Doorway)</t>
  </si>
  <si>
    <t>Yes</t>
  </si>
  <si>
    <t>Beaded or Plain</t>
  </si>
  <si>
    <t>+/- 19 mm</t>
  </si>
  <si>
    <t>&gt;1385 mm</t>
  </si>
  <si>
    <t>N/A</t>
  </si>
  <si>
    <t>Yes / Yes</t>
  </si>
  <si>
    <t>63 mm</t>
  </si>
  <si>
    <t>750 mm</t>
  </si>
  <si>
    <t>+/- 25 mm</t>
  </si>
  <si>
    <t>&gt;1372 mm</t>
  </si>
  <si>
    <t>76 mm</t>
  </si>
  <si>
    <t>+/- 31 mm</t>
  </si>
  <si>
    <t>89 mm</t>
  </si>
  <si>
    <t>+/- 38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</si>
  <si>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</si>
  <si>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</si>
  <si>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</si>
  <si>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</si>
  <si>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</si>
  <si>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</si>
  <si>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</si>
  <si>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</si>
  <si>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</si>
  <si>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</si>
  <si>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</si>
  <si>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</si>
  <si>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</si>
  <si>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</si>
  <si>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</si>
  <si>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</si>
  <si>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</si>
  <si>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</si>
  <si>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</si>
  <si>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</si>
  <si>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</si>
  <si>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</si>
  <si>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</si>
  <si>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</si>
  <si>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</si>
  <si>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</si>
  <si>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</si>
  <si>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</si>
  <si>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</si>
  <si>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</si>
  <si>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</si>
  <si>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</si>
  <si>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</si>
  <si>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</si>
  <si>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</si>
  <si>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</si>
  <si>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</si>
  <si>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</si>
  <si>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</si>
  <si>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</si>
  <si>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</si>
  <si>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</si>
  <si>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</si>
  <si>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</si>
  <si>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</si>
  <si>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</si>
  <si>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</si>
  <si>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</si>
  <si>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</si>
  <si>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</si>
  <si>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Version: 8F6T</t>
  </si>
  <si>
    <t>Includes current promotion</t>
  </si>
  <si>
    <t xml:space="preserve">      SHUTTERS (RRP):</t>
  </si>
  <si>
    <t>FINANCE OPTION</t>
  </si>
  <si>
    <t>Hinge</t>
  </si>
  <si>
    <t>Promotional discount</t>
  </si>
  <si>
    <t>Other:</t>
  </si>
  <si>
    <t>Sue  Bennett</t>
  </si>
  <si>
    <t>07722 857128</t>
  </si>
  <si>
    <t xml:space="preserve">9 Dale Avenue, Heswall, </t>
  </si>
  <si>
    <t>patio L</t>
  </si>
  <si>
    <t>patio R</t>
  </si>
  <si>
    <t>Survey &amp; Installation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</si>
</sst>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quot;£&quot;#,##0.00\)"/>
    <numFmt numFmtId="165" formatCode="_(&quot;£&quot;* #,##0.00_);_(&quot;£&quot;* \(#,##0.00\);_(&quot;£&quot;* &quot;-&quot;??_);_(@_)"/>
    <numFmt numFmtId="166" formatCode="&quot;£&quot;#,##0"/>
    <numFmt numFmtId="167" formatCode="&quot;£&quot;#,##0.00"/>
    <numFmt numFmtId="168" formatCode="0.0"/>
    <numFmt numFmtId="169" formatCode="0.000"/>
  </numFmts>
  <fonts count="22"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b/>
      <sz val="14"/>
      <name val="Calibri"/>
      <family val="2"/>
      <scheme val="minor"/>
    </font>
  </fonts>
  <fills count="31">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8EA9DB"/>
        <bgColor indexed="64"/>
      </patternFill>
    </fill>
    <fill>
      <patternFill patternType="solid">
        <fgColor rgb="FFFFE699"/>
        <bgColor indexed="64"/>
      </patternFill>
    </fill>
    <fill>
      <patternFill patternType="solid">
        <fgColor rgb="FF92D050"/>
        <bgColor indexed="64"/>
      </patternFill>
    </fill>
    <fill>
      <patternFill patternType="solid">
        <fgColor rgb="FFD1A3BF"/>
        <bgColor indexed="64"/>
      </patternFill>
    </fill>
    <fill>
      <patternFill patternType="solid">
        <fgColor rgb="FF0070C0"/>
        <bgColor indexed="64"/>
      </patternFill>
    </fill>
    <fill>
      <patternFill patternType="solid">
        <fgColor theme="7" tint="0.59999389629810485"/>
        <bgColor indexed="64"/>
      </patternFill>
    </fill>
  </fills>
  <borders count="178">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n">
        <color indexed="64"/>
      </left>
      <right style="thick">
        <color auto="1"/>
      </right>
      <top/>
      <bottom style="medium">
        <color indexed="64"/>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medium">
        <color theme="0"/>
      </top>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theme="0"/>
      </right>
      <top style="medium">
        <color theme="0"/>
      </top>
      <bottom style="medium">
        <color auto="1"/>
      </bottom>
      <diagonal/>
    </border>
    <border>
      <left style="medium">
        <color theme="0"/>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top/>
      <bottom style="thin">
        <color indexed="64"/>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indexed="64"/>
      </left>
      <right style="medium">
        <color rgb="FF000000"/>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thick">
        <color indexed="64"/>
      </top>
      <bottom style="medium">
        <color indexed="64"/>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cellStyleXfs>
  <cellXfs count="960">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8" xfId="0" applyFill="1" applyBorder="1" applyAlignment="1" applyProtection="1">
      <alignment horizontal="center"/>
      <protection locked="0" hidden="1"/>
    </xf>
    <xf numFmtId="0" fontId="0" fillId="4" borderId="19"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166" fontId="0" fillId="4" borderId="19" xfId="0" applyNumberFormat="1" applyFill="1" applyBorder="1" applyProtection="1">
      <protection locked="0" hidden="1"/>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81" xfId="0" applyFill="1" applyBorder="1"/>
    <xf numFmtId="0" fontId="0" fillId="5" borderId="19" xfId="0" applyFill="1" applyBorder="1"/>
    <xf numFmtId="0" fontId="0" fillId="5" borderId="85" xfId="0" applyFill="1" applyBorder="1"/>
    <xf numFmtId="0" fontId="4" fillId="5" borderId="19" xfId="0" applyFont="1" applyFill="1" applyBorder="1" applyAlignment="1">
      <alignment vertical="center"/>
    </xf>
    <xf numFmtId="0" fontId="4" fillId="5" borderId="85" xfId="0" applyFont="1" applyFill="1" applyBorder="1" applyAlignment="1">
      <alignment vertical="center"/>
    </xf>
    <xf numFmtId="0" fontId="0" fillId="0" borderId="19" xfId="0" applyBorder="1"/>
    <xf numFmtId="0" fontId="0" fillId="0" borderId="0" xfId="0" applyAlignment="1">
      <alignment horizontal="center" wrapText="1"/>
    </xf>
    <xf numFmtId="0" fontId="0" fillId="0" borderId="23" xfId="0" applyBorder="1"/>
    <xf numFmtId="0" fontId="0" fillId="0" borderId="87" xfId="0" applyBorder="1"/>
    <xf numFmtId="0" fontId="0" fillId="5" borderId="23" xfId="0" applyFill="1" applyBorder="1"/>
    <xf numFmtId="0" fontId="0" fillId="5" borderId="24" xfId="0" applyFill="1" applyBorder="1"/>
    <xf numFmtId="0" fontId="0" fillId="5" borderId="21" xfId="0" applyFill="1" applyBorder="1"/>
    <xf numFmtId="0" fontId="0" fillId="5" borderId="88" xfId="0" applyFill="1" applyBorder="1"/>
    <xf numFmtId="0" fontId="0" fillId="5" borderId="38" xfId="0" applyFill="1" applyBorder="1"/>
    <xf numFmtId="0" fontId="6" fillId="4" borderId="18" xfId="0" applyFont="1" applyFill="1" applyBorder="1" applyAlignment="1">
      <alignment horizontal="center"/>
    </xf>
    <xf numFmtId="0" fontId="0" fillId="0" borderId="19" xfId="0" applyBorder="1" applyAlignment="1">
      <alignment horizontal="center" vertical="top"/>
    </xf>
    <xf numFmtId="0" fontId="0" fillId="0" borderId="19" xfId="0" applyBorder="1" applyAlignment="1">
      <alignment vertical="top"/>
    </xf>
    <xf numFmtId="0" fontId="0" fillId="0" borderId="85"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1"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2" xfId="0" applyFill="1" applyBorder="1" applyAlignment="1">
      <alignment horizontal="center" vertical="center" wrapText="1"/>
    </xf>
    <xf numFmtId="0" fontId="0" fillId="0" borderId="81" xfId="0" applyBorder="1" applyAlignment="1">
      <alignment horizontal="center" vertical="center"/>
    </xf>
    <xf numFmtId="0" fontId="0" fillId="0" borderId="93"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5" xfId="0" applyBorder="1" applyAlignment="1">
      <alignment horizontal="center" vertical="center"/>
    </xf>
    <xf numFmtId="0" fontId="0" fillId="0" borderId="94" xfId="0" applyBorder="1" applyAlignment="1">
      <alignment horizontal="center" vertical="center"/>
    </xf>
    <xf numFmtId="0" fontId="0" fillId="8" borderId="0" xfId="0" applyFill="1"/>
    <xf numFmtId="167"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7"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7" fontId="0" fillId="0" borderId="0" xfId="0" applyNumberFormat="1" applyAlignment="1">
      <alignment horizontal="center"/>
    </xf>
    <xf numFmtId="167"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68"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8" xfId="0" applyFont="1" applyFill="1" applyBorder="1"/>
    <xf numFmtId="2" fontId="0" fillId="0" borderId="99" xfId="0" applyNumberFormat="1" applyBorder="1"/>
    <xf numFmtId="2" fontId="0" fillId="0" borderId="100" xfId="0" applyNumberFormat="1" applyBorder="1"/>
    <xf numFmtId="0" fontId="4" fillId="4" borderId="0" xfId="0" applyFont="1" applyFill="1"/>
    <xf numFmtId="0" fontId="0" fillId="4" borderId="0" xfId="0" applyFill="1" applyAlignment="1">
      <alignment horizontal="left"/>
    </xf>
    <xf numFmtId="0" fontId="0" fillId="5" borderId="103" xfId="0" applyFill="1" applyBorder="1"/>
    <xf numFmtId="0" fontId="0" fillId="5" borderId="107"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10" xfId="0" applyFill="1" applyBorder="1"/>
    <xf numFmtId="0" fontId="4" fillId="5" borderId="0" xfId="0" applyFont="1" applyFill="1" applyAlignment="1">
      <alignment horizontal="left" indent="3"/>
    </xf>
    <xf numFmtId="0" fontId="4" fillId="5" borderId="0" xfId="0" applyFont="1" applyFill="1" applyAlignment="1">
      <alignment horizontal="center"/>
    </xf>
    <xf numFmtId="165" fontId="0" fillId="5" borderId="0" xfId="1" applyFont="1" applyFill="1" applyAlignment="1"/>
    <xf numFmtId="165"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7" fontId="0" fillId="5" borderId="19" xfId="0" applyNumberFormat="1" applyFill="1" applyBorder="1" applyAlignment="1">
      <alignment horizontal="center"/>
    </xf>
    <xf numFmtId="0" fontId="0" fillId="5" borderId="19" xfId="0" applyFill="1" applyBorder="1" applyAlignment="1">
      <alignment horizontal="center"/>
    </xf>
    <xf numFmtId="167" fontId="0" fillId="5" borderId="19" xfId="0" applyNumberFormat="1" applyFill="1" applyBorder="1" applyAlignment="1">
      <alignment horizontal="center" vertical="center"/>
    </xf>
    <xf numFmtId="0" fontId="0" fillId="0" borderId="11" xfId="0" applyBorder="1"/>
    <xf numFmtId="0" fontId="0" fillId="22" borderId="0" xfId="0" applyFill="1"/>
    <xf numFmtId="169"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2" xfId="0" applyBorder="1"/>
    <xf numFmtId="167" fontId="4" fillId="0" borderId="113" xfId="0" applyNumberFormat="1" applyFont="1" applyBorder="1" applyAlignment="1">
      <alignment horizontal="center"/>
    </xf>
    <xf numFmtId="167" fontId="4" fillId="0" borderId="114" xfId="0" applyNumberFormat="1" applyFont="1" applyBorder="1" applyAlignment="1">
      <alignment horizontal="center"/>
    </xf>
    <xf numFmtId="167" fontId="4" fillId="0" borderId="115" xfId="0" applyNumberFormat="1" applyFont="1" applyBorder="1" applyAlignment="1">
      <alignment horizontal="center"/>
    </xf>
    <xf numFmtId="167" fontId="0" fillId="0" borderId="116" xfId="0" applyNumberFormat="1" applyBorder="1" applyAlignment="1">
      <alignment horizontal="center"/>
    </xf>
    <xf numFmtId="0" fontId="0" fillId="0" borderId="117" xfId="0" applyBorder="1"/>
    <xf numFmtId="167" fontId="0" fillId="0" borderId="8" xfId="0" applyNumberFormat="1" applyBorder="1" applyAlignment="1">
      <alignment horizontal="center"/>
    </xf>
    <xf numFmtId="167" fontId="0" fillId="0" borderId="118" xfId="0" applyNumberFormat="1" applyBorder="1" applyAlignment="1">
      <alignment horizontal="center"/>
    </xf>
    <xf numFmtId="167" fontId="0" fillId="0" borderId="119" xfId="0" applyNumberFormat="1" applyBorder="1" applyAlignment="1">
      <alignment horizontal="center"/>
    </xf>
    <xf numFmtId="1" fontId="0" fillId="0" borderId="0" xfId="0" applyNumberFormat="1" applyAlignment="1">
      <alignment horizontal="center"/>
    </xf>
    <xf numFmtId="0" fontId="0" fillId="0" borderId="99" xfId="0" applyBorder="1"/>
    <xf numFmtId="0" fontId="0" fillId="0" borderId="100"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7" fontId="0" fillId="0" borderId="98" xfId="0" applyNumberFormat="1" applyBorder="1"/>
    <xf numFmtId="167" fontId="0" fillId="0" borderId="99" xfId="0" applyNumberFormat="1" applyBorder="1"/>
    <xf numFmtId="167" fontId="0" fillId="0" borderId="100"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7" xfId="0" applyFill="1" applyBorder="1"/>
    <xf numFmtId="0" fontId="0" fillId="4" borderId="83" xfId="0" applyFill="1" applyBorder="1"/>
    <xf numFmtId="0" fontId="0" fillId="4" borderId="90" xfId="0" applyFill="1" applyBorder="1"/>
    <xf numFmtId="0" fontId="0" fillId="4" borderId="120" xfId="0" applyFill="1" applyBorder="1"/>
    <xf numFmtId="0" fontId="4" fillId="5" borderId="79" xfId="0" applyFont="1" applyFill="1" applyBorder="1"/>
    <xf numFmtId="0" fontId="4" fillId="5" borderId="80" xfId="0" applyFont="1" applyFill="1" applyBorder="1"/>
    <xf numFmtId="0" fontId="0" fillId="4" borderId="121" xfId="0" applyFill="1" applyBorder="1"/>
    <xf numFmtId="0" fontId="0" fillId="4" borderId="122" xfId="0" applyFill="1" applyBorder="1" applyAlignment="1">
      <alignment horizontal="center"/>
    </xf>
    <xf numFmtId="0" fontId="0" fillId="4" borderId="41" xfId="0" applyFill="1" applyBorder="1"/>
    <xf numFmtId="0" fontId="4" fillId="5" borderId="87" xfId="0" applyFont="1" applyFill="1" applyBorder="1" applyAlignment="1">
      <alignment horizontal="center"/>
    </xf>
    <xf numFmtId="0" fontId="0" fillId="4" borderId="82" xfId="0" applyFill="1" applyBorder="1" applyAlignment="1">
      <alignment horizontal="left"/>
    </xf>
    <xf numFmtId="0" fontId="0" fillId="4" borderId="120" xfId="0" applyFill="1" applyBorder="1" applyAlignment="1">
      <alignment horizontal="center"/>
    </xf>
    <xf numFmtId="0" fontId="0" fillId="4" borderId="83" xfId="0" applyFill="1" applyBorder="1" applyAlignment="1">
      <alignment horizontal="center"/>
    </xf>
    <xf numFmtId="0" fontId="0" fillId="4" borderId="82"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167" fontId="0" fillId="0" borderId="126" xfId="0" applyNumberFormat="1" applyBorder="1" applyAlignment="1">
      <alignment horizontal="center" vertical="center"/>
    </xf>
    <xf numFmtId="167" fontId="0" fillId="0" borderId="125" xfId="0" applyNumberFormat="1" applyBorder="1" applyAlignment="1">
      <alignment horizontal="center" vertical="center"/>
    </xf>
    <xf numFmtId="9" fontId="0" fillId="4" borderId="0" xfId="0" applyNumberFormat="1" applyFill="1" applyProtection="1">
      <protection locked="0"/>
    </xf>
    <xf numFmtId="166" fontId="0" fillId="0" borderId="0" xfId="0" applyNumberFormat="1"/>
    <xf numFmtId="0" fontId="0" fillId="5" borderId="128" xfId="0" applyFill="1" applyBorder="1" applyAlignment="1">
      <alignment horizontal="left"/>
    </xf>
    <xf numFmtId="0" fontId="0" fillId="5" borderId="128" xfId="0" applyFill="1" applyBorder="1"/>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2" fontId="0" fillId="4" borderId="19" xfId="0" applyNumberFormat="1" applyFill="1" applyBorder="1" applyAlignment="1" applyProtection="1">
      <alignment horizontal="center"/>
      <protection hidden="1"/>
    </xf>
    <xf numFmtId="166" fontId="0" fillId="4" borderId="21" xfId="0" applyNumberFormat="1" applyFill="1" applyBorder="1" applyProtection="1">
      <protection hidden="1"/>
    </xf>
    <xf numFmtId="2" fontId="0" fillId="0" borderId="19" xfId="0" applyNumberFormat="1" applyBorder="1" applyAlignment="1" applyProtection="1">
      <alignment horizontal="center"/>
      <protection hidden="1"/>
    </xf>
    <xf numFmtId="166" fontId="0" fillId="0" borderId="19" xfId="0" applyNumberFormat="1" applyBorder="1" applyProtection="1">
      <protection hidden="1"/>
    </xf>
    <xf numFmtId="166" fontId="0" fillId="4" borderId="19" xfId="0" applyNumberFormat="1" applyFill="1" applyBorder="1" applyProtection="1">
      <protection hidden="1"/>
    </xf>
    <xf numFmtId="1" fontId="0" fillId="0" borderId="19" xfId="0" applyNumberFormat="1" applyBorder="1" applyAlignment="1" applyProtection="1">
      <alignment horizontal="center"/>
      <protection hidden="1"/>
    </xf>
    <xf numFmtId="1" fontId="0" fillId="4" borderId="19" xfId="0" applyNumberFormat="1" applyFill="1" applyBorder="1" applyAlignment="1" applyProtection="1">
      <alignment horizontal="center"/>
      <protection hidden="1"/>
    </xf>
    <xf numFmtId="2" fontId="4" fillId="4" borderId="19" xfId="0" applyNumberFormat="1" applyFont="1" applyFill="1" applyBorder="1" applyAlignment="1" applyProtection="1">
      <alignment horizontal="center"/>
      <protection hidden="1"/>
    </xf>
    <xf numFmtId="166" fontId="4" fillId="4" borderId="21" xfId="0" applyNumberFormat="1" applyFont="1" applyFill="1" applyBorder="1" applyProtection="1">
      <protection hidden="1"/>
    </xf>
    <xf numFmtId="166"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166" fontId="0" fillId="4" borderId="21" xfId="0" applyNumberFormat="1" applyFill="1" applyBorder="1" applyProtection="1">
      <protection locked="0" hidden="1"/>
    </xf>
    <xf numFmtId="9" fontId="0" fillId="5" borderId="19" xfId="0" applyNumberFormat="1" applyFill="1" applyBorder="1"/>
    <xf numFmtId="166" fontId="0" fillId="5" borderId="19" xfId="0" applyNumberFormat="1" applyFill="1" applyBorder="1"/>
    <xf numFmtId="0" fontId="0" fillId="5" borderId="79" xfId="0" applyFill="1" applyBorder="1"/>
    <xf numFmtId="0" fontId="0" fillId="5" borderId="32" xfId="0" applyFill="1" applyBorder="1"/>
    <xf numFmtId="0" fontId="0" fillId="5" borderId="80" xfId="0" applyFill="1" applyBorder="1"/>
    <xf numFmtId="0" fontId="0" fillId="5" borderId="89" xfId="0" applyFill="1" applyBorder="1"/>
    <xf numFmtId="0" fontId="0" fillId="5" borderId="90" xfId="0" applyFill="1" applyBorder="1"/>
    <xf numFmtId="0" fontId="0" fillId="5" borderId="82" xfId="0" applyFill="1" applyBorder="1"/>
    <xf numFmtId="0" fontId="0" fillId="5" borderId="41" xfId="0" applyFill="1" applyBorder="1"/>
    <xf numFmtId="0" fontId="0" fillId="5" borderId="41" xfId="0" applyFill="1" applyBorder="1" applyAlignment="1">
      <alignment horizontal="left"/>
    </xf>
    <xf numFmtId="0" fontId="0" fillId="5" borderId="83" xfId="0" applyFill="1" applyBorder="1"/>
    <xf numFmtId="0" fontId="0" fillId="5" borderId="123" xfId="0" applyFill="1" applyBorder="1"/>
    <xf numFmtId="0" fontId="0" fillId="5" borderId="120" xfId="0" applyFill="1" applyBorder="1"/>
    <xf numFmtId="0" fontId="8" fillId="5" borderId="32" xfId="0" applyFont="1" applyFill="1" applyBorder="1"/>
    <xf numFmtId="0" fontId="19" fillId="5" borderId="102" xfId="0" applyFont="1" applyFill="1" applyBorder="1"/>
    <xf numFmtId="0" fontId="4" fillId="5" borderId="89" xfId="0" applyFont="1" applyFill="1" applyBorder="1"/>
    <xf numFmtId="0" fontId="6" fillId="5" borderId="89" xfId="0" applyFont="1" applyFill="1" applyBorder="1"/>
    <xf numFmtId="0" fontId="4" fillId="5" borderId="139" xfId="0" applyFont="1" applyFill="1" applyBorder="1"/>
    <xf numFmtId="167" fontId="0" fillId="5" borderId="90" xfId="0" applyNumberFormat="1" applyFill="1" applyBorder="1"/>
    <xf numFmtId="0" fontId="4" fillId="5" borderId="141" xfId="0" applyFont="1" applyFill="1" applyBorder="1" applyAlignment="1">
      <alignment horizontal="left"/>
    </xf>
    <xf numFmtId="166" fontId="0" fillId="5" borderId="25" xfId="0" applyNumberFormat="1" applyFill="1" applyBorder="1"/>
    <xf numFmtId="0" fontId="0" fillId="4" borderId="32" xfId="0" applyFill="1" applyBorder="1"/>
    <xf numFmtId="0" fontId="0" fillId="4" borderId="80" xfId="0" applyFill="1" applyBorder="1"/>
    <xf numFmtId="0" fontId="0" fillId="0" borderId="83" xfId="0" applyBorder="1"/>
    <xf numFmtId="0" fontId="0" fillId="4" borderId="79" xfId="0" applyFill="1" applyBorder="1"/>
    <xf numFmtId="0" fontId="0" fillId="4" borderId="89" xfId="0" applyFill="1" applyBorder="1"/>
    <xf numFmtId="0" fontId="0" fillId="4" borderId="89" xfId="0" applyFill="1" applyBorder="1" applyAlignment="1">
      <alignment horizontal="left"/>
    </xf>
    <xf numFmtId="0" fontId="0" fillId="4" borderId="89" xfId="0" applyFill="1" applyBorder="1" applyAlignment="1">
      <alignment vertical="top"/>
    </xf>
    <xf numFmtId="0" fontId="0" fillId="4" borderId="82"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9"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169" fontId="0" fillId="4" borderId="0" xfId="0" applyNumberFormat="1" applyFill="1"/>
    <xf numFmtId="0" fontId="18" fillId="4" borderId="0" xfId="0" applyFont="1" applyFill="1"/>
    <xf numFmtId="0" fontId="18" fillId="4" borderId="0" xfId="0" applyFont="1" applyFill="1" applyAlignment="1">
      <alignment horizontal="center"/>
    </xf>
    <xf numFmtId="0" fontId="18" fillId="4" borderId="89" xfId="0" applyFont="1" applyFill="1" applyBorder="1" applyAlignment="1">
      <alignment horizontal="left"/>
    </xf>
    <xf numFmtId="0" fontId="18" fillId="4" borderId="0" xfId="0" applyFont="1" applyFill="1" applyAlignment="1">
      <alignment horizontal="left"/>
    </xf>
    <xf numFmtId="0" fontId="0" fillId="4" borderId="51" xfId="0" applyFill="1" applyBorder="1" applyProtection="1">
      <protection locked="0"/>
    </xf>
    <xf numFmtId="0" fontId="0" fillId="4" borderId="52" xfId="0" applyFill="1" applyBorder="1" applyProtection="1">
      <protection locked="0"/>
    </xf>
    <xf numFmtId="0" fontId="0" fillId="6" borderId="147" xfId="0" applyFill="1" applyBorder="1" applyAlignment="1" applyProtection="1">
      <alignment vertical="center"/>
      <protection locked="0" hidden="1"/>
    </xf>
    <xf numFmtId="0" fontId="0" fillId="6" borderId="145" xfId="0" applyFill="1" applyBorder="1" applyAlignment="1" applyProtection="1">
      <alignment vertical="center"/>
      <protection locked="0" hidden="1"/>
    </xf>
    <xf numFmtId="2" fontId="0" fillId="4" borderId="11" xfId="0" applyNumberFormat="1" applyFill="1" applyBorder="1" applyAlignment="1" applyProtection="1">
      <alignment horizontal="center"/>
      <protection hidden="1"/>
    </xf>
    <xf numFmtId="166" fontId="0" fillId="4" borderId="59" xfId="0" applyNumberFormat="1" applyFill="1" applyBorder="1" applyProtection="1">
      <protection hidden="1"/>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48" xfId="0" applyFill="1" applyBorder="1" applyAlignment="1">
      <alignment vertical="top"/>
    </xf>
    <xf numFmtId="0" fontId="0" fillId="4" borderId="149" xfId="0" applyFill="1" applyBorder="1" applyAlignment="1">
      <alignment vertical="top"/>
    </xf>
    <xf numFmtId="0" fontId="0" fillId="4" borderId="150" xfId="0" applyFill="1" applyBorder="1"/>
    <xf numFmtId="2" fontId="0" fillId="4" borderId="151" xfId="0" applyNumberFormat="1" applyFill="1" applyBorder="1" applyAlignment="1">
      <alignment horizontal="center"/>
    </xf>
    <xf numFmtId="0" fontId="0" fillId="4" borderId="85" xfId="0" applyFill="1" applyBorder="1"/>
    <xf numFmtId="2" fontId="0" fillId="4" borderId="94"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5" borderId="9" xfId="0" applyFill="1" applyBorder="1" applyProtection="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38" xfId="0" applyFill="1" applyBorder="1" applyAlignment="1" applyProtection="1">
      <alignment horizontal="center" vertical="top"/>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65" xfId="0" applyFill="1" applyBorder="1" applyAlignment="1" applyProtection="1">
      <alignment vertical="center" shrinkToFit="1"/>
      <protection locked="0" hidden="1"/>
    </xf>
    <xf numFmtId="0" fontId="0" fillId="6" borderId="166" xfId="0" applyFill="1" applyBorder="1" applyAlignment="1" applyProtection="1">
      <alignment horizontal="center" vertical="center"/>
      <protection locked="0" hidden="1"/>
    </xf>
    <xf numFmtId="0" fontId="0" fillId="6" borderId="165" xfId="0" applyFill="1" applyBorder="1" applyAlignment="1" applyProtection="1">
      <alignment horizontal="center" vertical="center"/>
      <protection locked="0" hidden="1"/>
    </xf>
    <xf numFmtId="166" fontId="0" fillId="4" borderId="0" xfId="0" applyNumberFormat="1" applyFill="1" applyProtection="1">
      <protection locked="0" hidden="1"/>
    </xf>
    <xf numFmtId="0" fontId="8" fillId="5" borderId="32" xfId="0" applyFont="1" applyFill="1" applyBorder="1" applyAlignment="1"/>
    <xf numFmtId="0" fontId="0" fillId="4" borderId="160" xfId="0" applyFill="1" applyBorder="1" applyAlignment="1" applyProtection="1">
      <protection locked="0" hidden="1"/>
    </xf>
    <xf numFmtId="0" fontId="0" fillId="4" borderId="56" xfId="0" applyFill="1" applyBorder="1" applyAlignment="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166" fontId="0" fillId="4" borderId="172" xfId="0" applyNumberFormat="1" applyFill="1" applyBorder="1" applyProtection="1">
      <protection locked="0" hidden="1"/>
    </xf>
    <xf numFmtId="0" fontId="4" fillId="6" borderId="155" xfId="0" applyFont="1" applyFill="1" applyBorder="1" applyAlignment="1" applyProtection="1">
      <alignment horizontal="center" vertical="center"/>
      <protection locked="0" hidden="1"/>
    </xf>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63" xfId="0" applyFill="1" applyBorder="1" applyAlignment="1" applyProtection="1">
      <alignment horizontal="left" vertical="top"/>
      <protection locked="0"/>
    </xf>
    <xf numFmtId="0" fontId="0" fillId="4" borderId="37"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36" xfId="0" applyFill="1" applyBorder="1" applyAlignment="1" applyProtection="1">
      <alignment horizontal="left" vertical="top"/>
      <protection locked="0"/>
    </xf>
    <xf numFmtId="0" fontId="0" fillId="4" borderId="59" xfId="0" applyFill="1" applyBorder="1" applyAlignment="1" applyProtection="1">
      <alignment horizontal="left" vertical="top"/>
      <protection locked="0"/>
    </xf>
    <xf numFmtId="0" fontId="0" fillId="4" borderId="54" xfId="0" applyFill="1" applyBorder="1" applyAlignment="1" applyProtection="1">
      <alignment horizontal="left" vertical="top"/>
      <protection locked="0"/>
    </xf>
    <xf numFmtId="0" fontId="0" fillId="4" borderId="58" xfId="0" applyFill="1" applyBorder="1" applyAlignment="1" applyProtection="1">
      <alignment horizontal="left" vertical="top"/>
      <protection locked="0"/>
    </xf>
    <xf numFmtId="0" fontId="0" fillId="6" borderId="10" xfId="0"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13" xfId="0" applyFill="1" applyBorder="1" applyAlignment="1" applyProtection="1">
      <alignment horizontal="center"/>
      <protection locked="0" hidden="1"/>
    </xf>
    <xf numFmtId="0" fontId="0" fillId="6" borderId="14" xfId="0" applyFill="1" applyBorder="1" applyAlignment="1" applyProtection="1">
      <alignment horizontal="center"/>
      <protection locked="0" hidden="1"/>
    </xf>
    <xf numFmtId="0" fontId="0" fillId="6" borderId="26" xfId="0" applyFill="1" applyBorder="1" applyAlignment="1" applyProtection="1">
      <alignment horizontal="center" vertical="center"/>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6" borderId="21" xfId="0" applyFill="1" applyBorder="1" applyAlignment="1" applyProtection="1">
      <alignment horizontal="center"/>
      <protection locked="0" hidden="1"/>
    </xf>
    <xf numFmtId="0" fontId="0" fillId="6" borderId="22" xfId="0" applyFill="1" applyBorder="1" applyAlignment="1" applyProtection="1">
      <alignment horizontal="center"/>
      <protection locked="0"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27" xfId="0" applyFill="1" applyBorder="1" applyAlignment="1" applyProtection="1">
      <alignment horizontal="left" vertical="top"/>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124" xfId="0" applyFill="1" applyBorder="1" applyAlignment="1" applyProtection="1">
      <alignment horizontal="center" vertical="center"/>
      <protection locked="0" hidden="1"/>
    </xf>
    <xf numFmtId="0" fontId="0" fillId="5" borderId="124" xfId="0" applyFill="1" applyBorder="1" applyAlignment="1" applyProtection="1">
      <alignment horizontal="center" vertical="center" wrapText="1"/>
      <protection locked="0" hidden="1"/>
    </xf>
    <xf numFmtId="0" fontId="0" fillId="6" borderId="124" xfId="0" applyFill="1" applyBorder="1" applyAlignment="1" applyProtection="1">
      <alignment horizontal="center" vertical="center" wrapText="1"/>
      <protection locked="0" hidden="1"/>
    </xf>
    <xf numFmtId="0" fontId="0" fillId="6" borderId="27" xfId="0" applyFill="1" applyBorder="1" applyAlignment="1" applyProtection="1">
      <alignment horizontal="left" vertical="top" wrapText="1"/>
      <protection locked="0" hidden="1"/>
    </xf>
    <xf numFmtId="0" fontId="0" fillId="4" borderId="31"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6" xfId="0" applyFill="1" applyBorder="1" applyAlignment="1" applyProtection="1">
      <alignment horizontal="left" vertical="top"/>
      <protection locked="0" hidden="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2" xfId="0" applyFill="1" applyBorder="1" applyAlignment="1" applyProtection="1">
      <alignment horizontal="left" vertical="top"/>
      <protection locked="0" hidden="1"/>
    </xf>
    <xf numFmtId="0" fontId="0" fillId="4" borderId="10"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5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0" fontId="0" fillId="4" borderId="158" xfId="0" applyFill="1" applyBorder="1" applyAlignment="1" applyProtection="1">
      <alignment horizontal="center"/>
      <protection hidden="1"/>
    </xf>
    <xf numFmtId="0" fontId="0" fillId="4" borderId="58" xfId="0" applyFill="1" applyBorder="1" applyAlignment="1" applyProtection="1">
      <alignment horizontal="center"/>
      <protection hidden="1"/>
    </xf>
    <xf numFmtId="167" fontId="0" fillId="4" borderId="11" xfId="0" applyNumberFormat="1" applyFill="1" applyBorder="1" applyAlignment="1" applyProtection="1">
      <alignment horizontal="right"/>
      <protection hidden="1"/>
    </xf>
    <xf numFmtId="167" fontId="0" fillId="4" borderId="168" xfId="0" applyNumberFormat="1" applyFill="1" applyBorder="1" applyAlignment="1" applyProtection="1">
      <alignment horizontal="right"/>
      <protection hidden="1"/>
    </xf>
    <xf numFmtId="0" fontId="0" fillId="6" borderId="144" xfId="0" applyFill="1" applyBorder="1" applyAlignment="1" applyProtection="1">
      <alignment horizontal="center" vertical="center"/>
      <protection locked="0" hidden="1"/>
    </xf>
    <xf numFmtId="0" fontId="0" fillId="6" borderId="145" xfId="0" applyFill="1" applyBorder="1" applyAlignment="1" applyProtection="1">
      <alignment horizontal="center" vertical="center"/>
      <protection locked="0" hidden="1"/>
    </xf>
    <xf numFmtId="0" fontId="0" fillId="6" borderId="146" xfId="0" applyFill="1" applyBorder="1" applyAlignment="1" applyProtection="1">
      <alignment horizontal="center" vertical="center"/>
      <protection locked="0" hidden="1"/>
    </xf>
    <xf numFmtId="0" fontId="0" fillId="6" borderId="163" xfId="0" applyFill="1" applyBorder="1" applyAlignment="1" applyProtection="1">
      <alignment horizontal="center" vertical="center"/>
      <protection locked="0" hidden="1"/>
    </xf>
    <xf numFmtId="0" fontId="0" fillId="6" borderId="164" xfId="0" applyFill="1" applyBorder="1" applyAlignment="1" applyProtection="1">
      <alignment horizontal="center" vertical="center"/>
      <protection locked="0" hidden="1"/>
    </xf>
    <xf numFmtId="0" fontId="0" fillId="6" borderId="166" xfId="0" applyFill="1" applyBorder="1" applyAlignment="1" applyProtection="1">
      <alignment horizontal="center" vertical="center"/>
      <protection locked="0" hidden="1"/>
    </xf>
    <xf numFmtId="0" fontId="0" fillId="6" borderId="167" xfId="0" applyFill="1" applyBorder="1" applyAlignment="1" applyProtection="1">
      <alignment horizontal="center" vertical="center"/>
      <protection locked="0" hidden="1"/>
    </xf>
    <xf numFmtId="0" fontId="0" fillId="6" borderId="144" xfId="0" applyFill="1" applyBorder="1" applyAlignment="1" applyProtection="1">
      <alignment horizontal="left" vertical="center"/>
      <protection locked="0" hidden="1"/>
    </xf>
    <xf numFmtId="0" fontId="0" fillId="6" borderId="145" xfId="0" applyFill="1" applyBorder="1" applyAlignment="1" applyProtection="1">
      <alignment horizontal="left" vertical="center"/>
      <protection locked="0" hidden="1"/>
    </xf>
    <xf numFmtId="0" fontId="0" fillId="6" borderId="177" xfId="0" applyFill="1" applyBorder="1" applyAlignment="1" applyProtection="1">
      <alignment horizontal="left" vertical="center"/>
      <protection locked="0" hidden="1"/>
    </xf>
    <xf numFmtId="0" fontId="0" fillId="6" borderId="162" xfId="0"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0" fontId="0" fillId="0" borderId="160" xfId="0" applyBorder="1" applyAlignment="1" applyProtection="1">
      <alignment horizontal="center"/>
      <protection hidden="1"/>
    </xf>
    <xf numFmtId="0" fontId="0" fillId="0" borderId="22" xfId="0" applyBorder="1" applyAlignment="1" applyProtection="1">
      <alignment horizontal="center"/>
      <protection hidden="1"/>
    </xf>
    <xf numFmtId="167" fontId="0" fillId="4" borderId="19" xfId="0" applyNumberFormat="1" applyFill="1" applyBorder="1" applyAlignment="1" applyProtection="1">
      <alignment horizontal="right"/>
      <protection hidden="1"/>
    </xf>
    <xf numFmtId="167" fontId="0" fillId="4" borderId="169" xfId="0" applyNumberFormat="1" applyFill="1" applyBorder="1" applyAlignment="1" applyProtection="1">
      <alignment horizontal="right"/>
      <protection hidden="1"/>
    </xf>
    <xf numFmtId="9" fontId="0" fillId="4" borderId="174" xfId="0" applyNumberFormat="1" applyFill="1" applyBorder="1" applyAlignment="1" applyProtection="1">
      <alignment horizontal="center"/>
      <protection hidden="1"/>
    </xf>
    <xf numFmtId="9" fontId="0" fillId="4" borderId="157" xfId="0" applyNumberFormat="1" applyFill="1" applyBorder="1" applyAlignment="1" applyProtection="1">
      <alignment horizontal="center"/>
      <protection hidden="1"/>
    </xf>
    <xf numFmtId="9" fontId="0" fillId="4" borderId="175" xfId="0" applyNumberFormat="1" applyFill="1" applyBorder="1" applyAlignment="1" applyProtection="1">
      <alignment horizontal="center"/>
      <protection hidden="1"/>
    </xf>
    <xf numFmtId="9" fontId="0" fillId="4" borderId="156" xfId="0" quotePrefix="1" applyNumberFormat="1" applyFill="1" applyBorder="1" applyAlignment="1" applyProtection="1">
      <alignment horizontal="center"/>
      <protection hidden="1"/>
    </xf>
    <xf numFmtId="9" fontId="0" fillId="4" borderId="155" xfId="0" applyNumberFormat="1" applyFill="1" applyBorder="1" applyAlignment="1" applyProtection="1">
      <alignment horizontal="center"/>
      <protection hidden="1"/>
    </xf>
    <xf numFmtId="9" fontId="0" fillId="4" borderId="176" xfId="0" applyNumberFormat="1" applyFill="1" applyBorder="1" applyAlignment="1" applyProtection="1">
      <alignment horizontal="center"/>
      <protection hidden="1"/>
    </xf>
    <xf numFmtId="166" fontId="4" fillId="4" borderId="155" xfId="0" applyNumberFormat="1" applyFont="1" applyFill="1" applyBorder="1" applyAlignment="1" applyProtection="1">
      <alignment horizontal="center" vertical="center"/>
      <protection hidden="1"/>
    </xf>
    <xf numFmtId="0" fontId="4" fillId="4" borderId="155" xfId="0" applyFont="1" applyFill="1" applyBorder="1" applyAlignment="1" applyProtection="1">
      <alignment horizontal="center" vertical="center"/>
      <protection hidden="1"/>
    </xf>
    <xf numFmtId="166" fontId="4" fillId="4" borderId="155" xfId="0" applyNumberFormat="1" applyFont="1" applyFill="1" applyBorder="1" applyAlignment="1" applyProtection="1">
      <alignment horizontal="center" vertical="center"/>
      <protection locked="0" hidden="1"/>
    </xf>
    <xf numFmtId="0" fontId="4" fillId="4" borderId="155" xfId="0" applyFont="1" applyFill="1" applyBorder="1" applyAlignment="1" applyProtection="1">
      <alignment horizontal="center" vertical="center"/>
      <protection locked="0"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4" fontId="4" fillId="4" borderId="19" xfId="0" applyNumberFormat="1" applyFont="1" applyFill="1" applyBorder="1" applyAlignment="1" applyProtection="1">
      <alignment horizontal="right"/>
      <protection hidden="1"/>
    </xf>
    <xf numFmtId="4" fontId="4" fillId="4" borderId="169" xfId="0" applyNumberFormat="1" applyFont="1" applyFill="1" applyBorder="1" applyAlignment="1" applyProtection="1">
      <alignment horizontal="right"/>
      <protection hidden="1"/>
    </xf>
    <xf numFmtId="164" fontId="0" fillId="4" borderId="61"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7" fillId="4" borderId="61" xfId="4" applyFill="1" applyBorder="1" applyAlignment="1" applyProtection="1">
      <alignment horizontal="center" vertical="center"/>
      <protection locked="0" hidden="1"/>
    </xf>
    <xf numFmtId="0" fontId="7" fillId="4" borderId="62" xfId="4" applyFill="1" applyBorder="1" applyAlignment="1" applyProtection="1">
      <alignment horizontal="center" vertical="center"/>
      <protection locked="0" hidden="1"/>
    </xf>
    <xf numFmtId="0" fontId="7" fillId="4" borderId="39" xfId="4" applyFill="1" applyBorder="1" applyAlignment="1" applyProtection="1">
      <alignment horizontal="center" vertical="center"/>
      <protection locked="0" hidden="1"/>
    </xf>
    <xf numFmtId="0" fontId="7" fillId="4" borderId="10" xfId="4" applyFill="1" applyBorder="1" applyAlignment="1" applyProtection="1">
      <alignment horizontal="center" vertical="center"/>
      <protection locked="0" hidden="1"/>
    </xf>
    <xf numFmtId="0" fontId="7" fillId="4" borderId="0" xfId="4" applyFill="1" applyBorder="1" applyAlignment="1" applyProtection="1">
      <alignment horizontal="center" vertical="center"/>
      <protection locked="0" hidden="1"/>
    </xf>
    <xf numFmtId="0" fontId="7" fillId="4" borderId="18" xfId="4" applyFill="1" applyBorder="1" applyAlignment="1" applyProtection="1">
      <alignment horizontal="center" vertical="center"/>
      <protection locked="0" hidden="1"/>
    </xf>
    <xf numFmtId="0" fontId="7" fillId="4" borderId="67" xfId="4" applyFill="1" applyBorder="1" applyAlignment="1" applyProtection="1">
      <alignment horizontal="center" vertical="center"/>
      <protection locked="0" hidden="1"/>
    </xf>
    <xf numFmtId="0" fontId="7" fillId="4" borderId="68" xfId="4" applyFill="1" applyBorder="1" applyAlignment="1" applyProtection="1">
      <alignment horizontal="center" vertical="center"/>
      <protection locked="0" hidden="1"/>
    </xf>
    <xf numFmtId="0" fontId="7" fillId="4" borderId="69" xfId="4" applyFill="1" applyBorder="1" applyAlignment="1" applyProtection="1">
      <alignment horizontal="center" vertical="center"/>
      <protection locked="0" hidden="1"/>
    </xf>
    <xf numFmtId="0" fontId="0" fillId="4" borderId="160" xfId="0" applyFill="1" applyBorder="1" applyAlignment="1" applyProtection="1">
      <alignment horizontal="center"/>
      <protection hidden="1"/>
    </xf>
    <xf numFmtId="0" fontId="0" fillId="4" borderId="22" xfId="0" applyFill="1" applyBorder="1" applyAlignment="1" applyProtection="1">
      <alignment horizontal="center"/>
      <protection hidden="1"/>
    </xf>
    <xf numFmtId="0" fontId="0" fillId="4" borderId="19" xfId="0" applyFill="1" applyBorder="1" applyAlignment="1" applyProtection="1">
      <alignment horizontal="right"/>
      <protection hidden="1"/>
    </xf>
    <xf numFmtId="0" fontId="0" fillId="4" borderId="169" xfId="0" applyFill="1" applyBorder="1" applyAlignment="1" applyProtection="1">
      <alignment horizontal="right"/>
      <protection hidden="1"/>
    </xf>
    <xf numFmtId="0" fontId="0" fillId="4" borderId="170" xfId="0" applyNumberFormat="1" applyFont="1" applyFill="1" applyBorder="1" applyAlignment="1" applyProtection="1">
      <alignment horizontal="right"/>
      <protection locked="0" hidden="1"/>
    </xf>
    <xf numFmtId="0" fontId="0" fillId="4" borderId="171" xfId="0" applyNumberFormat="1" applyFont="1" applyFill="1" applyBorder="1" applyAlignment="1" applyProtection="1">
      <alignment horizontal="right"/>
      <protection locked="0" hidden="1"/>
    </xf>
    <xf numFmtId="0" fontId="4" fillId="4" borderId="160" xfId="0" applyFont="1" applyFill="1" applyBorder="1" applyAlignment="1" applyProtection="1">
      <alignment horizontal="right"/>
      <protection hidden="1"/>
    </xf>
    <xf numFmtId="0" fontId="4" fillId="4" borderId="22" xfId="0" applyFont="1" applyFill="1" applyBorder="1" applyAlignment="1" applyProtection="1">
      <alignment horizontal="right"/>
      <protection hidden="1"/>
    </xf>
    <xf numFmtId="0" fontId="0" fillId="6" borderId="55"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57" xfId="0" applyFill="1" applyBorder="1" applyAlignment="1" applyProtection="1">
      <alignment horizontal="center"/>
      <protection locked="0" hidden="1"/>
    </xf>
    <xf numFmtId="167" fontId="0" fillId="6" borderId="54"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locked="0" hidden="1"/>
    </xf>
    <xf numFmtId="0" fontId="0" fillId="4" borderId="22" xfId="0" applyFill="1" applyBorder="1" applyAlignment="1" applyProtection="1">
      <alignment horizontal="left"/>
      <protection locked="0" hidden="1"/>
    </xf>
    <xf numFmtId="166" fontId="0" fillId="4" borderId="21" xfId="0" applyNumberFormat="1" applyFill="1" applyBorder="1" applyAlignment="1" applyProtection="1">
      <alignment horizontal="center"/>
      <protection locked="0" hidden="1"/>
    </xf>
    <xf numFmtId="166" fontId="0" fillId="4" borderId="56" xfId="0" applyNumberFormat="1" applyFill="1" applyBorder="1" applyAlignment="1" applyProtection="1">
      <alignment horizontal="center"/>
      <protection locked="0" hidden="1"/>
    </xf>
    <xf numFmtId="0" fontId="0" fillId="4" borderId="28" xfId="0" applyFill="1" applyBorder="1" applyAlignment="1" applyProtection="1">
      <alignment horizontal="left"/>
      <protection hidden="1"/>
    </xf>
    <xf numFmtId="0" fontId="0" fillId="4" borderId="25" xfId="0" applyFill="1" applyBorder="1" applyAlignment="1" applyProtection="1">
      <alignment horizontal="left"/>
      <protection hidden="1"/>
    </xf>
    <xf numFmtId="9" fontId="0" fillId="4" borderId="27" xfId="0" applyNumberFormat="1" applyFill="1" applyBorder="1" applyAlignment="1" applyProtection="1">
      <alignment horizontal="center"/>
      <protection hidden="1"/>
    </xf>
    <xf numFmtId="9" fontId="0" fillId="4" borderId="29" xfId="0" applyNumberFormat="1" applyFill="1" applyBorder="1" applyAlignment="1" applyProtection="1">
      <alignment horizontal="center"/>
      <protection hidden="1"/>
    </xf>
    <xf numFmtId="0" fontId="0" fillId="4" borderId="22" xfId="0" applyFill="1" applyBorder="1" applyAlignment="1" applyProtection="1">
      <alignment horizontal="left"/>
      <protection hidden="1"/>
    </xf>
    <xf numFmtId="0" fontId="0" fillId="4" borderId="19" xfId="0" applyFill="1" applyBorder="1" applyAlignment="1" applyProtection="1">
      <alignment horizontal="left"/>
      <protection hidden="1"/>
    </xf>
    <xf numFmtId="166" fontId="0" fillId="4" borderId="21" xfId="0" applyNumberFormat="1" applyFill="1" applyBorder="1" applyAlignment="1" applyProtection="1">
      <alignment horizontal="center"/>
      <protection hidden="1"/>
    </xf>
    <xf numFmtId="166" fontId="0" fillId="4" borderId="56" xfId="0" applyNumberFormat="1" applyFill="1" applyBorder="1" applyAlignment="1" applyProtection="1">
      <alignment horizontal="center"/>
      <protection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4" borderId="61" xfId="0" applyFill="1" applyBorder="1" applyAlignment="1" applyProtection="1">
      <alignment horizontal="left" vertical="top"/>
      <protection locked="0" hidden="1"/>
    </xf>
    <xf numFmtId="0" fontId="0" fillId="4" borderId="62" xfId="0" applyFill="1" applyBorder="1" applyAlignment="1" applyProtection="1">
      <alignment horizontal="left" vertical="top"/>
      <protection locked="0" hidden="1"/>
    </xf>
    <xf numFmtId="0" fontId="0" fillId="4" borderId="10" xfId="0" applyFill="1" applyBorder="1" applyAlignment="1" applyProtection="1">
      <alignment horizontal="left" vertical="top"/>
      <protection locked="0" hidden="1"/>
    </xf>
    <xf numFmtId="0" fontId="0" fillId="4" borderId="67" xfId="0" applyFill="1" applyBorder="1" applyAlignment="1" applyProtection="1">
      <alignment horizontal="left" vertical="top"/>
      <protection locked="0" hidden="1"/>
    </xf>
    <xf numFmtId="0" fontId="0" fillId="4" borderId="68" xfId="0" applyFill="1" applyBorder="1" applyAlignment="1" applyProtection="1">
      <alignment horizontal="left" vertical="top"/>
      <protection locked="0" hidden="1"/>
    </xf>
    <xf numFmtId="0" fontId="0" fillId="4" borderId="61" xfId="0" applyFill="1" applyBorder="1" applyAlignment="1" applyProtection="1">
      <alignment horizontal="center" vertical="center"/>
      <protection locked="0" hidden="1"/>
    </xf>
    <xf numFmtId="0" fontId="0" fillId="4" borderId="63"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39"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18" xfId="0" applyNumberFormat="1" applyFill="1" applyBorder="1" applyAlignment="1" applyProtection="1">
      <alignment horizontal="center" vertical="center"/>
      <protection locked="0" hidden="1"/>
    </xf>
    <xf numFmtId="0" fontId="0" fillId="6" borderId="61"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167" fontId="0" fillId="4" borderId="21" xfId="0" applyNumberFormat="1" applyFill="1" applyBorder="1" applyAlignment="1" applyProtection="1">
      <alignment horizontal="left"/>
      <protection hidden="1"/>
    </xf>
    <xf numFmtId="167" fontId="0" fillId="4" borderId="56" xfId="0" applyNumberFormat="1" applyFill="1" applyBorder="1" applyAlignment="1" applyProtection="1">
      <alignment horizontal="left"/>
      <protection hidden="1"/>
    </xf>
    <xf numFmtId="4" fontId="0" fillId="4" borderId="21" xfId="0" applyNumberFormat="1" applyFill="1" applyBorder="1" applyAlignment="1" applyProtection="1">
      <alignment horizontal="right"/>
      <protection hidden="1"/>
    </xf>
    <xf numFmtId="4" fontId="0" fillId="4" borderId="159" xfId="0" applyNumberFormat="1" applyFill="1" applyBorder="1" applyAlignment="1" applyProtection="1">
      <alignment horizontal="right"/>
      <protection hidden="1"/>
    </xf>
    <xf numFmtId="167" fontId="0" fillId="4" borderId="21" xfId="0" applyNumberFormat="1" applyFill="1" applyBorder="1" applyAlignment="1" applyProtection="1">
      <alignment horizontal="right"/>
      <protection hidden="1"/>
    </xf>
    <xf numFmtId="167" fontId="0" fillId="4" borderId="159" xfId="0" applyNumberFormat="1" applyFill="1" applyBorder="1" applyAlignment="1" applyProtection="1">
      <alignment horizontal="right"/>
      <protection hidden="1"/>
    </xf>
    <xf numFmtId="0" fontId="4" fillId="4" borderId="123" xfId="0" applyFont="1" applyFill="1" applyBorder="1" applyAlignment="1" applyProtection="1">
      <alignment horizontal="center"/>
      <protection hidden="1"/>
    </xf>
    <xf numFmtId="166" fontId="4" fillId="4" borderId="129" xfId="0" applyNumberFormat="1" applyFont="1" applyFill="1" applyBorder="1" applyAlignment="1" applyProtection="1">
      <alignment horizontal="center"/>
      <protection hidden="1"/>
    </xf>
    <xf numFmtId="166" fontId="4" fillId="4" borderId="123" xfId="0" applyNumberFormat="1" applyFont="1" applyFill="1" applyBorder="1" applyAlignment="1" applyProtection="1">
      <alignment horizontal="center"/>
      <protection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7" fontId="0" fillId="4" borderId="64" xfId="0" applyNumberFormat="1" applyFill="1" applyBorder="1" applyAlignment="1" applyProtection="1">
      <alignment horizontal="left"/>
      <protection hidden="1"/>
    </xf>
    <xf numFmtId="167" fontId="0" fillId="4" borderId="66" xfId="0" applyNumberFormat="1" applyFill="1" applyBorder="1" applyAlignment="1" applyProtection="1">
      <alignment horizontal="left"/>
      <protection hidden="1"/>
    </xf>
    <xf numFmtId="167" fontId="0" fillId="6" borderId="62" xfId="0" applyNumberFormat="1" applyFill="1" applyBorder="1" applyAlignment="1" applyProtection="1">
      <alignment horizontal="center"/>
      <protection locked="0" hidden="1"/>
    </xf>
    <xf numFmtId="167" fontId="0" fillId="4" borderId="162" xfId="0" applyNumberFormat="1" applyFill="1" applyBorder="1" applyAlignment="1" applyProtection="1">
      <alignment horizontal="center"/>
      <protection locked="0" hidden="1"/>
    </xf>
    <xf numFmtId="167" fontId="0" fillId="4" borderId="0" xfId="0" applyNumberFormat="1" applyFill="1" applyAlignment="1" applyProtection="1">
      <alignment horizontal="center"/>
      <protection locked="0" hidden="1"/>
    </xf>
    <xf numFmtId="167" fontId="0" fillId="4" borderId="161" xfId="0" applyNumberFormat="1" applyFill="1" applyBorder="1" applyAlignment="1" applyProtection="1">
      <alignment horizontal="center"/>
      <protection locked="0" hidden="1"/>
    </xf>
    <xf numFmtId="2" fontId="0" fillId="4" borderId="173" xfId="0" applyNumberFormat="1" applyFill="1" applyBorder="1" applyAlignment="1" applyProtection="1">
      <alignment horizontal="center"/>
      <protection locked="0" hidden="1"/>
    </xf>
    <xf numFmtId="2" fontId="0" fillId="4" borderId="171"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19" fillId="28" borderId="155" xfId="0" applyFont="1" applyFill="1" applyBorder="1" applyAlignment="1" applyProtection="1">
      <alignment horizontal="center"/>
      <protection locked="0"/>
    </xf>
    <xf numFmtId="0" fontId="19" fillId="11" borderId="155" xfId="0" applyFont="1" applyFill="1" applyBorder="1" applyAlignment="1" applyProtection="1">
      <alignment horizontal="center"/>
      <protection locked="0"/>
    </xf>
    <xf numFmtId="3" fontId="0" fillId="28" borderId="155" xfId="0" applyNumberFormat="1" applyFill="1" applyBorder="1" applyAlignment="1" applyProtection="1">
      <alignment horizontal="center"/>
      <protection locked="0"/>
    </xf>
    <xf numFmtId="166" fontId="0" fillId="11" borderId="155" xfId="0" applyNumberFormat="1" applyFill="1" applyBorder="1" applyAlignment="1" applyProtection="1">
      <alignment horizontal="center"/>
      <protection locked="0"/>
    </xf>
    <xf numFmtId="0" fontId="4" fillId="26" borderId="155" xfId="0" applyFont="1" applyFill="1" applyBorder="1" applyAlignment="1" applyProtection="1">
      <alignment horizontal="center" vertical="center"/>
      <protection locked="0" hidden="1"/>
    </xf>
    <xf numFmtId="0" fontId="4" fillId="29" borderId="155" xfId="0" applyFont="1" applyFill="1" applyBorder="1" applyAlignment="1" applyProtection="1">
      <alignment horizontal="center" vertical="center"/>
      <protection locked="0" hidden="1"/>
    </xf>
    <xf numFmtId="166" fontId="16" fillId="12" borderId="155" xfId="0" applyNumberFormat="1" applyFont="1" applyFill="1" applyBorder="1" applyAlignment="1" applyProtection="1">
      <alignment horizontal="center" vertical="center"/>
      <protection hidden="1"/>
    </xf>
    <xf numFmtId="166" fontId="16" fillId="25" borderId="155" xfId="0" applyNumberFormat="1" applyFont="1" applyFill="1" applyBorder="1" applyAlignment="1" applyProtection="1">
      <alignment horizontal="center" vertical="center"/>
      <protection hidden="1"/>
    </xf>
    <xf numFmtId="0" fontId="4" fillId="4" borderId="155" xfId="0" applyFont="1" applyFill="1" applyBorder="1" applyAlignment="1" applyProtection="1">
      <alignment horizontal="center" vertical="center" wrapText="1"/>
      <protection locked="0" hidden="1"/>
    </xf>
    <xf numFmtId="0" fontId="4" fillId="4" borderId="155" xfId="0" applyFont="1" applyFill="1" applyBorder="1" applyAlignment="1" applyProtection="1">
      <alignment horizontal="center" vertical="top"/>
      <protection locked="0" hidden="1"/>
    </xf>
    <xf numFmtId="166" fontId="0" fillId="6" borderId="21" xfId="0" applyNumberFormat="1" applyFill="1" applyBorder="1" applyAlignment="1" applyProtection="1">
      <alignment horizontal="center" vertical="center"/>
      <protection hidden="1"/>
    </xf>
    <xf numFmtId="166" fontId="0" fillId="6" borderId="57" xfId="0" applyNumberFormat="1" applyFill="1" applyBorder="1" applyAlignment="1" applyProtection="1">
      <alignment horizontal="center" vertical="center"/>
      <protection hidden="1"/>
    </xf>
    <xf numFmtId="166" fontId="2" fillId="2" borderId="27" xfId="3" applyNumberFormat="1" applyBorder="1" applyAlignment="1" applyProtection="1">
      <alignment horizontal="center" vertical="center"/>
      <protection hidden="1"/>
    </xf>
    <xf numFmtId="166" fontId="2" fillId="2" borderId="152" xfId="3" applyNumberFormat="1" applyBorder="1" applyAlignment="1" applyProtection="1">
      <alignment horizontal="center" vertical="center"/>
      <protection hidden="1"/>
    </xf>
    <xf numFmtId="0" fontId="0" fillId="6" borderId="64" xfId="0" applyFill="1" applyBorder="1" applyAlignment="1" applyProtection="1">
      <alignment horizontal="center"/>
      <protection locked="0" hidden="1"/>
    </xf>
    <xf numFmtId="0" fontId="0" fillId="6" borderId="153" xfId="0"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locked="0"/>
    </xf>
    <xf numFmtId="2" fontId="0" fillId="4" borderId="26" xfId="0" applyNumberFormat="1" applyFill="1" applyBorder="1" applyAlignment="1" applyProtection="1">
      <alignment horizontal="center" vertical="center"/>
      <protection locked="0"/>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166" fontId="0" fillId="5" borderId="21" xfId="0" applyNumberFormat="1" applyFill="1" applyBorder="1" applyAlignment="1" applyProtection="1">
      <alignment horizontal="center" vertical="center"/>
      <protection hidden="1"/>
    </xf>
    <xf numFmtId="166" fontId="0" fillId="5" borderId="57" xfId="0" applyNumberFormat="1" applyFill="1" applyBorder="1" applyAlignment="1" applyProtection="1">
      <alignment horizontal="center" vertical="center"/>
      <protection hidden="1"/>
    </xf>
    <xf numFmtId="0" fontId="0" fillId="5" borderId="64" xfId="0" applyFill="1" applyBorder="1" applyAlignment="1" applyProtection="1">
      <alignment horizontal="center"/>
      <protection locked="0" hidden="1"/>
    </xf>
    <xf numFmtId="0" fontId="0" fillId="5" borderId="153" xfId="0" applyFill="1" applyBorder="1" applyAlignment="1" applyProtection="1">
      <alignment horizontal="center"/>
      <protection locked="0" hidden="1"/>
    </xf>
    <xf numFmtId="3" fontId="0" fillId="6" borderId="64" xfId="0" applyNumberFormat="1" applyFill="1" applyBorder="1" applyAlignment="1" applyProtection="1">
      <alignment horizontal="center"/>
      <protection locked="0" hidden="1"/>
    </xf>
    <xf numFmtId="3" fontId="0" fillId="6" borderId="153" xfId="0" applyNumberFormat="1" applyFill="1" applyBorder="1" applyAlignment="1" applyProtection="1">
      <alignment horizontal="center"/>
      <protection locked="0" hidden="1"/>
    </xf>
    <xf numFmtId="0" fontId="19" fillId="24" borderId="155" xfId="0" applyFont="1" applyFill="1" applyBorder="1" applyAlignment="1" applyProtection="1">
      <alignment horizontal="center"/>
      <protection locked="0"/>
    </xf>
    <xf numFmtId="166" fontId="0" fillId="24" borderId="155" xfId="0" applyNumberFormat="1" applyFill="1" applyBorder="1" applyAlignment="1" applyProtection="1">
      <alignment horizontal="center"/>
      <protection locked="0"/>
    </xf>
    <xf numFmtId="0" fontId="0" fillId="4" borderId="155" xfId="0" applyFill="1" applyBorder="1" applyAlignment="1" applyProtection="1">
      <alignment horizontal="center" vertical="center" wrapText="1"/>
      <protection locked="0" hidden="1"/>
    </xf>
    <xf numFmtId="166" fontId="2" fillId="2" borderId="38" xfId="3" applyNumberFormat="1" applyBorder="1" applyAlignment="1" applyProtection="1">
      <alignment horizontal="center" vertical="center"/>
      <protection hidden="1"/>
    </xf>
    <xf numFmtId="166" fontId="2" fillId="2" borderId="39" xfId="3" applyNumberFormat="1" applyBorder="1" applyAlignment="1" applyProtection="1">
      <alignment horizontal="center" vertical="center"/>
      <protection hidden="1"/>
    </xf>
    <xf numFmtId="0" fontId="0" fillId="6" borderId="154"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9" xfId="0" applyFill="1" applyBorder="1" applyAlignment="1" applyProtection="1">
      <alignment horizontal="center" vertical="center" wrapText="1" shrinkToFit="1"/>
      <protection locked="0" hidden="1"/>
    </xf>
    <xf numFmtId="9" fontId="4" fillId="4" borderId="155" xfId="0" applyNumberFormat="1" applyFont="1" applyFill="1" applyBorder="1" applyAlignment="1" applyProtection="1">
      <alignment horizontal="center" vertical="center"/>
      <protection hidden="1"/>
    </xf>
    <xf numFmtId="9" fontId="4" fillId="27" borderId="155" xfId="0" applyNumberFormat="1" applyFont="1" applyFill="1" applyBorder="1" applyAlignment="1" applyProtection="1">
      <alignment horizontal="center" vertical="center"/>
      <protection locked="0" hidden="1"/>
    </xf>
    <xf numFmtId="166" fontId="16" fillId="13" borderId="155" xfId="0" applyNumberFormat="1" applyFont="1" applyFill="1" applyBorder="1" applyAlignment="1" applyProtection="1">
      <alignment horizontal="center" vertical="center"/>
      <protection hidden="1"/>
    </xf>
    <xf numFmtId="0" fontId="0" fillId="5" borderId="154" xfId="0" applyFill="1" applyBorder="1" applyAlignment="1" applyProtection="1">
      <alignment horizontal="center"/>
      <protection locked="0" hidden="1"/>
    </xf>
    <xf numFmtId="0" fontId="0" fillId="4" borderId="89" xfId="0" applyFill="1" applyBorder="1" applyAlignment="1">
      <alignment horizontal="left"/>
    </xf>
    <xf numFmtId="0" fontId="0" fillId="4" borderId="0" xfId="0" applyFill="1" applyAlignment="1">
      <alignment horizontal="left"/>
    </xf>
    <xf numFmtId="0" fontId="18" fillId="5" borderId="121" xfId="0" applyFont="1" applyFill="1" applyBorder="1" applyAlignment="1">
      <alignment horizontal="left"/>
    </xf>
    <xf numFmtId="0" fontId="18" fillId="5" borderId="123" xfId="0" applyFont="1" applyFill="1" applyBorder="1" applyAlignment="1">
      <alignment horizontal="left"/>
    </xf>
    <xf numFmtId="0" fontId="4" fillId="5" borderId="121" xfId="0" applyFont="1" applyFill="1" applyBorder="1" applyAlignment="1">
      <alignment horizontal="center"/>
    </xf>
    <xf numFmtId="0" fontId="4" fillId="5" borderId="123" xfId="0" applyFont="1" applyFill="1" applyBorder="1" applyAlignment="1">
      <alignment horizontal="center"/>
    </xf>
    <xf numFmtId="0" fontId="4" fillId="5" borderId="120" xfId="0" applyFont="1" applyFill="1" applyBorder="1" applyAlignment="1">
      <alignment horizontal="center"/>
    </xf>
    <xf numFmtId="166" fontId="21" fillId="30" borderId="19" xfId="0" applyNumberFormat="1" applyFont="1" applyFill="1" applyBorder="1" applyAlignment="1">
      <alignment horizontal="center"/>
    </xf>
    <xf numFmtId="0" fontId="0" fillId="5" borderId="121" xfId="0" applyFill="1" applyBorder="1" applyAlignment="1">
      <alignment horizontal="left" vertical="center" shrinkToFit="1"/>
    </xf>
    <xf numFmtId="0" fontId="0" fillId="5" borderId="123" xfId="0" applyFill="1" applyBorder="1" applyAlignment="1">
      <alignment horizontal="left" vertical="center" shrinkToFit="1"/>
    </xf>
    <xf numFmtId="0" fontId="0" fillId="5" borderId="120" xfId="0" applyFill="1" applyBorder="1" applyAlignment="1">
      <alignment horizontal="left" vertical="center" shrinkToFit="1"/>
    </xf>
    <xf numFmtId="14" fontId="0" fillId="4" borderId="89" xfId="0" applyNumberFormat="1" applyFill="1" applyBorder="1" applyAlignment="1">
      <alignment horizontal="left"/>
    </xf>
    <xf numFmtId="14" fontId="0" fillId="4" borderId="0" xfId="0" applyNumberFormat="1" applyFill="1" applyAlignment="1">
      <alignment horizontal="left"/>
    </xf>
    <xf numFmtId="0" fontId="0" fillId="0" borderId="0" xfId="0" applyAlignment="1">
      <alignment horizontal="left"/>
    </xf>
    <xf numFmtId="0" fontId="0" fillId="5" borderId="105" xfId="0" applyFill="1" applyBorder="1" applyAlignment="1">
      <alignment horizontal="left"/>
    </xf>
    <xf numFmtId="0" fontId="0" fillId="5" borderId="106" xfId="0" applyFill="1" applyBorder="1" applyAlignment="1">
      <alignment horizontal="left"/>
    </xf>
    <xf numFmtId="166" fontId="18" fillId="5" borderId="108" xfId="0" applyNumberFormat="1" applyFont="1" applyFill="1" applyBorder="1" applyAlignment="1">
      <alignment horizontal="center"/>
    </xf>
    <xf numFmtId="166" fontId="18" fillId="5" borderId="133" xfId="0" applyNumberFormat="1" applyFont="1" applyFill="1" applyBorder="1" applyAlignment="1">
      <alignment horizontal="center"/>
    </xf>
    <xf numFmtId="0" fontId="19" fillId="5" borderId="132" xfId="0" applyFont="1" applyFill="1" applyBorder="1" applyAlignment="1">
      <alignment horizontal="left"/>
    </xf>
    <xf numFmtId="0" fontId="19" fillId="5" borderId="105" xfId="0" applyFont="1" applyFill="1" applyBorder="1" applyAlignment="1">
      <alignment horizontal="left"/>
    </xf>
    <xf numFmtId="0" fontId="19" fillId="5" borderId="106" xfId="0" applyFont="1" applyFill="1" applyBorder="1" applyAlignment="1">
      <alignment horizontal="left"/>
    </xf>
    <xf numFmtId="166" fontId="0" fillId="5" borderId="108" xfId="0" applyNumberFormat="1" applyFill="1" applyBorder="1" applyAlignment="1">
      <alignment horizontal="right"/>
    </xf>
    <xf numFmtId="166" fontId="0" fillId="5" borderId="106" xfId="0" applyNumberFormat="1" applyFill="1" applyBorder="1" applyAlignment="1">
      <alignment horizontal="right"/>
    </xf>
    <xf numFmtId="0" fontId="0" fillId="4" borderId="32" xfId="0" applyFill="1" applyBorder="1" applyAlignment="1">
      <alignment horizontal="right" wrapText="1"/>
    </xf>
    <xf numFmtId="0" fontId="0" fillId="4" borderId="80" xfId="0" applyFill="1" applyBorder="1" applyAlignment="1">
      <alignment horizontal="right" wrapText="1"/>
    </xf>
    <xf numFmtId="0" fontId="0" fillId="5" borderId="101" xfId="0" applyFill="1" applyBorder="1" applyAlignment="1">
      <alignment horizontal="left"/>
    </xf>
    <xf numFmtId="0" fontId="0" fillId="5" borderId="102" xfId="0" applyFill="1" applyBorder="1" applyAlignment="1">
      <alignment horizontal="left"/>
    </xf>
    <xf numFmtId="0" fontId="0" fillId="5" borderId="104" xfId="0" applyFill="1" applyBorder="1" applyAlignment="1">
      <alignment horizontal="left"/>
    </xf>
    <xf numFmtId="0" fontId="7" fillId="4" borderId="0" xfId="4" applyFill="1" applyBorder="1" applyAlignment="1">
      <alignment horizontal="right" wrapText="1"/>
    </xf>
    <xf numFmtId="0" fontId="0" fillId="4" borderId="0" xfId="0" applyFill="1" applyAlignment="1">
      <alignment horizontal="right" wrapText="1"/>
    </xf>
    <xf numFmtId="0" fontId="0" fillId="4" borderId="90" xfId="0" applyFill="1" applyBorder="1" applyAlignment="1">
      <alignment horizontal="right" wrapText="1"/>
    </xf>
    <xf numFmtId="0" fontId="0" fillId="4" borderId="82" xfId="0" applyFill="1" applyBorder="1" applyAlignment="1">
      <alignment horizontal="left" vertical="top"/>
    </xf>
    <xf numFmtId="0" fontId="0" fillId="4" borderId="41" xfId="0" applyFill="1" applyBorder="1" applyAlignment="1">
      <alignment horizontal="left" vertical="top"/>
    </xf>
    <xf numFmtId="0" fontId="18" fillId="5" borderId="130" xfId="0" applyFont="1" applyFill="1" applyBorder="1" applyAlignment="1">
      <alignment horizontal="left"/>
    </xf>
    <xf numFmtId="0" fontId="18" fillId="5" borderId="101" xfId="0" applyFont="1" applyFill="1" applyBorder="1" applyAlignment="1">
      <alignment horizontal="left"/>
    </xf>
    <xf numFmtId="0" fontId="18" fillId="5" borderId="104" xfId="0" applyFont="1" applyFill="1" applyBorder="1" applyAlignment="1">
      <alignment horizontal="center"/>
    </xf>
    <xf numFmtId="0" fontId="18" fillId="5" borderId="131" xfId="0" applyFont="1" applyFill="1" applyBorder="1" applyAlignment="1">
      <alignment horizontal="center"/>
    </xf>
    <xf numFmtId="166" fontId="0" fillId="5" borderId="127" xfId="0" applyNumberFormat="1" applyFill="1" applyBorder="1" applyAlignment="1">
      <alignment horizontal="right"/>
    </xf>
    <xf numFmtId="0" fontId="0" fillId="0" borderId="0" xfId="0" applyAlignment="1">
      <alignment horizontal="center"/>
    </xf>
    <xf numFmtId="0" fontId="8" fillId="5" borderId="32" xfId="0" applyFont="1" applyFill="1" applyBorder="1" applyAlignment="1">
      <alignment horizontal="center" wrapText="1"/>
    </xf>
    <xf numFmtId="0" fontId="8" fillId="5" borderId="80" xfId="0" applyFont="1" applyFill="1" applyBorder="1" applyAlignment="1">
      <alignment horizontal="center" wrapText="1"/>
    </xf>
    <xf numFmtId="0" fontId="0" fillId="5" borderId="139" xfId="0" applyFill="1" applyBorder="1" applyAlignment="1">
      <alignment horizontal="center"/>
    </xf>
    <xf numFmtId="0" fontId="0" fillId="5" borderId="19" xfId="0" applyFill="1" applyBorder="1" applyAlignment="1">
      <alignment horizontal="center"/>
    </xf>
    <xf numFmtId="0" fontId="0" fillId="5" borderId="140" xfId="0" applyFill="1" applyBorder="1" applyAlignment="1">
      <alignment horizontal="center"/>
    </xf>
    <xf numFmtId="0" fontId="0" fillId="5" borderId="79" xfId="0" applyFill="1" applyBorder="1" applyAlignment="1">
      <alignment horizontal="left" vertical="top"/>
    </xf>
    <xf numFmtId="0" fontId="0" fillId="5" borderId="32" xfId="0" applyFill="1" applyBorder="1" applyAlignment="1">
      <alignment horizontal="left" vertical="top"/>
    </xf>
    <xf numFmtId="0" fontId="0" fillId="5" borderId="80" xfId="0" applyFill="1" applyBorder="1" applyAlignment="1">
      <alignment horizontal="left" vertical="top"/>
    </xf>
    <xf numFmtId="0" fontId="0" fillId="5" borderId="89" xfId="0" applyFill="1" applyBorder="1" applyAlignment="1">
      <alignment horizontal="left" vertical="top"/>
    </xf>
    <xf numFmtId="0" fontId="0" fillId="5" borderId="0" xfId="0" applyFill="1" applyAlignment="1">
      <alignment horizontal="left" vertical="top"/>
    </xf>
    <xf numFmtId="0" fontId="0" fillId="5" borderId="90" xfId="0" applyFill="1" applyBorder="1" applyAlignment="1">
      <alignment horizontal="left" vertical="top"/>
    </xf>
    <xf numFmtId="0" fontId="0" fillId="5" borderId="82" xfId="0" applyFill="1" applyBorder="1" applyAlignment="1">
      <alignment horizontal="left" vertical="top"/>
    </xf>
    <xf numFmtId="0" fontId="0" fillId="5" borderId="41" xfId="0" applyFill="1" applyBorder="1" applyAlignment="1">
      <alignment horizontal="left" vertical="top"/>
    </xf>
    <xf numFmtId="0" fontId="0" fillId="5" borderId="83" xfId="0" applyFill="1" applyBorder="1" applyAlignment="1">
      <alignment horizontal="left" vertical="top"/>
    </xf>
    <xf numFmtId="166" fontId="18" fillId="5" borderId="137" xfId="0" applyNumberFormat="1" applyFont="1" applyFill="1" applyBorder="1" applyAlignment="1">
      <alignment horizontal="center"/>
    </xf>
    <xf numFmtId="166" fontId="18" fillId="5" borderId="138" xfId="0" applyNumberFormat="1" applyFont="1" applyFill="1" applyBorder="1" applyAlignment="1">
      <alignment horizontal="center"/>
    </xf>
    <xf numFmtId="166" fontId="18" fillId="4" borderId="19" xfId="0" applyNumberFormat="1" applyFont="1" applyFill="1" applyBorder="1" applyAlignment="1">
      <alignment horizontal="center"/>
    </xf>
    <xf numFmtId="0" fontId="19" fillId="5" borderId="134" xfId="0" applyFont="1" applyFill="1" applyBorder="1" applyAlignment="1">
      <alignment horizontal="left"/>
    </xf>
    <xf numFmtId="0" fontId="19" fillId="5" borderId="135" xfId="0" applyFont="1" applyFill="1" applyBorder="1" applyAlignment="1">
      <alignment horizontal="left"/>
    </xf>
    <xf numFmtId="0" fontId="19" fillId="5" borderId="136" xfId="0" applyFont="1" applyFill="1" applyBorder="1" applyAlignment="1">
      <alignment horizontal="left"/>
    </xf>
    <xf numFmtId="0" fontId="0" fillId="5" borderId="79" xfId="0" applyFill="1" applyBorder="1" applyAlignment="1">
      <alignment horizontal="center"/>
    </xf>
    <xf numFmtId="0" fontId="0" fillId="5" borderId="32" xfId="0" applyFill="1" applyBorder="1" applyAlignment="1">
      <alignment horizontal="center"/>
    </xf>
    <xf numFmtId="0" fontId="0" fillId="5" borderId="80" xfId="0" applyFill="1" applyBorder="1" applyAlignment="1">
      <alignment horizontal="center"/>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21" fillId="30" borderId="21" xfId="0" applyFont="1" applyFill="1" applyBorder="1" applyAlignment="1">
      <alignment horizontal="right"/>
    </xf>
    <xf numFmtId="0" fontId="21" fillId="30" borderId="56" xfId="0" applyFont="1" applyFill="1" applyBorder="1" applyAlignment="1">
      <alignment horizontal="right"/>
    </xf>
    <xf numFmtId="0" fontId="21" fillId="30" borderId="22" xfId="0" applyFont="1" applyFill="1" applyBorder="1" applyAlignment="1">
      <alignment horizontal="right"/>
    </xf>
    <xf numFmtId="0" fontId="20" fillId="4" borderId="79" xfId="0" applyFont="1" applyFill="1" applyBorder="1" applyAlignment="1">
      <alignment horizontal="left" vertical="center" wrapText="1" shrinkToFit="1"/>
    </xf>
    <xf numFmtId="0" fontId="20" fillId="4" borderId="32" xfId="0" applyFont="1" applyFill="1" applyBorder="1" applyAlignment="1">
      <alignment horizontal="left" vertical="center" wrapText="1" shrinkToFit="1"/>
    </xf>
    <xf numFmtId="0" fontId="20" fillId="4" borderId="80" xfId="0" applyFont="1" applyFill="1" applyBorder="1" applyAlignment="1">
      <alignment horizontal="left" vertical="center" wrapText="1" shrinkToFit="1"/>
    </xf>
    <xf numFmtId="0" fontId="20" fillId="4" borderId="89" xfId="0" applyFont="1" applyFill="1" applyBorder="1" applyAlignment="1">
      <alignment horizontal="left" vertical="center" wrapText="1" shrinkToFit="1"/>
    </xf>
    <xf numFmtId="0" fontId="20" fillId="4" borderId="0" xfId="0" applyFont="1" applyFill="1" applyAlignment="1">
      <alignment horizontal="left" vertical="center" wrapText="1" shrinkToFit="1"/>
    </xf>
    <xf numFmtId="0" fontId="20" fillId="4" borderId="90" xfId="0" applyFont="1" applyFill="1" applyBorder="1" applyAlignment="1">
      <alignment horizontal="left" vertical="center" wrapText="1" shrinkToFit="1"/>
    </xf>
    <xf numFmtId="0" fontId="6" fillId="30" borderId="19" xfId="0" applyFont="1" applyFill="1" applyBorder="1" applyAlignment="1">
      <alignment horizontal="right" vertical="center"/>
    </xf>
    <xf numFmtId="166" fontId="6" fillId="30" borderId="19" xfId="0" applyNumberFormat="1" applyFont="1" applyFill="1" applyBorder="1" applyAlignment="1">
      <alignment horizontal="center" vertical="center"/>
    </xf>
    <xf numFmtId="166" fontId="16" fillId="4" borderId="19" xfId="0" applyNumberFormat="1" applyFont="1" applyFill="1" applyBorder="1" applyAlignment="1">
      <alignment horizontal="center"/>
    </xf>
    <xf numFmtId="0" fontId="16" fillId="4" borderId="21" xfId="0" applyFont="1" applyFill="1" applyBorder="1" applyAlignment="1">
      <alignment horizontal="right"/>
    </xf>
    <xf numFmtId="0" fontId="16" fillId="4" borderId="56" xfId="0" applyFont="1" applyFill="1" applyBorder="1" applyAlignment="1">
      <alignment horizontal="right"/>
    </xf>
    <xf numFmtId="0" fontId="16" fillId="4" borderId="22" xfId="0" applyFont="1" applyFill="1" applyBorder="1" applyAlignment="1">
      <alignment horizontal="right"/>
    </xf>
    <xf numFmtId="0" fontId="4" fillId="5" borderId="121" xfId="0" applyFont="1" applyFill="1" applyBorder="1" applyAlignment="1">
      <alignment horizontal="center" vertical="center"/>
    </xf>
    <xf numFmtId="0" fontId="4" fillId="5" borderId="120" xfId="0" applyFont="1" applyFill="1" applyBorder="1" applyAlignment="1">
      <alignment horizontal="center" vertical="center"/>
    </xf>
    <xf numFmtId="0" fontId="0" fillId="4" borderId="21" xfId="0" applyFill="1" applyBorder="1" applyAlignment="1">
      <alignment horizontal="left"/>
    </xf>
    <xf numFmtId="0" fontId="0" fillId="4" borderId="56" xfId="0" applyFill="1" applyBorder="1" applyAlignment="1">
      <alignment horizontal="left"/>
    </xf>
    <xf numFmtId="0" fontId="0" fillId="4" borderId="22" xfId="0" applyFill="1" applyBorder="1" applyAlignment="1">
      <alignment horizontal="left"/>
    </xf>
    <xf numFmtId="0" fontId="4" fillId="5" borderId="123" xfId="0" applyFont="1" applyFill="1" applyBorder="1" applyAlignment="1">
      <alignment horizontal="center" vertical="center"/>
    </xf>
    <xf numFmtId="0" fontId="4" fillId="5" borderId="95" xfId="0" applyFont="1" applyFill="1" applyBorder="1" applyAlignment="1">
      <alignment horizontal="center"/>
    </xf>
    <xf numFmtId="0" fontId="4" fillId="5" borderId="66" xfId="0" applyFont="1" applyFill="1" applyBorder="1" applyAlignment="1">
      <alignment horizontal="center"/>
    </xf>
    <xf numFmtId="0" fontId="4" fillId="5" borderId="96" xfId="0" applyFont="1" applyFill="1" applyBorder="1" applyAlignment="1">
      <alignment horizontal="center"/>
    </xf>
    <xf numFmtId="0" fontId="0" fillId="4" borderId="7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0" fillId="4" borderId="26" xfId="0" applyFill="1" applyBorder="1" applyAlignment="1" applyProtection="1">
      <alignment horizontal="left" vertical="center" wrapText="1"/>
      <protection locked="0" hidden="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14" fontId="0" fillId="4" borderId="49" xfId="0" applyNumberFormat="1" applyFill="1" applyBorder="1" applyAlignment="1">
      <alignment horizontal="left" vertical="center"/>
    </xf>
    <xf numFmtId="14" fontId="0" fillId="4" borderId="75" xfId="0" applyNumberFormat="1" applyFill="1" applyBorder="1" applyAlignment="1">
      <alignment horizontal="left" vertical="center"/>
    </xf>
    <xf numFmtId="14" fontId="0" fillId="4" borderId="0" xfId="0" applyNumberFormat="1" applyFill="1" applyAlignment="1">
      <alignment horizontal="left" vertical="center"/>
    </xf>
    <xf numFmtId="14" fontId="0" fillId="4" borderId="18" xfId="0" applyNumberFormat="1" applyFill="1" applyBorder="1" applyAlignment="1">
      <alignment horizontal="left" vertical="center"/>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38" xfId="0" applyFill="1" applyBorder="1" applyAlignment="1">
      <alignment horizontal="left" vertical="top"/>
    </xf>
    <xf numFmtId="0" fontId="0" fillId="4" borderId="62"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68" xfId="0" applyFill="1" applyBorder="1" applyAlignment="1">
      <alignment horizontal="left" vertical="top"/>
    </xf>
    <xf numFmtId="0" fontId="0" fillId="4" borderId="74" xfId="0" applyFill="1" applyBorder="1" applyAlignment="1">
      <alignment horizontal="left" vertical="top"/>
    </xf>
    <xf numFmtId="0" fontId="0" fillId="4" borderId="39" xfId="0" applyFill="1" applyBorder="1" applyAlignment="1" applyProtection="1">
      <alignment horizontal="left" vertical="top"/>
      <protection locked="0"/>
    </xf>
    <xf numFmtId="0" fontId="0" fillId="4" borderId="73"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74" xfId="0"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hidden="1"/>
    </xf>
    <xf numFmtId="0" fontId="0" fillId="4" borderId="12" xfId="0" applyFill="1" applyBorder="1" applyAlignment="1" applyProtection="1">
      <alignment horizontal="center" vertical="center"/>
      <protection locked="0" hidden="1"/>
    </xf>
    <xf numFmtId="0" fontId="0" fillId="4" borderId="0" xfId="0" applyFill="1" applyAlignment="1" applyProtection="1">
      <alignment horizontal="center"/>
      <protection locked="0" hidden="1"/>
    </xf>
    <xf numFmtId="0" fontId="0" fillId="4" borderId="26" xfId="0" applyFill="1" applyBorder="1" applyAlignment="1" applyProtection="1">
      <alignment horizontal="center" vertical="center"/>
      <protection locked="0" hidden="1"/>
    </xf>
    <xf numFmtId="0" fontId="0" fillId="4" borderId="76" xfId="0" applyFill="1" applyBorder="1" applyAlignment="1" applyProtection="1">
      <alignment horizontal="center" vertical="center"/>
      <protection locked="0" hidden="1"/>
    </xf>
    <xf numFmtId="0" fontId="0" fillId="4" borderId="12" xfId="0" applyFill="1" applyBorder="1" applyAlignment="1" applyProtection="1">
      <alignment horizontal="left" vertical="center" wrapText="1"/>
      <protection locked="0" hidden="1"/>
    </xf>
    <xf numFmtId="4" fontId="0" fillId="4" borderId="24" xfId="0" applyNumberFormat="1" applyFill="1" applyBorder="1" applyAlignment="1" applyProtection="1">
      <alignment horizontal="center" vertical="center"/>
      <protection locked="0" hidden="1"/>
    </xf>
    <xf numFmtId="4" fontId="0" fillId="4" borderId="77" xfId="0" applyNumberFormat="1"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4" borderId="23" xfId="0" applyFill="1" applyBorder="1" applyAlignment="1" applyProtection="1">
      <alignment horizontal="center" vertical="center"/>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11"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0" fillId="4" borderId="32"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4" borderId="19" xfId="0" applyFill="1" applyBorder="1" applyAlignment="1" applyProtection="1">
      <alignment horizontal="center"/>
      <protection locked="0" hidden="1"/>
    </xf>
    <xf numFmtId="0" fontId="0" fillId="4" borderId="36" xfId="0" applyFill="1" applyBorder="1" applyAlignment="1" applyProtection="1">
      <alignment horizontal="center"/>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35"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42"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90" xfId="0" applyFill="1" applyBorder="1" applyAlignment="1">
      <alignment horizontal="left" vertical="top" wrapText="1"/>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43"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0" borderId="37"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60" xfId="0" applyBorder="1" applyAlignment="1">
      <alignment horizontal="center" vertical="center"/>
    </xf>
    <xf numFmtId="0" fontId="0" fillId="4" borderId="54" xfId="0" applyFill="1" applyBorder="1" applyAlignment="1">
      <alignment horizontal="center"/>
    </xf>
    <xf numFmtId="0" fontId="4" fillId="4" borderId="84" xfId="0" applyFont="1" applyFill="1" applyBorder="1" applyAlignment="1">
      <alignment horizontal="center" vertical="center"/>
    </xf>
    <xf numFmtId="0" fontId="4" fillId="4" borderId="86" xfId="0" applyFont="1" applyFill="1" applyBorder="1" applyAlignment="1">
      <alignment horizontal="center" vertical="center"/>
    </xf>
    <xf numFmtId="0" fontId="0" fillId="0" borderId="78" xfId="0" applyBorder="1" applyAlignment="1">
      <alignment horizontal="center" vertical="center"/>
    </xf>
    <xf numFmtId="0" fontId="0" fillId="0" borderId="17" xfId="0" applyBorder="1" applyAlignment="1">
      <alignment horizontal="center" vertical="center"/>
    </xf>
    <xf numFmtId="0" fontId="0" fillId="0" borderId="81"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0" fillId="0" borderId="58" xfId="0" applyBorder="1" applyAlignment="1">
      <alignment horizontal="center" vertical="center"/>
    </xf>
    <xf numFmtId="0" fontId="0" fillId="0" borderId="15" xfId="0" applyBorder="1" applyAlignment="1">
      <alignment horizontal="center"/>
    </xf>
    <xf numFmtId="0" fontId="0" fillId="0" borderId="49" xfId="0" applyBorder="1" applyAlignment="1">
      <alignment horizontal="center"/>
    </xf>
    <xf numFmtId="0" fontId="0" fillId="0" borderId="75" xfId="0"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15" xfId="0" applyFont="1" applyBorder="1" applyAlignment="1">
      <alignment horizontal="center" vertical="center"/>
    </xf>
    <xf numFmtId="0" fontId="4" fillId="0" borderId="75" xfId="0" applyFont="1" applyBorder="1" applyAlignment="1">
      <alignment horizontal="center" vertical="center"/>
    </xf>
    <xf numFmtId="0" fontId="0" fillId="0" borderId="61" xfId="0" applyBorder="1" applyAlignment="1">
      <alignment horizontal="center" vertical="center"/>
    </xf>
    <xf numFmtId="0" fontId="0" fillId="0" borderId="63"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59" xfId="0" applyBorder="1" applyAlignment="1">
      <alignment horizontal="left" vertical="top"/>
    </xf>
    <xf numFmtId="0" fontId="0" fillId="0" borderId="54" xfId="0" applyBorder="1" applyAlignment="1">
      <alignment horizontal="left" vertical="top"/>
    </xf>
    <xf numFmtId="0" fontId="0" fillId="5" borderId="79" xfId="0" applyFill="1" applyBorder="1" applyAlignment="1">
      <alignment horizontal="center" vertical="center"/>
    </xf>
    <xf numFmtId="0" fontId="0" fillId="5" borderId="32" xfId="0" applyFill="1" applyBorder="1" applyAlignment="1">
      <alignment horizontal="center" vertical="center"/>
    </xf>
    <xf numFmtId="0" fontId="0" fillId="5" borderId="80" xfId="0" applyFill="1" applyBorder="1" applyAlignment="1">
      <alignment horizontal="center" vertical="center"/>
    </xf>
    <xf numFmtId="0" fontId="0" fillId="5" borderId="89" xfId="0" applyFill="1" applyBorder="1" applyAlignment="1">
      <alignment horizontal="center" vertical="center"/>
    </xf>
    <xf numFmtId="0" fontId="0" fillId="5" borderId="0" xfId="0" applyFill="1" applyAlignment="1">
      <alignment horizontal="center" vertical="center"/>
    </xf>
    <xf numFmtId="0" fontId="0" fillId="5" borderId="90" xfId="0" applyFill="1" applyBorder="1" applyAlignment="1">
      <alignment horizontal="center"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39" xfId="0" applyBorder="1" applyAlignment="1">
      <alignment horizontal="left" vertical="top"/>
    </xf>
    <xf numFmtId="0" fontId="0" fillId="0" borderId="37"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73"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3" fontId="0" fillId="0" borderId="38" xfId="0" applyNumberFormat="1" applyBorder="1" applyAlignment="1">
      <alignment horizontal="left"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0" borderId="66" xfId="0" applyBorder="1" applyAlignment="1">
      <alignment horizontal="center" vertical="center"/>
    </xf>
    <xf numFmtId="0" fontId="0" fillId="4" borderId="84" xfId="0" applyFill="1" applyBorder="1" applyAlignment="1">
      <alignment horizontal="center" vertical="center"/>
    </xf>
    <xf numFmtId="0" fontId="0" fillId="4" borderId="86" xfId="0" applyFill="1" applyBorder="1" applyAlignment="1">
      <alignment horizontal="center" vertic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67" xfId="0" applyBorder="1" applyAlignment="1">
      <alignment horizontal="left" vertical="top"/>
    </xf>
    <xf numFmtId="0" fontId="0" fillId="4"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left" vertical="center"/>
    </xf>
    <xf numFmtId="0" fontId="0" fillId="4" borderId="0" xfId="0" applyFill="1" applyAlignment="1">
      <alignment horizontal="left" vertical="top"/>
    </xf>
    <xf numFmtId="0" fontId="0" fillId="5" borderId="0" xfId="0" applyFill="1" applyAlignment="1">
      <alignment horizontal="center"/>
    </xf>
    <xf numFmtId="0" fontId="0" fillId="8" borderId="0" xfId="0" applyFill="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0" fillId="9" borderId="19" xfId="0" applyFill="1" applyBorder="1" applyAlignment="1">
      <alignment horizontal="center"/>
    </xf>
    <xf numFmtId="0" fontId="0" fillId="0" borderId="19" xfId="0" applyBorder="1" applyAlignment="1">
      <alignment horizontal="left"/>
    </xf>
    <xf numFmtId="0" fontId="0" fillId="9" borderId="21" xfId="0" applyFill="1" applyBorder="1" applyAlignment="1">
      <alignment horizontal="center"/>
    </xf>
    <xf numFmtId="0" fontId="0" fillId="9" borderId="22" xfId="0" applyFill="1" applyBorder="1" applyAlignment="1">
      <alignment horizont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6" fillId="0" borderId="0" xfId="0" applyFont="1" applyAlignment="1">
      <alignment horizontal="center"/>
    </xf>
    <xf numFmtId="0" fontId="0" fillId="0" borderId="109" xfId="0" applyBorder="1" applyAlignment="1">
      <alignment horizontal="left"/>
    </xf>
    <xf numFmtId="0" fontId="7" fillId="0" borderId="0" xfId="4" applyFill="1" applyAlignment="1">
      <alignment horizontal="center"/>
    </xf>
    <xf numFmtId="0" fontId="0" fillId="4" borderId="41" xfId="0" applyFill="1" applyBorder="1" applyAlignment="1">
      <alignment horizontal="center"/>
    </xf>
    <xf numFmtId="0" fontId="0" fillId="5" borderId="0" xfId="0" applyFill="1" applyAlignment="1">
      <alignment horizontal="left" vertical="center" wrapText="1" indent="7"/>
    </xf>
    <xf numFmtId="167" fontId="0" fillId="4" borderId="0" xfId="1" applyNumberFormat="1" applyFont="1" applyFill="1" applyAlignment="1">
      <alignment horizontal="center"/>
    </xf>
    <xf numFmtId="165" fontId="0" fillId="4" borderId="0" xfId="1" applyFont="1" applyFill="1" applyBorder="1" applyAlignment="1">
      <alignment horizontal="center"/>
    </xf>
    <xf numFmtId="0" fontId="12" fillId="5" borderId="0" xfId="0" applyFont="1" applyFill="1" applyAlignment="1">
      <alignment horizontal="left" wrapText="1" indent="6"/>
    </xf>
    <xf numFmtId="0" fontId="0" fillId="4" borderId="111" xfId="0" applyFill="1" applyBorder="1" applyAlignment="1">
      <alignment horizontal="center"/>
    </xf>
    <xf numFmtId="0" fontId="13" fillId="5" borderId="79"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80" xfId="0" applyFont="1" applyFill="1" applyBorder="1" applyAlignment="1">
      <alignment horizontal="left" wrapText="1" indent="6"/>
    </xf>
    <xf numFmtId="0" fontId="13" fillId="5" borderId="89" xfId="0" applyFont="1" applyFill="1" applyBorder="1" applyAlignment="1">
      <alignment horizontal="left" wrapText="1" indent="6"/>
    </xf>
    <xf numFmtId="0" fontId="13" fillId="5" borderId="0" xfId="0" applyFont="1" applyFill="1" applyAlignment="1">
      <alignment horizontal="left" wrapText="1" indent="6"/>
    </xf>
    <xf numFmtId="0" fontId="13" fillId="5" borderId="90" xfId="0" applyFont="1" applyFill="1" applyBorder="1" applyAlignment="1">
      <alignment horizontal="left" wrapText="1" indent="6"/>
    </xf>
    <xf numFmtId="0" fontId="13" fillId="5" borderId="82"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3" xfId="0" applyFont="1" applyFill="1" applyBorder="1" applyAlignment="1">
      <alignment horizontal="left" wrapText="1" indent="6"/>
    </xf>
    <xf numFmtId="0" fontId="0" fillId="4" borderId="109" xfId="0" applyFill="1" applyBorder="1" applyAlignment="1">
      <alignment horizontal="center" vertical="center"/>
    </xf>
    <xf numFmtId="14" fontId="0" fillId="4" borderId="109" xfId="0" applyNumberFormat="1" applyFill="1" applyBorder="1" applyAlignment="1">
      <alignment horizontal="center" vertical="center"/>
    </xf>
    <xf numFmtId="0" fontId="0" fillId="0" borderId="54" xfId="0" applyBorder="1" applyAlignment="1">
      <alignment horizontal="center"/>
    </xf>
    <xf numFmtId="0" fontId="0" fillId="5" borderId="0" xfId="0" applyFill="1" applyAlignment="1">
      <alignment horizontal="left"/>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0" borderId="58" xfId="0" applyBorder="1" applyAlignment="1">
      <alignment horizontal="center"/>
    </xf>
    <xf numFmtId="0" fontId="0" fillId="0" borderId="19" xfId="0"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0" fillId="5" borderId="36" xfId="0" applyFill="1" applyBorder="1" applyAlignment="1">
      <alignment horizontal="left"/>
    </xf>
    <xf numFmtId="0" fontId="0" fillId="5" borderId="38" xfId="0" applyFill="1" applyBorder="1" applyAlignment="1">
      <alignment horizontal="center"/>
    </xf>
    <xf numFmtId="0" fontId="0" fillId="5" borderId="63" xfId="0" applyFill="1" applyBorder="1" applyAlignment="1">
      <alignment horizontal="center"/>
    </xf>
    <xf numFmtId="0" fontId="0" fillId="0" borderId="19" xfId="0" applyBorder="1" applyAlignment="1">
      <alignment horizontal="left" vertical="top" wrapText="1"/>
    </xf>
    <xf numFmtId="0" fontId="0" fillId="0" borderId="19" xfId="0" applyBorder="1" applyAlignment="1">
      <alignment horizontal="left" vertical="top"/>
    </xf>
    <xf numFmtId="0" fontId="4" fillId="0" borderId="0" xfId="0" applyFont="1" applyAlignment="1">
      <alignment horizontal="center"/>
    </xf>
    <xf numFmtId="0" fontId="0" fillId="5" borderId="56"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4" borderId="19" xfId="0" applyFill="1" applyBorder="1" applyAlignment="1">
      <alignment horizontal="left"/>
    </xf>
    <xf numFmtId="0" fontId="0" fillId="4" borderId="19" xfId="0" applyFill="1" applyBorder="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applyAlignment="1"/>
    <xf numFmtId="0" fontId="0" fillId="0" borderId="19" xfId="0" applyBorder="1" applyAlignment="1">
      <alignment horizontal="right" vertical="center"/>
    </xf>
    <xf numFmtId="14" fontId="0" fillId="0" borderId="19" xfId="0" applyNumberFormat="1" applyBorder="1" applyAlignment="1">
      <alignment horizontal="center"/>
    </xf>
    <xf numFmtId="0" fontId="15" fillId="4" borderId="0" xfId="0" applyFont="1" applyFill="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167" fontId="0" fillId="0" borderId="21" xfId="0" applyNumberFormat="1" applyBorder="1" applyAlignment="1">
      <alignment horizontal="center"/>
    </xf>
    <xf numFmtId="167"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1" borderId="56" xfId="0" applyFill="1" applyBorder="1" applyAlignment="1">
      <alignment horizontal="center"/>
    </xf>
    <xf numFmtId="0" fontId="0" fillId="0" borderId="22" xfId="0"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12"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5" borderId="37" xfId="0" applyFill="1" applyBorder="1" applyAlignment="1">
      <alignment horizontal="center"/>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cellXfs>
  <cellStyles count="5">
    <cellStyle name="Currency" xfId="1" builtinId="4"/>
    <cellStyle name="Good" xfId="3" builtinId="26"/>
    <cellStyle name="Hyperlink" xfId="4" builtinId="8"/>
    <cellStyle name="Normal" xfId="0" builtinId="0"/>
    <cellStyle name="Percent" xfId="2" builtinId="5"/>
  </cellStyles>
  <dxfs count="1298">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ill>
        <patternFill>
          <bgColor theme="8" tint="0.59996337778862885"/>
        </patternFill>
      </fill>
    </dxf>
    <dxf>
      <fill>
        <patternFill>
          <bgColor theme="8" tint="0.59996337778862885"/>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ill>
        <patternFill>
          <bgColor theme="4" tint="0.59996337778862885"/>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00B0F0"/>
        </patternFill>
      </fill>
    </dxf>
    <dxf>
      <font>
        <color auto="1"/>
      </font>
      <fill>
        <patternFill>
          <bgColor rgb="FFFF0000"/>
        </patternFill>
      </fill>
    </dxf>
    <dxf>
      <font>
        <color auto="1"/>
      </font>
      <fill>
        <patternFill>
          <bgColor rgb="FFFF0000"/>
        </patternFill>
      </fill>
    </dxf>
    <dxf>
      <fill>
        <patternFill>
          <bgColor rgb="FFFF0000"/>
        </patternFill>
      </fill>
    </dxf>
    <dxf>
      <font>
        <color rgb="FF9C0006"/>
      </font>
      <fill>
        <patternFill>
          <bgColor rgb="FFFFC7CE"/>
        </patternFill>
      </fill>
    </dxf>
    <dxf>
      <font>
        <color rgb="FF9C5700"/>
      </font>
      <fill>
        <patternFill>
          <bgColor rgb="FFFFEB9C"/>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strike/>
      </font>
      <fill>
        <patternFill>
          <bgColor theme="0" tint="-0.14996795556505021"/>
        </patternFill>
      </fill>
    </dxf>
    <dxf>
      <font>
        <strike/>
        <color auto="1"/>
      </font>
      <fill>
        <patternFill>
          <bgColor theme="0" tint="-0.14996795556505021"/>
        </patternFill>
      </fill>
    </dxf>
    <dxf>
      <font>
        <strike/>
        <color theme="0" tint="-0.34998626667073579"/>
      </font>
      <fill>
        <patternFill>
          <bgColor theme="0" tint="-0.14996795556505021"/>
        </patternFill>
      </fill>
    </dxf>
    <dxf>
      <fill>
        <patternFill>
          <bgColor rgb="FFFF0000"/>
        </patternFill>
      </fill>
    </dxf>
    <dxf>
      <fill>
        <patternFill>
          <bgColor rgb="FFFF0000"/>
        </patternFill>
      </fill>
    </dxf>
    <dxf>
      <fill>
        <patternFill patternType="none">
          <bgColor auto="1"/>
        </patternFill>
      </fill>
    </dxf>
    <dxf>
      <fill>
        <patternFill>
          <bgColor theme="7"/>
        </patternFill>
      </fill>
    </dxf>
    <dxf>
      <fill>
        <patternFill>
          <bgColor theme="7"/>
        </patternFill>
      </fill>
    </dxf>
    <dxf>
      <fill>
        <patternFill>
          <bgColor theme="7"/>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8" tint="0.59996337778862885"/>
        </patternFill>
      </fill>
    </dxf>
    <dxf>
      <fill>
        <patternFill>
          <bgColor theme="4" tint="0.59996337778862885"/>
        </patternFill>
      </fill>
    </dxf>
    <dxf>
      <fill>
        <patternFill>
          <bgColor rgb="FFFF0000"/>
        </patternFill>
      </fill>
    </dxf>
  </dxfs>
  <tableStyles count="0" defaultTableStyle="TableStyleMedium2" defaultPivotStyle="PivotStyleLight16"/>
  <colors>
    <mruColors>
      <color rgb="FFD1A3BF"/>
      <color rgb="FFA8833D"/>
      <color rgb="FFE7F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59.png"/><Relationship Id="rId21" Type="http://schemas.openxmlformats.org/officeDocument/2006/relationships/image" Target="../media/image11.png"/><Relationship Id="rId42" Type="http://schemas.openxmlformats.org/officeDocument/2006/relationships/customXml" Target="../ink/ink21.xml"/><Relationship Id="rId63" Type="http://schemas.openxmlformats.org/officeDocument/2006/relationships/image" Target="../media/image32.png"/><Relationship Id="rId84" Type="http://schemas.openxmlformats.org/officeDocument/2006/relationships/customXml" Target="../ink/ink42.xml"/><Relationship Id="rId138" Type="http://schemas.openxmlformats.org/officeDocument/2006/relationships/customXml" Target="../ink/ink69.xml"/><Relationship Id="rId159" Type="http://schemas.openxmlformats.org/officeDocument/2006/relationships/image" Target="../media/image173.png"/><Relationship Id="rId170" Type="http://schemas.openxmlformats.org/officeDocument/2006/relationships/customXml" Target="../ink/ink85.xml"/><Relationship Id="rId191" Type="http://schemas.openxmlformats.org/officeDocument/2006/relationships/image" Target="../media/image189.png"/><Relationship Id="rId205" Type="http://schemas.openxmlformats.org/officeDocument/2006/relationships/image" Target="../media/image196.png"/><Relationship Id="rId16" Type="http://schemas.openxmlformats.org/officeDocument/2006/relationships/customXml" Target="../ink/ink8.xml"/><Relationship Id="rId107" Type="http://schemas.openxmlformats.org/officeDocument/2006/relationships/image" Target="../media/image54.png"/><Relationship Id="rId11" Type="http://schemas.openxmlformats.org/officeDocument/2006/relationships/image" Target="../media/image6.png"/><Relationship Id="rId32" Type="http://schemas.openxmlformats.org/officeDocument/2006/relationships/customXml" Target="../ink/ink16.xml"/><Relationship Id="rId37" Type="http://schemas.openxmlformats.org/officeDocument/2006/relationships/image" Target="../media/image19.png"/><Relationship Id="rId53" Type="http://schemas.openxmlformats.org/officeDocument/2006/relationships/image" Target="../media/image27.png"/><Relationship Id="rId58" Type="http://schemas.openxmlformats.org/officeDocument/2006/relationships/customXml" Target="../ink/ink29.xml"/><Relationship Id="rId74" Type="http://schemas.openxmlformats.org/officeDocument/2006/relationships/customXml" Target="../ink/ink37.xml"/><Relationship Id="rId79" Type="http://schemas.openxmlformats.org/officeDocument/2006/relationships/image" Target="../media/image40.png"/><Relationship Id="rId102" Type="http://schemas.openxmlformats.org/officeDocument/2006/relationships/customXml" Target="../ink/ink51.xml"/><Relationship Id="rId123" Type="http://schemas.openxmlformats.org/officeDocument/2006/relationships/image" Target="../media/image62.png"/><Relationship Id="rId128" Type="http://schemas.openxmlformats.org/officeDocument/2006/relationships/customXml" Target="../ink/ink64.xml"/><Relationship Id="rId144" Type="http://schemas.openxmlformats.org/officeDocument/2006/relationships/customXml" Target="../ink/ink72.xml"/><Relationship Id="rId149" Type="http://schemas.openxmlformats.org/officeDocument/2006/relationships/image" Target="../media/image168.png"/><Relationship Id="rId5" Type="http://schemas.openxmlformats.org/officeDocument/2006/relationships/image" Target="../media/image3.png"/><Relationship Id="rId90" Type="http://schemas.openxmlformats.org/officeDocument/2006/relationships/customXml" Target="../ink/ink45.xml"/><Relationship Id="rId95" Type="http://schemas.openxmlformats.org/officeDocument/2006/relationships/image" Target="../media/image48.png"/><Relationship Id="rId160" Type="http://schemas.openxmlformats.org/officeDocument/2006/relationships/customXml" Target="../ink/ink80.xml"/><Relationship Id="rId165" Type="http://schemas.openxmlformats.org/officeDocument/2006/relationships/image" Target="../media/image176.png"/><Relationship Id="rId181" Type="http://schemas.openxmlformats.org/officeDocument/2006/relationships/image" Target="../media/image184.png"/><Relationship Id="rId186" Type="http://schemas.openxmlformats.org/officeDocument/2006/relationships/customXml" Target="../ink/ink93.xml"/><Relationship Id="rId22" Type="http://schemas.openxmlformats.org/officeDocument/2006/relationships/customXml" Target="../ink/ink11.xml"/><Relationship Id="rId27" Type="http://schemas.openxmlformats.org/officeDocument/2006/relationships/image" Target="../media/image14.png"/><Relationship Id="rId43" Type="http://schemas.openxmlformats.org/officeDocument/2006/relationships/image" Target="../media/image22.png"/><Relationship Id="rId48" Type="http://schemas.openxmlformats.org/officeDocument/2006/relationships/customXml" Target="../ink/ink24.xml"/><Relationship Id="rId64" Type="http://schemas.openxmlformats.org/officeDocument/2006/relationships/customXml" Target="../ink/ink32.xml"/><Relationship Id="rId69" Type="http://schemas.openxmlformats.org/officeDocument/2006/relationships/image" Target="../media/image35.png"/><Relationship Id="rId113" Type="http://schemas.openxmlformats.org/officeDocument/2006/relationships/image" Target="../media/image57.png"/><Relationship Id="rId118" Type="http://schemas.openxmlformats.org/officeDocument/2006/relationships/customXml" Target="../ink/ink59.xml"/><Relationship Id="rId134" Type="http://schemas.openxmlformats.org/officeDocument/2006/relationships/customXml" Target="../ink/ink67.xml"/><Relationship Id="rId139" Type="http://schemas.openxmlformats.org/officeDocument/2006/relationships/image" Target="../media/image163.png"/><Relationship Id="rId80" Type="http://schemas.openxmlformats.org/officeDocument/2006/relationships/customXml" Target="../ink/ink40.xml"/><Relationship Id="rId85" Type="http://schemas.openxmlformats.org/officeDocument/2006/relationships/image" Target="../media/image43.png"/><Relationship Id="rId150" Type="http://schemas.openxmlformats.org/officeDocument/2006/relationships/customXml" Target="../ink/ink75.xml"/><Relationship Id="rId155" Type="http://schemas.openxmlformats.org/officeDocument/2006/relationships/image" Target="../media/image171.png"/><Relationship Id="rId171" Type="http://schemas.openxmlformats.org/officeDocument/2006/relationships/image" Target="../media/image179.png"/><Relationship Id="rId176" Type="http://schemas.openxmlformats.org/officeDocument/2006/relationships/customXml" Target="../ink/ink88.xml"/><Relationship Id="rId192" Type="http://schemas.openxmlformats.org/officeDocument/2006/relationships/customXml" Target="../ink/ink96.xml"/><Relationship Id="rId197" Type="http://schemas.openxmlformats.org/officeDocument/2006/relationships/image" Target="../media/image192.png"/><Relationship Id="rId206" Type="http://schemas.openxmlformats.org/officeDocument/2006/relationships/customXml" Target="../ink/ink103.xml"/><Relationship Id="rId201" Type="http://schemas.openxmlformats.org/officeDocument/2006/relationships/image" Target="../media/image194.png"/><Relationship Id="rId12" Type="http://schemas.openxmlformats.org/officeDocument/2006/relationships/customXml" Target="../ink/ink6.xml"/><Relationship Id="rId17" Type="http://schemas.openxmlformats.org/officeDocument/2006/relationships/image" Target="../media/image9.png"/><Relationship Id="rId33" Type="http://schemas.openxmlformats.org/officeDocument/2006/relationships/image" Target="../media/image17.png"/><Relationship Id="rId38" Type="http://schemas.openxmlformats.org/officeDocument/2006/relationships/customXml" Target="../ink/ink19.xml"/><Relationship Id="rId59" Type="http://schemas.openxmlformats.org/officeDocument/2006/relationships/image" Target="../media/image30.png"/><Relationship Id="rId103" Type="http://schemas.openxmlformats.org/officeDocument/2006/relationships/image" Target="../media/image52.png"/><Relationship Id="rId108" Type="http://schemas.openxmlformats.org/officeDocument/2006/relationships/customXml" Target="../ink/ink54.xml"/><Relationship Id="rId124" Type="http://schemas.openxmlformats.org/officeDocument/2006/relationships/customXml" Target="../ink/ink62.xml"/><Relationship Id="rId129" Type="http://schemas.openxmlformats.org/officeDocument/2006/relationships/image" Target="../media/image65.png"/><Relationship Id="rId54" Type="http://schemas.openxmlformats.org/officeDocument/2006/relationships/customXml" Target="../ink/ink27.xml"/><Relationship Id="rId70" Type="http://schemas.openxmlformats.org/officeDocument/2006/relationships/customXml" Target="../ink/ink35.xml"/><Relationship Id="rId75" Type="http://schemas.openxmlformats.org/officeDocument/2006/relationships/image" Target="../media/image38.png"/><Relationship Id="rId91" Type="http://schemas.openxmlformats.org/officeDocument/2006/relationships/image" Target="../media/image46.png"/><Relationship Id="rId96" Type="http://schemas.openxmlformats.org/officeDocument/2006/relationships/customXml" Target="../ink/ink48.xml"/><Relationship Id="rId140" Type="http://schemas.openxmlformats.org/officeDocument/2006/relationships/customXml" Target="../ink/ink70.xml"/><Relationship Id="rId145" Type="http://schemas.openxmlformats.org/officeDocument/2006/relationships/image" Target="../media/image166.png"/><Relationship Id="rId161" Type="http://schemas.openxmlformats.org/officeDocument/2006/relationships/image" Target="../media/image174.png"/><Relationship Id="rId166" Type="http://schemas.openxmlformats.org/officeDocument/2006/relationships/customXml" Target="../ink/ink83.xml"/><Relationship Id="rId182" Type="http://schemas.openxmlformats.org/officeDocument/2006/relationships/customXml" Target="../ink/ink91.xml"/><Relationship Id="rId187" Type="http://schemas.openxmlformats.org/officeDocument/2006/relationships/image" Target="../media/image187.png"/><Relationship Id="rId1" Type="http://schemas.openxmlformats.org/officeDocument/2006/relationships/image" Target="../media/image1.png"/><Relationship Id="rId6" Type="http://schemas.openxmlformats.org/officeDocument/2006/relationships/customXml" Target="../ink/ink3.xml"/><Relationship Id="rId23" Type="http://schemas.openxmlformats.org/officeDocument/2006/relationships/image" Target="../media/image12.png"/><Relationship Id="rId28" Type="http://schemas.openxmlformats.org/officeDocument/2006/relationships/customXml" Target="../ink/ink14.xml"/><Relationship Id="rId49" Type="http://schemas.openxmlformats.org/officeDocument/2006/relationships/image" Target="../media/image25.png"/><Relationship Id="rId114" Type="http://schemas.openxmlformats.org/officeDocument/2006/relationships/customXml" Target="../ink/ink57.xml"/><Relationship Id="rId119" Type="http://schemas.openxmlformats.org/officeDocument/2006/relationships/image" Target="../media/image60.png"/><Relationship Id="rId44" Type="http://schemas.openxmlformats.org/officeDocument/2006/relationships/customXml" Target="../ink/ink22.xml"/><Relationship Id="rId60" Type="http://schemas.openxmlformats.org/officeDocument/2006/relationships/customXml" Target="../ink/ink30.xml"/><Relationship Id="rId65" Type="http://schemas.openxmlformats.org/officeDocument/2006/relationships/image" Target="../media/image33.png"/><Relationship Id="rId81" Type="http://schemas.openxmlformats.org/officeDocument/2006/relationships/image" Target="../media/image41.png"/><Relationship Id="rId86" Type="http://schemas.openxmlformats.org/officeDocument/2006/relationships/customXml" Target="../ink/ink43.xml"/><Relationship Id="rId130" Type="http://schemas.openxmlformats.org/officeDocument/2006/relationships/customXml" Target="../ink/ink65.xml"/><Relationship Id="rId135" Type="http://schemas.openxmlformats.org/officeDocument/2006/relationships/image" Target="../media/image161.png"/><Relationship Id="rId151" Type="http://schemas.openxmlformats.org/officeDocument/2006/relationships/image" Target="../media/image169.png"/><Relationship Id="rId156" Type="http://schemas.openxmlformats.org/officeDocument/2006/relationships/customXml" Target="../ink/ink78.xml"/><Relationship Id="rId177" Type="http://schemas.openxmlformats.org/officeDocument/2006/relationships/image" Target="../media/image182.png"/><Relationship Id="rId198" Type="http://schemas.openxmlformats.org/officeDocument/2006/relationships/customXml" Target="../ink/ink99.xml"/><Relationship Id="rId172" Type="http://schemas.openxmlformats.org/officeDocument/2006/relationships/customXml" Target="../ink/ink86.xml"/><Relationship Id="rId193" Type="http://schemas.openxmlformats.org/officeDocument/2006/relationships/image" Target="../media/image190.png"/><Relationship Id="rId202" Type="http://schemas.openxmlformats.org/officeDocument/2006/relationships/customXml" Target="../ink/ink101.xml"/><Relationship Id="rId207" Type="http://schemas.openxmlformats.org/officeDocument/2006/relationships/image" Target="../media/image197.png"/><Relationship Id="rId13" Type="http://schemas.openxmlformats.org/officeDocument/2006/relationships/image" Target="../media/image7.png"/><Relationship Id="rId18" Type="http://schemas.openxmlformats.org/officeDocument/2006/relationships/customXml" Target="../ink/ink9.xml"/><Relationship Id="rId39" Type="http://schemas.openxmlformats.org/officeDocument/2006/relationships/image" Target="../media/image20.png"/><Relationship Id="rId109" Type="http://schemas.openxmlformats.org/officeDocument/2006/relationships/image" Target="../media/image55.png"/><Relationship Id="rId34" Type="http://schemas.openxmlformats.org/officeDocument/2006/relationships/customXml" Target="../ink/ink17.xml"/><Relationship Id="rId50" Type="http://schemas.openxmlformats.org/officeDocument/2006/relationships/customXml" Target="../ink/ink25.xml"/><Relationship Id="rId55" Type="http://schemas.openxmlformats.org/officeDocument/2006/relationships/image" Target="../media/image28.png"/><Relationship Id="rId76" Type="http://schemas.openxmlformats.org/officeDocument/2006/relationships/customXml" Target="../ink/ink38.xml"/><Relationship Id="rId97" Type="http://schemas.openxmlformats.org/officeDocument/2006/relationships/image" Target="../media/image49.png"/><Relationship Id="rId104" Type="http://schemas.openxmlformats.org/officeDocument/2006/relationships/customXml" Target="../ink/ink52.xml"/><Relationship Id="rId120" Type="http://schemas.openxmlformats.org/officeDocument/2006/relationships/customXml" Target="../ink/ink60.xml"/><Relationship Id="rId125" Type="http://schemas.openxmlformats.org/officeDocument/2006/relationships/image" Target="../media/image63.png"/><Relationship Id="rId141" Type="http://schemas.openxmlformats.org/officeDocument/2006/relationships/image" Target="../media/image164.png"/><Relationship Id="rId146" Type="http://schemas.openxmlformats.org/officeDocument/2006/relationships/customXml" Target="../ink/ink73.xml"/><Relationship Id="rId167" Type="http://schemas.openxmlformats.org/officeDocument/2006/relationships/image" Target="../media/image177.png"/><Relationship Id="rId188" Type="http://schemas.openxmlformats.org/officeDocument/2006/relationships/customXml" Target="../ink/ink94.xml"/><Relationship Id="rId7" Type="http://schemas.openxmlformats.org/officeDocument/2006/relationships/image" Target="../media/image4.png"/><Relationship Id="rId71" Type="http://schemas.openxmlformats.org/officeDocument/2006/relationships/image" Target="../media/image36.png"/><Relationship Id="rId92" Type="http://schemas.openxmlformats.org/officeDocument/2006/relationships/customXml" Target="../ink/ink46.xml"/><Relationship Id="rId162" Type="http://schemas.openxmlformats.org/officeDocument/2006/relationships/customXml" Target="../ink/ink81.xml"/><Relationship Id="rId183" Type="http://schemas.openxmlformats.org/officeDocument/2006/relationships/image" Target="../media/image185.png"/><Relationship Id="rId2" Type="http://schemas.openxmlformats.org/officeDocument/2006/relationships/customXml" Target="../ink/ink1.xml"/><Relationship Id="rId29" Type="http://schemas.openxmlformats.org/officeDocument/2006/relationships/image" Target="../media/image15.png"/><Relationship Id="rId24" Type="http://schemas.openxmlformats.org/officeDocument/2006/relationships/customXml" Target="../ink/ink12.xml"/><Relationship Id="rId40" Type="http://schemas.openxmlformats.org/officeDocument/2006/relationships/customXml" Target="../ink/ink20.xml"/><Relationship Id="rId45" Type="http://schemas.openxmlformats.org/officeDocument/2006/relationships/image" Target="../media/image23.png"/><Relationship Id="rId66" Type="http://schemas.openxmlformats.org/officeDocument/2006/relationships/customXml" Target="../ink/ink33.xml"/><Relationship Id="rId87" Type="http://schemas.openxmlformats.org/officeDocument/2006/relationships/image" Target="../media/image44.png"/><Relationship Id="rId110" Type="http://schemas.openxmlformats.org/officeDocument/2006/relationships/customXml" Target="../ink/ink55.xml"/><Relationship Id="rId115" Type="http://schemas.openxmlformats.org/officeDocument/2006/relationships/image" Target="../media/image58.png"/><Relationship Id="rId131" Type="http://schemas.openxmlformats.org/officeDocument/2006/relationships/image" Target="../media/image66.png"/><Relationship Id="rId136" Type="http://schemas.openxmlformats.org/officeDocument/2006/relationships/customXml" Target="../ink/ink68.xml"/><Relationship Id="rId157" Type="http://schemas.openxmlformats.org/officeDocument/2006/relationships/image" Target="../media/image172.png"/><Relationship Id="rId178" Type="http://schemas.openxmlformats.org/officeDocument/2006/relationships/customXml" Target="../ink/ink89.xml"/><Relationship Id="rId61" Type="http://schemas.openxmlformats.org/officeDocument/2006/relationships/image" Target="../media/image31.png"/><Relationship Id="rId82" Type="http://schemas.openxmlformats.org/officeDocument/2006/relationships/customXml" Target="../ink/ink41.xml"/><Relationship Id="rId152" Type="http://schemas.openxmlformats.org/officeDocument/2006/relationships/customXml" Target="../ink/ink76.xml"/><Relationship Id="rId173" Type="http://schemas.openxmlformats.org/officeDocument/2006/relationships/image" Target="../media/image180.png"/><Relationship Id="rId194" Type="http://schemas.openxmlformats.org/officeDocument/2006/relationships/customXml" Target="../ink/ink97.xml"/><Relationship Id="rId199" Type="http://schemas.openxmlformats.org/officeDocument/2006/relationships/image" Target="../media/image193.png"/><Relationship Id="rId203" Type="http://schemas.openxmlformats.org/officeDocument/2006/relationships/image" Target="../media/image195.png"/><Relationship Id="rId19" Type="http://schemas.openxmlformats.org/officeDocument/2006/relationships/image" Target="../media/image10.png"/><Relationship Id="rId14" Type="http://schemas.openxmlformats.org/officeDocument/2006/relationships/customXml" Target="../ink/ink7.xml"/><Relationship Id="rId30" Type="http://schemas.openxmlformats.org/officeDocument/2006/relationships/customXml" Target="../ink/ink15.xml"/><Relationship Id="rId35" Type="http://schemas.openxmlformats.org/officeDocument/2006/relationships/image" Target="../media/image18.png"/><Relationship Id="rId56" Type="http://schemas.openxmlformats.org/officeDocument/2006/relationships/customXml" Target="../ink/ink28.xml"/><Relationship Id="rId77" Type="http://schemas.openxmlformats.org/officeDocument/2006/relationships/image" Target="../media/image39.png"/><Relationship Id="rId100" Type="http://schemas.openxmlformats.org/officeDocument/2006/relationships/customXml" Target="../ink/ink50.xml"/><Relationship Id="rId105" Type="http://schemas.openxmlformats.org/officeDocument/2006/relationships/image" Target="../media/image53.png"/><Relationship Id="rId126" Type="http://schemas.openxmlformats.org/officeDocument/2006/relationships/customXml" Target="../ink/ink63.xml"/><Relationship Id="rId147" Type="http://schemas.openxmlformats.org/officeDocument/2006/relationships/image" Target="../media/image167.png"/><Relationship Id="rId168" Type="http://schemas.openxmlformats.org/officeDocument/2006/relationships/customXml" Target="../ink/ink84.xml"/><Relationship Id="rId8" Type="http://schemas.openxmlformats.org/officeDocument/2006/relationships/customXml" Target="../ink/ink4.xml"/><Relationship Id="rId51" Type="http://schemas.openxmlformats.org/officeDocument/2006/relationships/image" Target="../media/image26.png"/><Relationship Id="rId72" Type="http://schemas.openxmlformats.org/officeDocument/2006/relationships/customXml" Target="../ink/ink36.xml"/><Relationship Id="rId93" Type="http://schemas.openxmlformats.org/officeDocument/2006/relationships/image" Target="../media/image47.png"/><Relationship Id="rId98" Type="http://schemas.openxmlformats.org/officeDocument/2006/relationships/customXml" Target="../ink/ink49.xml"/><Relationship Id="rId121" Type="http://schemas.openxmlformats.org/officeDocument/2006/relationships/image" Target="../media/image61.png"/><Relationship Id="rId142" Type="http://schemas.openxmlformats.org/officeDocument/2006/relationships/customXml" Target="../ink/ink71.xml"/><Relationship Id="rId163" Type="http://schemas.openxmlformats.org/officeDocument/2006/relationships/image" Target="../media/image175.png"/><Relationship Id="rId184" Type="http://schemas.openxmlformats.org/officeDocument/2006/relationships/customXml" Target="../ink/ink92.xml"/><Relationship Id="rId189" Type="http://schemas.openxmlformats.org/officeDocument/2006/relationships/image" Target="../media/image188.png"/><Relationship Id="rId3" Type="http://schemas.openxmlformats.org/officeDocument/2006/relationships/image" Target="../media/image2.png"/><Relationship Id="rId25" Type="http://schemas.openxmlformats.org/officeDocument/2006/relationships/image" Target="../media/image13.png"/><Relationship Id="rId46" Type="http://schemas.openxmlformats.org/officeDocument/2006/relationships/customXml" Target="../ink/ink23.xml"/><Relationship Id="rId67" Type="http://schemas.openxmlformats.org/officeDocument/2006/relationships/image" Target="../media/image34.png"/><Relationship Id="rId116" Type="http://schemas.openxmlformats.org/officeDocument/2006/relationships/customXml" Target="../ink/ink58.xml"/><Relationship Id="rId137" Type="http://schemas.openxmlformats.org/officeDocument/2006/relationships/image" Target="../media/image162.png"/><Relationship Id="rId158" Type="http://schemas.openxmlformats.org/officeDocument/2006/relationships/customXml" Target="../ink/ink79.xml"/><Relationship Id="rId20" Type="http://schemas.openxmlformats.org/officeDocument/2006/relationships/customXml" Target="../ink/ink10.xml"/><Relationship Id="rId41" Type="http://schemas.openxmlformats.org/officeDocument/2006/relationships/image" Target="../media/image21.png"/><Relationship Id="rId62" Type="http://schemas.openxmlformats.org/officeDocument/2006/relationships/customXml" Target="../ink/ink31.xml"/><Relationship Id="rId83" Type="http://schemas.openxmlformats.org/officeDocument/2006/relationships/image" Target="../media/image42.png"/><Relationship Id="rId88" Type="http://schemas.openxmlformats.org/officeDocument/2006/relationships/customXml" Target="../ink/ink44.xml"/><Relationship Id="rId111" Type="http://schemas.openxmlformats.org/officeDocument/2006/relationships/image" Target="../media/image56.png"/><Relationship Id="rId132" Type="http://schemas.openxmlformats.org/officeDocument/2006/relationships/customXml" Target="../ink/ink66.xml"/><Relationship Id="rId153" Type="http://schemas.openxmlformats.org/officeDocument/2006/relationships/image" Target="../media/image170.png"/><Relationship Id="rId174" Type="http://schemas.openxmlformats.org/officeDocument/2006/relationships/customXml" Target="../ink/ink87.xml"/><Relationship Id="rId179" Type="http://schemas.openxmlformats.org/officeDocument/2006/relationships/image" Target="../media/image183.png"/><Relationship Id="rId195" Type="http://schemas.openxmlformats.org/officeDocument/2006/relationships/image" Target="../media/image191.png"/><Relationship Id="rId190" Type="http://schemas.openxmlformats.org/officeDocument/2006/relationships/customXml" Target="../ink/ink95.xml"/><Relationship Id="rId204" Type="http://schemas.openxmlformats.org/officeDocument/2006/relationships/customXml" Target="../ink/ink102.xml"/><Relationship Id="rId15" Type="http://schemas.openxmlformats.org/officeDocument/2006/relationships/image" Target="../media/image8.png"/><Relationship Id="rId36" Type="http://schemas.openxmlformats.org/officeDocument/2006/relationships/customXml" Target="../ink/ink18.xml"/><Relationship Id="rId57" Type="http://schemas.openxmlformats.org/officeDocument/2006/relationships/image" Target="../media/image29.png"/><Relationship Id="rId106" Type="http://schemas.openxmlformats.org/officeDocument/2006/relationships/customXml" Target="../ink/ink53.xml"/><Relationship Id="rId127" Type="http://schemas.openxmlformats.org/officeDocument/2006/relationships/image" Target="../media/image64.png"/><Relationship Id="rId10" Type="http://schemas.openxmlformats.org/officeDocument/2006/relationships/customXml" Target="../ink/ink5.xml"/><Relationship Id="rId31" Type="http://schemas.openxmlformats.org/officeDocument/2006/relationships/image" Target="../media/image16.png"/><Relationship Id="rId52" Type="http://schemas.openxmlformats.org/officeDocument/2006/relationships/customXml" Target="../ink/ink26.xml"/><Relationship Id="rId73" Type="http://schemas.openxmlformats.org/officeDocument/2006/relationships/image" Target="../media/image37.png"/><Relationship Id="rId78" Type="http://schemas.openxmlformats.org/officeDocument/2006/relationships/customXml" Target="../ink/ink39.xml"/><Relationship Id="rId94" Type="http://schemas.openxmlformats.org/officeDocument/2006/relationships/customXml" Target="../ink/ink47.xml"/><Relationship Id="rId99" Type="http://schemas.openxmlformats.org/officeDocument/2006/relationships/image" Target="../media/image50.png"/><Relationship Id="rId101" Type="http://schemas.openxmlformats.org/officeDocument/2006/relationships/image" Target="../media/image51.png"/><Relationship Id="rId122" Type="http://schemas.openxmlformats.org/officeDocument/2006/relationships/customXml" Target="../ink/ink61.xml"/><Relationship Id="rId143" Type="http://schemas.openxmlformats.org/officeDocument/2006/relationships/image" Target="../media/image165.png"/><Relationship Id="rId148" Type="http://schemas.openxmlformats.org/officeDocument/2006/relationships/customXml" Target="../ink/ink74.xml"/><Relationship Id="rId164" Type="http://schemas.openxmlformats.org/officeDocument/2006/relationships/customXml" Target="../ink/ink82.xml"/><Relationship Id="rId169" Type="http://schemas.openxmlformats.org/officeDocument/2006/relationships/image" Target="../media/image178.png"/><Relationship Id="rId185" Type="http://schemas.openxmlformats.org/officeDocument/2006/relationships/image" Target="../media/image186.png"/><Relationship Id="rId4" Type="http://schemas.openxmlformats.org/officeDocument/2006/relationships/customXml" Target="../ink/ink2.xml"/><Relationship Id="rId9" Type="http://schemas.openxmlformats.org/officeDocument/2006/relationships/image" Target="../media/image5.png"/><Relationship Id="rId180" Type="http://schemas.openxmlformats.org/officeDocument/2006/relationships/customXml" Target="../ink/ink90.xml"/><Relationship Id="rId26" Type="http://schemas.openxmlformats.org/officeDocument/2006/relationships/customXml" Target="../ink/ink13.xml"/><Relationship Id="rId47" Type="http://schemas.openxmlformats.org/officeDocument/2006/relationships/image" Target="../media/image24.png"/><Relationship Id="rId68" Type="http://schemas.openxmlformats.org/officeDocument/2006/relationships/customXml" Target="../ink/ink34.xml"/><Relationship Id="rId89" Type="http://schemas.openxmlformats.org/officeDocument/2006/relationships/image" Target="../media/image45.png"/><Relationship Id="rId112" Type="http://schemas.openxmlformats.org/officeDocument/2006/relationships/customXml" Target="../ink/ink56.xml"/><Relationship Id="rId133" Type="http://schemas.openxmlformats.org/officeDocument/2006/relationships/image" Target="../media/image160.png"/><Relationship Id="rId154" Type="http://schemas.openxmlformats.org/officeDocument/2006/relationships/customXml" Target="../ink/ink77.xml"/><Relationship Id="rId175" Type="http://schemas.openxmlformats.org/officeDocument/2006/relationships/image" Target="../media/image181.png"/><Relationship Id="rId196" Type="http://schemas.openxmlformats.org/officeDocument/2006/relationships/customXml" Target="../ink/ink98.xml"/><Relationship Id="rId200" Type="http://schemas.openxmlformats.org/officeDocument/2006/relationships/customXml" Target="../ink/ink100.xml"/></Relationships>
</file>

<file path=xl/drawings/_rels/drawing2.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png"/><Relationship Id="rId6" Type="http://schemas.openxmlformats.org/officeDocument/2006/relationships/image" Target="../media/image71.png"/><Relationship Id="rId5" Type="http://schemas.openxmlformats.org/officeDocument/2006/relationships/hyperlink" Target="http://www.perfectshutters.co.uk" TargetMode="External"/><Relationship Id="rId4" Type="http://schemas.openxmlformats.org/officeDocument/2006/relationships/image" Target="../media/image7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image" Target="../media/image74.jpeg"/><Relationship Id="rId7" Type="http://schemas.openxmlformats.org/officeDocument/2006/relationships/image" Target="../media/image78.sv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png"/><Relationship Id="rId11" Type="http://schemas.openxmlformats.org/officeDocument/2006/relationships/image" Target="../media/image82.svg"/><Relationship Id="rId5" Type="http://schemas.openxmlformats.org/officeDocument/2006/relationships/image" Target="../media/image7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svg"/></Relationships>
</file>

<file path=xl/drawings/_rels/drawing5.xml.rels><?xml version="1.0" encoding="UTF-8" standalone="yes"?>
<Relationships xmlns="http://schemas.openxmlformats.org/package/2006/relationships"><Relationship Id="rId8" Type="http://schemas.openxmlformats.org/officeDocument/2006/relationships/image" Target="../media/image93.png"/><Relationship Id="rId3" Type="http://schemas.openxmlformats.org/officeDocument/2006/relationships/image" Target="../media/image88.pn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10" Type="http://schemas.openxmlformats.org/officeDocument/2006/relationships/image" Target="../media/image95.png"/><Relationship Id="rId4" Type="http://schemas.openxmlformats.org/officeDocument/2006/relationships/image" Target="../media/image89.png"/><Relationship Id="rId9" Type="http://schemas.openxmlformats.org/officeDocument/2006/relationships/image" Target="../media/image9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s>
</file>

<file path=xl/drawings/drawing1.xml><?xml version="1.0" encoding="utf-8"?>
<xdr:wsDr xmlns:xdr="http://schemas.openxmlformats.org/drawingml/2006/spreadsheetDrawing" xmlns:a="http://schemas.openxmlformats.org/drawingml/2006/main">
  <xdr:twoCellAnchor editAs="oneCell">
    <xdr:from>
      <xdr:col>1</xdr:col>
      <xdr:colOff>137160</xdr:colOff>
      <xdr:row>1</xdr:row>
      <xdr:rowOff>5715</xdr:rowOff>
    </xdr:from>
    <xdr:to>
      <xdr:col>6</xdr:col>
      <xdr:colOff>400050</xdr:colOff>
      <xdr:row>3</xdr:row>
      <xdr:rowOff>174714</xdr:rowOff>
    </xdr:to>
    <xdr:pic>
      <xdr:nvPicPr>
        <xdr:cNvPr id="2" name="Picture 1">
          <a:extLst>
            <a:ext uri="{FF2B5EF4-FFF2-40B4-BE49-F238E27FC236}">
              <a16:creationId xmlns:a16="http://schemas.microsoft.com/office/drawing/2014/main" id="{A2CED759-6EC5-4EAE-ABD5-6348B1745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940" y="188595"/>
          <a:ext cx="3133725" cy="530949"/>
        </a:xfrm>
        <a:prstGeom prst="rect">
          <a:avLst/>
        </a:prstGeom>
      </xdr:spPr>
    </xdr:pic>
    <xdr:clientData/>
  </xdr:twoCellAnchor>
  <xdr:twoCellAnchor editAs="oneCell">
    <xdr:from>
      <xdr:col>10</xdr:col>
      <xdr:colOff>486423</xdr:colOff>
      <xdr:row>7</xdr:row>
      <xdr:rowOff>28610</xdr:rowOff>
    </xdr:from>
    <xdr:to>
      <xdr:col>10</xdr:col>
      <xdr:colOff>762903</xdr:colOff>
      <xdr:row>9</xdr:row>
      <xdr:rowOff>178807</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EF637B95-21B2-0747-BA6B-FC2D1E138E87}"/>
                </a:ext>
                <a:ext uri="{147F2762-F138-4A5C-976F-8EAC2B608ADB}">
                  <a16:predDERef xmlns:a16="http://schemas.microsoft.com/office/drawing/2014/main" pred="{A2CED759-6EC5-4EAE-ABD5-6348B17454A8}"/>
                </a:ext>
              </a:extLst>
            </xdr14:cNvPr>
            <xdr14:cNvContentPartPr/>
          </xdr14:nvContentPartPr>
          <xdr14:nvPr macro=""/>
          <xdr14:xfrm>
            <a:off x="6080400" y="1534680"/>
            <a:ext cx="276480" cy="535680"/>
          </xdr14:xfrm>
        </xdr:contentPart>
      </mc:Choice>
      <mc:Fallback xmlns="">
        <xdr:pic>
          <xdr:nvPicPr>
            <xdr:cNvPr id="3" name="Ink 2">
              <a:extLst>
                <a:ext uri="{FF2B5EF4-FFF2-40B4-BE49-F238E27FC236}">
                  <a16:creationId xmlns:a16="http://schemas.microsoft.com/office/drawing/2014/main" id="{EF637B95-21B2-0747-BA6B-FC2D1E138E87}"/>
                </a:ext>
                <a:ext uri="{147F2762-F138-4A5C-976F-8EAC2B608ADB}">
                  <a16:predDERef xmlns:a16="http://schemas.microsoft.com/office/drawing/2014/main" pred="{A2CED759-6EC5-4EAE-ABD5-6348B17454A8}"/>
                </a:ext>
              </a:extLst>
            </xdr:cNvPr>
            <xdr:cNvPicPr/>
          </xdr:nvPicPr>
          <xdr:blipFill>
            <a:blip xmlns:r="http://schemas.openxmlformats.org/officeDocument/2006/relationships" r:embed="rId3"/>
            <a:stretch>
              <a:fillRect/>
            </a:stretch>
          </xdr:blipFill>
          <xdr:spPr>
            <a:xfrm>
              <a:off x="6071760" y="1526040"/>
              <a:ext cx="294120" cy="553320"/>
            </a:xfrm>
            <a:prstGeom prst="rect">
              <a:avLst/>
            </a:prstGeom>
          </xdr:spPr>
        </xdr:pic>
      </mc:Fallback>
    </mc:AlternateContent>
    <xdr:clientData/>
  </xdr:twoCellAnchor>
  <xdr:twoCellAnchor editAs="oneCell">
    <xdr:from>
      <xdr:col>10</xdr:col>
      <xdr:colOff>529983</xdr:colOff>
      <xdr:row>8</xdr:row>
      <xdr:rowOff>61948</xdr:rowOff>
    </xdr:from>
    <xdr:to>
      <xdr:col>10</xdr:col>
      <xdr:colOff>833103</xdr:colOff>
      <xdr:row>8</xdr:row>
      <xdr:rowOff>92908</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6FF4BD80-952D-9B4C-AA74-39AC533057EE}"/>
                </a:ext>
                <a:ext uri="{147F2762-F138-4A5C-976F-8EAC2B608ADB}">
                  <a16:predDERef xmlns:a16="http://schemas.microsoft.com/office/drawing/2014/main" pred="{EF637B95-21B2-0747-BA6B-FC2D1E138E87}"/>
                </a:ext>
              </a:extLst>
            </xdr14:cNvPr>
            <xdr14:cNvContentPartPr/>
          </xdr14:nvContentPartPr>
          <xdr14:nvPr macro=""/>
          <xdr14:xfrm>
            <a:off x="6123960" y="1760760"/>
            <a:ext cx="303120" cy="30960"/>
          </xdr14:xfrm>
        </xdr:contentPart>
      </mc:Choice>
      <mc:Fallback xmlns="">
        <xdr:pic>
          <xdr:nvPicPr>
            <xdr:cNvPr id="4" name="Ink 3">
              <a:extLst>
                <a:ext uri="{FF2B5EF4-FFF2-40B4-BE49-F238E27FC236}">
                  <a16:creationId xmlns:a16="http://schemas.microsoft.com/office/drawing/2014/main" id="{6FF4BD80-952D-9B4C-AA74-39AC533057EE}"/>
                </a:ext>
                <a:ext uri="{147F2762-F138-4A5C-976F-8EAC2B608ADB}">
                  <a16:predDERef xmlns:a16="http://schemas.microsoft.com/office/drawing/2014/main" pred="{EF637B95-21B2-0747-BA6B-FC2D1E138E87}"/>
                </a:ext>
              </a:extLst>
            </xdr:cNvPr>
            <xdr:cNvPicPr/>
          </xdr:nvPicPr>
          <xdr:blipFill>
            <a:blip xmlns:r="http://schemas.openxmlformats.org/officeDocument/2006/relationships" r:embed="rId5"/>
            <a:stretch>
              <a:fillRect/>
            </a:stretch>
          </xdr:blipFill>
          <xdr:spPr>
            <a:xfrm>
              <a:off x="6115320" y="1752120"/>
              <a:ext cx="320760" cy="48600"/>
            </a:xfrm>
            <a:prstGeom prst="rect">
              <a:avLst/>
            </a:prstGeom>
          </xdr:spPr>
        </xdr:pic>
      </mc:Fallback>
    </mc:AlternateContent>
    <xdr:clientData/>
  </xdr:twoCellAnchor>
  <xdr:twoCellAnchor editAs="oneCell">
    <xdr:from>
      <xdr:col>10</xdr:col>
      <xdr:colOff>394263</xdr:colOff>
      <xdr:row>10</xdr:row>
      <xdr:rowOff>16143</xdr:rowOff>
    </xdr:from>
    <xdr:to>
      <xdr:col>10</xdr:col>
      <xdr:colOff>877023</xdr:colOff>
      <xdr:row>13</xdr:row>
      <xdr:rowOff>13955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90CC202E-11FA-EA48-B992-4C09FD18E439}"/>
                </a:ext>
                <a:ext uri="{147F2762-F138-4A5C-976F-8EAC2B608ADB}">
                  <a16:predDERef xmlns:a16="http://schemas.microsoft.com/office/drawing/2014/main" pred="{6FF4BD80-952D-9B4C-AA74-39AC533057EE}"/>
                </a:ext>
              </a:extLst>
            </xdr14:cNvPr>
            <xdr14:cNvContentPartPr/>
          </xdr14:nvContentPartPr>
          <xdr14:nvPr macro=""/>
          <xdr14:xfrm>
            <a:off x="5988240" y="2104920"/>
            <a:ext cx="482760" cy="585000"/>
          </xdr14:xfrm>
        </xdr:contentPart>
      </mc:Choice>
      <mc:Fallback xmlns="">
        <xdr:pic>
          <xdr:nvPicPr>
            <xdr:cNvPr id="5" name="Ink 4">
              <a:extLst>
                <a:ext uri="{FF2B5EF4-FFF2-40B4-BE49-F238E27FC236}">
                  <a16:creationId xmlns:a16="http://schemas.microsoft.com/office/drawing/2014/main" id="{90CC202E-11FA-EA48-B992-4C09FD18E439}"/>
                </a:ext>
                <a:ext uri="{147F2762-F138-4A5C-976F-8EAC2B608ADB}">
                  <a16:predDERef xmlns:a16="http://schemas.microsoft.com/office/drawing/2014/main" pred="{6FF4BD80-952D-9B4C-AA74-39AC533057EE}"/>
                </a:ext>
              </a:extLst>
            </xdr:cNvPr>
            <xdr:cNvPicPr/>
          </xdr:nvPicPr>
          <xdr:blipFill>
            <a:blip xmlns:r="http://schemas.openxmlformats.org/officeDocument/2006/relationships" r:embed="rId7"/>
            <a:stretch>
              <a:fillRect/>
            </a:stretch>
          </xdr:blipFill>
          <xdr:spPr>
            <a:xfrm>
              <a:off x="5979240" y="2095920"/>
              <a:ext cx="500400" cy="602640"/>
            </a:xfrm>
            <a:prstGeom prst="rect">
              <a:avLst/>
            </a:prstGeom>
          </xdr:spPr>
        </xdr:pic>
      </mc:Fallback>
    </mc:AlternateContent>
    <xdr:clientData/>
  </xdr:twoCellAnchor>
  <xdr:twoCellAnchor editAs="oneCell">
    <xdr:from>
      <xdr:col>10</xdr:col>
      <xdr:colOff>419463</xdr:colOff>
      <xdr:row>11</xdr:row>
      <xdr:rowOff>53640</xdr:rowOff>
    </xdr:from>
    <xdr:to>
      <xdr:col>10</xdr:col>
      <xdr:colOff>852903</xdr:colOff>
      <xdr:row>11</xdr:row>
      <xdr:rowOff>81360</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Ink 5">
              <a:extLst>
                <a:ext uri="{FF2B5EF4-FFF2-40B4-BE49-F238E27FC236}">
                  <a16:creationId xmlns:a16="http://schemas.microsoft.com/office/drawing/2014/main" id="{1AAF9A29-AEBC-7245-9F79-BC3F62A82D8C}"/>
                </a:ext>
                <a:ext uri="{147F2762-F138-4A5C-976F-8EAC2B608ADB}">
                  <a16:predDERef xmlns:a16="http://schemas.microsoft.com/office/drawing/2014/main" pred="{90CC202E-11FA-EA48-B992-4C09FD18E439}"/>
                </a:ext>
              </a:extLst>
            </xdr14:cNvPr>
            <xdr14:cNvContentPartPr/>
          </xdr14:nvContentPartPr>
          <xdr14:nvPr macro=""/>
          <xdr14:xfrm>
            <a:off x="6013440" y="2339640"/>
            <a:ext cx="433440" cy="27720"/>
          </xdr14:xfrm>
        </xdr:contentPart>
      </mc:Choice>
      <mc:Fallback xmlns="">
        <xdr:pic>
          <xdr:nvPicPr>
            <xdr:cNvPr id="6" name="Ink 5">
              <a:extLst>
                <a:ext uri="{FF2B5EF4-FFF2-40B4-BE49-F238E27FC236}">
                  <a16:creationId xmlns:a16="http://schemas.microsoft.com/office/drawing/2014/main" id="{1AAF9A29-AEBC-7245-9F79-BC3F62A82D8C}"/>
                </a:ext>
                <a:ext uri="{147F2762-F138-4A5C-976F-8EAC2B608ADB}">
                  <a16:predDERef xmlns:a16="http://schemas.microsoft.com/office/drawing/2014/main" pred="{90CC202E-11FA-EA48-B992-4C09FD18E439}"/>
                </a:ext>
              </a:extLst>
            </xdr:cNvPr>
            <xdr:cNvPicPr/>
          </xdr:nvPicPr>
          <xdr:blipFill>
            <a:blip xmlns:r="http://schemas.openxmlformats.org/officeDocument/2006/relationships" r:embed="rId9"/>
            <a:stretch>
              <a:fillRect/>
            </a:stretch>
          </xdr:blipFill>
          <xdr:spPr>
            <a:xfrm>
              <a:off x="6004800" y="2330640"/>
              <a:ext cx="451080" cy="45360"/>
            </a:xfrm>
            <a:prstGeom prst="rect">
              <a:avLst/>
            </a:prstGeom>
          </xdr:spPr>
        </xdr:pic>
      </mc:Fallback>
    </mc:AlternateContent>
    <xdr:clientData/>
  </xdr:twoCellAnchor>
  <xdr:twoCellAnchor editAs="oneCell">
    <xdr:from>
      <xdr:col>10</xdr:col>
      <xdr:colOff>617463</xdr:colOff>
      <xdr:row>10</xdr:row>
      <xdr:rowOff>42063</xdr:rowOff>
    </xdr:from>
    <xdr:to>
      <xdr:col>10</xdr:col>
      <xdr:colOff>663183</xdr:colOff>
      <xdr:row>13</xdr:row>
      <xdr:rowOff>41675</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7" name="Ink 6">
              <a:extLst>
                <a:ext uri="{FF2B5EF4-FFF2-40B4-BE49-F238E27FC236}">
                  <a16:creationId xmlns:a16="http://schemas.microsoft.com/office/drawing/2014/main" id="{DE738BAF-5F38-B047-9767-9459D82D27C5}"/>
                </a:ext>
                <a:ext uri="{147F2762-F138-4A5C-976F-8EAC2B608ADB}">
                  <a16:predDERef xmlns:a16="http://schemas.microsoft.com/office/drawing/2014/main" pred="{1AAF9A29-AEBC-7245-9F79-BC3F62A82D8C}"/>
                </a:ext>
              </a:extLst>
            </xdr14:cNvPr>
            <xdr14:cNvContentPartPr/>
          </xdr14:nvContentPartPr>
          <xdr14:nvPr macro=""/>
          <xdr14:xfrm>
            <a:off x="6211440" y="2130840"/>
            <a:ext cx="45720" cy="586800"/>
          </xdr14:xfrm>
        </xdr:contentPart>
      </mc:Choice>
      <mc:Fallback xmlns="">
        <xdr:pic>
          <xdr:nvPicPr>
            <xdr:cNvPr id="7" name="Ink 6">
              <a:extLst>
                <a:ext uri="{FF2B5EF4-FFF2-40B4-BE49-F238E27FC236}">
                  <a16:creationId xmlns:a16="http://schemas.microsoft.com/office/drawing/2014/main" id="{DE738BAF-5F38-B047-9767-9459D82D27C5}"/>
                </a:ext>
                <a:ext uri="{147F2762-F138-4A5C-976F-8EAC2B608ADB}">
                  <a16:predDERef xmlns:a16="http://schemas.microsoft.com/office/drawing/2014/main" pred="{1AAF9A29-AEBC-7245-9F79-BC3F62A82D8C}"/>
                </a:ext>
              </a:extLst>
            </xdr:cNvPr>
            <xdr:cNvPicPr/>
          </xdr:nvPicPr>
          <xdr:blipFill>
            <a:blip xmlns:r="http://schemas.openxmlformats.org/officeDocument/2006/relationships" r:embed="rId11"/>
            <a:stretch>
              <a:fillRect/>
            </a:stretch>
          </xdr:blipFill>
          <xdr:spPr>
            <a:xfrm>
              <a:off x="6202800" y="2121840"/>
              <a:ext cx="63360" cy="604440"/>
            </a:xfrm>
            <a:prstGeom prst="rect">
              <a:avLst/>
            </a:prstGeom>
          </xdr:spPr>
        </xdr:pic>
      </mc:Fallback>
    </mc:AlternateContent>
    <xdr:clientData/>
  </xdr:twoCellAnchor>
  <xdr:twoCellAnchor editAs="oneCell">
    <xdr:from>
      <xdr:col>10</xdr:col>
      <xdr:colOff>454023</xdr:colOff>
      <xdr:row>13</xdr:row>
      <xdr:rowOff>81275</xdr:rowOff>
    </xdr:from>
    <xdr:to>
      <xdr:col>10</xdr:col>
      <xdr:colOff>734823</xdr:colOff>
      <xdr:row>15</xdr:row>
      <xdr:rowOff>156070</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8" name="Ink 7">
              <a:extLst>
                <a:ext uri="{FF2B5EF4-FFF2-40B4-BE49-F238E27FC236}">
                  <a16:creationId xmlns:a16="http://schemas.microsoft.com/office/drawing/2014/main" id="{9A4777B4-40B4-0747-82E2-6A1F2A83C7AF}"/>
                </a:ext>
                <a:ext uri="{147F2762-F138-4A5C-976F-8EAC2B608ADB}">
                  <a16:predDERef xmlns:a16="http://schemas.microsoft.com/office/drawing/2014/main" pred="{DE738BAF-5F38-B047-9767-9459D82D27C5}"/>
                </a:ext>
              </a:extLst>
            </xdr14:cNvPr>
            <xdr14:cNvContentPartPr/>
          </xdr14:nvContentPartPr>
          <xdr14:nvPr macro=""/>
          <xdr14:xfrm>
            <a:off x="6048000" y="2757240"/>
            <a:ext cx="280800" cy="464760"/>
          </xdr14:xfrm>
        </xdr:contentPart>
      </mc:Choice>
      <mc:Fallback xmlns="">
        <xdr:pic>
          <xdr:nvPicPr>
            <xdr:cNvPr id="8" name="Ink 7">
              <a:extLst>
                <a:ext uri="{FF2B5EF4-FFF2-40B4-BE49-F238E27FC236}">
                  <a16:creationId xmlns:a16="http://schemas.microsoft.com/office/drawing/2014/main" id="{9A4777B4-40B4-0747-82E2-6A1F2A83C7AF}"/>
                </a:ext>
                <a:ext uri="{147F2762-F138-4A5C-976F-8EAC2B608ADB}">
                  <a16:predDERef xmlns:a16="http://schemas.microsoft.com/office/drawing/2014/main" pred="{DE738BAF-5F38-B047-9767-9459D82D27C5}"/>
                </a:ext>
              </a:extLst>
            </xdr:cNvPr>
            <xdr:cNvPicPr/>
          </xdr:nvPicPr>
          <xdr:blipFill>
            <a:blip xmlns:r="http://schemas.openxmlformats.org/officeDocument/2006/relationships" r:embed="rId13"/>
            <a:stretch>
              <a:fillRect/>
            </a:stretch>
          </xdr:blipFill>
          <xdr:spPr>
            <a:xfrm>
              <a:off x="6039360" y="2748240"/>
              <a:ext cx="298440" cy="482400"/>
            </a:xfrm>
            <a:prstGeom prst="rect">
              <a:avLst/>
            </a:prstGeom>
          </xdr:spPr>
        </xdr:pic>
      </mc:Fallback>
    </mc:AlternateContent>
    <xdr:clientData/>
  </xdr:twoCellAnchor>
  <xdr:twoCellAnchor editAs="oneCell">
    <xdr:from>
      <xdr:col>10</xdr:col>
      <xdr:colOff>506223</xdr:colOff>
      <xdr:row>14</xdr:row>
      <xdr:rowOff>86012</xdr:rowOff>
    </xdr:from>
    <xdr:to>
      <xdr:col>10</xdr:col>
      <xdr:colOff>682623</xdr:colOff>
      <xdr:row>14</xdr:row>
      <xdr:rowOff>107972</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9" name="Ink 8">
              <a:extLst>
                <a:ext uri="{FF2B5EF4-FFF2-40B4-BE49-F238E27FC236}">
                  <a16:creationId xmlns:a16="http://schemas.microsoft.com/office/drawing/2014/main" id="{DF900D38-6527-CD4C-9151-2922368BA65F}"/>
                </a:ext>
                <a:ext uri="{147F2762-F138-4A5C-976F-8EAC2B608ADB}">
                  <a16:predDERef xmlns:a16="http://schemas.microsoft.com/office/drawing/2014/main" pred="{9A4777B4-40B4-0747-82E2-6A1F2A83C7AF}"/>
                </a:ext>
              </a:extLst>
            </xdr14:cNvPr>
            <xdr14:cNvContentPartPr/>
          </xdr14:nvContentPartPr>
          <xdr14:nvPr macro=""/>
          <xdr14:xfrm>
            <a:off x="6100200" y="2959200"/>
            <a:ext cx="176400" cy="21960"/>
          </xdr14:xfrm>
        </xdr:contentPart>
      </mc:Choice>
      <mc:Fallback xmlns="">
        <xdr:pic>
          <xdr:nvPicPr>
            <xdr:cNvPr id="9" name="Ink 8">
              <a:extLst>
                <a:ext uri="{FF2B5EF4-FFF2-40B4-BE49-F238E27FC236}">
                  <a16:creationId xmlns:a16="http://schemas.microsoft.com/office/drawing/2014/main" id="{DF900D38-6527-CD4C-9151-2922368BA65F}"/>
                </a:ext>
                <a:ext uri="{147F2762-F138-4A5C-976F-8EAC2B608ADB}">
                  <a16:predDERef xmlns:a16="http://schemas.microsoft.com/office/drawing/2014/main" pred="{9A4777B4-40B4-0747-82E2-6A1F2A83C7AF}"/>
                </a:ext>
              </a:extLst>
            </xdr:cNvPr>
            <xdr:cNvPicPr/>
          </xdr:nvPicPr>
          <xdr:blipFill>
            <a:blip xmlns:r="http://schemas.openxmlformats.org/officeDocument/2006/relationships" r:embed="rId15"/>
            <a:stretch>
              <a:fillRect/>
            </a:stretch>
          </xdr:blipFill>
          <xdr:spPr>
            <a:xfrm>
              <a:off x="6091560" y="2950200"/>
              <a:ext cx="194040" cy="39600"/>
            </a:xfrm>
            <a:prstGeom prst="rect">
              <a:avLst/>
            </a:prstGeom>
          </xdr:spPr>
        </xdr:pic>
      </mc:Fallback>
    </mc:AlternateContent>
    <xdr:clientData/>
  </xdr:twoCellAnchor>
  <xdr:twoCellAnchor editAs="oneCell">
    <xdr:from>
      <xdr:col>10</xdr:col>
      <xdr:colOff>383463</xdr:colOff>
      <xdr:row>15</xdr:row>
      <xdr:rowOff>190630</xdr:rowOff>
    </xdr:from>
    <xdr:to>
      <xdr:col>10</xdr:col>
      <xdr:colOff>896463</xdr:colOff>
      <xdr:row>18</xdr:row>
      <xdr:rowOff>147042</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0" name="Ink 9">
              <a:extLst>
                <a:ext uri="{FF2B5EF4-FFF2-40B4-BE49-F238E27FC236}">
                  <a16:creationId xmlns:a16="http://schemas.microsoft.com/office/drawing/2014/main" id="{90ED79FC-48FD-BB4E-81B3-C7E1CE9A487D}"/>
                </a:ext>
                <a:ext uri="{147F2762-F138-4A5C-976F-8EAC2B608ADB}">
                  <a16:predDERef xmlns:a16="http://schemas.microsoft.com/office/drawing/2014/main" pred="{DF900D38-6527-CD4C-9151-2922368BA65F}"/>
                </a:ext>
              </a:extLst>
            </xdr14:cNvPr>
            <xdr14:cNvContentPartPr/>
          </xdr14:nvContentPartPr>
          <xdr14:nvPr macro=""/>
          <xdr14:xfrm>
            <a:off x="5977440" y="3256560"/>
            <a:ext cx="513000" cy="543600"/>
          </xdr14:xfrm>
        </xdr:contentPart>
      </mc:Choice>
      <mc:Fallback xmlns="">
        <xdr:pic>
          <xdr:nvPicPr>
            <xdr:cNvPr id="10" name="Ink 9">
              <a:extLst>
                <a:ext uri="{FF2B5EF4-FFF2-40B4-BE49-F238E27FC236}">
                  <a16:creationId xmlns:a16="http://schemas.microsoft.com/office/drawing/2014/main" id="{90ED79FC-48FD-BB4E-81B3-C7E1CE9A487D}"/>
                </a:ext>
                <a:ext uri="{147F2762-F138-4A5C-976F-8EAC2B608ADB}">
                  <a16:predDERef xmlns:a16="http://schemas.microsoft.com/office/drawing/2014/main" pred="{DF900D38-6527-CD4C-9151-2922368BA65F}"/>
                </a:ext>
              </a:extLst>
            </xdr:cNvPr>
            <xdr:cNvPicPr/>
          </xdr:nvPicPr>
          <xdr:blipFill>
            <a:blip xmlns:r="http://schemas.openxmlformats.org/officeDocument/2006/relationships" r:embed="rId17"/>
            <a:stretch>
              <a:fillRect/>
            </a:stretch>
          </xdr:blipFill>
          <xdr:spPr>
            <a:xfrm>
              <a:off x="5968440" y="3247560"/>
              <a:ext cx="530640" cy="561240"/>
            </a:xfrm>
            <a:prstGeom prst="rect">
              <a:avLst/>
            </a:prstGeom>
          </xdr:spPr>
        </xdr:pic>
      </mc:Fallback>
    </mc:AlternateContent>
    <xdr:clientData/>
  </xdr:twoCellAnchor>
  <xdr:twoCellAnchor editAs="oneCell">
    <xdr:from>
      <xdr:col>10</xdr:col>
      <xdr:colOff>456183</xdr:colOff>
      <xdr:row>17</xdr:row>
      <xdr:rowOff>42423</xdr:rowOff>
    </xdr:from>
    <xdr:to>
      <xdr:col>10</xdr:col>
      <xdr:colOff>846063</xdr:colOff>
      <xdr:row>17</xdr:row>
      <xdr:rowOff>95703</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1" name="Ink 10">
              <a:extLst>
                <a:ext uri="{FF2B5EF4-FFF2-40B4-BE49-F238E27FC236}">
                  <a16:creationId xmlns:a16="http://schemas.microsoft.com/office/drawing/2014/main" id="{69E11C1E-6F86-B848-A0B5-9DB1B365EDEA}"/>
                </a:ext>
                <a:ext uri="{147F2762-F138-4A5C-976F-8EAC2B608ADB}">
                  <a16:predDERef xmlns:a16="http://schemas.microsoft.com/office/drawing/2014/main" pred="{90ED79FC-48FD-BB4E-81B3-C7E1CE9A487D}"/>
                </a:ext>
              </a:extLst>
            </xdr14:cNvPr>
            <xdr14:cNvContentPartPr/>
          </xdr14:nvContentPartPr>
          <xdr14:nvPr macro=""/>
          <xdr14:xfrm>
            <a:off x="6050160" y="3502800"/>
            <a:ext cx="389880" cy="53280"/>
          </xdr14:xfrm>
        </xdr:contentPart>
      </mc:Choice>
      <mc:Fallback xmlns="">
        <xdr:pic>
          <xdr:nvPicPr>
            <xdr:cNvPr id="11" name="Ink 10">
              <a:extLst>
                <a:ext uri="{FF2B5EF4-FFF2-40B4-BE49-F238E27FC236}">
                  <a16:creationId xmlns:a16="http://schemas.microsoft.com/office/drawing/2014/main" id="{69E11C1E-6F86-B848-A0B5-9DB1B365EDEA}"/>
                </a:ext>
                <a:ext uri="{147F2762-F138-4A5C-976F-8EAC2B608ADB}">
                  <a16:predDERef xmlns:a16="http://schemas.microsoft.com/office/drawing/2014/main" pred="{90ED79FC-48FD-BB4E-81B3-C7E1CE9A487D}"/>
                </a:ext>
              </a:extLst>
            </xdr:cNvPr>
            <xdr:cNvPicPr/>
          </xdr:nvPicPr>
          <xdr:blipFill>
            <a:blip xmlns:r="http://schemas.openxmlformats.org/officeDocument/2006/relationships" r:embed="rId19"/>
            <a:stretch>
              <a:fillRect/>
            </a:stretch>
          </xdr:blipFill>
          <xdr:spPr>
            <a:xfrm>
              <a:off x="6041520" y="3494160"/>
              <a:ext cx="407520" cy="70920"/>
            </a:xfrm>
            <a:prstGeom prst="rect">
              <a:avLst/>
            </a:prstGeom>
          </xdr:spPr>
        </xdr:pic>
      </mc:Fallback>
    </mc:AlternateContent>
    <xdr:clientData/>
  </xdr:twoCellAnchor>
  <xdr:twoCellAnchor editAs="oneCell">
    <xdr:from>
      <xdr:col>10</xdr:col>
      <xdr:colOff>396423</xdr:colOff>
      <xdr:row>19</xdr:row>
      <xdr:rowOff>18218</xdr:rowOff>
    </xdr:from>
    <xdr:to>
      <xdr:col>10</xdr:col>
      <xdr:colOff>889983</xdr:colOff>
      <xdr:row>21</xdr:row>
      <xdr:rowOff>128293</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2" name="Ink 11">
              <a:extLst>
                <a:ext uri="{FF2B5EF4-FFF2-40B4-BE49-F238E27FC236}">
                  <a16:creationId xmlns:a16="http://schemas.microsoft.com/office/drawing/2014/main" id="{BF1CD33B-C897-5C4E-851D-46FF786054AE}"/>
                </a:ext>
              </a:extLst>
            </xdr14:cNvPr>
            <xdr14:cNvContentPartPr/>
          </xdr14:nvContentPartPr>
          <xdr14:nvPr macro=""/>
          <xdr14:xfrm>
            <a:off x="5990400" y="3868560"/>
            <a:ext cx="493560" cy="500040"/>
          </xdr14:xfrm>
        </xdr:contentPart>
      </mc:Choice>
      <mc:Fallback xmlns="">
        <xdr:pic>
          <xdr:nvPicPr>
            <xdr:cNvPr id="12" name="Ink 11">
              <a:extLst>
                <a:ext uri="{FF2B5EF4-FFF2-40B4-BE49-F238E27FC236}">
                  <a16:creationId xmlns:a16="http://schemas.microsoft.com/office/drawing/2014/main" id="{BF1CD33B-C897-5C4E-851D-46FF786054AE}"/>
                </a:ext>
              </a:extLst>
            </xdr:cNvPr>
            <xdr:cNvPicPr/>
          </xdr:nvPicPr>
          <xdr:blipFill>
            <a:blip xmlns:r="http://schemas.openxmlformats.org/officeDocument/2006/relationships" r:embed="rId21"/>
            <a:stretch>
              <a:fillRect/>
            </a:stretch>
          </xdr:blipFill>
          <xdr:spPr>
            <a:xfrm>
              <a:off x="5981760" y="3859920"/>
              <a:ext cx="511200" cy="517680"/>
            </a:xfrm>
            <a:prstGeom prst="rect">
              <a:avLst/>
            </a:prstGeom>
          </xdr:spPr>
        </xdr:pic>
      </mc:Fallback>
    </mc:AlternateContent>
    <xdr:clientData/>
  </xdr:twoCellAnchor>
  <xdr:twoCellAnchor editAs="oneCell">
    <xdr:from>
      <xdr:col>10</xdr:col>
      <xdr:colOff>434943</xdr:colOff>
      <xdr:row>20</xdr:row>
      <xdr:rowOff>17915</xdr:rowOff>
    </xdr:from>
    <xdr:to>
      <xdr:col>10</xdr:col>
      <xdr:colOff>880623</xdr:colOff>
      <xdr:row>20</xdr:row>
      <xdr:rowOff>76235</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3" name="Ink 12">
              <a:extLst>
                <a:ext uri="{FF2B5EF4-FFF2-40B4-BE49-F238E27FC236}">
                  <a16:creationId xmlns:a16="http://schemas.microsoft.com/office/drawing/2014/main" id="{DDF94283-069C-0C44-8BEA-AB8A020180BB}"/>
                </a:ext>
              </a:extLst>
            </xdr14:cNvPr>
            <xdr14:cNvContentPartPr/>
          </xdr14:nvContentPartPr>
          <xdr14:nvPr macro=""/>
          <xdr14:xfrm>
            <a:off x="6028920" y="4065480"/>
            <a:ext cx="445680" cy="58320"/>
          </xdr14:xfrm>
        </xdr:contentPart>
      </mc:Choice>
      <mc:Fallback xmlns="">
        <xdr:pic>
          <xdr:nvPicPr>
            <xdr:cNvPr id="13" name="Ink 12">
              <a:extLst>
                <a:ext uri="{FF2B5EF4-FFF2-40B4-BE49-F238E27FC236}">
                  <a16:creationId xmlns:a16="http://schemas.microsoft.com/office/drawing/2014/main" id="{DDF94283-069C-0C44-8BEA-AB8A020180BB}"/>
                </a:ext>
              </a:extLst>
            </xdr:cNvPr>
            <xdr:cNvPicPr/>
          </xdr:nvPicPr>
          <xdr:blipFill>
            <a:blip xmlns:r="http://schemas.openxmlformats.org/officeDocument/2006/relationships" r:embed="rId23"/>
            <a:stretch>
              <a:fillRect/>
            </a:stretch>
          </xdr:blipFill>
          <xdr:spPr>
            <a:xfrm>
              <a:off x="6019920" y="4056480"/>
              <a:ext cx="463320" cy="75960"/>
            </a:xfrm>
            <a:prstGeom prst="rect">
              <a:avLst/>
            </a:prstGeom>
          </xdr:spPr>
        </xdr:pic>
      </mc:Fallback>
    </mc:AlternateContent>
    <xdr:clientData/>
  </xdr:twoCellAnchor>
  <xdr:twoCellAnchor editAs="oneCell">
    <xdr:from>
      <xdr:col>10</xdr:col>
      <xdr:colOff>500103</xdr:colOff>
      <xdr:row>22</xdr:row>
      <xdr:rowOff>25030</xdr:rowOff>
    </xdr:from>
    <xdr:to>
      <xdr:col>10</xdr:col>
      <xdr:colOff>966303</xdr:colOff>
      <xdr:row>24</xdr:row>
      <xdr:rowOff>169667</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4" name="Ink 13">
              <a:extLst>
                <a:ext uri="{FF2B5EF4-FFF2-40B4-BE49-F238E27FC236}">
                  <a16:creationId xmlns:a16="http://schemas.microsoft.com/office/drawing/2014/main" id="{E3BC5330-4A98-1B4C-86CE-E3ABEC78912D}"/>
                </a:ext>
              </a:extLst>
            </xdr14:cNvPr>
            <xdr14:cNvContentPartPr/>
          </xdr14:nvContentPartPr>
          <xdr14:nvPr macro=""/>
          <xdr14:xfrm>
            <a:off x="6094080" y="4462560"/>
            <a:ext cx="466200" cy="534600"/>
          </xdr14:xfrm>
        </xdr:contentPart>
      </mc:Choice>
      <mc:Fallback xmlns="">
        <xdr:pic>
          <xdr:nvPicPr>
            <xdr:cNvPr id="14" name="Ink 13">
              <a:extLst>
                <a:ext uri="{FF2B5EF4-FFF2-40B4-BE49-F238E27FC236}">
                  <a16:creationId xmlns:a16="http://schemas.microsoft.com/office/drawing/2014/main" id="{E3BC5330-4A98-1B4C-86CE-E3ABEC78912D}"/>
                </a:ext>
              </a:extLst>
            </xdr:cNvPr>
            <xdr:cNvPicPr/>
          </xdr:nvPicPr>
          <xdr:blipFill>
            <a:blip xmlns:r="http://schemas.openxmlformats.org/officeDocument/2006/relationships" r:embed="rId25"/>
            <a:stretch>
              <a:fillRect/>
            </a:stretch>
          </xdr:blipFill>
          <xdr:spPr>
            <a:xfrm>
              <a:off x="6085080" y="4453920"/>
              <a:ext cx="483840" cy="552240"/>
            </a:xfrm>
            <a:prstGeom prst="rect">
              <a:avLst/>
            </a:prstGeom>
          </xdr:spPr>
        </xdr:pic>
      </mc:Fallback>
    </mc:AlternateContent>
    <xdr:clientData/>
  </xdr:twoCellAnchor>
  <xdr:twoCellAnchor editAs="oneCell">
    <xdr:from>
      <xdr:col>10</xdr:col>
      <xdr:colOff>521343</xdr:colOff>
      <xdr:row>23</xdr:row>
      <xdr:rowOff>30847</xdr:rowOff>
    </xdr:from>
    <xdr:to>
      <xdr:col>10</xdr:col>
      <xdr:colOff>975663</xdr:colOff>
      <xdr:row>23</xdr:row>
      <xdr:rowOff>135247</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5" name="Ink 14">
              <a:extLst>
                <a:ext uri="{FF2B5EF4-FFF2-40B4-BE49-F238E27FC236}">
                  <a16:creationId xmlns:a16="http://schemas.microsoft.com/office/drawing/2014/main" id="{9FDDB125-3589-8348-A367-D1BBC83902CC}"/>
                </a:ext>
              </a:extLst>
            </xdr14:cNvPr>
            <xdr14:cNvContentPartPr/>
          </xdr14:nvContentPartPr>
          <xdr14:nvPr macro=""/>
          <xdr14:xfrm>
            <a:off x="6115320" y="4665600"/>
            <a:ext cx="454320" cy="104400"/>
          </xdr14:xfrm>
        </xdr:contentPart>
      </mc:Choice>
      <mc:Fallback xmlns="">
        <xdr:pic>
          <xdr:nvPicPr>
            <xdr:cNvPr id="15" name="Ink 14">
              <a:extLst>
                <a:ext uri="{FF2B5EF4-FFF2-40B4-BE49-F238E27FC236}">
                  <a16:creationId xmlns:a16="http://schemas.microsoft.com/office/drawing/2014/main" id="{9FDDB125-3589-8348-A367-D1BBC83902CC}"/>
                </a:ext>
              </a:extLst>
            </xdr:cNvPr>
            <xdr:cNvPicPr/>
          </xdr:nvPicPr>
          <xdr:blipFill>
            <a:blip xmlns:r="http://schemas.openxmlformats.org/officeDocument/2006/relationships" r:embed="rId27"/>
            <a:stretch>
              <a:fillRect/>
            </a:stretch>
          </xdr:blipFill>
          <xdr:spPr>
            <a:xfrm>
              <a:off x="6106320" y="4656600"/>
              <a:ext cx="471960" cy="122040"/>
            </a:xfrm>
            <a:prstGeom prst="rect">
              <a:avLst/>
            </a:prstGeom>
          </xdr:spPr>
        </xdr:pic>
      </mc:Fallback>
    </mc:AlternateContent>
    <xdr:clientData/>
  </xdr:twoCellAnchor>
  <xdr:twoCellAnchor editAs="oneCell">
    <xdr:from>
      <xdr:col>10</xdr:col>
      <xdr:colOff>568503</xdr:colOff>
      <xdr:row>25</xdr:row>
      <xdr:rowOff>89442</xdr:rowOff>
    </xdr:from>
    <xdr:to>
      <xdr:col>10</xdr:col>
      <xdr:colOff>581103</xdr:colOff>
      <xdr:row>25</xdr:row>
      <xdr:rowOff>98802</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16" name="Ink 15">
              <a:extLst>
                <a:ext uri="{FF2B5EF4-FFF2-40B4-BE49-F238E27FC236}">
                  <a16:creationId xmlns:a16="http://schemas.microsoft.com/office/drawing/2014/main" id="{33619AA3-F2A3-1A42-8E1A-CD8D515C425D}"/>
                </a:ext>
                <a:ext uri="{147F2762-F138-4A5C-976F-8EAC2B608ADB}">
                  <a16:predDERef xmlns:a16="http://schemas.microsoft.com/office/drawing/2014/main" pred="{9FDDB125-3589-8348-A367-D1BBC83902CC}"/>
                </a:ext>
              </a:extLst>
            </xdr14:cNvPr>
            <xdr14:cNvContentPartPr/>
          </xdr14:nvContentPartPr>
          <xdr14:nvPr macro=""/>
          <xdr14:xfrm>
            <a:off x="6162480" y="5114160"/>
            <a:ext cx="12600" cy="9360"/>
          </xdr14:xfrm>
        </xdr:contentPart>
      </mc:Choice>
      <mc:Fallback xmlns="">
        <xdr:pic>
          <xdr:nvPicPr>
            <xdr:cNvPr id="16" name="Ink 15">
              <a:extLst>
                <a:ext uri="{FF2B5EF4-FFF2-40B4-BE49-F238E27FC236}">
                  <a16:creationId xmlns:a16="http://schemas.microsoft.com/office/drawing/2014/main" id="{33619AA3-F2A3-1A42-8E1A-CD8D515C425D}"/>
                </a:ext>
                <a:ext uri="{147F2762-F138-4A5C-976F-8EAC2B608ADB}">
                  <a16:predDERef xmlns:a16="http://schemas.microsoft.com/office/drawing/2014/main" pred="{9FDDB125-3589-8348-A367-D1BBC83902CC}"/>
                </a:ext>
              </a:extLst>
            </xdr:cNvPr>
            <xdr:cNvPicPr/>
          </xdr:nvPicPr>
          <xdr:blipFill>
            <a:blip xmlns:r="http://schemas.openxmlformats.org/officeDocument/2006/relationships" r:embed="rId29"/>
            <a:stretch>
              <a:fillRect/>
            </a:stretch>
          </xdr:blipFill>
          <xdr:spPr>
            <a:xfrm>
              <a:off x="6153480" y="5105160"/>
              <a:ext cx="30240" cy="27000"/>
            </a:xfrm>
            <a:prstGeom prst="rect">
              <a:avLst/>
            </a:prstGeom>
          </xdr:spPr>
        </xdr:pic>
      </mc:Fallback>
    </mc:AlternateContent>
    <xdr:clientData/>
  </xdr:twoCellAnchor>
  <xdr:twoCellAnchor editAs="oneCell">
    <xdr:from>
      <xdr:col>10</xdr:col>
      <xdr:colOff>567423</xdr:colOff>
      <xdr:row>25</xdr:row>
      <xdr:rowOff>9882</xdr:rowOff>
    </xdr:from>
    <xdr:to>
      <xdr:col>10</xdr:col>
      <xdr:colOff>1051263</xdr:colOff>
      <xdr:row>27</xdr:row>
      <xdr:rowOff>105558</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17" name="Ink 16">
              <a:extLst>
                <a:ext uri="{FF2B5EF4-FFF2-40B4-BE49-F238E27FC236}">
                  <a16:creationId xmlns:a16="http://schemas.microsoft.com/office/drawing/2014/main" id="{59E43DC9-E24A-3444-A992-71A58EEDC1BC}"/>
                </a:ext>
                <a:ext uri="{147F2762-F138-4A5C-976F-8EAC2B608ADB}">
                  <a16:predDERef xmlns:a16="http://schemas.microsoft.com/office/drawing/2014/main" pred="{33619AA3-F2A3-1A42-8E1A-CD8D515C425D}"/>
                </a:ext>
              </a:extLst>
            </xdr14:cNvPr>
            <xdr14:cNvContentPartPr/>
          </xdr14:nvContentPartPr>
          <xdr14:nvPr macro=""/>
          <xdr14:xfrm>
            <a:off x="6161400" y="5034600"/>
            <a:ext cx="483840" cy="485640"/>
          </xdr14:xfrm>
        </xdr:contentPart>
      </mc:Choice>
      <mc:Fallback xmlns="">
        <xdr:pic>
          <xdr:nvPicPr>
            <xdr:cNvPr id="17" name="Ink 16">
              <a:extLst>
                <a:ext uri="{FF2B5EF4-FFF2-40B4-BE49-F238E27FC236}">
                  <a16:creationId xmlns:a16="http://schemas.microsoft.com/office/drawing/2014/main" id="{59E43DC9-E24A-3444-A992-71A58EEDC1BC}"/>
                </a:ext>
                <a:ext uri="{147F2762-F138-4A5C-976F-8EAC2B608ADB}">
                  <a16:predDERef xmlns:a16="http://schemas.microsoft.com/office/drawing/2014/main" pred="{33619AA3-F2A3-1A42-8E1A-CD8D515C425D}"/>
                </a:ext>
              </a:extLst>
            </xdr:cNvPr>
            <xdr:cNvPicPr/>
          </xdr:nvPicPr>
          <xdr:blipFill>
            <a:blip xmlns:r="http://schemas.openxmlformats.org/officeDocument/2006/relationships" r:embed="rId31"/>
            <a:stretch>
              <a:fillRect/>
            </a:stretch>
          </xdr:blipFill>
          <xdr:spPr>
            <a:xfrm>
              <a:off x="6152760" y="5025960"/>
              <a:ext cx="501480" cy="503280"/>
            </a:xfrm>
            <a:prstGeom prst="rect">
              <a:avLst/>
            </a:prstGeom>
          </xdr:spPr>
        </xdr:pic>
      </mc:Fallback>
    </mc:AlternateContent>
    <xdr:clientData/>
  </xdr:twoCellAnchor>
  <xdr:twoCellAnchor editAs="oneCell">
    <xdr:from>
      <xdr:col>10</xdr:col>
      <xdr:colOff>418023</xdr:colOff>
      <xdr:row>33</xdr:row>
      <xdr:rowOff>151582</xdr:rowOff>
    </xdr:from>
    <xdr:to>
      <xdr:col>10</xdr:col>
      <xdr:colOff>912663</xdr:colOff>
      <xdr:row>36</xdr:row>
      <xdr:rowOff>120593</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18" name="Ink 17">
              <a:extLst>
                <a:ext uri="{FF2B5EF4-FFF2-40B4-BE49-F238E27FC236}">
                  <a16:creationId xmlns:a16="http://schemas.microsoft.com/office/drawing/2014/main" id="{340010F7-9831-4C4B-B9FE-1470B296819E}"/>
                </a:ext>
                <a:ext uri="{147F2762-F138-4A5C-976F-8EAC2B608ADB}">
                  <a16:predDERef xmlns:a16="http://schemas.microsoft.com/office/drawing/2014/main" pred="{59E43DC9-E24A-3444-A992-71A58EEDC1BC}"/>
                </a:ext>
              </a:extLst>
            </xdr14:cNvPr>
            <xdr14:cNvContentPartPr/>
          </xdr14:nvContentPartPr>
          <xdr14:nvPr macro=""/>
          <xdr14:xfrm>
            <a:off x="6012000" y="6740640"/>
            <a:ext cx="494640" cy="556200"/>
          </xdr14:xfrm>
        </xdr:contentPart>
      </mc:Choice>
      <mc:Fallback xmlns="">
        <xdr:pic>
          <xdr:nvPicPr>
            <xdr:cNvPr id="18" name="Ink 17">
              <a:extLst>
                <a:ext uri="{FF2B5EF4-FFF2-40B4-BE49-F238E27FC236}">
                  <a16:creationId xmlns:a16="http://schemas.microsoft.com/office/drawing/2014/main" id="{340010F7-9831-4C4B-B9FE-1470B296819E}"/>
                </a:ext>
                <a:ext uri="{147F2762-F138-4A5C-976F-8EAC2B608ADB}">
                  <a16:predDERef xmlns:a16="http://schemas.microsoft.com/office/drawing/2014/main" pred="{59E43DC9-E24A-3444-A992-71A58EEDC1BC}"/>
                </a:ext>
              </a:extLst>
            </xdr:cNvPr>
            <xdr:cNvPicPr/>
          </xdr:nvPicPr>
          <xdr:blipFill>
            <a:blip xmlns:r="http://schemas.openxmlformats.org/officeDocument/2006/relationships" r:embed="rId33"/>
            <a:stretch>
              <a:fillRect/>
            </a:stretch>
          </xdr:blipFill>
          <xdr:spPr>
            <a:xfrm>
              <a:off x="6003360" y="6731640"/>
              <a:ext cx="512280" cy="573840"/>
            </a:xfrm>
            <a:prstGeom prst="rect">
              <a:avLst/>
            </a:prstGeom>
          </xdr:spPr>
        </xdr:pic>
      </mc:Fallback>
    </mc:AlternateContent>
    <xdr:clientData/>
  </xdr:twoCellAnchor>
  <xdr:twoCellAnchor editAs="oneCell">
    <xdr:from>
      <xdr:col>10</xdr:col>
      <xdr:colOff>396423</xdr:colOff>
      <xdr:row>34</xdr:row>
      <xdr:rowOff>171798</xdr:rowOff>
    </xdr:from>
    <xdr:to>
      <xdr:col>10</xdr:col>
      <xdr:colOff>822303</xdr:colOff>
      <xdr:row>35</xdr:row>
      <xdr:rowOff>46573</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19" name="Ink 18">
              <a:extLst>
                <a:ext uri="{FF2B5EF4-FFF2-40B4-BE49-F238E27FC236}">
                  <a16:creationId xmlns:a16="http://schemas.microsoft.com/office/drawing/2014/main" id="{E6309E02-A4DA-3544-9A57-1669CDD7E378}"/>
                </a:ext>
                <a:ext uri="{147F2762-F138-4A5C-976F-8EAC2B608ADB}">
                  <a16:predDERef xmlns:a16="http://schemas.microsoft.com/office/drawing/2014/main" pred="{340010F7-9831-4C4B-B9FE-1470B296819E}"/>
                </a:ext>
              </a:extLst>
            </xdr14:cNvPr>
            <xdr14:cNvContentPartPr/>
          </xdr14:nvContentPartPr>
          <xdr14:nvPr macro=""/>
          <xdr14:xfrm>
            <a:off x="5990400" y="6958080"/>
            <a:ext cx="425880" cy="72000"/>
          </xdr14:xfrm>
        </xdr:contentPart>
      </mc:Choice>
      <mc:Fallback xmlns="">
        <xdr:pic>
          <xdr:nvPicPr>
            <xdr:cNvPr id="19" name="Ink 18">
              <a:extLst>
                <a:ext uri="{FF2B5EF4-FFF2-40B4-BE49-F238E27FC236}">
                  <a16:creationId xmlns:a16="http://schemas.microsoft.com/office/drawing/2014/main" id="{E6309E02-A4DA-3544-9A57-1669CDD7E378}"/>
                </a:ext>
                <a:ext uri="{147F2762-F138-4A5C-976F-8EAC2B608ADB}">
                  <a16:predDERef xmlns:a16="http://schemas.microsoft.com/office/drawing/2014/main" pred="{340010F7-9831-4C4B-B9FE-1470B296819E}"/>
                </a:ext>
              </a:extLst>
            </xdr:cNvPr>
            <xdr:cNvPicPr/>
          </xdr:nvPicPr>
          <xdr:blipFill>
            <a:blip xmlns:r="http://schemas.openxmlformats.org/officeDocument/2006/relationships" r:embed="rId35"/>
            <a:stretch>
              <a:fillRect/>
            </a:stretch>
          </xdr:blipFill>
          <xdr:spPr>
            <a:xfrm>
              <a:off x="5981760" y="6949080"/>
              <a:ext cx="443520" cy="89640"/>
            </a:xfrm>
            <a:prstGeom prst="rect">
              <a:avLst/>
            </a:prstGeom>
          </xdr:spPr>
        </xdr:pic>
      </mc:Fallback>
    </mc:AlternateContent>
    <xdr:clientData/>
  </xdr:twoCellAnchor>
  <xdr:twoCellAnchor editAs="oneCell">
    <xdr:from>
      <xdr:col>10</xdr:col>
      <xdr:colOff>476703</xdr:colOff>
      <xdr:row>37</xdr:row>
      <xdr:rowOff>5090</xdr:rowOff>
    </xdr:from>
    <xdr:to>
      <xdr:col>10</xdr:col>
      <xdr:colOff>910143</xdr:colOff>
      <xdr:row>39</xdr:row>
      <xdr:rowOff>134965</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20" name="Ink 19">
              <a:extLst>
                <a:ext uri="{FF2B5EF4-FFF2-40B4-BE49-F238E27FC236}">
                  <a16:creationId xmlns:a16="http://schemas.microsoft.com/office/drawing/2014/main" id="{F9B4AADE-65B8-0D45-98A1-71DD68D1A242}"/>
                </a:ext>
                <a:ext uri="{147F2762-F138-4A5C-976F-8EAC2B608ADB}">
                  <a16:predDERef xmlns:a16="http://schemas.microsoft.com/office/drawing/2014/main" pred="{E6309E02-A4DA-3544-9A57-1669CDD7E378}"/>
                </a:ext>
              </a:extLst>
            </xdr14:cNvPr>
            <xdr14:cNvContentPartPr/>
          </xdr14:nvContentPartPr>
          <xdr14:nvPr macro=""/>
          <xdr14:xfrm>
            <a:off x="6070680" y="7378560"/>
            <a:ext cx="433440" cy="519840"/>
          </xdr14:xfrm>
        </xdr:contentPart>
      </mc:Choice>
      <mc:Fallback xmlns="">
        <xdr:pic>
          <xdr:nvPicPr>
            <xdr:cNvPr id="20" name="Ink 19">
              <a:extLst>
                <a:ext uri="{FF2B5EF4-FFF2-40B4-BE49-F238E27FC236}">
                  <a16:creationId xmlns:a16="http://schemas.microsoft.com/office/drawing/2014/main" id="{F9B4AADE-65B8-0D45-98A1-71DD68D1A242}"/>
                </a:ext>
                <a:ext uri="{147F2762-F138-4A5C-976F-8EAC2B608ADB}">
                  <a16:predDERef xmlns:a16="http://schemas.microsoft.com/office/drawing/2014/main" pred="{E6309E02-A4DA-3544-9A57-1669CDD7E378}"/>
                </a:ext>
              </a:extLst>
            </xdr:cNvPr>
            <xdr:cNvPicPr/>
          </xdr:nvPicPr>
          <xdr:blipFill>
            <a:blip xmlns:r="http://schemas.openxmlformats.org/officeDocument/2006/relationships" r:embed="rId37"/>
            <a:stretch>
              <a:fillRect/>
            </a:stretch>
          </xdr:blipFill>
          <xdr:spPr>
            <a:xfrm>
              <a:off x="6062040" y="7369920"/>
              <a:ext cx="451080" cy="537480"/>
            </a:xfrm>
            <a:prstGeom prst="rect">
              <a:avLst/>
            </a:prstGeom>
          </xdr:spPr>
        </xdr:pic>
      </mc:Fallback>
    </mc:AlternateContent>
    <xdr:clientData/>
  </xdr:twoCellAnchor>
  <xdr:twoCellAnchor editAs="oneCell">
    <xdr:from>
      <xdr:col>10</xdr:col>
      <xdr:colOff>475263</xdr:colOff>
      <xdr:row>38</xdr:row>
      <xdr:rowOff>7307</xdr:rowOff>
    </xdr:from>
    <xdr:to>
      <xdr:col>10</xdr:col>
      <xdr:colOff>819423</xdr:colOff>
      <xdr:row>38</xdr:row>
      <xdr:rowOff>92267</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21" name="Ink 20">
              <a:extLst>
                <a:ext uri="{FF2B5EF4-FFF2-40B4-BE49-F238E27FC236}">
                  <a16:creationId xmlns:a16="http://schemas.microsoft.com/office/drawing/2014/main" id="{608AC243-45D3-C242-9FB6-D7DFC1667EF3}"/>
                </a:ext>
                <a:ext uri="{147F2762-F138-4A5C-976F-8EAC2B608ADB}">
                  <a16:predDERef xmlns:a16="http://schemas.microsoft.com/office/drawing/2014/main" pred="{F9B4AADE-65B8-0D45-98A1-71DD68D1A242}"/>
                </a:ext>
              </a:extLst>
            </xdr14:cNvPr>
            <xdr14:cNvContentPartPr/>
          </xdr14:nvContentPartPr>
          <xdr14:nvPr macro=""/>
          <xdr14:xfrm>
            <a:off x="6069240" y="7578000"/>
            <a:ext cx="344160" cy="84960"/>
          </xdr14:xfrm>
        </xdr:contentPart>
      </mc:Choice>
      <mc:Fallback xmlns="">
        <xdr:pic>
          <xdr:nvPicPr>
            <xdr:cNvPr id="21" name="Ink 20">
              <a:extLst>
                <a:ext uri="{FF2B5EF4-FFF2-40B4-BE49-F238E27FC236}">
                  <a16:creationId xmlns:a16="http://schemas.microsoft.com/office/drawing/2014/main" id="{608AC243-45D3-C242-9FB6-D7DFC1667EF3}"/>
                </a:ext>
                <a:ext uri="{147F2762-F138-4A5C-976F-8EAC2B608ADB}">
                  <a16:predDERef xmlns:a16="http://schemas.microsoft.com/office/drawing/2014/main" pred="{F9B4AADE-65B8-0D45-98A1-71DD68D1A242}"/>
                </a:ext>
              </a:extLst>
            </xdr:cNvPr>
            <xdr:cNvPicPr/>
          </xdr:nvPicPr>
          <xdr:blipFill>
            <a:blip xmlns:r="http://schemas.openxmlformats.org/officeDocument/2006/relationships" r:embed="rId39"/>
            <a:stretch>
              <a:fillRect/>
            </a:stretch>
          </xdr:blipFill>
          <xdr:spPr>
            <a:xfrm>
              <a:off x="6060240" y="7569000"/>
              <a:ext cx="361800" cy="102600"/>
            </a:xfrm>
            <a:prstGeom prst="rect">
              <a:avLst/>
            </a:prstGeom>
          </xdr:spPr>
        </xdr:pic>
      </mc:Fallback>
    </mc:AlternateContent>
    <xdr:clientData/>
  </xdr:twoCellAnchor>
  <xdr:twoCellAnchor editAs="oneCell">
    <xdr:from>
      <xdr:col>11</xdr:col>
      <xdr:colOff>139193</xdr:colOff>
      <xdr:row>35</xdr:row>
      <xdr:rowOff>27493</xdr:rowOff>
    </xdr:from>
    <xdr:to>
      <xdr:col>11</xdr:col>
      <xdr:colOff>207593</xdr:colOff>
      <xdr:row>36</xdr:row>
      <xdr:rowOff>82073</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22" name="Ink 21">
              <a:extLst>
                <a:ext uri="{FF2B5EF4-FFF2-40B4-BE49-F238E27FC236}">
                  <a16:creationId xmlns:a16="http://schemas.microsoft.com/office/drawing/2014/main" id="{0F65F590-CD0B-0648-A6C5-7AE4CFAB1FF8}"/>
                </a:ext>
                <a:ext uri="{147F2762-F138-4A5C-976F-8EAC2B608ADB}">
                  <a16:predDERef xmlns:a16="http://schemas.microsoft.com/office/drawing/2014/main" pred="{608AC243-45D3-C242-9FB6-D7DFC1667EF3}"/>
                </a:ext>
              </a:extLst>
            </xdr14:cNvPr>
            <xdr14:cNvContentPartPr/>
          </xdr14:nvContentPartPr>
          <xdr14:nvPr macro=""/>
          <xdr14:xfrm>
            <a:off x="7010640" y="7011000"/>
            <a:ext cx="68400" cy="247320"/>
          </xdr14:xfrm>
        </xdr:contentPart>
      </mc:Choice>
      <mc:Fallback xmlns="">
        <xdr:pic>
          <xdr:nvPicPr>
            <xdr:cNvPr id="22" name="Ink 21">
              <a:extLst>
                <a:ext uri="{FF2B5EF4-FFF2-40B4-BE49-F238E27FC236}">
                  <a16:creationId xmlns:a16="http://schemas.microsoft.com/office/drawing/2014/main" id="{0F65F590-CD0B-0648-A6C5-7AE4CFAB1FF8}"/>
                </a:ext>
                <a:ext uri="{147F2762-F138-4A5C-976F-8EAC2B608ADB}">
                  <a16:predDERef xmlns:a16="http://schemas.microsoft.com/office/drawing/2014/main" pred="{608AC243-45D3-C242-9FB6-D7DFC1667EF3}"/>
                </a:ext>
              </a:extLst>
            </xdr:cNvPr>
            <xdr:cNvPicPr/>
          </xdr:nvPicPr>
          <xdr:blipFill>
            <a:blip xmlns:r="http://schemas.openxmlformats.org/officeDocument/2006/relationships" r:embed="rId41"/>
            <a:stretch>
              <a:fillRect/>
            </a:stretch>
          </xdr:blipFill>
          <xdr:spPr>
            <a:xfrm>
              <a:off x="7001640" y="7002000"/>
              <a:ext cx="86040" cy="264960"/>
            </a:xfrm>
            <a:prstGeom prst="rect">
              <a:avLst/>
            </a:prstGeom>
          </xdr:spPr>
        </xdr:pic>
      </mc:Fallback>
    </mc:AlternateContent>
    <xdr:clientData/>
  </xdr:twoCellAnchor>
  <xdr:twoCellAnchor editAs="oneCell">
    <xdr:from>
      <xdr:col>11</xdr:col>
      <xdr:colOff>263393</xdr:colOff>
      <xdr:row>34</xdr:row>
      <xdr:rowOff>196998</xdr:rowOff>
    </xdr:from>
    <xdr:to>
      <xdr:col>11</xdr:col>
      <xdr:colOff>644273</xdr:colOff>
      <xdr:row>36</xdr:row>
      <xdr:rowOff>1793</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23" name="Ink 22">
              <a:extLst>
                <a:ext uri="{FF2B5EF4-FFF2-40B4-BE49-F238E27FC236}">
                  <a16:creationId xmlns:a16="http://schemas.microsoft.com/office/drawing/2014/main" id="{5F2D8FF6-5152-9D44-80C5-927002A837C3}"/>
                </a:ext>
                <a:ext uri="{147F2762-F138-4A5C-976F-8EAC2B608ADB}">
                  <a16:predDERef xmlns:a16="http://schemas.microsoft.com/office/drawing/2014/main" pred="{0F65F590-CD0B-0648-A6C5-7AE4CFAB1FF8}"/>
                </a:ext>
              </a:extLst>
            </xdr14:cNvPr>
            <xdr14:cNvContentPartPr/>
          </xdr14:nvContentPartPr>
          <xdr14:nvPr macro=""/>
          <xdr14:xfrm>
            <a:off x="7134840" y="6983280"/>
            <a:ext cx="380880" cy="194760"/>
          </xdr14:xfrm>
        </xdr:contentPart>
      </mc:Choice>
      <mc:Fallback xmlns="">
        <xdr:pic>
          <xdr:nvPicPr>
            <xdr:cNvPr id="23" name="Ink 22">
              <a:extLst>
                <a:ext uri="{FF2B5EF4-FFF2-40B4-BE49-F238E27FC236}">
                  <a16:creationId xmlns:a16="http://schemas.microsoft.com/office/drawing/2014/main" id="{5F2D8FF6-5152-9D44-80C5-927002A837C3}"/>
                </a:ext>
                <a:ext uri="{147F2762-F138-4A5C-976F-8EAC2B608ADB}">
                  <a16:predDERef xmlns:a16="http://schemas.microsoft.com/office/drawing/2014/main" pred="{0F65F590-CD0B-0648-A6C5-7AE4CFAB1FF8}"/>
                </a:ext>
              </a:extLst>
            </xdr:cNvPr>
            <xdr:cNvPicPr/>
          </xdr:nvPicPr>
          <xdr:blipFill>
            <a:blip xmlns:r="http://schemas.openxmlformats.org/officeDocument/2006/relationships" r:embed="rId43"/>
            <a:stretch>
              <a:fillRect/>
            </a:stretch>
          </xdr:blipFill>
          <xdr:spPr>
            <a:xfrm>
              <a:off x="7125840" y="6974640"/>
              <a:ext cx="398520" cy="212400"/>
            </a:xfrm>
            <a:prstGeom prst="rect">
              <a:avLst/>
            </a:prstGeom>
          </xdr:spPr>
        </xdr:pic>
      </mc:Fallback>
    </mc:AlternateContent>
    <xdr:clientData/>
  </xdr:twoCellAnchor>
  <xdr:twoCellAnchor editAs="oneCell">
    <xdr:from>
      <xdr:col>12</xdr:col>
      <xdr:colOff>120282</xdr:colOff>
      <xdr:row>35</xdr:row>
      <xdr:rowOff>84373</xdr:rowOff>
    </xdr:from>
    <xdr:to>
      <xdr:col>12</xdr:col>
      <xdr:colOff>181122</xdr:colOff>
      <xdr:row>36</xdr:row>
      <xdr:rowOff>135353</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24" name="Ink 23">
              <a:extLst>
                <a:ext uri="{FF2B5EF4-FFF2-40B4-BE49-F238E27FC236}">
                  <a16:creationId xmlns:a16="http://schemas.microsoft.com/office/drawing/2014/main" id="{E3C17420-18F1-EA41-B0EC-CB28B793061B}"/>
                </a:ext>
                <a:ext uri="{147F2762-F138-4A5C-976F-8EAC2B608ADB}">
                  <a16:predDERef xmlns:a16="http://schemas.microsoft.com/office/drawing/2014/main" pred="{5F2D8FF6-5152-9D44-80C5-927002A837C3}"/>
                </a:ext>
              </a:extLst>
            </xdr14:cNvPr>
            <xdr14:cNvContentPartPr/>
          </xdr14:nvContentPartPr>
          <xdr14:nvPr macro=""/>
          <xdr14:xfrm>
            <a:off x="7812000" y="7067880"/>
            <a:ext cx="60840" cy="243720"/>
          </xdr14:xfrm>
        </xdr:contentPart>
      </mc:Choice>
      <mc:Fallback xmlns="">
        <xdr:pic>
          <xdr:nvPicPr>
            <xdr:cNvPr id="24" name="Ink 23">
              <a:extLst>
                <a:ext uri="{FF2B5EF4-FFF2-40B4-BE49-F238E27FC236}">
                  <a16:creationId xmlns:a16="http://schemas.microsoft.com/office/drawing/2014/main" id="{E3C17420-18F1-EA41-B0EC-CB28B793061B}"/>
                </a:ext>
                <a:ext uri="{147F2762-F138-4A5C-976F-8EAC2B608ADB}">
                  <a16:predDERef xmlns:a16="http://schemas.microsoft.com/office/drawing/2014/main" pred="{5F2D8FF6-5152-9D44-80C5-927002A837C3}"/>
                </a:ext>
              </a:extLst>
            </xdr:cNvPr>
            <xdr:cNvPicPr/>
          </xdr:nvPicPr>
          <xdr:blipFill>
            <a:blip xmlns:r="http://schemas.openxmlformats.org/officeDocument/2006/relationships" r:embed="rId45"/>
            <a:stretch>
              <a:fillRect/>
            </a:stretch>
          </xdr:blipFill>
          <xdr:spPr>
            <a:xfrm>
              <a:off x="7803360" y="7059240"/>
              <a:ext cx="78480" cy="261360"/>
            </a:xfrm>
            <a:prstGeom prst="rect">
              <a:avLst/>
            </a:prstGeom>
          </xdr:spPr>
        </xdr:pic>
      </mc:Fallback>
    </mc:AlternateContent>
    <xdr:clientData/>
  </xdr:twoCellAnchor>
  <xdr:twoCellAnchor editAs="oneCell">
    <xdr:from>
      <xdr:col>12</xdr:col>
      <xdr:colOff>214962</xdr:colOff>
      <xdr:row>34</xdr:row>
      <xdr:rowOff>176478</xdr:rowOff>
    </xdr:from>
    <xdr:to>
      <xdr:col>12</xdr:col>
      <xdr:colOff>628242</xdr:colOff>
      <xdr:row>36</xdr:row>
      <xdr:rowOff>73433</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25" name="Ink 24">
              <a:extLst>
                <a:ext uri="{FF2B5EF4-FFF2-40B4-BE49-F238E27FC236}">
                  <a16:creationId xmlns:a16="http://schemas.microsoft.com/office/drawing/2014/main" id="{6E73735B-1121-5545-839A-1802532909AA}"/>
                </a:ext>
                <a:ext uri="{147F2762-F138-4A5C-976F-8EAC2B608ADB}">
                  <a16:predDERef xmlns:a16="http://schemas.microsoft.com/office/drawing/2014/main" pred="{E3C17420-18F1-EA41-B0EC-CB28B793061B}"/>
                </a:ext>
              </a:extLst>
            </xdr14:cNvPr>
            <xdr14:cNvContentPartPr/>
          </xdr14:nvContentPartPr>
          <xdr14:nvPr macro=""/>
          <xdr14:xfrm>
            <a:off x="7906680" y="6962760"/>
            <a:ext cx="413280" cy="286920"/>
          </xdr14:xfrm>
        </xdr:contentPart>
      </mc:Choice>
      <mc:Fallback xmlns="">
        <xdr:pic>
          <xdr:nvPicPr>
            <xdr:cNvPr id="25" name="Ink 24">
              <a:extLst>
                <a:ext uri="{FF2B5EF4-FFF2-40B4-BE49-F238E27FC236}">
                  <a16:creationId xmlns:a16="http://schemas.microsoft.com/office/drawing/2014/main" id="{6E73735B-1121-5545-839A-1802532909AA}"/>
                </a:ext>
                <a:ext uri="{147F2762-F138-4A5C-976F-8EAC2B608ADB}">
                  <a16:predDERef xmlns:a16="http://schemas.microsoft.com/office/drawing/2014/main" pred="{E3C17420-18F1-EA41-B0EC-CB28B793061B}"/>
                </a:ext>
              </a:extLst>
            </xdr:cNvPr>
            <xdr:cNvPicPr/>
          </xdr:nvPicPr>
          <xdr:blipFill>
            <a:blip xmlns:r="http://schemas.openxmlformats.org/officeDocument/2006/relationships" r:embed="rId47"/>
            <a:stretch>
              <a:fillRect/>
            </a:stretch>
          </xdr:blipFill>
          <xdr:spPr>
            <a:xfrm>
              <a:off x="7897680" y="6953760"/>
              <a:ext cx="430920" cy="304560"/>
            </a:xfrm>
            <a:prstGeom prst="rect">
              <a:avLst/>
            </a:prstGeom>
          </xdr:spPr>
        </xdr:pic>
      </mc:Fallback>
    </mc:AlternateContent>
    <xdr:clientData/>
  </xdr:twoCellAnchor>
  <xdr:twoCellAnchor editAs="oneCell">
    <xdr:from>
      <xdr:col>11</xdr:col>
      <xdr:colOff>80513</xdr:colOff>
      <xdr:row>38</xdr:row>
      <xdr:rowOff>91187</xdr:rowOff>
    </xdr:from>
    <xdr:to>
      <xdr:col>11</xdr:col>
      <xdr:colOff>224153</xdr:colOff>
      <xdr:row>39</xdr:row>
      <xdr:rowOff>104005</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26" name="Ink 25">
              <a:extLst>
                <a:ext uri="{FF2B5EF4-FFF2-40B4-BE49-F238E27FC236}">
                  <a16:creationId xmlns:a16="http://schemas.microsoft.com/office/drawing/2014/main" id="{9547B0BE-3F34-594C-8F4E-7543BA98B35F}"/>
                </a:ext>
                <a:ext uri="{147F2762-F138-4A5C-976F-8EAC2B608ADB}">
                  <a16:predDERef xmlns:a16="http://schemas.microsoft.com/office/drawing/2014/main" pred="{6E73735B-1121-5545-839A-1802532909AA}"/>
                </a:ext>
              </a:extLst>
            </xdr14:cNvPr>
            <xdr14:cNvContentPartPr/>
          </xdr14:nvContentPartPr>
          <xdr14:nvPr macro=""/>
          <xdr14:xfrm>
            <a:off x="6951960" y="7661880"/>
            <a:ext cx="143640" cy="205560"/>
          </xdr14:xfrm>
        </xdr:contentPart>
      </mc:Choice>
      <mc:Fallback xmlns="">
        <xdr:pic>
          <xdr:nvPicPr>
            <xdr:cNvPr id="26" name="Ink 25">
              <a:extLst>
                <a:ext uri="{FF2B5EF4-FFF2-40B4-BE49-F238E27FC236}">
                  <a16:creationId xmlns:a16="http://schemas.microsoft.com/office/drawing/2014/main" id="{9547B0BE-3F34-594C-8F4E-7543BA98B35F}"/>
                </a:ext>
                <a:ext uri="{147F2762-F138-4A5C-976F-8EAC2B608ADB}">
                  <a16:predDERef xmlns:a16="http://schemas.microsoft.com/office/drawing/2014/main" pred="{6E73735B-1121-5545-839A-1802532909AA}"/>
                </a:ext>
              </a:extLst>
            </xdr:cNvPr>
            <xdr:cNvPicPr/>
          </xdr:nvPicPr>
          <xdr:blipFill>
            <a:blip xmlns:r="http://schemas.openxmlformats.org/officeDocument/2006/relationships" r:embed="rId49"/>
            <a:stretch>
              <a:fillRect/>
            </a:stretch>
          </xdr:blipFill>
          <xdr:spPr>
            <a:xfrm>
              <a:off x="6942960" y="7653240"/>
              <a:ext cx="161280" cy="223200"/>
            </a:xfrm>
            <a:prstGeom prst="rect">
              <a:avLst/>
            </a:prstGeom>
          </xdr:spPr>
        </xdr:pic>
      </mc:Fallback>
    </mc:AlternateContent>
    <xdr:clientData/>
  </xdr:twoCellAnchor>
  <xdr:twoCellAnchor editAs="oneCell">
    <xdr:from>
      <xdr:col>11</xdr:col>
      <xdr:colOff>235313</xdr:colOff>
      <xdr:row>37</xdr:row>
      <xdr:rowOff>179690</xdr:rowOff>
    </xdr:from>
    <xdr:to>
      <xdr:col>12</xdr:col>
      <xdr:colOff>263202</xdr:colOff>
      <xdr:row>39</xdr:row>
      <xdr:rowOff>57565</xdr:rowOff>
    </xdr:to>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27" name="Ink 26">
              <a:extLst>
                <a:ext uri="{FF2B5EF4-FFF2-40B4-BE49-F238E27FC236}">
                  <a16:creationId xmlns:a16="http://schemas.microsoft.com/office/drawing/2014/main" id="{DF5B5D15-27F0-0D4F-AAB5-7C4C32C92F9B}"/>
                </a:ext>
                <a:ext uri="{147F2762-F138-4A5C-976F-8EAC2B608ADB}">
                  <a16:predDERef xmlns:a16="http://schemas.microsoft.com/office/drawing/2014/main" pred="{9547B0BE-3F34-594C-8F4E-7543BA98B35F}"/>
                </a:ext>
              </a:extLst>
            </xdr14:cNvPr>
            <xdr14:cNvContentPartPr/>
          </xdr14:nvContentPartPr>
          <xdr14:nvPr macro=""/>
          <xdr14:xfrm>
            <a:off x="7106760" y="7553160"/>
            <a:ext cx="848160" cy="267840"/>
          </xdr14:xfrm>
        </xdr:contentPart>
      </mc:Choice>
      <mc:Fallback xmlns="">
        <xdr:pic>
          <xdr:nvPicPr>
            <xdr:cNvPr id="27" name="Ink 26">
              <a:extLst>
                <a:ext uri="{FF2B5EF4-FFF2-40B4-BE49-F238E27FC236}">
                  <a16:creationId xmlns:a16="http://schemas.microsoft.com/office/drawing/2014/main" id="{DF5B5D15-27F0-0D4F-AAB5-7C4C32C92F9B}"/>
                </a:ext>
                <a:ext uri="{147F2762-F138-4A5C-976F-8EAC2B608ADB}">
                  <a16:predDERef xmlns:a16="http://schemas.microsoft.com/office/drawing/2014/main" pred="{9547B0BE-3F34-594C-8F4E-7543BA98B35F}"/>
                </a:ext>
              </a:extLst>
            </xdr:cNvPr>
            <xdr:cNvPicPr/>
          </xdr:nvPicPr>
          <xdr:blipFill>
            <a:blip xmlns:r="http://schemas.openxmlformats.org/officeDocument/2006/relationships" r:embed="rId51"/>
            <a:stretch>
              <a:fillRect/>
            </a:stretch>
          </xdr:blipFill>
          <xdr:spPr>
            <a:xfrm>
              <a:off x="7097760" y="7544520"/>
              <a:ext cx="865800" cy="285480"/>
            </a:xfrm>
            <a:prstGeom prst="rect">
              <a:avLst/>
            </a:prstGeom>
          </xdr:spPr>
        </xdr:pic>
      </mc:Fallback>
    </mc:AlternateContent>
    <xdr:clientData/>
  </xdr:twoCellAnchor>
  <xdr:twoCellAnchor editAs="oneCell">
    <xdr:from>
      <xdr:col>12</xdr:col>
      <xdr:colOff>312522</xdr:colOff>
      <xdr:row>37</xdr:row>
      <xdr:rowOff>176450</xdr:rowOff>
    </xdr:from>
    <xdr:to>
      <xdr:col>12</xdr:col>
      <xdr:colOff>619242</xdr:colOff>
      <xdr:row>39</xdr:row>
      <xdr:rowOff>55765</xdr:rowOff>
    </xdr:to>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28" name="Ink 27">
              <a:extLst>
                <a:ext uri="{FF2B5EF4-FFF2-40B4-BE49-F238E27FC236}">
                  <a16:creationId xmlns:a16="http://schemas.microsoft.com/office/drawing/2014/main" id="{80153DD1-7FD9-4541-9579-A1D06E94027B}"/>
                </a:ext>
                <a:ext uri="{147F2762-F138-4A5C-976F-8EAC2B608ADB}">
                  <a16:predDERef xmlns:a16="http://schemas.microsoft.com/office/drawing/2014/main" pred="{DF5B5D15-27F0-0D4F-AAB5-7C4C32C92F9B}"/>
                </a:ext>
              </a:extLst>
            </xdr14:cNvPr>
            <xdr14:cNvContentPartPr/>
          </xdr14:nvContentPartPr>
          <xdr14:nvPr macro=""/>
          <xdr14:xfrm>
            <a:off x="8004240" y="7549920"/>
            <a:ext cx="306720" cy="269280"/>
          </xdr14:xfrm>
        </xdr:contentPart>
      </mc:Choice>
      <mc:Fallback xmlns="">
        <xdr:pic>
          <xdr:nvPicPr>
            <xdr:cNvPr id="28" name="Ink 27">
              <a:extLst>
                <a:ext uri="{FF2B5EF4-FFF2-40B4-BE49-F238E27FC236}">
                  <a16:creationId xmlns:a16="http://schemas.microsoft.com/office/drawing/2014/main" id="{80153DD1-7FD9-4541-9579-A1D06E94027B}"/>
                </a:ext>
                <a:ext uri="{147F2762-F138-4A5C-976F-8EAC2B608ADB}">
                  <a16:predDERef xmlns:a16="http://schemas.microsoft.com/office/drawing/2014/main" pred="{DF5B5D15-27F0-0D4F-AAB5-7C4C32C92F9B}"/>
                </a:ext>
              </a:extLst>
            </xdr:cNvPr>
            <xdr:cNvPicPr/>
          </xdr:nvPicPr>
          <xdr:blipFill>
            <a:blip xmlns:r="http://schemas.openxmlformats.org/officeDocument/2006/relationships" r:embed="rId53"/>
            <a:stretch>
              <a:fillRect/>
            </a:stretch>
          </xdr:blipFill>
          <xdr:spPr>
            <a:xfrm>
              <a:off x="7995240" y="7540920"/>
              <a:ext cx="324360" cy="286920"/>
            </a:xfrm>
            <a:prstGeom prst="rect">
              <a:avLst/>
            </a:prstGeom>
          </xdr:spPr>
        </xdr:pic>
      </mc:Fallback>
    </mc:AlternateContent>
    <xdr:clientData/>
  </xdr:twoCellAnchor>
  <xdr:twoCellAnchor editAs="oneCell">
    <xdr:from>
      <xdr:col>3</xdr:col>
      <xdr:colOff>62400</xdr:colOff>
      <xdr:row>35</xdr:row>
      <xdr:rowOff>171853</xdr:rowOff>
    </xdr:from>
    <xdr:to>
      <xdr:col>3</xdr:col>
      <xdr:colOff>80760</xdr:colOff>
      <xdr:row>35</xdr:row>
      <xdr:rowOff>172933</xdr:rowOff>
    </xdr:to>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29" name="Ink 28">
              <a:extLst>
                <a:ext uri="{FF2B5EF4-FFF2-40B4-BE49-F238E27FC236}">
                  <a16:creationId xmlns:a16="http://schemas.microsoft.com/office/drawing/2014/main" id="{74DE7B18-115F-174B-829D-4395968030CA}"/>
                </a:ext>
                <a:ext uri="{147F2762-F138-4A5C-976F-8EAC2B608ADB}">
                  <a16:predDERef xmlns:a16="http://schemas.microsoft.com/office/drawing/2014/main" pred="{80153DD1-7FD9-4541-9579-A1D06E94027B}"/>
                </a:ext>
              </a:extLst>
            </xdr14:cNvPr>
            <xdr14:cNvContentPartPr/>
          </xdr14:nvContentPartPr>
          <xdr14:nvPr macro=""/>
          <xdr14:xfrm>
            <a:off x="1281600" y="7155360"/>
            <a:ext cx="18360" cy="1080"/>
          </xdr14:xfrm>
        </xdr:contentPart>
      </mc:Choice>
      <mc:Fallback xmlns="">
        <xdr:pic>
          <xdr:nvPicPr>
            <xdr:cNvPr id="29" name="Ink 28">
              <a:extLst>
                <a:ext uri="{FF2B5EF4-FFF2-40B4-BE49-F238E27FC236}">
                  <a16:creationId xmlns:a16="http://schemas.microsoft.com/office/drawing/2014/main" id="{74DE7B18-115F-174B-829D-4395968030CA}"/>
                </a:ext>
                <a:ext uri="{147F2762-F138-4A5C-976F-8EAC2B608ADB}">
                  <a16:predDERef xmlns:a16="http://schemas.microsoft.com/office/drawing/2014/main" pred="{80153DD1-7FD9-4541-9579-A1D06E94027B}"/>
                </a:ext>
              </a:extLst>
            </xdr:cNvPr>
            <xdr:cNvPicPr/>
          </xdr:nvPicPr>
          <xdr:blipFill>
            <a:blip xmlns:r="http://schemas.openxmlformats.org/officeDocument/2006/relationships" r:embed="rId55"/>
            <a:stretch>
              <a:fillRect/>
            </a:stretch>
          </xdr:blipFill>
          <xdr:spPr>
            <a:xfrm>
              <a:off x="1272600" y="7146720"/>
              <a:ext cx="36000" cy="18720"/>
            </a:xfrm>
            <a:prstGeom prst="rect">
              <a:avLst/>
            </a:prstGeom>
          </xdr:spPr>
        </xdr:pic>
      </mc:Fallback>
    </mc:AlternateContent>
    <xdr:clientData/>
  </xdr:twoCellAnchor>
  <xdr:twoCellAnchor editAs="oneCell">
    <xdr:from>
      <xdr:col>3</xdr:col>
      <xdr:colOff>20280</xdr:colOff>
      <xdr:row>34</xdr:row>
      <xdr:rowOff>171078</xdr:rowOff>
    </xdr:from>
    <xdr:to>
      <xdr:col>3</xdr:col>
      <xdr:colOff>595920</xdr:colOff>
      <xdr:row>36</xdr:row>
      <xdr:rowOff>106913</xdr:rowOff>
    </xdr:to>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30" name="Ink 29">
              <a:extLst>
                <a:ext uri="{FF2B5EF4-FFF2-40B4-BE49-F238E27FC236}">
                  <a16:creationId xmlns:a16="http://schemas.microsoft.com/office/drawing/2014/main" id="{5DCF93D1-BDDC-064A-8884-9B3311C672C6}"/>
                </a:ext>
                <a:ext uri="{147F2762-F138-4A5C-976F-8EAC2B608ADB}">
                  <a16:predDERef xmlns:a16="http://schemas.microsoft.com/office/drawing/2014/main" pred="{74DE7B18-115F-174B-829D-4395968030CA}"/>
                </a:ext>
              </a:extLst>
            </xdr14:cNvPr>
            <xdr14:cNvContentPartPr/>
          </xdr14:nvContentPartPr>
          <xdr14:nvPr macro=""/>
          <xdr14:xfrm>
            <a:off x="1239480" y="6957360"/>
            <a:ext cx="575640" cy="325800"/>
          </xdr14:xfrm>
        </xdr:contentPart>
      </mc:Choice>
      <mc:Fallback xmlns="">
        <xdr:pic>
          <xdr:nvPicPr>
            <xdr:cNvPr id="30" name="Ink 29">
              <a:extLst>
                <a:ext uri="{FF2B5EF4-FFF2-40B4-BE49-F238E27FC236}">
                  <a16:creationId xmlns:a16="http://schemas.microsoft.com/office/drawing/2014/main" id="{5DCF93D1-BDDC-064A-8884-9B3311C672C6}"/>
                </a:ext>
                <a:ext uri="{147F2762-F138-4A5C-976F-8EAC2B608ADB}">
                  <a16:predDERef xmlns:a16="http://schemas.microsoft.com/office/drawing/2014/main" pred="{74DE7B18-115F-174B-829D-4395968030CA}"/>
                </a:ext>
              </a:extLst>
            </xdr:cNvPr>
            <xdr:cNvPicPr/>
          </xdr:nvPicPr>
          <xdr:blipFill>
            <a:blip xmlns:r="http://schemas.openxmlformats.org/officeDocument/2006/relationships" r:embed="rId57"/>
            <a:stretch>
              <a:fillRect/>
            </a:stretch>
          </xdr:blipFill>
          <xdr:spPr>
            <a:xfrm>
              <a:off x="1230480" y="6948720"/>
              <a:ext cx="593280" cy="343440"/>
            </a:xfrm>
            <a:prstGeom prst="rect">
              <a:avLst/>
            </a:prstGeom>
          </xdr:spPr>
        </xdr:pic>
      </mc:Fallback>
    </mc:AlternateContent>
    <xdr:clientData/>
  </xdr:twoCellAnchor>
  <xdr:twoCellAnchor editAs="oneCell">
    <xdr:from>
      <xdr:col>3</xdr:col>
      <xdr:colOff>92640</xdr:colOff>
      <xdr:row>38</xdr:row>
      <xdr:rowOff>60587</xdr:rowOff>
    </xdr:from>
    <xdr:to>
      <xdr:col>3</xdr:col>
      <xdr:colOff>240600</xdr:colOff>
      <xdr:row>39</xdr:row>
      <xdr:rowOff>85645</xdr:rowOff>
    </xdr:to>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31" name="Ink 30">
              <a:extLst>
                <a:ext uri="{FF2B5EF4-FFF2-40B4-BE49-F238E27FC236}">
                  <a16:creationId xmlns:a16="http://schemas.microsoft.com/office/drawing/2014/main" id="{E9946266-670C-954A-ACB8-B0C5ADCFAF96}"/>
                </a:ext>
                <a:ext uri="{147F2762-F138-4A5C-976F-8EAC2B608ADB}">
                  <a16:predDERef xmlns:a16="http://schemas.microsoft.com/office/drawing/2014/main" pred="{5DCF93D1-BDDC-064A-8884-9B3311C672C6}"/>
                </a:ext>
              </a:extLst>
            </xdr14:cNvPr>
            <xdr14:cNvContentPartPr/>
          </xdr14:nvContentPartPr>
          <xdr14:nvPr macro=""/>
          <xdr14:xfrm>
            <a:off x="1311840" y="7631280"/>
            <a:ext cx="147960" cy="217800"/>
          </xdr14:xfrm>
        </xdr:contentPart>
      </mc:Choice>
      <mc:Fallback xmlns="">
        <xdr:pic>
          <xdr:nvPicPr>
            <xdr:cNvPr id="31" name="Ink 30">
              <a:extLst>
                <a:ext uri="{FF2B5EF4-FFF2-40B4-BE49-F238E27FC236}">
                  <a16:creationId xmlns:a16="http://schemas.microsoft.com/office/drawing/2014/main" id="{E9946266-670C-954A-ACB8-B0C5ADCFAF96}"/>
                </a:ext>
                <a:ext uri="{147F2762-F138-4A5C-976F-8EAC2B608ADB}">
                  <a16:predDERef xmlns:a16="http://schemas.microsoft.com/office/drawing/2014/main" pred="{5DCF93D1-BDDC-064A-8884-9B3311C672C6}"/>
                </a:ext>
              </a:extLst>
            </xdr:cNvPr>
            <xdr:cNvPicPr/>
          </xdr:nvPicPr>
          <xdr:blipFill>
            <a:blip xmlns:r="http://schemas.openxmlformats.org/officeDocument/2006/relationships" r:embed="rId59"/>
            <a:stretch>
              <a:fillRect/>
            </a:stretch>
          </xdr:blipFill>
          <xdr:spPr>
            <a:xfrm>
              <a:off x="1302840" y="7622640"/>
              <a:ext cx="165600" cy="235440"/>
            </a:xfrm>
            <a:prstGeom prst="rect">
              <a:avLst/>
            </a:prstGeom>
          </xdr:spPr>
        </xdr:pic>
      </mc:Fallback>
    </mc:AlternateContent>
    <xdr:clientData/>
  </xdr:twoCellAnchor>
  <xdr:twoCellAnchor editAs="oneCell">
    <xdr:from>
      <xdr:col>3</xdr:col>
      <xdr:colOff>214680</xdr:colOff>
      <xdr:row>37</xdr:row>
      <xdr:rowOff>91850</xdr:rowOff>
    </xdr:from>
    <xdr:to>
      <xdr:col>3</xdr:col>
      <xdr:colOff>582600</xdr:colOff>
      <xdr:row>38</xdr:row>
      <xdr:rowOff>188747</xdr:rowOff>
    </xdr:to>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32" name="Ink 31">
              <a:extLst>
                <a:ext uri="{FF2B5EF4-FFF2-40B4-BE49-F238E27FC236}">
                  <a16:creationId xmlns:a16="http://schemas.microsoft.com/office/drawing/2014/main" id="{4E847001-9313-3E49-96CC-0F49DE36021F}"/>
                </a:ext>
                <a:ext uri="{147F2762-F138-4A5C-976F-8EAC2B608ADB}">
                  <a16:predDERef xmlns:a16="http://schemas.microsoft.com/office/drawing/2014/main" pred="{E9946266-670C-954A-ACB8-B0C5ADCFAF96}"/>
                </a:ext>
              </a:extLst>
            </xdr14:cNvPr>
            <xdr14:cNvContentPartPr/>
          </xdr14:nvContentPartPr>
          <xdr14:nvPr macro=""/>
          <xdr14:xfrm>
            <a:off x="1433880" y="7465320"/>
            <a:ext cx="367920" cy="294120"/>
          </xdr14:xfrm>
        </xdr:contentPart>
      </mc:Choice>
      <mc:Fallback xmlns="">
        <xdr:pic>
          <xdr:nvPicPr>
            <xdr:cNvPr id="32" name="Ink 31">
              <a:extLst>
                <a:ext uri="{FF2B5EF4-FFF2-40B4-BE49-F238E27FC236}">
                  <a16:creationId xmlns:a16="http://schemas.microsoft.com/office/drawing/2014/main" id="{4E847001-9313-3E49-96CC-0F49DE36021F}"/>
                </a:ext>
                <a:ext uri="{147F2762-F138-4A5C-976F-8EAC2B608ADB}">
                  <a16:predDERef xmlns:a16="http://schemas.microsoft.com/office/drawing/2014/main" pred="{E9946266-670C-954A-ACB8-B0C5ADCFAF96}"/>
                </a:ext>
              </a:extLst>
            </xdr:cNvPr>
            <xdr:cNvPicPr/>
          </xdr:nvPicPr>
          <xdr:blipFill>
            <a:blip xmlns:r="http://schemas.openxmlformats.org/officeDocument/2006/relationships" r:embed="rId61"/>
            <a:stretch>
              <a:fillRect/>
            </a:stretch>
          </xdr:blipFill>
          <xdr:spPr>
            <a:xfrm>
              <a:off x="1425240" y="7456320"/>
              <a:ext cx="385560" cy="311760"/>
            </a:xfrm>
            <a:prstGeom prst="rect">
              <a:avLst/>
            </a:prstGeom>
          </xdr:spPr>
        </xdr:pic>
      </mc:Fallback>
    </mc:AlternateContent>
    <xdr:clientData/>
  </xdr:twoCellAnchor>
  <xdr:twoCellAnchor editAs="oneCell">
    <xdr:from>
      <xdr:col>3</xdr:col>
      <xdr:colOff>97320</xdr:colOff>
      <xdr:row>41</xdr:row>
      <xdr:rowOff>108438</xdr:rowOff>
    </xdr:from>
    <xdr:to>
      <xdr:col>3</xdr:col>
      <xdr:colOff>313680</xdr:colOff>
      <xdr:row>42</xdr:row>
      <xdr:rowOff>152217</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33" name="Ink 32">
              <a:extLst>
                <a:ext uri="{FF2B5EF4-FFF2-40B4-BE49-F238E27FC236}">
                  <a16:creationId xmlns:a16="http://schemas.microsoft.com/office/drawing/2014/main" id="{74D8068D-3D5C-2545-8EC3-2E64685DAC92}"/>
                </a:ext>
                <a:ext uri="{147F2762-F138-4A5C-976F-8EAC2B608ADB}">
                  <a16:predDERef xmlns:a16="http://schemas.microsoft.com/office/drawing/2014/main" pred="{4E847001-9313-3E49-96CC-0F49DE36021F}"/>
                </a:ext>
              </a:extLst>
            </xdr14:cNvPr>
            <xdr14:cNvContentPartPr/>
          </xdr14:nvContentPartPr>
          <xdr14:nvPr macro=""/>
          <xdr14:xfrm>
            <a:off x="1316520" y="8266320"/>
            <a:ext cx="216360" cy="236520"/>
          </xdr14:xfrm>
        </xdr:contentPart>
      </mc:Choice>
      <mc:Fallback xmlns="">
        <xdr:pic>
          <xdr:nvPicPr>
            <xdr:cNvPr id="33" name="Ink 32">
              <a:extLst>
                <a:ext uri="{FF2B5EF4-FFF2-40B4-BE49-F238E27FC236}">
                  <a16:creationId xmlns:a16="http://schemas.microsoft.com/office/drawing/2014/main" id="{74D8068D-3D5C-2545-8EC3-2E64685DAC92}"/>
                </a:ext>
                <a:ext uri="{147F2762-F138-4A5C-976F-8EAC2B608ADB}">
                  <a16:predDERef xmlns:a16="http://schemas.microsoft.com/office/drawing/2014/main" pred="{4E847001-9313-3E49-96CC-0F49DE36021F}"/>
                </a:ext>
              </a:extLst>
            </xdr:cNvPr>
            <xdr:cNvPicPr/>
          </xdr:nvPicPr>
          <xdr:blipFill>
            <a:blip xmlns:r="http://schemas.openxmlformats.org/officeDocument/2006/relationships" r:embed="rId63"/>
            <a:stretch>
              <a:fillRect/>
            </a:stretch>
          </xdr:blipFill>
          <xdr:spPr>
            <a:xfrm>
              <a:off x="1307880" y="8257680"/>
              <a:ext cx="234000" cy="254160"/>
            </a:xfrm>
            <a:prstGeom prst="rect">
              <a:avLst/>
            </a:prstGeom>
          </xdr:spPr>
        </xdr:pic>
      </mc:Fallback>
    </mc:AlternateContent>
    <xdr:clientData/>
  </xdr:twoCellAnchor>
  <xdr:twoCellAnchor editAs="oneCell">
    <xdr:from>
      <xdr:col>3</xdr:col>
      <xdr:colOff>282360</xdr:colOff>
      <xdr:row>40</xdr:row>
      <xdr:rowOff>48622</xdr:rowOff>
    </xdr:from>
    <xdr:to>
      <xdr:col>3</xdr:col>
      <xdr:colOff>611400</xdr:colOff>
      <xdr:row>42</xdr:row>
      <xdr:rowOff>4977</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34" name="Ink 33">
              <a:extLst>
                <a:ext uri="{FF2B5EF4-FFF2-40B4-BE49-F238E27FC236}">
                  <a16:creationId xmlns:a16="http://schemas.microsoft.com/office/drawing/2014/main" id="{90A2C430-F13A-F545-A824-0F750F668217}"/>
                </a:ext>
                <a:ext uri="{147F2762-F138-4A5C-976F-8EAC2B608ADB}">
                  <a16:predDERef xmlns:a16="http://schemas.microsoft.com/office/drawing/2014/main" pred="{74D8068D-3D5C-2545-8EC3-2E64685DAC92}"/>
                </a:ext>
              </a:extLst>
            </xdr14:cNvPr>
            <xdr14:cNvContentPartPr/>
          </xdr14:nvContentPartPr>
          <xdr14:nvPr macro=""/>
          <xdr14:xfrm>
            <a:off x="1501560" y="8009280"/>
            <a:ext cx="329040" cy="346320"/>
          </xdr14:xfrm>
        </xdr:contentPart>
      </mc:Choice>
      <mc:Fallback xmlns="">
        <xdr:pic>
          <xdr:nvPicPr>
            <xdr:cNvPr id="34" name="Ink 33">
              <a:extLst>
                <a:ext uri="{FF2B5EF4-FFF2-40B4-BE49-F238E27FC236}">
                  <a16:creationId xmlns:a16="http://schemas.microsoft.com/office/drawing/2014/main" id="{90A2C430-F13A-F545-A824-0F750F668217}"/>
                </a:ext>
                <a:ext uri="{147F2762-F138-4A5C-976F-8EAC2B608ADB}">
                  <a16:predDERef xmlns:a16="http://schemas.microsoft.com/office/drawing/2014/main" pred="{74D8068D-3D5C-2545-8EC3-2E64685DAC92}"/>
                </a:ext>
              </a:extLst>
            </xdr:cNvPr>
            <xdr:cNvPicPr/>
          </xdr:nvPicPr>
          <xdr:blipFill>
            <a:blip xmlns:r="http://schemas.openxmlformats.org/officeDocument/2006/relationships" r:embed="rId65"/>
            <a:stretch>
              <a:fillRect/>
            </a:stretch>
          </xdr:blipFill>
          <xdr:spPr>
            <a:xfrm>
              <a:off x="1492920" y="8000640"/>
              <a:ext cx="346680" cy="363960"/>
            </a:xfrm>
            <a:prstGeom prst="rect">
              <a:avLst/>
            </a:prstGeom>
          </xdr:spPr>
        </xdr:pic>
      </mc:Fallback>
    </mc:AlternateContent>
    <xdr:clientData/>
  </xdr:twoCellAnchor>
  <xdr:twoCellAnchor editAs="oneCell">
    <xdr:from>
      <xdr:col>5</xdr:col>
      <xdr:colOff>120092</xdr:colOff>
      <xdr:row>34</xdr:row>
      <xdr:rowOff>14118</xdr:rowOff>
    </xdr:from>
    <xdr:to>
      <xdr:col>5</xdr:col>
      <xdr:colOff>230972</xdr:colOff>
      <xdr:row>34</xdr:row>
      <xdr:rowOff>140118</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35" name="Ink 34">
              <a:extLst>
                <a:ext uri="{FF2B5EF4-FFF2-40B4-BE49-F238E27FC236}">
                  <a16:creationId xmlns:a16="http://schemas.microsoft.com/office/drawing/2014/main" id="{19302813-9B4F-3342-8AE9-93552B9C3C7B}"/>
                </a:ext>
                <a:ext uri="{147F2762-F138-4A5C-976F-8EAC2B608ADB}">
                  <a16:predDERef xmlns:a16="http://schemas.microsoft.com/office/drawing/2014/main" pred="{90A2C430-F13A-F545-A824-0F750F668217}"/>
                </a:ext>
              </a:extLst>
            </xdr14:cNvPr>
            <xdr14:cNvContentPartPr/>
          </xdr14:nvContentPartPr>
          <xdr14:nvPr macro=""/>
          <xdr14:xfrm>
            <a:off x="2688480" y="6800400"/>
            <a:ext cx="110880" cy="126000"/>
          </xdr14:xfrm>
        </xdr:contentPart>
      </mc:Choice>
      <mc:Fallback xmlns="">
        <xdr:pic>
          <xdr:nvPicPr>
            <xdr:cNvPr id="35" name="Ink 34">
              <a:extLst>
                <a:ext uri="{FF2B5EF4-FFF2-40B4-BE49-F238E27FC236}">
                  <a16:creationId xmlns:a16="http://schemas.microsoft.com/office/drawing/2014/main" id="{19302813-9B4F-3342-8AE9-93552B9C3C7B}"/>
                </a:ext>
                <a:ext uri="{147F2762-F138-4A5C-976F-8EAC2B608ADB}">
                  <a16:predDERef xmlns:a16="http://schemas.microsoft.com/office/drawing/2014/main" pred="{90A2C430-F13A-F545-A824-0F750F668217}"/>
                </a:ext>
              </a:extLst>
            </xdr:cNvPr>
            <xdr:cNvPicPr/>
          </xdr:nvPicPr>
          <xdr:blipFill>
            <a:blip xmlns:r="http://schemas.openxmlformats.org/officeDocument/2006/relationships" r:embed="rId67"/>
            <a:stretch>
              <a:fillRect/>
            </a:stretch>
          </xdr:blipFill>
          <xdr:spPr>
            <a:xfrm>
              <a:off x="2679480" y="6791760"/>
              <a:ext cx="128520" cy="143640"/>
            </a:xfrm>
            <a:prstGeom prst="rect">
              <a:avLst/>
            </a:prstGeom>
          </xdr:spPr>
        </xdr:pic>
      </mc:Fallback>
    </mc:AlternateContent>
    <xdr:clientData/>
  </xdr:twoCellAnchor>
  <xdr:twoCellAnchor editAs="oneCell">
    <xdr:from>
      <xdr:col>5</xdr:col>
      <xdr:colOff>262292</xdr:colOff>
      <xdr:row>34</xdr:row>
      <xdr:rowOff>38598</xdr:rowOff>
    </xdr:from>
    <xdr:to>
      <xdr:col>6</xdr:col>
      <xdr:colOff>442722</xdr:colOff>
      <xdr:row>35</xdr:row>
      <xdr:rowOff>133</xdr:rowOff>
    </xdr:to>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36" name="Ink 35">
              <a:extLst>
                <a:ext uri="{FF2B5EF4-FFF2-40B4-BE49-F238E27FC236}">
                  <a16:creationId xmlns:a16="http://schemas.microsoft.com/office/drawing/2014/main" id="{76B2033F-35C4-AD43-9BC1-85FAA91598E5}"/>
                </a:ext>
                <a:ext uri="{147F2762-F138-4A5C-976F-8EAC2B608ADB}">
                  <a16:predDERef xmlns:a16="http://schemas.microsoft.com/office/drawing/2014/main" pred="{19302813-9B4F-3342-8AE9-93552B9C3C7B}"/>
                </a:ext>
              </a:extLst>
            </xdr14:cNvPr>
            <xdr14:cNvContentPartPr/>
          </xdr14:nvContentPartPr>
          <xdr14:nvPr macro=""/>
          <xdr14:xfrm>
            <a:off x="2830680" y="6824880"/>
            <a:ext cx="655560" cy="158760"/>
          </xdr14:xfrm>
        </xdr:contentPart>
      </mc:Choice>
      <mc:Fallback xmlns="">
        <xdr:pic>
          <xdr:nvPicPr>
            <xdr:cNvPr id="36" name="Ink 35">
              <a:extLst>
                <a:ext uri="{FF2B5EF4-FFF2-40B4-BE49-F238E27FC236}">
                  <a16:creationId xmlns:a16="http://schemas.microsoft.com/office/drawing/2014/main" id="{76B2033F-35C4-AD43-9BC1-85FAA91598E5}"/>
                </a:ext>
                <a:ext uri="{147F2762-F138-4A5C-976F-8EAC2B608ADB}">
                  <a16:predDERef xmlns:a16="http://schemas.microsoft.com/office/drawing/2014/main" pred="{19302813-9B4F-3342-8AE9-93552B9C3C7B}"/>
                </a:ext>
              </a:extLst>
            </xdr:cNvPr>
            <xdr:cNvPicPr/>
          </xdr:nvPicPr>
          <xdr:blipFill>
            <a:blip xmlns:r="http://schemas.openxmlformats.org/officeDocument/2006/relationships" r:embed="rId69"/>
            <a:stretch>
              <a:fillRect/>
            </a:stretch>
          </xdr:blipFill>
          <xdr:spPr>
            <a:xfrm>
              <a:off x="2821680" y="6816240"/>
              <a:ext cx="673200" cy="176400"/>
            </a:xfrm>
            <a:prstGeom prst="rect">
              <a:avLst/>
            </a:prstGeom>
          </xdr:spPr>
        </xdr:pic>
      </mc:Fallback>
    </mc:AlternateContent>
    <xdr:clientData/>
  </xdr:twoCellAnchor>
  <xdr:twoCellAnchor editAs="oneCell">
    <xdr:from>
      <xdr:col>5</xdr:col>
      <xdr:colOff>155372</xdr:colOff>
      <xdr:row>35</xdr:row>
      <xdr:rowOff>42973</xdr:rowOff>
    </xdr:from>
    <xdr:to>
      <xdr:col>5</xdr:col>
      <xdr:colOff>344012</xdr:colOff>
      <xdr:row>35</xdr:row>
      <xdr:rowOff>175093</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37" name="Ink 36">
              <a:extLst>
                <a:ext uri="{FF2B5EF4-FFF2-40B4-BE49-F238E27FC236}">
                  <a16:creationId xmlns:a16="http://schemas.microsoft.com/office/drawing/2014/main" id="{1E8478EB-03A7-0342-A6B1-E54FA93ED7E9}"/>
                </a:ext>
                <a:ext uri="{147F2762-F138-4A5C-976F-8EAC2B608ADB}">
                  <a16:predDERef xmlns:a16="http://schemas.microsoft.com/office/drawing/2014/main" pred="{76B2033F-35C4-AD43-9BC1-85FAA91598E5}"/>
                </a:ext>
              </a:extLst>
            </xdr14:cNvPr>
            <xdr14:cNvContentPartPr/>
          </xdr14:nvContentPartPr>
          <xdr14:nvPr macro=""/>
          <xdr14:xfrm>
            <a:off x="2723760" y="7026480"/>
            <a:ext cx="188640" cy="132120"/>
          </xdr14:xfrm>
        </xdr:contentPart>
      </mc:Choice>
      <mc:Fallback xmlns="">
        <xdr:pic>
          <xdr:nvPicPr>
            <xdr:cNvPr id="37" name="Ink 36">
              <a:extLst>
                <a:ext uri="{FF2B5EF4-FFF2-40B4-BE49-F238E27FC236}">
                  <a16:creationId xmlns:a16="http://schemas.microsoft.com/office/drawing/2014/main" id="{1E8478EB-03A7-0342-A6B1-E54FA93ED7E9}"/>
                </a:ext>
                <a:ext uri="{147F2762-F138-4A5C-976F-8EAC2B608ADB}">
                  <a16:predDERef xmlns:a16="http://schemas.microsoft.com/office/drawing/2014/main" pred="{76B2033F-35C4-AD43-9BC1-85FAA91598E5}"/>
                </a:ext>
              </a:extLst>
            </xdr:cNvPr>
            <xdr:cNvPicPr/>
          </xdr:nvPicPr>
          <xdr:blipFill>
            <a:blip xmlns:r="http://schemas.openxmlformats.org/officeDocument/2006/relationships" r:embed="rId71"/>
            <a:stretch>
              <a:fillRect/>
            </a:stretch>
          </xdr:blipFill>
          <xdr:spPr>
            <a:xfrm>
              <a:off x="2714760" y="7017840"/>
              <a:ext cx="206280" cy="149760"/>
            </a:xfrm>
            <a:prstGeom prst="rect">
              <a:avLst/>
            </a:prstGeom>
          </xdr:spPr>
        </xdr:pic>
      </mc:Fallback>
    </mc:AlternateContent>
    <xdr:clientData/>
  </xdr:twoCellAnchor>
  <xdr:twoCellAnchor editAs="oneCell">
    <xdr:from>
      <xdr:col>5</xdr:col>
      <xdr:colOff>323132</xdr:colOff>
      <xdr:row>35</xdr:row>
      <xdr:rowOff>25333</xdr:rowOff>
    </xdr:from>
    <xdr:to>
      <xdr:col>7</xdr:col>
      <xdr:colOff>58673</xdr:colOff>
      <xdr:row>35</xdr:row>
      <xdr:rowOff>179413</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38" name="Ink 37">
              <a:extLst>
                <a:ext uri="{FF2B5EF4-FFF2-40B4-BE49-F238E27FC236}">
                  <a16:creationId xmlns:a16="http://schemas.microsoft.com/office/drawing/2014/main" id="{50F48A41-3FAA-8244-B78E-A640055E1E7D}"/>
                </a:ext>
                <a:ext uri="{147F2762-F138-4A5C-976F-8EAC2B608ADB}">
                  <a16:predDERef xmlns:a16="http://schemas.microsoft.com/office/drawing/2014/main" pred="{1E8478EB-03A7-0342-A6B1-E54FA93ED7E9}"/>
                </a:ext>
              </a:extLst>
            </xdr14:cNvPr>
            <xdr14:cNvContentPartPr/>
          </xdr14:nvContentPartPr>
          <xdr14:nvPr macro=""/>
          <xdr14:xfrm>
            <a:off x="2891520" y="7008840"/>
            <a:ext cx="914400" cy="154080"/>
          </xdr14:xfrm>
        </xdr:contentPart>
      </mc:Choice>
      <mc:Fallback xmlns="">
        <xdr:pic>
          <xdr:nvPicPr>
            <xdr:cNvPr id="38" name="Ink 37">
              <a:extLst>
                <a:ext uri="{FF2B5EF4-FFF2-40B4-BE49-F238E27FC236}">
                  <a16:creationId xmlns:a16="http://schemas.microsoft.com/office/drawing/2014/main" id="{50F48A41-3FAA-8244-B78E-A640055E1E7D}"/>
                </a:ext>
                <a:ext uri="{147F2762-F138-4A5C-976F-8EAC2B608ADB}">
                  <a16:predDERef xmlns:a16="http://schemas.microsoft.com/office/drawing/2014/main" pred="{1E8478EB-03A7-0342-A6B1-E54FA93ED7E9}"/>
                </a:ext>
              </a:extLst>
            </xdr:cNvPr>
            <xdr:cNvPicPr/>
          </xdr:nvPicPr>
          <xdr:blipFill>
            <a:blip xmlns:r="http://schemas.openxmlformats.org/officeDocument/2006/relationships" r:embed="rId73"/>
            <a:stretch>
              <a:fillRect/>
            </a:stretch>
          </xdr:blipFill>
          <xdr:spPr>
            <a:xfrm>
              <a:off x="2882520" y="6999840"/>
              <a:ext cx="932040" cy="171720"/>
            </a:xfrm>
            <a:prstGeom prst="rect">
              <a:avLst/>
            </a:prstGeom>
          </xdr:spPr>
        </xdr:pic>
      </mc:Fallback>
    </mc:AlternateContent>
    <xdr:clientData/>
  </xdr:twoCellAnchor>
  <xdr:twoCellAnchor editAs="oneCell">
    <xdr:from>
      <xdr:col>6</xdr:col>
      <xdr:colOff>94242</xdr:colOff>
      <xdr:row>35</xdr:row>
      <xdr:rowOff>125053</xdr:rowOff>
    </xdr:from>
    <xdr:to>
      <xdr:col>7</xdr:col>
      <xdr:colOff>426233</xdr:colOff>
      <xdr:row>37</xdr:row>
      <xdr:rowOff>5450</xdr:rowOff>
    </xdr:to>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39" name="Ink 38">
              <a:extLst>
                <a:ext uri="{FF2B5EF4-FFF2-40B4-BE49-F238E27FC236}">
                  <a16:creationId xmlns:a16="http://schemas.microsoft.com/office/drawing/2014/main" id="{2F65F4AF-A870-8347-A70E-5E57A288F6D9}"/>
                </a:ext>
                <a:ext uri="{147F2762-F138-4A5C-976F-8EAC2B608ADB}">
                  <a16:predDERef xmlns:a16="http://schemas.microsoft.com/office/drawing/2014/main" pred="{50F48A41-3FAA-8244-B78E-A640055E1E7D}"/>
                </a:ext>
              </a:extLst>
            </xdr14:cNvPr>
            <xdr14:cNvContentPartPr/>
          </xdr14:nvContentPartPr>
          <xdr14:nvPr macro=""/>
          <xdr14:xfrm>
            <a:off x="3137760" y="7108560"/>
            <a:ext cx="1035720" cy="270360"/>
          </xdr14:xfrm>
        </xdr:contentPart>
      </mc:Choice>
      <mc:Fallback xmlns="">
        <xdr:pic>
          <xdr:nvPicPr>
            <xdr:cNvPr id="39" name="Ink 38">
              <a:extLst>
                <a:ext uri="{FF2B5EF4-FFF2-40B4-BE49-F238E27FC236}">
                  <a16:creationId xmlns:a16="http://schemas.microsoft.com/office/drawing/2014/main" id="{2F65F4AF-A870-8347-A70E-5E57A288F6D9}"/>
                </a:ext>
                <a:ext uri="{147F2762-F138-4A5C-976F-8EAC2B608ADB}">
                  <a16:predDERef xmlns:a16="http://schemas.microsoft.com/office/drawing/2014/main" pred="{50F48A41-3FAA-8244-B78E-A640055E1E7D}"/>
                </a:ext>
              </a:extLst>
            </xdr:cNvPr>
            <xdr:cNvPicPr/>
          </xdr:nvPicPr>
          <xdr:blipFill>
            <a:blip xmlns:r="http://schemas.openxmlformats.org/officeDocument/2006/relationships" r:embed="rId75"/>
            <a:stretch>
              <a:fillRect/>
            </a:stretch>
          </xdr:blipFill>
          <xdr:spPr>
            <a:xfrm>
              <a:off x="3129120" y="7099560"/>
              <a:ext cx="1053360" cy="288000"/>
            </a:xfrm>
            <a:prstGeom prst="rect">
              <a:avLst/>
            </a:prstGeom>
          </xdr:spPr>
        </xdr:pic>
      </mc:Fallback>
    </mc:AlternateContent>
    <xdr:clientData/>
  </xdr:twoCellAnchor>
  <xdr:twoCellAnchor editAs="oneCell">
    <xdr:from>
      <xdr:col>5</xdr:col>
      <xdr:colOff>155732</xdr:colOff>
      <xdr:row>37</xdr:row>
      <xdr:rowOff>34250</xdr:rowOff>
    </xdr:from>
    <xdr:to>
      <xdr:col>5</xdr:col>
      <xdr:colOff>266252</xdr:colOff>
      <xdr:row>38</xdr:row>
      <xdr:rowOff>2987</xdr:rowOff>
    </xdr:to>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40" name="Ink 39">
              <a:extLst>
                <a:ext uri="{FF2B5EF4-FFF2-40B4-BE49-F238E27FC236}">
                  <a16:creationId xmlns:a16="http://schemas.microsoft.com/office/drawing/2014/main" id="{EF2F044A-9CF1-624A-9BB9-9AA3FF3A7EEF}"/>
                </a:ext>
                <a:ext uri="{147F2762-F138-4A5C-976F-8EAC2B608ADB}">
                  <a16:predDERef xmlns:a16="http://schemas.microsoft.com/office/drawing/2014/main" pred="{2F65F4AF-A870-8347-A70E-5E57A288F6D9}"/>
                </a:ext>
              </a:extLst>
            </xdr14:cNvPr>
            <xdr14:cNvContentPartPr/>
          </xdr14:nvContentPartPr>
          <xdr14:nvPr macro=""/>
          <xdr14:xfrm>
            <a:off x="2724120" y="7407720"/>
            <a:ext cx="110520" cy="165960"/>
          </xdr14:xfrm>
        </xdr:contentPart>
      </mc:Choice>
      <mc:Fallback xmlns="">
        <xdr:pic>
          <xdr:nvPicPr>
            <xdr:cNvPr id="40" name="Ink 39">
              <a:extLst>
                <a:ext uri="{FF2B5EF4-FFF2-40B4-BE49-F238E27FC236}">
                  <a16:creationId xmlns:a16="http://schemas.microsoft.com/office/drawing/2014/main" id="{EF2F044A-9CF1-624A-9BB9-9AA3FF3A7EEF}"/>
                </a:ext>
                <a:ext uri="{147F2762-F138-4A5C-976F-8EAC2B608ADB}">
                  <a16:predDERef xmlns:a16="http://schemas.microsoft.com/office/drawing/2014/main" pred="{2F65F4AF-A870-8347-A70E-5E57A288F6D9}"/>
                </a:ext>
              </a:extLst>
            </xdr:cNvPr>
            <xdr:cNvPicPr/>
          </xdr:nvPicPr>
          <xdr:blipFill>
            <a:blip xmlns:r="http://schemas.openxmlformats.org/officeDocument/2006/relationships" r:embed="rId77"/>
            <a:stretch>
              <a:fillRect/>
            </a:stretch>
          </xdr:blipFill>
          <xdr:spPr>
            <a:xfrm>
              <a:off x="2715120" y="7398720"/>
              <a:ext cx="128160" cy="183600"/>
            </a:xfrm>
            <a:prstGeom prst="rect">
              <a:avLst/>
            </a:prstGeom>
          </xdr:spPr>
        </xdr:pic>
      </mc:Fallback>
    </mc:AlternateContent>
    <xdr:clientData/>
  </xdr:twoCellAnchor>
  <xdr:twoCellAnchor editAs="oneCell">
    <xdr:from>
      <xdr:col>5</xdr:col>
      <xdr:colOff>311612</xdr:colOff>
      <xdr:row>37</xdr:row>
      <xdr:rowOff>52610</xdr:rowOff>
    </xdr:from>
    <xdr:to>
      <xdr:col>6</xdr:col>
      <xdr:colOff>487002</xdr:colOff>
      <xdr:row>37</xdr:row>
      <xdr:rowOff>186170</xdr:rowOff>
    </xdr:to>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41" name="Ink 40">
              <a:extLst>
                <a:ext uri="{FF2B5EF4-FFF2-40B4-BE49-F238E27FC236}">
                  <a16:creationId xmlns:a16="http://schemas.microsoft.com/office/drawing/2014/main" id="{657B3C6F-2145-D047-8444-3FC4A5F0E310}"/>
                </a:ext>
                <a:ext uri="{147F2762-F138-4A5C-976F-8EAC2B608ADB}">
                  <a16:predDERef xmlns:a16="http://schemas.microsoft.com/office/drawing/2014/main" pred="{EF2F044A-9CF1-624A-9BB9-9AA3FF3A7EEF}"/>
                </a:ext>
              </a:extLst>
            </xdr14:cNvPr>
            <xdr14:cNvContentPartPr/>
          </xdr14:nvContentPartPr>
          <xdr14:nvPr macro=""/>
          <xdr14:xfrm>
            <a:off x="2880000" y="7426080"/>
            <a:ext cx="650520" cy="133560"/>
          </xdr14:xfrm>
        </xdr:contentPart>
      </mc:Choice>
      <mc:Fallback xmlns="">
        <xdr:pic>
          <xdr:nvPicPr>
            <xdr:cNvPr id="41" name="Ink 40">
              <a:extLst>
                <a:ext uri="{FF2B5EF4-FFF2-40B4-BE49-F238E27FC236}">
                  <a16:creationId xmlns:a16="http://schemas.microsoft.com/office/drawing/2014/main" id="{657B3C6F-2145-D047-8444-3FC4A5F0E310}"/>
                </a:ext>
                <a:ext uri="{147F2762-F138-4A5C-976F-8EAC2B608ADB}">
                  <a16:predDERef xmlns:a16="http://schemas.microsoft.com/office/drawing/2014/main" pred="{EF2F044A-9CF1-624A-9BB9-9AA3FF3A7EEF}"/>
                </a:ext>
              </a:extLst>
            </xdr:cNvPr>
            <xdr:cNvPicPr/>
          </xdr:nvPicPr>
          <xdr:blipFill>
            <a:blip xmlns:r="http://schemas.openxmlformats.org/officeDocument/2006/relationships" r:embed="rId79"/>
            <a:stretch>
              <a:fillRect/>
            </a:stretch>
          </xdr:blipFill>
          <xdr:spPr>
            <a:xfrm>
              <a:off x="2871000" y="7417440"/>
              <a:ext cx="668160" cy="151200"/>
            </a:xfrm>
            <a:prstGeom prst="rect">
              <a:avLst/>
            </a:prstGeom>
          </xdr:spPr>
        </xdr:pic>
      </mc:Fallback>
    </mc:AlternateContent>
    <xdr:clientData/>
  </xdr:twoCellAnchor>
  <xdr:twoCellAnchor editAs="oneCell">
    <xdr:from>
      <xdr:col>5</xdr:col>
      <xdr:colOff>147452</xdr:colOff>
      <xdr:row>37</xdr:row>
      <xdr:rowOff>182570</xdr:rowOff>
    </xdr:from>
    <xdr:to>
      <xdr:col>7</xdr:col>
      <xdr:colOff>181793</xdr:colOff>
      <xdr:row>39</xdr:row>
      <xdr:rowOff>12205</xdr:rowOff>
    </xdr:to>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42" name="Ink 41">
              <a:extLst>
                <a:ext uri="{FF2B5EF4-FFF2-40B4-BE49-F238E27FC236}">
                  <a16:creationId xmlns:a16="http://schemas.microsoft.com/office/drawing/2014/main" id="{7D5884AE-0D90-8D4C-A344-D3D905E0C67B}"/>
                </a:ext>
                <a:ext uri="{147F2762-F138-4A5C-976F-8EAC2B608ADB}">
                  <a16:predDERef xmlns:a16="http://schemas.microsoft.com/office/drawing/2014/main" pred="{657B3C6F-2145-D047-8444-3FC4A5F0E310}"/>
                </a:ext>
              </a:extLst>
            </xdr14:cNvPr>
            <xdr14:cNvContentPartPr/>
          </xdr14:nvContentPartPr>
          <xdr14:nvPr macro=""/>
          <xdr14:xfrm>
            <a:off x="2715840" y="7556040"/>
            <a:ext cx="1213200" cy="219600"/>
          </xdr14:xfrm>
        </xdr:contentPart>
      </mc:Choice>
      <mc:Fallback xmlns="">
        <xdr:pic>
          <xdr:nvPicPr>
            <xdr:cNvPr id="42" name="Ink 41">
              <a:extLst>
                <a:ext uri="{FF2B5EF4-FFF2-40B4-BE49-F238E27FC236}">
                  <a16:creationId xmlns:a16="http://schemas.microsoft.com/office/drawing/2014/main" id="{7D5884AE-0D90-8D4C-A344-D3D905E0C67B}"/>
                </a:ext>
                <a:ext uri="{147F2762-F138-4A5C-976F-8EAC2B608ADB}">
                  <a16:predDERef xmlns:a16="http://schemas.microsoft.com/office/drawing/2014/main" pred="{657B3C6F-2145-D047-8444-3FC4A5F0E310}"/>
                </a:ext>
              </a:extLst>
            </xdr:cNvPr>
            <xdr:cNvPicPr/>
          </xdr:nvPicPr>
          <xdr:blipFill>
            <a:blip xmlns:r="http://schemas.openxmlformats.org/officeDocument/2006/relationships" r:embed="rId81"/>
            <a:stretch>
              <a:fillRect/>
            </a:stretch>
          </xdr:blipFill>
          <xdr:spPr>
            <a:xfrm>
              <a:off x="2707200" y="7547040"/>
              <a:ext cx="1230840" cy="237240"/>
            </a:xfrm>
            <a:prstGeom prst="rect">
              <a:avLst/>
            </a:prstGeom>
          </xdr:spPr>
        </xdr:pic>
      </mc:Fallback>
    </mc:AlternateContent>
    <xdr:clientData/>
  </xdr:twoCellAnchor>
  <xdr:twoCellAnchor editAs="oneCell">
    <xdr:from>
      <xdr:col>6</xdr:col>
      <xdr:colOff>121242</xdr:colOff>
      <xdr:row>39</xdr:row>
      <xdr:rowOff>79165</xdr:rowOff>
    </xdr:from>
    <xdr:to>
      <xdr:col>6</xdr:col>
      <xdr:colOff>229602</xdr:colOff>
      <xdr:row>39</xdr:row>
      <xdr:rowOff>187525</xdr:rowOff>
    </xdr:to>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43" name="Ink 42">
              <a:extLst>
                <a:ext uri="{FF2B5EF4-FFF2-40B4-BE49-F238E27FC236}">
                  <a16:creationId xmlns:a16="http://schemas.microsoft.com/office/drawing/2014/main" id="{4A6ABF82-A849-504E-91AA-96DE7EFF155B}"/>
                </a:ext>
                <a:ext uri="{147F2762-F138-4A5C-976F-8EAC2B608ADB}">
                  <a16:predDERef xmlns:a16="http://schemas.microsoft.com/office/drawing/2014/main" pred="{7D5884AE-0D90-8D4C-A344-D3D905E0C67B}"/>
                </a:ext>
              </a:extLst>
            </xdr14:cNvPr>
            <xdr14:cNvContentPartPr/>
          </xdr14:nvContentPartPr>
          <xdr14:nvPr macro=""/>
          <xdr14:xfrm>
            <a:off x="3164760" y="7842600"/>
            <a:ext cx="108360" cy="108360"/>
          </xdr14:xfrm>
        </xdr:contentPart>
      </mc:Choice>
      <mc:Fallback xmlns="">
        <xdr:pic>
          <xdr:nvPicPr>
            <xdr:cNvPr id="43" name="Ink 42">
              <a:extLst>
                <a:ext uri="{FF2B5EF4-FFF2-40B4-BE49-F238E27FC236}">
                  <a16:creationId xmlns:a16="http://schemas.microsoft.com/office/drawing/2014/main" id="{4A6ABF82-A849-504E-91AA-96DE7EFF155B}"/>
                </a:ext>
                <a:ext uri="{147F2762-F138-4A5C-976F-8EAC2B608ADB}">
                  <a16:predDERef xmlns:a16="http://schemas.microsoft.com/office/drawing/2014/main" pred="{7D5884AE-0D90-8D4C-A344-D3D905E0C67B}"/>
                </a:ext>
              </a:extLst>
            </xdr:cNvPr>
            <xdr:cNvPicPr/>
          </xdr:nvPicPr>
          <xdr:blipFill>
            <a:blip xmlns:r="http://schemas.openxmlformats.org/officeDocument/2006/relationships" r:embed="rId83"/>
            <a:stretch>
              <a:fillRect/>
            </a:stretch>
          </xdr:blipFill>
          <xdr:spPr>
            <a:xfrm>
              <a:off x="3155760" y="7833600"/>
              <a:ext cx="126000" cy="126000"/>
            </a:xfrm>
            <a:prstGeom prst="rect">
              <a:avLst/>
            </a:prstGeom>
          </xdr:spPr>
        </xdr:pic>
      </mc:Fallback>
    </mc:AlternateContent>
    <xdr:clientData/>
  </xdr:twoCellAnchor>
  <xdr:twoCellAnchor editAs="oneCell">
    <xdr:from>
      <xdr:col>6</xdr:col>
      <xdr:colOff>246162</xdr:colOff>
      <xdr:row>38</xdr:row>
      <xdr:rowOff>129347</xdr:rowOff>
    </xdr:from>
    <xdr:to>
      <xdr:col>7</xdr:col>
      <xdr:colOff>427673</xdr:colOff>
      <xdr:row>39</xdr:row>
      <xdr:rowOff>174565</xdr:rowOff>
    </xdr:to>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44" name="Ink 43">
              <a:extLst>
                <a:ext uri="{FF2B5EF4-FFF2-40B4-BE49-F238E27FC236}">
                  <a16:creationId xmlns:a16="http://schemas.microsoft.com/office/drawing/2014/main" id="{BBC25349-4A3C-CF47-9CA6-B5D8688328E1}"/>
                </a:ext>
                <a:ext uri="{147F2762-F138-4A5C-976F-8EAC2B608ADB}">
                  <a16:predDERef xmlns:a16="http://schemas.microsoft.com/office/drawing/2014/main" pred="{4A6ABF82-A849-504E-91AA-96DE7EFF155B}"/>
                </a:ext>
              </a:extLst>
            </xdr14:cNvPr>
            <xdr14:cNvContentPartPr/>
          </xdr14:nvContentPartPr>
          <xdr14:nvPr macro=""/>
          <xdr14:xfrm>
            <a:off x="3289680" y="7700040"/>
            <a:ext cx="885240" cy="237960"/>
          </xdr14:xfrm>
        </xdr:contentPart>
      </mc:Choice>
      <mc:Fallback xmlns="">
        <xdr:pic>
          <xdr:nvPicPr>
            <xdr:cNvPr id="44" name="Ink 43">
              <a:extLst>
                <a:ext uri="{FF2B5EF4-FFF2-40B4-BE49-F238E27FC236}">
                  <a16:creationId xmlns:a16="http://schemas.microsoft.com/office/drawing/2014/main" id="{BBC25349-4A3C-CF47-9CA6-B5D8688328E1}"/>
                </a:ext>
                <a:ext uri="{147F2762-F138-4A5C-976F-8EAC2B608ADB}">
                  <a16:predDERef xmlns:a16="http://schemas.microsoft.com/office/drawing/2014/main" pred="{4A6ABF82-A849-504E-91AA-96DE7EFF155B}"/>
                </a:ext>
              </a:extLst>
            </xdr:cNvPr>
            <xdr:cNvPicPr/>
          </xdr:nvPicPr>
          <xdr:blipFill>
            <a:blip xmlns:r="http://schemas.openxmlformats.org/officeDocument/2006/relationships" r:embed="rId85"/>
            <a:stretch>
              <a:fillRect/>
            </a:stretch>
          </xdr:blipFill>
          <xdr:spPr>
            <a:xfrm>
              <a:off x="3281040" y="7691400"/>
              <a:ext cx="902880" cy="255600"/>
            </a:xfrm>
            <a:prstGeom prst="rect">
              <a:avLst/>
            </a:prstGeom>
          </xdr:spPr>
        </xdr:pic>
      </mc:Fallback>
    </mc:AlternateContent>
    <xdr:clientData/>
  </xdr:twoCellAnchor>
  <xdr:twoCellAnchor editAs="oneCell">
    <xdr:from>
      <xdr:col>5</xdr:col>
      <xdr:colOff>343292</xdr:colOff>
      <xdr:row>40</xdr:row>
      <xdr:rowOff>36382</xdr:rowOff>
    </xdr:from>
    <xdr:to>
      <xdr:col>6</xdr:col>
      <xdr:colOff>642</xdr:colOff>
      <xdr:row>40</xdr:row>
      <xdr:rowOff>164542</xdr:rowOff>
    </xdr:to>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45" name="Ink 44">
              <a:extLst>
                <a:ext uri="{FF2B5EF4-FFF2-40B4-BE49-F238E27FC236}">
                  <a16:creationId xmlns:a16="http://schemas.microsoft.com/office/drawing/2014/main" id="{93984819-E739-6E4B-9D5C-518563D833B2}"/>
                </a:ext>
                <a:ext uri="{147F2762-F138-4A5C-976F-8EAC2B608ADB}">
                  <a16:predDERef xmlns:a16="http://schemas.microsoft.com/office/drawing/2014/main" pred="{BBC25349-4A3C-CF47-9CA6-B5D8688328E1}"/>
                </a:ext>
              </a:extLst>
            </xdr14:cNvPr>
            <xdr14:cNvContentPartPr/>
          </xdr14:nvContentPartPr>
          <xdr14:nvPr macro=""/>
          <xdr14:xfrm>
            <a:off x="2911680" y="7997040"/>
            <a:ext cx="132480" cy="128160"/>
          </xdr14:xfrm>
        </xdr:contentPart>
      </mc:Choice>
      <mc:Fallback xmlns="">
        <xdr:pic>
          <xdr:nvPicPr>
            <xdr:cNvPr id="45" name="Ink 44">
              <a:extLst>
                <a:ext uri="{FF2B5EF4-FFF2-40B4-BE49-F238E27FC236}">
                  <a16:creationId xmlns:a16="http://schemas.microsoft.com/office/drawing/2014/main" id="{93984819-E739-6E4B-9D5C-518563D833B2}"/>
                </a:ext>
                <a:ext uri="{147F2762-F138-4A5C-976F-8EAC2B608ADB}">
                  <a16:predDERef xmlns:a16="http://schemas.microsoft.com/office/drawing/2014/main" pred="{BBC25349-4A3C-CF47-9CA6-B5D8688328E1}"/>
                </a:ext>
              </a:extLst>
            </xdr:cNvPr>
            <xdr:cNvPicPr/>
          </xdr:nvPicPr>
          <xdr:blipFill>
            <a:blip xmlns:r="http://schemas.openxmlformats.org/officeDocument/2006/relationships" r:embed="rId87"/>
            <a:stretch>
              <a:fillRect/>
            </a:stretch>
          </xdr:blipFill>
          <xdr:spPr>
            <a:xfrm>
              <a:off x="2903040" y="7988040"/>
              <a:ext cx="150120" cy="145800"/>
            </a:xfrm>
            <a:prstGeom prst="rect">
              <a:avLst/>
            </a:prstGeom>
          </xdr:spPr>
        </xdr:pic>
      </mc:Fallback>
    </mc:AlternateContent>
    <xdr:clientData/>
  </xdr:twoCellAnchor>
  <xdr:twoCellAnchor editAs="oneCell">
    <xdr:from>
      <xdr:col>6</xdr:col>
      <xdr:colOff>21522</xdr:colOff>
      <xdr:row>40</xdr:row>
      <xdr:rowOff>66622</xdr:rowOff>
    </xdr:from>
    <xdr:to>
      <xdr:col>6</xdr:col>
      <xdr:colOff>121602</xdr:colOff>
      <xdr:row>40</xdr:row>
      <xdr:rowOff>169582</xdr:rowOff>
    </xdr:to>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46" name="Ink 45">
              <a:extLst>
                <a:ext uri="{FF2B5EF4-FFF2-40B4-BE49-F238E27FC236}">
                  <a16:creationId xmlns:a16="http://schemas.microsoft.com/office/drawing/2014/main" id="{2B4B1D78-8BE9-A946-B84F-78D74C8F3799}"/>
                </a:ext>
                <a:ext uri="{147F2762-F138-4A5C-976F-8EAC2B608ADB}">
                  <a16:predDERef xmlns:a16="http://schemas.microsoft.com/office/drawing/2014/main" pred="{93984819-E739-6E4B-9D5C-518563D833B2}"/>
                </a:ext>
              </a:extLst>
            </xdr14:cNvPr>
            <xdr14:cNvContentPartPr/>
          </xdr14:nvContentPartPr>
          <xdr14:nvPr macro=""/>
          <xdr14:xfrm>
            <a:off x="3065040" y="8027280"/>
            <a:ext cx="100080" cy="102960"/>
          </xdr14:xfrm>
        </xdr:contentPart>
      </mc:Choice>
      <mc:Fallback xmlns="">
        <xdr:pic>
          <xdr:nvPicPr>
            <xdr:cNvPr id="46" name="Ink 45">
              <a:extLst>
                <a:ext uri="{FF2B5EF4-FFF2-40B4-BE49-F238E27FC236}">
                  <a16:creationId xmlns:a16="http://schemas.microsoft.com/office/drawing/2014/main" id="{2B4B1D78-8BE9-A946-B84F-78D74C8F3799}"/>
                </a:ext>
                <a:ext uri="{147F2762-F138-4A5C-976F-8EAC2B608ADB}">
                  <a16:predDERef xmlns:a16="http://schemas.microsoft.com/office/drawing/2014/main" pred="{93984819-E739-6E4B-9D5C-518563D833B2}"/>
                </a:ext>
              </a:extLst>
            </xdr:cNvPr>
            <xdr:cNvPicPr/>
          </xdr:nvPicPr>
          <xdr:blipFill>
            <a:blip xmlns:r="http://schemas.openxmlformats.org/officeDocument/2006/relationships" r:embed="rId89"/>
            <a:stretch>
              <a:fillRect/>
            </a:stretch>
          </xdr:blipFill>
          <xdr:spPr>
            <a:xfrm>
              <a:off x="3056040" y="8018280"/>
              <a:ext cx="117720" cy="120600"/>
            </a:xfrm>
            <a:prstGeom prst="rect">
              <a:avLst/>
            </a:prstGeom>
          </xdr:spPr>
        </xdr:pic>
      </mc:Fallback>
    </mc:AlternateContent>
    <xdr:clientData/>
  </xdr:twoCellAnchor>
  <xdr:twoCellAnchor editAs="oneCell">
    <xdr:from>
      <xdr:col>6</xdr:col>
      <xdr:colOff>173802</xdr:colOff>
      <xdr:row>40</xdr:row>
      <xdr:rowOff>16222</xdr:rowOff>
    </xdr:from>
    <xdr:to>
      <xdr:col>7</xdr:col>
      <xdr:colOff>38153</xdr:colOff>
      <xdr:row>40</xdr:row>
      <xdr:rowOff>192622</xdr:rowOff>
    </xdr:to>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47" name="Ink 46">
              <a:extLst>
                <a:ext uri="{FF2B5EF4-FFF2-40B4-BE49-F238E27FC236}">
                  <a16:creationId xmlns:a16="http://schemas.microsoft.com/office/drawing/2014/main" id="{AC77356E-6877-9540-9D52-9B80E54D52EC}"/>
                </a:ext>
                <a:ext uri="{147F2762-F138-4A5C-976F-8EAC2B608ADB}">
                  <a16:predDERef xmlns:a16="http://schemas.microsoft.com/office/drawing/2014/main" pred="{2B4B1D78-8BE9-A946-B84F-78D74C8F3799}"/>
                </a:ext>
              </a:extLst>
            </xdr14:cNvPr>
            <xdr14:cNvContentPartPr/>
          </xdr14:nvContentPartPr>
          <xdr14:nvPr macro=""/>
          <xdr14:xfrm>
            <a:off x="3217320" y="7976880"/>
            <a:ext cx="568080" cy="176400"/>
          </xdr14:xfrm>
        </xdr:contentPart>
      </mc:Choice>
      <mc:Fallback xmlns="">
        <xdr:pic>
          <xdr:nvPicPr>
            <xdr:cNvPr id="47" name="Ink 46">
              <a:extLst>
                <a:ext uri="{FF2B5EF4-FFF2-40B4-BE49-F238E27FC236}">
                  <a16:creationId xmlns:a16="http://schemas.microsoft.com/office/drawing/2014/main" id="{AC77356E-6877-9540-9D52-9B80E54D52EC}"/>
                </a:ext>
                <a:ext uri="{147F2762-F138-4A5C-976F-8EAC2B608ADB}">
                  <a16:predDERef xmlns:a16="http://schemas.microsoft.com/office/drawing/2014/main" pred="{2B4B1D78-8BE9-A946-B84F-78D74C8F3799}"/>
                </a:ext>
              </a:extLst>
            </xdr:cNvPr>
            <xdr:cNvPicPr/>
          </xdr:nvPicPr>
          <xdr:blipFill>
            <a:blip xmlns:r="http://schemas.openxmlformats.org/officeDocument/2006/relationships" r:embed="rId91"/>
            <a:stretch>
              <a:fillRect/>
            </a:stretch>
          </xdr:blipFill>
          <xdr:spPr>
            <a:xfrm>
              <a:off x="3208320" y="7967880"/>
              <a:ext cx="585720" cy="194040"/>
            </a:xfrm>
            <a:prstGeom prst="rect">
              <a:avLst/>
            </a:prstGeom>
          </xdr:spPr>
        </xdr:pic>
      </mc:Fallback>
    </mc:AlternateContent>
    <xdr:clientData/>
  </xdr:twoCellAnchor>
  <xdr:twoCellAnchor editAs="oneCell">
    <xdr:from>
      <xdr:col>6</xdr:col>
      <xdr:colOff>27642</xdr:colOff>
      <xdr:row>41</xdr:row>
      <xdr:rowOff>22398</xdr:rowOff>
    </xdr:from>
    <xdr:to>
      <xdr:col>6</xdr:col>
      <xdr:colOff>202602</xdr:colOff>
      <xdr:row>41</xdr:row>
      <xdr:rowOff>158118</xdr:rowOff>
    </xdr:to>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48" name="Ink 47">
              <a:extLst>
                <a:ext uri="{FF2B5EF4-FFF2-40B4-BE49-F238E27FC236}">
                  <a16:creationId xmlns:a16="http://schemas.microsoft.com/office/drawing/2014/main" id="{58942850-632C-8940-87BB-F6A7C925E7ED}"/>
                </a:ext>
                <a:ext uri="{147F2762-F138-4A5C-976F-8EAC2B608ADB}">
                  <a16:predDERef xmlns:a16="http://schemas.microsoft.com/office/drawing/2014/main" pred="{AC77356E-6877-9540-9D52-9B80E54D52EC}"/>
                </a:ext>
              </a:extLst>
            </xdr14:cNvPr>
            <xdr14:cNvContentPartPr/>
          </xdr14:nvContentPartPr>
          <xdr14:nvPr macro=""/>
          <xdr14:xfrm>
            <a:off x="3071160" y="8180280"/>
            <a:ext cx="174960" cy="135720"/>
          </xdr14:xfrm>
        </xdr:contentPart>
      </mc:Choice>
      <mc:Fallback xmlns="">
        <xdr:pic>
          <xdr:nvPicPr>
            <xdr:cNvPr id="48" name="Ink 47">
              <a:extLst>
                <a:ext uri="{FF2B5EF4-FFF2-40B4-BE49-F238E27FC236}">
                  <a16:creationId xmlns:a16="http://schemas.microsoft.com/office/drawing/2014/main" id="{58942850-632C-8940-87BB-F6A7C925E7ED}"/>
                </a:ext>
                <a:ext uri="{147F2762-F138-4A5C-976F-8EAC2B608ADB}">
                  <a16:predDERef xmlns:a16="http://schemas.microsoft.com/office/drawing/2014/main" pred="{AC77356E-6877-9540-9D52-9B80E54D52EC}"/>
                </a:ext>
              </a:extLst>
            </xdr:cNvPr>
            <xdr:cNvPicPr/>
          </xdr:nvPicPr>
          <xdr:blipFill>
            <a:blip xmlns:r="http://schemas.openxmlformats.org/officeDocument/2006/relationships" r:embed="rId93"/>
            <a:stretch>
              <a:fillRect/>
            </a:stretch>
          </xdr:blipFill>
          <xdr:spPr>
            <a:xfrm>
              <a:off x="3062160" y="8171640"/>
              <a:ext cx="192600" cy="153360"/>
            </a:xfrm>
            <a:prstGeom prst="rect">
              <a:avLst/>
            </a:prstGeom>
          </xdr:spPr>
        </xdr:pic>
      </mc:Fallback>
    </mc:AlternateContent>
    <xdr:clientData/>
  </xdr:twoCellAnchor>
  <xdr:twoCellAnchor editAs="oneCell">
    <xdr:from>
      <xdr:col>6</xdr:col>
      <xdr:colOff>195042</xdr:colOff>
      <xdr:row>41</xdr:row>
      <xdr:rowOff>22758</xdr:rowOff>
    </xdr:from>
    <xdr:to>
      <xdr:col>7</xdr:col>
      <xdr:colOff>449633</xdr:colOff>
      <xdr:row>41</xdr:row>
      <xdr:rowOff>179358</xdr:rowOff>
    </xdr:to>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49" name="Ink 48">
              <a:extLst>
                <a:ext uri="{FF2B5EF4-FFF2-40B4-BE49-F238E27FC236}">
                  <a16:creationId xmlns:a16="http://schemas.microsoft.com/office/drawing/2014/main" id="{59992572-8A63-5D43-948D-C4AFC8617934}"/>
                </a:ext>
                <a:ext uri="{147F2762-F138-4A5C-976F-8EAC2B608ADB}">
                  <a16:predDERef xmlns:a16="http://schemas.microsoft.com/office/drawing/2014/main" pred="{58942850-632C-8940-87BB-F6A7C925E7ED}"/>
                </a:ext>
              </a:extLst>
            </xdr14:cNvPr>
            <xdr14:cNvContentPartPr/>
          </xdr14:nvContentPartPr>
          <xdr14:nvPr macro=""/>
          <xdr14:xfrm>
            <a:off x="3238560" y="8180640"/>
            <a:ext cx="958320" cy="156600"/>
          </xdr14:xfrm>
        </xdr:contentPart>
      </mc:Choice>
      <mc:Fallback xmlns="">
        <xdr:pic>
          <xdr:nvPicPr>
            <xdr:cNvPr id="49" name="Ink 48">
              <a:extLst>
                <a:ext uri="{FF2B5EF4-FFF2-40B4-BE49-F238E27FC236}">
                  <a16:creationId xmlns:a16="http://schemas.microsoft.com/office/drawing/2014/main" id="{59992572-8A63-5D43-948D-C4AFC8617934}"/>
                </a:ext>
                <a:ext uri="{147F2762-F138-4A5C-976F-8EAC2B608ADB}">
                  <a16:predDERef xmlns:a16="http://schemas.microsoft.com/office/drawing/2014/main" pred="{58942850-632C-8940-87BB-F6A7C925E7ED}"/>
                </a:ext>
              </a:extLst>
            </xdr:cNvPr>
            <xdr:cNvPicPr/>
          </xdr:nvPicPr>
          <xdr:blipFill>
            <a:blip xmlns:r="http://schemas.openxmlformats.org/officeDocument/2006/relationships" r:embed="rId95"/>
            <a:stretch>
              <a:fillRect/>
            </a:stretch>
          </xdr:blipFill>
          <xdr:spPr>
            <a:xfrm>
              <a:off x="3229560" y="8172000"/>
              <a:ext cx="975960" cy="174240"/>
            </a:xfrm>
            <a:prstGeom prst="rect">
              <a:avLst/>
            </a:prstGeom>
          </xdr:spPr>
        </xdr:pic>
      </mc:Fallback>
    </mc:AlternateContent>
    <xdr:clientData/>
  </xdr:twoCellAnchor>
  <xdr:twoCellAnchor editAs="oneCell">
    <xdr:from>
      <xdr:col>6</xdr:col>
      <xdr:colOff>233562</xdr:colOff>
      <xdr:row>42</xdr:row>
      <xdr:rowOff>44937</xdr:rowOff>
    </xdr:from>
    <xdr:to>
      <xdr:col>6</xdr:col>
      <xdr:colOff>594282</xdr:colOff>
      <xdr:row>42</xdr:row>
      <xdr:rowOff>180657</xdr:rowOff>
    </xdr:to>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50" name="Ink 49">
              <a:extLst>
                <a:ext uri="{FF2B5EF4-FFF2-40B4-BE49-F238E27FC236}">
                  <a16:creationId xmlns:a16="http://schemas.microsoft.com/office/drawing/2014/main" id="{8363F2A2-D038-E043-8066-0A93D87FCB71}"/>
                </a:ext>
                <a:ext uri="{147F2762-F138-4A5C-976F-8EAC2B608ADB}">
                  <a16:predDERef xmlns:a16="http://schemas.microsoft.com/office/drawing/2014/main" pred="{59992572-8A63-5D43-948D-C4AFC8617934}"/>
                </a:ext>
              </a:extLst>
            </xdr14:cNvPr>
            <xdr14:cNvContentPartPr/>
          </xdr14:nvContentPartPr>
          <xdr14:nvPr macro=""/>
          <xdr14:xfrm>
            <a:off x="3277080" y="8395560"/>
            <a:ext cx="360720" cy="135720"/>
          </xdr14:xfrm>
        </xdr:contentPart>
      </mc:Choice>
      <mc:Fallback xmlns="">
        <xdr:pic>
          <xdr:nvPicPr>
            <xdr:cNvPr id="50" name="Ink 49">
              <a:extLst>
                <a:ext uri="{FF2B5EF4-FFF2-40B4-BE49-F238E27FC236}">
                  <a16:creationId xmlns:a16="http://schemas.microsoft.com/office/drawing/2014/main" id="{8363F2A2-D038-E043-8066-0A93D87FCB71}"/>
                </a:ext>
                <a:ext uri="{147F2762-F138-4A5C-976F-8EAC2B608ADB}">
                  <a16:predDERef xmlns:a16="http://schemas.microsoft.com/office/drawing/2014/main" pred="{59992572-8A63-5D43-948D-C4AFC8617934}"/>
                </a:ext>
              </a:extLst>
            </xdr:cNvPr>
            <xdr:cNvPicPr/>
          </xdr:nvPicPr>
          <xdr:blipFill>
            <a:blip xmlns:r="http://schemas.openxmlformats.org/officeDocument/2006/relationships" r:embed="rId97"/>
            <a:stretch>
              <a:fillRect/>
            </a:stretch>
          </xdr:blipFill>
          <xdr:spPr>
            <a:xfrm>
              <a:off x="3268440" y="8386920"/>
              <a:ext cx="378360" cy="153360"/>
            </a:xfrm>
            <a:prstGeom prst="rect">
              <a:avLst/>
            </a:prstGeom>
          </xdr:spPr>
        </xdr:pic>
      </mc:Fallback>
    </mc:AlternateContent>
    <xdr:clientData/>
  </xdr:twoCellAnchor>
  <xdr:twoCellAnchor editAs="oneCell">
    <xdr:from>
      <xdr:col>6</xdr:col>
      <xdr:colOff>589242</xdr:colOff>
      <xdr:row>41</xdr:row>
      <xdr:rowOff>152718</xdr:rowOff>
    </xdr:from>
    <xdr:to>
      <xdr:col>8</xdr:col>
      <xdr:colOff>1838</xdr:colOff>
      <xdr:row>42</xdr:row>
      <xdr:rowOff>160857</xdr:rowOff>
    </xdr:to>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51" name="Ink 50">
              <a:extLst>
                <a:ext uri="{FF2B5EF4-FFF2-40B4-BE49-F238E27FC236}">
                  <a16:creationId xmlns:a16="http://schemas.microsoft.com/office/drawing/2014/main" id="{DCECF1BA-3EBB-8F40-94F7-6160DE683BC4}"/>
                </a:ext>
                <a:ext uri="{147F2762-F138-4A5C-976F-8EAC2B608ADB}">
                  <a16:predDERef xmlns:a16="http://schemas.microsoft.com/office/drawing/2014/main" pred="{8363F2A2-D038-E043-8066-0A93D87FCB71}"/>
                </a:ext>
              </a:extLst>
            </xdr14:cNvPr>
            <xdr14:cNvContentPartPr/>
          </xdr14:nvContentPartPr>
          <xdr14:nvPr macro=""/>
          <xdr14:xfrm>
            <a:off x="3632760" y="8310600"/>
            <a:ext cx="716400" cy="200880"/>
          </xdr14:xfrm>
        </xdr:contentPart>
      </mc:Choice>
      <mc:Fallback xmlns="">
        <xdr:pic>
          <xdr:nvPicPr>
            <xdr:cNvPr id="51" name="Ink 50">
              <a:extLst>
                <a:ext uri="{FF2B5EF4-FFF2-40B4-BE49-F238E27FC236}">
                  <a16:creationId xmlns:a16="http://schemas.microsoft.com/office/drawing/2014/main" id="{DCECF1BA-3EBB-8F40-94F7-6160DE683BC4}"/>
                </a:ext>
                <a:ext uri="{147F2762-F138-4A5C-976F-8EAC2B608ADB}">
                  <a16:predDERef xmlns:a16="http://schemas.microsoft.com/office/drawing/2014/main" pred="{8363F2A2-D038-E043-8066-0A93D87FCB71}"/>
                </a:ext>
              </a:extLst>
            </xdr:cNvPr>
            <xdr:cNvPicPr/>
          </xdr:nvPicPr>
          <xdr:blipFill>
            <a:blip xmlns:r="http://schemas.openxmlformats.org/officeDocument/2006/relationships" r:embed="rId99"/>
            <a:stretch>
              <a:fillRect/>
            </a:stretch>
          </xdr:blipFill>
          <xdr:spPr>
            <a:xfrm>
              <a:off x="3623760" y="8301960"/>
              <a:ext cx="734040" cy="218520"/>
            </a:xfrm>
            <a:prstGeom prst="rect">
              <a:avLst/>
            </a:prstGeom>
          </xdr:spPr>
        </xdr:pic>
      </mc:Fallback>
    </mc:AlternateContent>
    <xdr:clientData/>
  </xdr:twoCellAnchor>
  <xdr:twoCellAnchor editAs="oneCell">
    <xdr:from>
      <xdr:col>8</xdr:col>
      <xdr:colOff>49263</xdr:colOff>
      <xdr:row>35</xdr:row>
      <xdr:rowOff>21733</xdr:rowOff>
    </xdr:from>
    <xdr:to>
      <xdr:col>8</xdr:col>
      <xdr:colOff>168423</xdr:colOff>
      <xdr:row>36</xdr:row>
      <xdr:rowOff>29873</xdr:rowOff>
    </xdr:to>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52" name="Ink 51">
              <a:extLst>
                <a:ext uri="{FF2B5EF4-FFF2-40B4-BE49-F238E27FC236}">
                  <a16:creationId xmlns:a16="http://schemas.microsoft.com/office/drawing/2014/main" id="{39BF72DB-080D-6D4C-8B4C-55BDA10FCD78}"/>
                </a:ext>
                <a:ext uri="{147F2762-F138-4A5C-976F-8EAC2B608ADB}">
                  <a16:predDERef xmlns:a16="http://schemas.microsoft.com/office/drawing/2014/main" pred="{DCECF1BA-3EBB-8F40-94F7-6160DE683BC4}"/>
                </a:ext>
              </a:extLst>
            </xdr14:cNvPr>
            <xdr14:cNvContentPartPr/>
          </xdr14:nvContentPartPr>
          <xdr14:nvPr macro=""/>
          <xdr14:xfrm>
            <a:off x="4424040" y="7005240"/>
            <a:ext cx="119160" cy="200880"/>
          </xdr14:xfrm>
        </xdr:contentPart>
      </mc:Choice>
      <mc:Fallback xmlns="">
        <xdr:pic>
          <xdr:nvPicPr>
            <xdr:cNvPr id="52" name="Ink 51">
              <a:extLst>
                <a:ext uri="{FF2B5EF4-FFF2-40B4-BE49-F238E27FC236}">
                  <a16:creationId xmlns:a16="http://schemas.microsoft.com/office/drawing/2014/main" id="{39BF72DB-080D-6D4C-8B4C-55BDA10FCD78}"/>
                </a:ext>
                <a:ext uri="{147F2762-F138-4A5C-976F-8EAC2B608ADB}">
                  <a16:predDERef xmlns:a16="http://schemas.microsoft.com/office/drawing/2014/main" pred="{DCECF1BA-3EBB-8F40-94F7-6160DE683BC4}"/>
                </a:ext>
              </a:extLst>
            </xdr:cNvPr>
            <xdr:cNvPicPr/>
          </xdr:nvPicPr>
          <xdr:blipFill>
            <a:blip xmlns:r="http://schemas.openxmlformats.org/officeDocument/2006/relationships" r:embed="rId101"/>
            <a:stretch>
              <a:fillRect/>
            </a:stretch>
          </xdr:blipFill>
          <xdr:spPr>
            <a:xfrm>
              <a:off x="4415040" y="6996240"/>
              <a:ext cx="136800" cy="218520"/>
            </a:xfrm>
            <a:prstGeom prst="rect">
              <a:avLst/>
            </a:prstGeom>
          </xdr:spPr>
        </xdr:pic>
      </mc:Fallback>
    </mc:AlternateContent>
    <xdr:clientData/>
  </xdr:twoCellAnchor>
  <xdr:twoCellAnchor editAs="oneCell">
    <xdr:from>
      <xdr:col>8</xdr:col>
      <xdr:colOff>191463</xdr:colOff>
      <xdr:row>35</xdr:row>
      <xdr:rowOff>19933</xdr:rowOff>
    </xdr:from>
    <xdr:to>
      <xdr:col>8</xdr:col>
      <xdr:colOff>552243</xdr:colOff>
      <xdr:row>36</xdr:row>
      <xdr:rowOff>8633</xdr:rowOff>
    </xdr:to>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53" name="Ink 52">
              <a:extLst>
                <a:ext uri="{FF2B5EF4-FFF2-40B4-BE49-F238E27FC236}">
                  <a16:creationId xmlns:a16="http://schemas.microsoft.com/office/drawing/2014/main" id="{E97722C0-BEBE-E349-9922-E86DD1525FD2}"/>
                </a:ext>
                <a:ext uri="{147F2762-F138-4A5C-976F-8EAC2B608ADB}">
                  <a16:predDERef xmlns:a16="http://schemas.microsoft.com/office/drawing/2014/main" pred="{39BF72DB-080D-6D4C-8B4C-55BDA10FCD78}"/>
                </a:ext>
              </a:extLst>
            </xdr14:cNvPr>
            <xdr14:cNvContentPartPr/>
          </xdr14:nvContentPartPr>
          <xdr14:nvPr macro=""/>
          <xdr14:xfrm>
            <a:off x="4566240" y="7003440"/>
            <a:ext cx="398880" cy="181440"/>
          </xdr14:xfrm>
        </xdr:contentPart>
      </mc:Choice>
      <mc:Fallback xmlns="">
        <xdr:pic>
          <xdr:nvPicPr>
            <xdr:cNvPr id="53" name="Ink 52">
              <a:extLst>
                <a:ext uri="{FF2B5EF4-FFF2-40B4-BE49-F238E27FC236}">
                  <a16:creationId xmlns:a16="http://schemas.microsoft.com/office/drawing/2014/main" id="{E97722C0-BEBE-E349-9922-E86DD1525FD2}"/>
                </a:ext>
                <a:ext uri="{147F2762-F138-4A5C-976F-8EAC2B608ADB}">
                  <a16:predDERef xmlns:a16="http://schemas.microsoft.com/office/drawing/2014/main" pred="{39BF72DB-080D-6D4C-8B4C-55BDA10FCD78}"/>
                </a:ext>
              </a:extLst>
            </xdr:cNvPr>
            <xdr:cNvPicPr/>
          </xdr:nvPicPr>
          <xdr:blipFill>
            <a:blip xmlns:r="http://schemas.openxmlformats.org/officeDocument/2006/relationships" r:embed="rId103"/>
            <a:stretch>
              <a:fillRect/>
            </a:stretch>
          </xdr:blipFill>
          <xdr:spPr>
            <a:xfrm>
              <a:off x="4557600" y="6994440"/>
              <a:ext cx="416520" cy="199080"/>
            </a:xfrm>
            <a:prstGeom prst="rect">
              <a:avLst/>
            </a:prstGeom>
          </xdr:spPr>
        </xdr:pic>
      </mc:Fallback>
    </mc:AlternateContent>
    <xdr:clientData/>
  </xdr:twoCellAnchor>
  <xdr:twoCellAnchor editAs="oneCell">
    <xdr:from>
      <xdr:col>10</xdr:col>
      <xdr:colOff>456543</xdr:colOff>
      <xdr:row>40</xdr:row>
      <xdr:rowOff>56902</xdr:rowOff>
    </xdr:from>
    <xdr:to>
      <xdr:col>10</xdr:col>
      <xdr:colOff>886743</xdr:colOff>
      <xdr:row>42</xdr:row>
      <xdr:rowOff>103617</xdr:rowOff>
    </xdr:to>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54" name="Ink 53">
              <a:extLst>
                <a:ext uri="{FF2B5EF4-FFF2-40B4-BE49-F238E27FC236}">
                  <a16:creationId xmlns:a16="http://schemas.microsoft.com/office/drawing/2014/main" id="{D1A97593-2B26-B149-8A90-9F55D472E947}"/>
                </a:ext>
                <a:ext uri="{147F2762-F138-4A5C-976F-8EAC2B608ADB}">
                  <a16:predDERef xmlns:a16="http://schemas.microsoft.com/office/drawing/2014/main" pred="{E97722C0-BEBE-E349-9922-E86DD1525FD2}"/>
                </a:ext>
              </a:extLst>
            </xdr14:cNvPr>
            <xdr14:cNvContentPartPr/>
          </xdr14:nvContentPartPr>
          <xdr14:nvPr macro=""/>
          <xdr14:xfrm>
            <a:off x="6050520" y="8017560"/>
            <a:ext cx="430200" cy="436680"/>
          </xdr14:xfrm>
        </xdr:contentPart>
      </mc:Choice>
      <mc:Fallback xmlns="">
        <xdr:pic>
          <xdr:nvPicPr>
            <xdr:cNvPr id="54" name="Ink 53">
              <a:extLst>
                <a:ext uri="{FF2B5EF4-FFF2-40B4-BE49-F238E27FC236}">
                  <a16:creationId xmlns:a16="http://schemas.microsoft.com/office/drawing/2014/main" id="{D1A97593-2B26-B149-8A90-9F55D472E947}"/>
                </a:ext>
                <a:ext uri="{147F2762-F138-4A5C-976F-8EAC2B608ADB}">
                  <a16:predDERef xmlns:a16="http://schemas.microsoft.com/office/drawing/2014/main" pred="{E97722C0-BEBE-E349-9922-E86DD1525FD2}"/>
                </a:ext>
              </a:extLst>
            </xdr:cNvPr>
            <xdr:cNvPicPr/>
          </xdr:nvPicPr>
          <xdr:blipFill>
            <a:blip xmlns:r="http://schemas.openxmlformats.org/officeDocument/2006/relationships" r:embed="rId105"/>
            <a:stretch>
              <a:fillRect/>
            </a:stretch>
          </xdr:blipFill>
          <xdr:spPr>
            <a:xfrm>
              <a:off x="6041880" y="8008560"/>
              <a:ext cx="447840" cy="454320"/>
            </a:xfrm>
            <a:prstGeom prst="rect">
              <a:avLst/>
            </a:prstGeom>
          </xdr:spPr>
        </xdr:pic>
      </mc:Fallback>
    </mc:AlternateContent>
    <xdr:clientData/>
  </xdr:twoCellAnchor>
  <xdr:twoCellAnchor editAs="oneCell">
    <xdr:from>
      <xdr:col>10</xdr:col>
      <xdr:colOff>479943</xdr:colOff>
      <xdr:row>40</xdr:row>
      <xdr:rowOff>194782</xdr:rowOff>
    </xdr:from>
    <xdr:to>
      <xdr:col>10</xdr:col>
      <xdr:colOff>795663</xdr:colOff>
      <xdr:row>41</xdr:row>
      <xdr:rowOff>50478</xdr:rowOff>
    </xdr:to>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55" name="Ink 54">
              <a:extLst>
                <a:ext uri="{FF2B5EF4-FFF2-40B4-BE49-F238E27FC236}">
                  <a16:creationId xmlns:a16="http://schemas.microsoft.com/office/drawing/2014/main" id="{C03101E0-B0EF-6C4F-815B-382607F1E6E4}"/>
                </a:ext>
                <a:ext uri="{147F2762-F138-4A5C-976F-8EAC2B608ADB}">
                  <a16:predDERef xmlns:a16="http://schemas.microsoft.com/office/drawing/2014/main" pred="{D1A97593-2B26-B149-8A90-9F55D472E947}"/>
                </a:ext>
              </a:extLst>
            </xdr14:cNvPr>
            <xdr14:cNvContentPartPr/>
          </xdr14:nvContentPartPr>
          <xdr14:nvPr macro=""/>
          <xdr14:xfrm>
            <a:off x="6073920" y="8155440"/>
            <a:ext cx="315720" cy="52920"/>
          </xdr14:xfrm>
        </xdr:contentPart>
      </mc:Choice>
      <mc:Fallback xmlns="">
        <xdr:pic>
          <xdr:nvPicPr>
            <xdr:cNvPr id="55" name="Ink 54">
              <a:extLst>
                <a:ext uri="{FF2B5EF4-FFF2-40B4-BE49-F238E27FC236}">
                  <a16:creationId xmlns:a16="http://schemas.microsoft.com/office/drawing/2014/main" id="{C03101E0-B0EF-6C4F-815B-382607F1E6E4}"/>
                </a:ext>
                <a:ext uri="{147F2762-F138-4A5C-976F-8EAC2B608ADB}">
                  <a16:predDERef xmlns:a16="http://schemas.microsoft.com/office/drawing/2014/main" pred="{D1A97593-2B26-B149-8A90-9F55D472E947}"/>
                </a:ext>
              </a:extLst>
            </xdr:cNvPr>
            <xdr:cNvPicPr/>
          </xdr:nvPicPr>
          <xdr:blipFill>
            <a:blip xmlns:r="http://schemas.openxmlformats.org/officeDocument/2006/relationships" r:embed="rId107"/>
            <a:stretch>
              <a:fillRect/>
            </a:stretch>
          </xdr:blipFill>
          <xdr:spPr>
            <a:xfrm>
              <a:off x="6065280" y="8146800"/>
              <a:ext cx="333360" cy="70560"/>
            </a:xfrm>
            <a:prstGeom prst="rect">
              <a:avLst/>
            </a:prstGeom>
          </xdr:spPr>
        </xdr:pic>
      </mc:Fallback>
    </mc:AlternateContent>
    <xdr:clientData/>
  </xdr:twoCellAnchor>
  <xdr:twoCellAnchor editAs="oneCell">
    <xdr:from>
      <xdr:col>11</xdr:col>
      <xdr:colOff>83753</xdr:colOff>
      <xdr:row>41</xdr:row>
      <xdr:rowOff>5478</xdr:rowOff>
    </xdr:from>
    <xdr:to>
      <xdr:col>11</xdr:col>
      <xdr:colOff>118673</xdr:colOff>
      <xdr:row>42</xdr:row>
      <xdr:rowOff>39177</xdr:rowOff>
    </xdr:to>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56" name="Ink 55">
              <a:extLst>
                <a:ext uri="{FF2B5EF4-FFF2-40B4-BE49-F238E27FC236}">
                  <a16:creationId xmlns:a16="http://schemas.microsoft.com/office/drawing/2014/main" id="{AE7B29BF-F766-2746-8C16-770FDAB96C11}"/>
                </a:ext>
                <a:ext uri="{147F2762-F138-4A5C-976F-8EAC2B608ADB}">
                  <a16:predDERef xmlns:a16="http://schemas.microsoft.com/office/drawing/2014/main" pred="{C03101E0-B0EF-6C4F-815B-382607F1E6E4}"/>
                </a:ext>
              </a:extLst>
            </xdr14:cNvPr>
            <xdr14:cNvContentPartPr/>
          </xdr14:nvContentPartPr>
          <xdr14:nvPr macro=""/>
          <xdr14:xfrm>
            <a:off x="6955200" y="8163360"/>
            <a:ext cx="34920" cy="226440"/>
          </xdr14:xfrm>
        </xdr:contentPart>
      </mc:Choice>
      <mc:Fallback xmlns="">
        <xdr:pic>
          <xdr:nvPicPr>
            <xdr:cNvPr id="56" name="Ink 55">
              <a:extLst>
                <a:ext uri="{FF2B5EF4-FFF2-40B4-BE49-F238E27FC236}">
                  <a16:creationId xmlns:a16="http://schemas.microsoft.com/office/drawing/2014/main" id="{AE7B29BF-F766-2746-8C16-770FDAB96C11}"/>
                </a:ext>
                <a:ext uri="{147F2762-F138-4A5C-976F-8EAC2B608ADB}">
                  <a16:predDERef xmlns:a16="http://schemas.microsoft.com/office/drawing/2014/main" pred="{C03101E0-B0EF-6C4F-815B-382607F1E6E4}"/>
                </a:ext>
              </a:extLst>
            </xdr:cNvPr>
            <xdr:cNvPicPr/>
          </xdr:nvPicPr>
          <xdr:blipFill>
            <a:blip xmlns:r="http://schemas.openxmlformats.org/officeDocument/2006/relationships" r:embed="rId109"/>
            <a:stretch>
              <a:fillRect/>
            </a:stretch>
          </xdr:blipFill>
          <xdr:spPr>
            <a:xfrm>
              <a:off x="6946560" y="8154360"/>
              <a:ext cx="52560" cy="244080"/>
            </a:xfrm>
            <a:prstGeom prst="rect">
              <a:avLst/>
            </a:prstGeom>
          </xdr:spPr>
        </xdr:pic>
      </mc:Fallback>
    </mc:AlternateContent>
    <xdr:clientData/>
  </xdr:twoCellAnchor>
  <xdr:twoCellAnchor editAs="oneCell">
    <xdr:from>
      <xdr:col>11</xdr:col>
      <xdr:colOff>172673</xdr:colOff>
      <xdr:row>41</xdr:row>
      <xdr:rowOff>38598</xdr:rowOff>
    </xdr:from>
    <xdr:to>
      <xdr:col>11</xdr:col>
      <xdr:colOff>622313</xdr:colOff>
      <xdr:row>41</xdr:row>
      <xdr:rowOff>189078</xdr:rowOff>
    </xdr:to>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57" name="Ink 56">
              <a:extLst>
                <a:ext uri="{FF2B5EF4-FFF2-40B4-BE49-F238E27FC236}">
                  <a16:creationId xmlns:a16="http://schemas.microsoft.com/office/drawing/2014/main" id="{FD748AE2-93FF-3141-8A21-947843192450}"/>
                </a:ext>
                <a:ext uri="{147F2762-F138-4A5C-976F-8EAC2B608ADB}">
                  <a16:predDERef xmlns:a16="http://schemas.microsoft.com/office/drawing/2014/main" pred="{AE7B29BF-F766-2746-8C16-770FDAB96C11}"/>
                </a:ext>
              </a:extLst>
            </xdr14:cNvPr>
            <xdr14:cNvContentPartPr/>
          </xdr14:nvContentPartPr>
          <xdr14:nvPr macro=""/>
          <xdr14:xfrm>
            <a:off x="7044120" y="8196480"/>
            <a:ext cx="449640" cy="150480"/>
          </xdr14:xfrm>
        </xdr:contentPart>
      </mc:Choice>
      <mc:Fallback xmlns="">
        <xdr:pic>
          <xdr:nvPicPr>
            <xdr:cNvPr id="57" name="Ink 56">
              <a:extLst>
                <a:ext uri="{FF2B5EF4-FFF2-40B4-BE49-F238E27FC236}">
                  <a16:creationId xmlns:a16="http://schemas.microsoft.com/office/drawing/2014/main" id="{FD748AE2-93FF-3141-8A21-947843192450}"/>
                </a:ext>
                <a:ext uri="{147F2762-F138-4A5C-976F-8EAC2B608ADB}">
                  <a16:predDERef xmlns:a16="http://schemas.microsoft.com/office/drawing/2014/main" pred="{AE7B29BF-F766-2746-8C16-770FDAB96C11}"/>
                </a:ext>
              </a:extLst>
            </xdr:cNvPr>
            <xdr:cNvPicPr/>
          </xdr:nvPicPr>
          <xdr:blipFill>
            <a:blip xmlns:r="http://schemas.openxmlformats.org/officeDocument/2006/relationships" r:embed="rId111"/>
            <a:stretch>
              <a:fillRect/>
            </a:stretch>
          </xdr:blipFill>
          <xdr:spPr>
            <a:xfrm>
              <a:off x="7035480" y="8187480"/>
              <a:ext cx="467280" cy="168120"/>
            </a:xfrm>
            <a:prstGeom prst="rect">
              <a:avLst/>
            </a:prstGeom>
          </xdr:spPr>
        </xdr:pic>
      </mc:Fallback>
    </mc:AlternateContent>
    <xdr:clientData/>
  </xdr:twoCellAnchor>
  <xdr:twoCellAnchor editAs="oneCell">
    <xdr:from>
      <xdr:col>12</xdr:col>
      <xdr:colOff>42522</xdr:colOff>
      <xdr:row>41</xdr:row>
      <xdr:rowOff>78558</xdr:rowOff>
    </xdr:from>
    <xdr:to>
      <xdr:col>12</xdr:col>
      <xdr:colOff>128202</xdr:colOff>
      <xdr:row>42</xdr:row>
      <xdr:rowOff>42057</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58" name="Ink 57">
              <a:extLst>
                <a:ext uri="{FF2B5EF4-FFF2-40B4-BE49-F238E27FC236}">
                  <a16:creationId xmlns:a16="http://schemas.microsoft.com/office/drawing/2014/main" id="{29ECED9D-10AB-B14A-8440-77441095B4B4}"/>
                </a:ext>
                <a:ext uri="{147F2762-F138-4A5C-976F-8EAC2B608ADB}">
                  <a16:predDERef xmlns:a16="http://schemas.microsoft.com/office/drawing/2014/main" pred="{FD748AE2-93FF-3141-8A21-947843192450}"/>
                </a:ext>
              </a:extLst>
            </xdr14:cNvPr>
            <xdr14:cNvContentPartPr/>
          </xdr14:nvContentPartPr>
          <xdr14:nvPr macro=""/>
          <xdr14:xfrm>
            <a:off x="7734240" y="8236440"/>
            <a:ext cx="85680" cy="156240"/>
          </xdr14:xfrm>
        </xdr:contentPart>
      </mc:Choice>
      <mc:Fallback xmlns="">
        <xdr:pic>
          <xdr:nvPicPr>
            <xdr:cNvPr id="58" name="Ink 57">
              <a:extLst>
                <a:ext uri="{FF2B5EF4-FFF2-40B4-BE49-F238E27FC236}">
                  <a16:creationId xmlns:a16="http://schemas.microsoft.com/office/drawing/2014/main" id="{29ECED9D-10AB-B14A-8440-77441095B4B4}"/>
                </a:ext>
                <a:ext uri="{147F2762-F138-4A5C-976F-8EAC2B608ADB}">
                  <a16:predDERef xmlns:a16="http://schemas.microsoft.com/office/drawing/2014/main" pred="{FD748AE2-93FF-3141-8A21-947843192450}"/>
                </a:ext>
              </a:extLst>
            </xdr:cNvPr>
            <xdr:cNvPicPr/>
          </xdr:nvPicPr>
          <xdr:blipFill>
            <a:blip xmlns:r="http://schemas.openxmlformats.org/officeDocument/2006/relationships" r:embed="rId113"/>
            <a:stretch>
              <a:fillRect/>
            </a:stretch>
          </xdr:blipFill>
          <xdr:spPr>
            <a:xfrm>
              <a:off x="7725240" y="8227800"/>
              <a:ext cx="103320" cy="173880"/>
            </a:xfrm>
            <a:prstGeom prst="rect">
              <a:avLst/>
            </a:prstGeom>
          </xdr:spPr>
        </xdr:pic>
      </mc:Fallback>
    </mc:AlternateContent>
    <xdr:clientData/>
  </xdr:twoCellAnchor>
  <xdr:twoCellAnchor editAs="oneCell">
    <xdr:from>
      <xdr:col>12</xdr:col>
      <xdr:colOff>169602</xdr:colOff>
      <xdr:row>40</xdr:row>
      <xdr:rowOff>172102</xdr:rowOff>
    </xdr:from>
    <xdr:to>
      <xdr:col>12</xdr:col>
      <xdr:colOff>674322</xdr:colOff>
      <xdr:row>41</xdr:row>
      <xdr:rowOff>175038</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59" name="Ink 58">
              <a:extLst>
                <a:ext uri="{FF2B5EF4-FFF2-40B4-BE49-F238E27FC236}">
                  <a16:creationId xmlns:a16="http://schemas.microsoft.com/office/drawing/2014/main" id="{6859A4F1-0ECF-2F48-9C89-9D1058DA3287}"/>
                </a:ext>
                <a:ext uri="{147F2762-F138-4A5C-976F-8EAC2B608ADB}">
                  <a16:predDERef xmlns:a16="http://schemas.microsoft.com/office/drawing/2014/main" pred="{29ECED9D-10AB-B14A-8440-77441095B4B4}"/>
                </a:ext>
              </a:extLst>
            </xdr14:cNvPr>
            <xdr14:cNvContentPartPr/>
          </xdr14:nvContentPartPr>
          <xdr14:nvPr macro=""/>
          <xdr14:xfrm>
            <a:off x="7861320" y="8132760"/>
            <a:ext cx="504720" cy="200160"/>
          </xdr14:xfrm>
        </xdr:contentPart>
      </mc:Choice>
      <mc:Fallback xmlns="">
        <xdr:pic>
          <xdr:nvPicPr>
            <xdr:cNvPr id="59" name="Ink 58">
              <a:extLst>
                <a:ext uri="{FF2B5EF4-FFF2-40B4-BE49-F238E27FC236}">
                  <a16:creationId xmlns:a16="http://schemas.microsoft.com/office/drawing/2014/main" id="{6859A4F1-0ECF-2F48-9C89-9D1058DA3287}"/>
                </a:ext>
                <a:ext uri="{147F2762-F138-4A5C-976F-8EAC2B608ADB}">
                  <a16:predDERef xmlns:a16="http://schemas.microsoft.com/office/drawing/2014/main" pred="{29ECED9D-10AB-B14A-8440-77441095B4B4}"/>
                </a:ext>
              </a:extLst>
            </xdr:cNvPr>
            <xdr:cNvPicPr/>
          </xdr:nvPicPr>
          <xdr:blipFill>
            <a:blip xmlns:r="http://schemas.openxmlformats.org/officeDocument/2006/relationships" r:embed="rId115"/>
            <a:stretch>
              <a:fillRect/>
            </a:stretch>
          </xdr:blipFill>
          <xdr:spPr>
            <a:xfrm>
              <a:off x="7852680" y="8123760"/>
              <a:ext cx="522360" cy="217800"/>
            </a:xfrm>
            <a:prstGeom prst="rect">
              <a:avLst/>
            </a:prstGeom>
          </xdr:spPr>
        </xdr:pic>
      </mc:Fallback>
    </mc:AlternateContent>
    <xdr:clientData/>
  </xdr:twoCellAnchor>
  <xdr:twoCellAnchor editAs="oneCell">
    <xdr:from>
      <xdr:col>3</xdr:col>
      <xdr:colOff>80040</xdr:colOff>
      <xdr:row>43</xdr:row>
      <xdr:rowOff>125993</xdr:rowOff>
    </xdr:from>
    <xdr:to>
      <xdr:col>3</xdr:col>
      <xdr:colOff>193440</xdr:colOff>
      <xdr:row>44</xdr:row>
      <xdr:rowOff>122810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60" name="Ink 59">
              <a:extLst>
                <a:ext uri="{FF2B5EF4-FFF2-40B4-BE49-F238E27FC236}">
                  <a16:creationId xmlns:a16="http://schemas.microsoft.com/office/drawing/2014/main" id="{D9844D41-A423-5B4A-9284-49893F46DD16}"/>
                </a:ext>
                <a:ext uri="{147F2762-F138-4A5C-976F-8EAC2B608ADB}">
                  <a16:predDERef xmlns:a16="http://schemas.microsoft.com/office/drawing/2014/main" pred="{6859A4F1-0ECF-2F48-9C89-9D1058DA3287}"/>
                </a:ext>
              </a:extLst>
            </xdr14:cNvPr>
            <xdr14:cNvContentPartPr/>
          </xdr14:nvContentPartPr>
          <xdr14:nvPr macro=""/>
          <xdr14:xfrm>
            <a:off x="1299240" y="8673840"/>
            <a:ext cx="113400" cy="194040"/>
          </xdr14:xfrm>
        </xdr:contentPart>
      </mc:Choice>
      <mc:Fallback xmlns="">
        <xdr:pic>
          <xdr:nvPicPr>
            <xdr:cNvPr id="60" name="Ink 59">
              <a:extLst>
                <a:ext uri="{FF2B5EF4-FFF2-40B4-BE49-F238E27FC236}">
                  <a16:creationId xmlns:a16="http://schemas.microsoft.com/office/drawing/2014/main" id="{D9844D41-A423-5B4A-9284-49893F46DD16}"/>
                </a:ext>
                <a:ext uri="{147F2762-F138-4A5C-976F-8EAC2B608ADB}">
                  <a16:predDERef xmlns:a16="http://schemas.microsoft.com/office/drawing/2014/main" pred="{6859A4F1-0ECF-2F48-9C89-9D1058DA3287}"/>
                </a:ext>
              </a:extLst>
            </xdr:cNvPr>
            <xdr:cNvPicPr/>
          </xdr:nvPicPr>
          <xdr:blipFill>
            <a:blip xmlns:r="http://schemas.openxmlformats.org/officeDocument/2006/relationships" r:embed="rId117"/>
            <a:stretch>
              <a:fillRect/>
            </a:stretch>
          </xdr:blipFill>
          <xdr:spPr>
            <a:xfrm>
              <a:off x="1290600" y="8664840"/>
              <a:ext cx="131040" cy="211680"/>
            </a:xfrm>
            <a:prstGeom prst="rect">
              <a:avLst/>
            </a:prstGeom>
          </xdr:spPr>
        </xdr:pic>
      </mc:Fallback>
    </mc:AlternateContent>
    <xdr:clientData/>
  </xdr:twoCellAnchor>
  <xdr:twoCellAnchor editAs="oneCell">
    <xdr:from>
      <xdr:col>3</xdr:col>
      <xdr:colOff>196680</xdr:colOff>
      <xdr:row>43</xdr:row>
      <xdr:rowOff>19433</xdr:rowOff>
    </xdr:from>
    <xdr:to>
      <xdr:col>4</xdr:col>
      <xdr:colOff>220582</xdr:colOff>
      <xdr:row>45</xdr:row>
      <xdr:rowOff>117628</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61" name="Ink 60">
              <a:extLst>
                <a:ext uri="{FF2B5EF4-FFF2-40B4-BE49-F238E27FC236}">
                  <a16:creationId xmlns:a16="http://schemas.microsoft.com/office/drawing/2014/main" id="{61461650-A6D5-0B49-ACA8-9D613A2E1117}"/>
                </a:ext>
                <a:ext uri="{147F2762-F138-4A5C-976F-8EAC2B608ADB}">
                  <a16:predDERef xmlns:a16="http://schemas.microsoft.com/office/drawing/2014/main" pred="{D9844D41-A423-5B4A-9284-49893F46DD16}"/>
                </a:ext>
              </a:extLst>
            </xdr14:cNvPr>
            <xdr14:cNvContentPartPr/>
          </xdr14:nvContentPartPr>
          <xdr14:nvPr macro=""/>
          <xdr14:xfrm>
            <a:off x="1415880" y="8567280"/>
            <a:ext cx="745560" cy="488160"/>
          </xdr14:xfrm>
        </xdr:contentPart>
      </mc:Choice>
      <mc:Fallback xmlns="">
        <xdr:pic>
          <xdr:nvPicPr>
            <xdr:cNvPr id="61" name="Ink 60">
              <a:extLst>
                <a:ext uri="{FF2B5EF4-FFF2-40B4-BE49-F238E27FC236}">
                  <a16:creationId xmlns:a16="http://schemas.microsoft.com/office/drawing/2014/main" id="{61461650-A6D5-0B49-ACA8-9D613A2E1117}"/>
                </a:ext>
                <a:ext uri="{147F2762-F138-4A5C-976F-8EAC2B608ADB}">
                  <a16:predDERef xmlns:a16="http://schemas.microsoft.com/office/drawing/2014/main" pred="{D9844D41-A423-5B4A-9284-49893F46DD16}"/>
                </a:ext>
              </a:extLst>
            </xdr:cNvPr>
            <xdr:cNvPicPr/>
          </xdr:nvPicPr>
          <xdr:blipFill>
            <a:blip xmlns:r="http://schemas.openxmlformats.org/officeDocument/2006/relationships" r:embed="rId119"/>
            <a:stretch>
              <a:fillRect/>
            </a:stretch>
          </xdr:blipFill>
          <xdr:spPr>
            <a:xfrm>
              <a:off x="1406880" y="8558280"/>
              <a:ext cx="763200" cy="505800"/>
            </a:xfrm>
            <a:prstGeom prst="rect">
              <a:avLst/>
            </a:prstGeom>
          </xdr:spPr>
        </xdr:pic>
      </mc:Fallback>
    </mc:AlternateContent>
    <xdr:clientData/>
  </xdr:twoCellAnchor>
  <xdr:twoCellAnchor editAs="oneCell">
    <xdr:from>
      <xdr:col>3</xdr:col>
      <xdr:colOff>334920</xdr:colOff>
      <xdr:row>44</xdr:row>
      <xdr:rowOff>115970</xdr:rowOff>
    </xdr:from>
    <xdr:to>
      <xdr:col>3</xdr:col>
      <xdr:colOff>600240</xdr:colOff>
      <xdr:row>45</xdr:row>
      <xdr:rowOff>61468</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62" name="Ink 61">
              <a:extLst>
                <a:ext uri="{FF2B5EF4-FFF2-40B4-BE49-F238E27FC236}">
                  <a16:creationId xmlns:a16="http://schemas.microsoft.com/office/drawing/2014/main" id="{F085735C-1645-E546-8113-7D95C21EE7C4}"/>
                </a:ext>
                <a:ext uri="{147F2762-F138-4A5C-976F-8EAC2B608ADB}">
                  <a16:predDERef xmlns:a16="http://schemas.microsoft.com/office/drawing/2014/main" pred="{61461650-A6D5-0B49-ACA8-9D613A2E1117}"/>
                </a:ext>
              </a:extLst>
            </xdr14:cNvPr>
            <xdr14:cNvContentPartPr/>
          </xdr14:nvContentPartPr>
          <xdr14:nvPr macro=""/>
          <xdr14:xfrm>
            <a:off x="1554120" y="8861040"/>
            <a:ext cx="265320" cy="138240"/>
          </xdr14:xfrm>
        </xdr:contentPart>
      </mc:Choice>
      <mc:Fallback xmlns="">
        <xdr:pic>
          <xdr:nvPicPr>
            <xdr:cNvPr id="62" name="Ink 61">
              <a:extLst>
                <a:ext uri="{FF2B5EF4-FFF2-40B4-BE49-F238E27FC236}">
                  <a16:creationId xmlns:a16="http://schemas.microsoft.com/office/drawing/2014/main" id="{F085735C-1645-E546-8113-7D95C21EE7C4}"/>
                </a:ext>
                <a:ext uri="{147F2762-F138-4A5C-976F-8EAC2B608ADB}">
                  <a16:predDERef xmlns:a16="http://schemas.microsoft.com/office/drawing/2014/main" pred="{61461650-A6D5-0B49-ACA8-9D613A2E1117}"/>
                </a:ext>
              </a:extLst>
            </xdr:cNvPr>
            <xdr:cNvPicPr/>
          </xdr:nvPicPr>
          <xdr:blipFill>
            <a:blip xmlns:r="http://schemas.openxmlformats.org/officeDocument/2006/relationships" r:embed="rId121"/>
            <a:stretch>
              <a:fillRect/>
            </a:stretch>
          </xdr:blipFill>
          <xdr:spPr>
            <a:xfrm>
              <a:off x="1545480" y="8852040"/>
              <a:ext cx="282960" cy="155880"/>
            </a:xfrm>
            <a:prstGeom prst="rect">
              <a:avLst/>
            </a:prstGeom>
          </xdr:spPr>
        </xdr:pic>
      </mc:Fallback>
    </mc:AlternateContent>
    <xdr:clientData/>
  </xdr:twoCellAnchor>
  <xdr:twoCellAnchor editAs="oneCell">
    <xdr:from>
      <xdr:col>3</xdr:col>
      <xdr:colOff>97320</xdr:colOff>
      <xdr:row>46</xdr:row>
      <xdr:rowOff>134605</xdr:rowOff>
    </xdr:from>
    <xdr:to>
      <xdr:col>3</xdr:col>
      <xdr:colOff>215040</xdr:colOff>
      <xdr:row>47</xdr:row>
      <xdr:rowOff>103702</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63" name="Ink 62">
              <a:extLst>
                <a:ext uri="{FF2B5EF4-FFF2-40B4-BE49-F238E27FC236}">
                  <a16:creationId xmlns:a16="http://schemas.microsoft.com/office/drawing/2014/main" id="{545B585E-C127-2646-81FB-F4158FFAB9DF}"/>
                </a:ext>
                <a:ext uri="{147F2762-F138-4A5C-976F-8EAC2B608ADB}">
                  <a16:predDERef xmlns:a16="http://schemas.microsoft.com/office/drawing/2014/main" pred="{F085735C-1645-E546-8113-7D95C21EE7C4}"/>
                </a:ext>
              </a:extLst>
            </xdr14:cNvPr>
            <xdr14:cNvContentPartPr/>
          </xdr14:nvContentPartPr>
          <xdr14:nvPr macro=""/>
          <xdr14:xfrm>
            <a:off x="1316520" y="9269640"/>
            <a:ext cx="117720" cy="166320"/>
          </xdr14:xfrm>
        </xdr:contentPart>
      </mc:Choice>
      <mc:Fallback xmlns="">
        <xdr:pic>
          <xdr:nvPicPr>
            <xdr:cNvPr id="63" name="Ink 62">
              <a:extLst>
                <a:ext uri="{FF2B5EF4-FFF2-40B4-BE49-F238E27FC236}">
                  <a16:creationId xmlns:a16="http://schemas.microsoft.com/office/drawing/2014/main" id="{545B585E-C127-2646-81FB-F4158FFAB9DF}"/>
                </a:ext>
                <a:ext uri="{147F2762-F138-4A5C-976F-8EAC2B608ADB}">
                  <a16:predDERef xmlns:a16="http://schemas.microsoft.com/office/drawing/2014/main" pred="{F085735C-1645-E546-8113-7D95C21EE7C4}"/>
                </a:ext>
              </a:extLst>
            </xdr:cNvPr>
            <xdr:cNvPicPr/>
          </xdr:nvPicPr>
          <xdr:blipFill>
            <a:blip xmlns:r="http://schemas.openxmlformats.org/officeDocument/2006/relationships" r:embed="rId123"/>
            <a:stretch>
              <a:fillRect/>
            </a:stretch>
          </xdr:blipFill>
          <xdr:spPr>
            <a:xfrm>
              <a:off x="1307880" y="9261000"/>
              <a:ext cx="135360" cy="183960"/>
            </a:xfrm>
            <a:prstGeom prst="rect">
              <a:avLst/>
            </a:prstGeom>
          </xdr:spPr>
        </xdr:pic>
      </mc:Fallback>
    </mc:AlternateContent>
    <xdr:clientData/>
  </xdr:twoCellAnchor>
  <xdr:twoCellAnchor editAs="oneCell">
    <xdr:from>
      <xdr:col>3</xdr:col>
      <xdr:colOff>190200</xdr:colOff>
      <xdr:row>46</xdr:row>
      <xdr:rowOff>86005</xdr:rowOff>
    </xdr:from>
    <xdr:to>
      <xdr:col>4</xdr:col>
      <xdr:colOff>320662</xdr:colOff>
      <xdr:row>47</xdr:row>
      <xdr:rowOff>63022</xdr:rowOff>
    </xdr:to>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64" name="Ink 63">
              <a:extLst>
                <a:ext uri="{FF2B5EF4-FFF2-40B4-BE49-F238E27FC236}">
                  <a16:creationId xmlns:a16="http://schemas.microsoft.com/office/drawing/2014/main" id="{0F834B4F-C7F6-7B48-8C9F-0C991A41410D}"/>
                </a:ext>
                <a:ext uri="{147F2762-F138-4A5C-976F-8EAC2B608ADB}">
                  <a16:predDERef xmlns:a16="http://schemas.microsoft.com/office/drawing/2014/main" pred="{545B585E-C127-2646-81FB-F4158FFAB9DF}"/>
                </a:ext>
              </a:extLst>
            </xdr14:cNvPr>
            <xdr14:cNvContentPartPr/>
          </xdr14:nvContentPartPr>
          <xdr14:nvPr macro=""/>
          <xdr14:xfrm>
            <a:off x="1409400" y="9221040"/>
            <a:ext cx="852120" cy="174240"/>
          </xdr14:xfrm>
        </xdr:contentPart>
      </mc:Choice>
      <mc:Fallback xmlns="">
        <xdr:pic>
          <xdr:nvPicPr>
            <xdr:cNvPr id="64" name="Ink 63">
              <a:extLst>
                <a:ext uri="{FF2B5EF4-FFF2-40B4-BE49-F238E27FC236}">
                  <a16:creationId xmlns:a16="http://schemas.microsoft.com/office/drawing/2014/main" id="{0F834B4F-C7F6-7B48-8C9F-0C991A41410D}"/>
                </a:ext>
                <a:ext uri="{147F2762-F138-4A5C-976F-8EAC2B608ADB}">
                  <a16:predDERef xmlns:a16="http://schemas.microsoft.com/office/drawing/2014/main" pred="{545B585E-C127-2646-81FB-F4158FFAB9DF}"/>
                </a:ext>
              </a:extLst>
            </xdr:cNvPr>
            <xdr:cNvPicPr/>
          </xdr:nvPicPr>
          <xdr:blipFill>
            <a:blip xmlns:r="http://schemas.openxmlformats.org/officeDocument/2006/relationships" r:embed="rId125"/>
            <a:stretch>
              <a:fillRect/>
            </a:stretch>
          </xdr:blipFill>
          <xdr:spPr>
            <a:xfrm>
              <a:off x="1400400" y="9212040"/>
              <a:ext cx="869760" cy="191880"/>
            </a:xfrm>
            <a:prstGeom prst="rect">
              <a:avLst/>
            </a:prstGeom>
          </xdr:spPr>
        </xdr:pic>
      </mc:Fallback>
    </mc:AlternateContent>
    <xdr:clientData/>
  </xdr:twoCellAnchor>
  <xdr:twoCellAnchor editAs="oneCell">
    <xdr:from>
      <xdr:col>3</xdr:col>
      <xdr:colOff>244560</xdr:colOff>
      <xdr:row>47</xdr:row>
      <xdr:rowOff>114142</xdr:rowOff>
    </xdr:from>
    <xdr:to>
      <xdr:col>3</xdr:col>
      <xdr:colOff>463800</xdr:colOff>
      <xdr:row>48</xdr:row>
      <xdr:rowOff>101400</xdr:rowOff>
    </xdr:to>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65" name="Ink 64">
              <a:extLst>
                <a:ext uri="{FF2B5EF4-FFF2-40B4-BE49-F238E27FC236}">
                  <a16:creationId xmlns:a16="http://schemas.microsoft.com/office/drawing/2014/main" id="{E135196D-DDAE-A241-8748-5BDF297F3801}"/>
                </a:ext>
                <a:ext uri="{147F2762-F138-4A5C-976F-8EAC2B608ADB}">
                  <a16:predDERef xmlns:a16="http://schemas.microsoft.com/office/drawing/2014/main" pred="{0F834B4F-C7F6-7B48-8C9F-0C991A41410D}"/>
                </a:ext>
              </a:extLst>
            </xdr14:cNvPr>
            <xdr14:cNvContentPartPr/>
          </xdr14:nvContentPartPr>
          <xdr14:nvPr macro=""/>
          <xdr14:xfrm>
            <a:off x="1463760" y="9446400"/>
            <a:ext cx="219240" cy="180000"/>
          </xdr14:xfrm>
        </xdr:contentPart>
      </mc:Choice>
      <mc:Fallback xmlns="">
        <xdr:pic>
          <xdr:nvPicPr>
            <xdr:cNvPr id="65" name="Ink 64">
              <a:extLst>
                <a:ext uri="{FF2B5EF4-FFF2-40B4-BE49-F238E27FC236}">
                  <a16:creationId xmlns:a16="http://schemas.microsoft.com/office/drawing/2014/main" id="{E135196D-DDAE-A241-8748-5BDF297F3801}"/>
                </a:ext>
                <a:ext uri="{147F2762-F138-4A5C-976F-8EAC2B608ADB}">
                  <a16:predDERef xmlns:a16="http://schemas.microsoft.com/office/drawing/2014/main" pred="{0F834B4F-C7F6-7B48-8C9F-0C991A41410D}"/>
                </a:ext>
              </a:extLst>
            </xdr:cNvPr>
            <xdr:cNvPicPr/>
          </xdr:nvPicPr>
          <xdr:blipFill>
            <a:blip xmlns:r="http://schemas.openxmlformats.org/officeDocument/2006/relationships" r:embed="rId127"/>
            <a:stretch>
              <a:fillRect/>
            </a:stretch>
          </xdr:blipFill>
          <xdr:spPr>
            <a:xfrm>
              <a:off x="1454760" y="9437760"/>
              <a:ext cx="236880" cy="197640"/>
            </a:xfrm>
            <a:prstGeom prst="rect">
              <a:avLst/>
            </a:prstGeom>
          </xdr:spPr>
        </xdr:pic>
      </mc:Fallback>
    </mc:AlternateContent>
    <xdr:clientData/>
  </xdr:twoCellAnchor>
  <xdr:twoCellAnchor editAs="oneCell">
    <xdr:from>
      <xdr:col>3</xdr:col>
      <xdr:colOff>481800</xdr:colOff>
      <xdr:row>47</xdr:row>
      <xdr:rowOff>115222</xdr:rowOff>
    </xdr:from>
    <xdr:to>
      <xdr:col>3</xdr:col>
      <xdr:colOff>656040</xdr:colOff>
      <xdr:row>48</xdr:row>
      <xdr:rowOff>62160</xdr:rowOff>
    </xdr:to>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66" name="Ink 65">
              <a:extLst>
                <a:ext uri="{FF2B5EF4-FFF2-40B4-BE49-F238E27FC236}">
                  <a16:creationId xmlns:a16="http://schemas.microsoft.com/office/drawing/2014/main" id="{EC04DA39-E7D6-2E4D-B929-5FD198311B24}"/>
                </a:ext>
                <a:ext uri="{147F2762-F138-4A5C-976F-8EAC2B608ADB}">
                  <a16:predDERef xmlns:a16="http://schemas.microsoft.com/office/drawing/2014/main" pred="{E135196D-DDAE-A241-8748-5BDF297F3801}"/>
                </a:ext>
              </a:extLst>
            </xdr14:cNvPr>
            <xdr14:cNvContentPartPr/>
          </xdr14:nvContentPartPr>
          <xdr14:nvPr macro=""/>
          <xdr14:xfrm>
            <a:off x="1701000" y="9447480"/>
            <a:ext cx="174240" cy="139680"/>
          </xdr14:xfrm>
        </xdr:contentPart>
      </mc:Choice>
      <mc:Fallback xmlns="">
        <xdr:pic>
          <xdr:nvPicPr>
            <xdr:cNvPr id="66" name="Ink 65">
              <a:extLst>
                <a:ext uri="{FF2B5EF4-FFF2-40B4-BE49-F238E27FC236}">
                  <a16:creationId xmlns:a16="http://schemas.microsoft.com/office/drawing/2014/main" id="{EC04DA39-E7D6-2E4D-B929-5FD198311B24}"/>
                </a:ext>
                <a:ext uri="{147F2762-F138-4A5C-976F-8EAC2B608ADB}">
                  <a16:predDERef xmlns:a16="http://schemas.microsoft.com/office/drawing/2014/main" pred="{E135196D-DDAE-A241-8748-5BDF297F3801}"/>
                </a:ext>
              </a:extLst>
            </xdr:cNvPr>
            <xdr:cNvPicPr/>
          </xdr:nvPicPr>
          <xdr:blipFill>
            <a:blip xmlns:r="http://schemas.openxmlformats.org/officeDocument/2006/relationships" r:embed="rId129"/>
            <a:stretch>
              <a:fillRect/>
            </a:stretch>
          </xdr:blipFill>
          <xdr:spPr>
            <a:xfrm>
              <a:off x="1692000" y="9438480"/>
              <a:ext cx="191880" cy="157320"/>
            </a:xfrm>
            <a:prstGeom prst="rect">
              <a:avLst/>
            </a:prstGeom>
          </xdr:spPr>
        </xdr:pic>
      </mc:Fallback>
    </mc:AlternateContent>
    <xdr:clientData/>
  </xdr:twoCellAnchor>
  <xdr:twoCellAnchor editAs="oneCell">
    <xdr:from>
      <xdr:col>3</xdr:col>
      <xdr:colOff>350400</xdr:colOff>
      <xdr:row>47</xdr:row>
      <xdr:rowOff>173902</xdr:rowOff>
    </xdr:from>
    <xdr:to>
      <xdr:col>3</xdr:col>
      <xdr:colOff>413040</xdr:colOff>
      <xdr:row>48</xdr:row>
      <xdr:rowOff>20400</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67" name="Ink 66">
              <a:extLst>
                <a:ext uri="{FF2B5EF4-FFF2-40B4-BE49-F238E27FC236}">
                  <a16:creationId xmlns:a16="http://schemas.microsoft.com/office/drawing/2014/main" id="{F3E36CD8-B50E-B641-BD59-D919BB9B7E73}"/>
                </a:ext>
                <a:ext uri="{147F2762-F138-4A5C-976F-8EAC2B608ADB}">
                  <a16:predDERef xmlns:a16="http://schemas.microsoft.com/office/drawing/2014/main" pred="{EC04DA39-E7D6-2E4D-B929-5FD198311B24}"/>
                </a:ext>
              </a:extLst>
            </xdr14:cNvPr>
            <xdr14:cNvContentPartPr/>
          </xdr14:nvContentPartPr>
          <xdr14:nvPr macro=""/>
          <xdr14:xfrm>
            <a:off x="1569600" y="9506160"/>
            <a:ext cx="62640" cy="39240"/>
          </xdr14:xfrm>
        </xdr:contentPart>
      </mc:Choice>
      <mc:Fallback xmlns="">
        <xdr:pic>
          <xdr:nvPicPr>
            <xdr:cNvPr id="67" name="Ink 66">
              <a:extLst>
                <a:ext uri="{FF2B5EF4-FFF2-40B4-BE49-F238E27FC236}">
                  <a16:creationId xmlns:a16="http://schemas.microsoft.com/office/drawing/2014/main" id="{F3E36CD8-B50E-B641-BD59-D919BB9B7E73}"/>
                </a:ext>
                <a:ext uri="{147F2762-F138-4A5C-976F-8EAC2B608ADB}">
                  <a16:predDERef xmlns:a16="http://schemas.microsoft.com/office/drawing/2014/main" pred="{EC04DA39-E7D6-2E4D-B929-5FD198311B24}"/>
                </a:ext>
              </a:extLst>
            </xdr:cNvPr>
            <xdr:cNvPicPr/>
          </xdr:nvPicPr>
          <xdr:blipFill>
            <a:blip xmlns:r="http://schemas.openxmlformats.org/officeDocument/2006/relationships" r:embed="rId131"/>
            <a:stretch>
              <a:fillRect/>
            </a:stretch>
          </xdr:blipFill>
          <xdr:spPr>
            <a:xfrm>
              <a:off x="1560960" y="9497160"/>
              <a:ext cx="80280" cy="56880"/>
            </a:xfrm>
            <a:prstGeom prst="rect">
              <a:avLst/>
            </a:prstGeom>
          </xdr:spPr>
        </xdr:pic>
      </mc:Fallback>
    </mc:AlternateContent>
    <xdr:clientData/>
  </xdr:twoCellAnchor>
  <xdr:twoCellAnchor editAs="oneCell">
    <xdr:from>
      <xdr:col>6</xdr:col>
      <xdr:colOff>216282</xdr:colOff>
      <xdr:row>43</xdr:row>
      <xdr:rowOff>159833</xdr:rowOff>
    </xdr:from>
    <xdr:to>
      <xdr:col>6</xdr:col>
      <xdr:colOff>216642</xdr:colOff>
      <xdr:row>43</xdr:row>
      <xdr:rowOff>160193</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68" name="Ink 67">
              <a:extLst>
                <a:ext uri="{FF2B5EF4-FFF2-40B4-BE49-F238E27FC236}">
                  <a16:creationId xmlns:a16="http://schemas.microsoft.com/office/drawing/2014/main" id="{820BE488-982C-F64A-9362-91EB67CA415C}"/>
                </a:ext>
                <a:ext uri="{147F2762-F138-4A5C-976F-8EAC2B608ADB}">
                  <a16:predDERef xmlns:a16="http://schemas.microsoft.com/office/drawing/2014/main" pred="{F3E36CD8-B50E-B641-BD59-D919BB9B7E73}"/>
                </a:ext>
              </a:extLst>
            </xdr14:cNvPr>
            <xdr14:cNvContentPartPr/>
          </xdr14:nvContentPartPr>
          <xdr14:nvPr macro=""/>
          <xdr14:xfrm>
            <a:off x="3259800" y="8707680"/>
            <a:ext cx="360" cy="360"/>
          </xdr14:xfrm>
        </xdr:contentPart>
      </mc:Choice>
      <mc:Fallback xmlns="">
        <xdr:pic>
          <xdr:nvPicPr>
            <xdr:cNvPr id="68" name="Ink 67">
              <a:extLst>
                <a:ext uri="{FF2B5EF4-FFF2-40B4-BE49-F238E27FC236}">
                  <a16:creationId xmlns:a16="http://schemas.microsoft.com/office/drawing/2014/main" id="{820BE488-982C-F64A-9362-91EB67CA415C}"/>
                </a:ext>
                <a:ext uri="{147F2762-F138-4A5C-976F-8EAC2B608ADB}">
                  <a16:predDERef xmlns:a16="http://schemas.microsoft.com/office/drawing/2014/main" pred="{F3E36CD8-B50E-B641-BD59-D919BB9B7E73}"/>
                </a:ext>
              </a:extLst>
            </xdr:cNvPr>
            <xdr:cNvPicPr/>
          </xdr:nvPicPr>
          <xdr:blipFill>
            <a:blip xmlns:r="http://schemas.openxmlformats.org/officeDocument/2006/relationships" r:embed="rId133"/>
            <a:stretch>
              <a:fillRect/>
            </a:stretch>
          </xdr:blipFill>
          <xdr:spPr>
            <a:xfrm>
              <a:off x="3250800" y="8699040"/>
              <a:ext cx="18000" cy="18000"/>
            </a:xfrm>
            <a:prstGeom prst="rect">
              <a:avLst/>
            </a:prstGeom>
          </xdr:spPr>
        </xdr:pic>
      </mc:Fallback>
    </mc:AlternateContent>
    <xdr:clientData/>
  </xdr:twoCellAnchor>
  <xdr:twoCellAnchor editAs="oneCell">
    <xdr:from>
      <xdr:col>6</xdr:col>
      <xdr:colOff>282522</xdr:colOff>
      <xdr:row>43</xdr:row>
      <xdr:rowOff>137873</xdr:rowOff>
    </xdr:from>
    <xdr:to>
      <xdr:col>6</xdr:col>
      <xdr:colOff>282882</xdr:colOff>
      <xdr:row>43</xdr:row>
      <xdr:rowOff>138233</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69" name="Ink 68">
              <a:extLst>
                <a:ext uri="{FF2B5EF4-FFF2-40B4-BE49-F238E27FC236}">
                  <a16:creationId xmlns:a16="http://schemas.microsoft.com/office/drawing/2014/main" id="{23BA565C-4D30-6246-8F83-E8FECD62716B}"/>
                </a:ext>
                <a:ext uri="{147F2762-F138-4A5C-976F-8EAC2B608ADB}">
                  <a16:predDERef xmlns:a16="http://schemas.microsoft.com/office/drawing/2014/main" pred="{820BE488-982C-F64A-9362-91EB67CA415C}"/>
                </a:ext>
              </a:extLst>
            </xdr14:cNvPr>
            <xdr14:cNvContentPartPr/>
          </xdr14:nvContentPartPr>
          <xdr14:nvPr macro=""/>
          <xdr14:xfrm>
            <a:off x="3326040" y="8685720"/>
            <a:ext cx="360" cy="360"/>
          </xdr14:xfrm>
        </xdr:contentPart>
      </mc:Choice>
      <mc:Fallback xmlns="">
        <xdr:pic>
          <xdr:nvPicPr>
            <xdr:cNvPr id="69" name="Ink 68">
              <a:extLst>
                <a:ext uri="{FF2B5EF4-FFF2-40B4-BE49-F238E27FC236}">
                  <a16:creationId xmlns:a16="http://schemas.microsoft.com/office/drawing/2014/main" id="{23BA565C-4D30-6246-8F83-E8FECD62716B}"/>
                </a:ext>
                <a:ext uri="{147F2762-F138-4A5C-976F-8EAC2B608ADB}">
                  <a16:predDERef xmlns:a16="http://schemas.microsoft.com/office/drawing/2014/main" pred="{820BE488-982C-F64A-9362-91EB67CA415C}"/>
                </a:ext>
              </a:extLst>
            </xdr:cNvPr>
            <xdr:cNvPicPr/>
          </xdr:nvPicPr>
          <xdr:blipFill>
            <a:blip xmlns:r="http://schemas.openxmlformats.org/officeDocument/2006/relationships" r:embed="rId135"/>
            <a:stretch>
              <a:fillRect/>
            </a:stretch>
          </xdr:blipFill>
          <xdr:spPr>
            <a:xfrm>
              <a:off x="3317400" y="8677080"/>
              <a:ext cx="18000" cy="18000"/>
            </a:xfrm>
            <a:prstGeom prst="rect">
              <a:avLst/>
            </a:prstGeom>
          </xdr:spPr>
        </xdr:pic>
      </mc:Fallback>
    </mc:AlternateContent>
    <xdr:clientData/>
  </xdr:twoCellAnchor>
  <xdr:twoCellAnchor editAs="oneCell">
    <xdr:from>
      <xdr:col>6</xdr:col>
      <xdr:colOff>481962</xdr:colOff>
      <xdr:row>43</xdr:row>
      <xdr:rowOff>115193</xdr:rowOff>
    </xdr:from>
    <xdr:to>
      <xdr:col>6</xdr:col>
      <xdr:colOff>501762</xdr:colOff>
      <xdr:row>44</xdr:row>
      <xdr:rowOff>41528</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70" name="Ink 69">
              <a:extLst>
                <a:ext uri="{FF2B5EF4-FFF2-40B4-BE49-F238E27FC236}">
                  <a16:creationId xmlns:a16="http://schemas.microsoft.com/office/drawing/2014/main" id="{42E18622-449C-D045-BC1F-712272FD7B34}"/>
                </a:ext>
                <a:ext uri="{147F2762-F138-4A5C-976F-8EAC2B608ADB}">
                  <a16:predDERef xmlns:a16="http://schemas.microsoft.com/office/drawing/2014/main" pred="{23BA565C-4D30-6246-8F83-E8FECD62716B}"/>
                </a:ext>
              </a:extLst>
            </xdr14:cNvPr>
            <xdr14:cNvContentPartPr/>
          </xdr14:nvContentPartPr>
          <xdr14:nvPr macro=""/>
          <xdr14:xfrm>
            <a:off x="3525480" y="8663040"/>
            <a:ext cx="19800" cy="126360"/>
          </xdr14:xfrm>
        </xdr:contentPart>
      </mc:Choice>
      <mc:Fallback xmlns="">
        <xdr:pic>
          <xdr:nvPicPr>
            <xdr:cNvPr id="70" name="Ink 69">
              <a:extLst>
                <a:ext uri="{FF2B5EF4-FFF2-40B4-BE49-F238E27FC236}">
                  <a16:creationId xmlns:a16="http://schemas.microsoft.com/office/drawing/2014/main" id="{42E18622-449C-D045-BC1F-712272FD7B34}"/>
                </a:ext>
                <a:ext uri="{147F2762-F138-4A5C-976F-8EAC2B608ADB}">
                  <a16:predDERef xmlns:a16="http://schemas.microsoft.com/office/drawing/2014/main" pred="{23BA565C-4D30-6246-8F83-E8FECD62716B}"/>
                </a:ext>
              </a:extLst>
            </xdr:cNvPr>
            <xdr:cNvPicPr/>
          </xdr:nvPicPr>
          <xdr:blipFill>
            <a:blip xmlns:r="http://schemas.openxmlformats.org/officeDocument/2006/relationships" r:embed="rId137"/>
            <a:stretch>
              <a:fillRect/>
            </a:stretch>
          </xdr:blipFill>
          <xdr:spPr>
            <a:xfrm>
              <a:off x="3516480" y="8654040"/>
              <a:ext cx="37440" cy="144000"/>
            </a:xfrm>
            <a:prstGeom prst="rect">
              <a:avLst/>
            </a:prstGeom>
          </xdr:spPr>
        </xdr:pic>
      </mc:Fallback>
    </mc:AlternateContent>
    <xdr:clientData/>
  </xdr:twoCellAnchor>
  <xdr:twoCellAnchor editAs="oneCell">
    <xdr:from>
      <xdr:col>6</xdr:col>
      <xdr:colOff>557562</xdr:colOff>
      <xdr:row>43</xdr:row>
      <xdr:rowOff>115913</xdr:rowOff>
    </xdr:from>
    <xdr:to>
      <xdr:col>6</xdr:col>
      <xdr:colOff>587082</xdr:colOff>
      <xdr:row>44</xdr:row>
      <xdr:rowOff>63488</xdr:rowOff>
    </xdr:to>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71" name="Ink 70">
              <a:extLst>
                <a:ext uri="{FF2B5EF4-FFF2-40B4-BE49-F238E27FC236}">
                  <a16:creationId xmlns:a16="http://schemas.microsoft.com/office/drawing/2014/main" id="{117F2BA2-5F44-2D4A-98FC-FA84486528D7}"/>
                </a:ext>
                <a:ext uri="{147F2762-F138-4A5C-976F-8EAC2B608ADB}">
                  <a16:predDERef xmlns:a16="http://schemas.microsoft.com/office/drawing/2014/main" pred="{42E18622-449C-D045-BC1F-712272FD7B34}"/>
                </a:ext>
              </a:extLst>
            </xdr14:cNvPr>
            <xdr14:cNvContentPartPr/>
          </xdr14:nvContentPartPr>
          <xdr14:nvPr macro=""/>
          <xdr14:xfrm>
            <a:off x="3601080" y="8663760"/>
            <a:ext cx="29520" cy="147600"/>
          </xdr14:xfrm>
        </xdr:contentPart>
      </mc:Choice>
      <mc:Fallback xmlns="">
        <xdr:pic>
          <xdr:nvPicPr>
            <xdr:cNvPr id="71" name="Ink 70">
              <a:extLst>
                <a:ext uri="{FF2B5EF4-FFF2-40B4-BE49-F238E27FC236}">
                  <a16:creationId xmlns:a16="http://schemas.microsoft.com/office/drawing/2014/main" id="{117F2BA2-5F44-2D4A-98FC-FA84486528D7}"/>
                </a:ext>
                <a:ext uri="{147F2762-F138-4A5C-976F-8EAC2B608ADB}">
                  <a16:predDERef xmlns:a16="http://schemas.microsoft.com/office/drawing/2014/main" pred="{42E18622-449C-D045-BC1F-712272FD7B34}"/>
                </a:ext>
              </a:extLst>
            </xdr:cNvPr>
            <xdr:cNvPicPr/>
          </xdr:nvPicPr>
          <xdr:blipFill>
            <a:blip xmlns:r="http://schemas.openxmlformats.org/officeDocument/2006/relationships" r:embed="rId139"/>
            <a:stretch>
              <a:fillRect/>
            </a:stretch>
          </xdr:blipFill>
          <xdr:spPr>
            <a:xfrm>
              <a:off x="3592080" y="8655120"/>
              <a:ext cx="47160" cy="165240"/>
            </a:xfrm>
            <a:prstGeom prst="rect">
              <a:avLst/>
            </a:prstGeom>
          </xdr:spPr>
        </xdr:pic>
      </mc:Fallback>
    </mc:AlternateContent>
    <xdr:clientData/>
  </xdr:twoCellAnchor>
  <xdr:twoCellAnchor editAs="oneCell">
    <xdr:from>
      <xdr:col>6</xdr:col>
      <xdr:colOff>460362</xdr:colOff>
      <xdr:row>46</xdr:row>
      <xdr:rowOff>96445</xdr:rowOff>
    </xdr:from>
    <xdr:to>
      <xdr:col>6</xdr:col>
      <xdr:colOff>497802</xdr:colOff>
      <xdr:row>47</xdr:row>
      <xdr:rowOff>43300</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72" name="Ink 71">
              <a:extLst>
                <a:ext uri="{FF2B5EF4-FFF2-40B4-BE49-F238E27FC236}">
                  <a16:creationId xmlns:a16="http://schemas.microsoft.com/office/drawing/2014/main" id="{875C241C-8B40-6243-9B1C-041F2555B790}"/>
                </a:ext>
                <a:ext uri="{147F2762-F138-4A5C-976F-8EAC2B608ADB}">
                  <a16:predDERef xmlns:a16="http://schemas.microsoft.com/office/drawing/2014/main" pred="{117F2BA2-5F44-2D4A-98FC-FA84486528D7}"/>
                </a:ext>
              </a:extLst>
            </xdr14:cNvPr>
            <xdr14:cNvContentPartPr/>
          </xdr14:nvContentPartPr>
          <xdr14:nvPr macro=""/>
          <xdr14:xfrm>
            <a:off x="3503880" y="9231480"/>
            <a:ext cx="37440" cy="146880"/>
          </xdr14:xfrm>
        </xdr:contentPart>
      </mc:Choice>
      <mc:Fallback xmlns="">
        <xdr:pic>
          <xdr:nvPicPr>
            <xdr:cNvPr id="72" name="Ink 71">
              <a:extLst>
                <a:ext uri="{FF2B5EF4-FFF2-40B4-BE49-F238E27FC236}">
                  <a16:creationId xmlns:a16="http://schemas.microsoft.com/office/drawing/2014/main" id="{875C241C-8B40-6243-9B1C-041F2555B790}"/>
                </a:ext>
                <a:ext uri="{147F2762-F138-4A5C-976F-8EAC2B608ADB}">
                  <a16:predDERef xmlns:a16="http://schemas.microsoft.com/office/drawing/2014/main" pred="{117F2BA2-5F44-2D4A-98FC-FA84486528D7}"/>
                </a:ext>
              </a:extLst>
            </xdr:cNvPr>
            <xdr:cNvPicPr/>
          </xdr:nvPicPr>
          <xdr:blipFill>
            <a:blip xmlns:r="http://schemas.openxmlformats.org/officeDocument/2006/relationships" r:embed="rId141"/>
            <a:stretch>
              <a:fillRect/>
            </a:stretch>
          </xdr:blipFill>
          <xdr:spPr>
            <a:xfrm>
              <a:off x="3495240" y="9222840"/>
              <a:ext cx="55080" cy="164520"/>
            </a:xfrm>
            <a:prstGeom prst="rect">
              <a:avLst/>
            </a:prstGeom>
          </xdr:spPr>
        </xdr:pic>
      </mc:Fallback>
    </mc:AlternateContent>
    <xdr:clientData/>
  </xdr:twoCellAnchor>
  <xdr:twoCellAnchor editAs="oneCell">
    <xdr:from>
      <xdr:col>6</xdr:col>
      <xdr:colOff>515442</xdr:colOff>
      <xdr:row>46</xdr:row>
      <xdr:rowOff>129565</xdr:rowOff>
    </xdr:from>
    <xdr:to>
      <xdr:col>6</xdr:col>
      <xdr:colOff>559722</xdr:colOff>
      <xdr:row>47</xdr:row>
      <xdr:rowOff>63820</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73" name="Ink 72">
              <a:extLst>
                <a:ext uri="{FF2B5EF4-FFF2-40B4-BE49-F238E27FC236}">
                  <a16:creationId xmlns:a16="http://schemas.microsoft.com/office/drawing/2014/main" id="{23E3ED60-02D1-3A41-9DCB-3752D7B2A058}"/>
                </a:ext>
                <a:ext uri="{147F2762-F138-4A5C-976F-8EAC2B608ADB}">
                  <a16:predDERef xmlns:a16="http://schemas.microsoft.com/office/drawing/2014/main" pred="{875C241C-8B40-6243-9B1C-041F2555B790}"/>
                </a:ext>
              </a:extLst>
            </xdr14:cNvPr>
            <xdr14:cNvContentPartPr/>
          </xdr14:nvContentPartPr>
          <xdr14:nvPr macro=""/>
          <xdr14:xfrm>
            <a:off x="3558960" y="9264600"/>
            <a:ext cx="44280" cy="134280"/>
          </xdr14:xfrm>
        </xdr:contentPart>
      </mc:Choice>
      <mc:Fallback xmlns="">
        <xdr:pic>
          <xdr:nvPicPr>
            <xdr:cNvPr id="73" name="Ink 72">
              <a:extLst>
                <a:ext uri="{FF2B5EF4-FFF2-40B4-BE49-F238E27FC236}">
                  <a16:creationId xmlns:a16="http://schemas.microsoft.com/office/drawing/2014/main" id="{23E3ED60-02D1-3A41-9DCB-3752D7B2A058}"/>
                </a:ext>
                <a:ext uri="{147F2762-F138-4A5C-976F-8EAC2B608ADB}">
                  <a16:predDERef xmlns:a16="http://schemas.microsoft.com/office/drawing/2014/main" pred="{875C241C-8B40-6243-9B1C-041F2555B790}"/>
                </a:ext>
              </a:extLst>
            </xdr:cNvPr>
            <xdr:cNvPicPr/>
          </xdr:nvPicPr>
          <xdr:blipFill>
            <a:blip xmlns:r="http://schemas.openxmlformats.org/officeDocument/2006/relationships" r:embed="rId143"/>
            <a:stretch>
              <a:fillRect/>
            </a:stretch>
          </xdr:blipFill>
          <xdr:spPr>
            <a:xfrm>
              <a:off x="3550320" y="9255960"/>
              <a:ext cx="61920" cy="151920"/>
            </a:xfrm>
            <a:prstGeom prst="rect">
              <a:avLst/>
            </a:prstGeom>
          </xdr:spPr>
        </xdr:pic>
      </mc:Fallback>
    </mc:AlternateContent>
    <xdr:clientData/>
  </xdr:twoCellAnchor>
  <xdr:twoCellAnchor editAs="oneCell">
    <xdr:from>
      <xdr:col>10</xdr:col>
      <xdr:colOff>473463</xdr:colOff>
      <xdr:row>43</xdr:row>
      <xdr:rowOff>57593</xdr:rowOff>
    </xdr:from>
    <xdr:to>
      <xdr:col>10</xdr:col>
      <xdr:colOff>771543</xdr:colOff>
      <xdr:row>45</xdr:row>
      <xdr:rowOff>128228</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74" name="Ink 73">
              <a:extLst>
                <a:ext uri="{FF2B5EF4-FFF2-40B4-BE49-F238E27FC236}">
                  <a16:creationId xmlns:a16="http://schemas.microsoft.com/office/drawing/2014/main" id="{A08EC418-10EC-104B-B766-6AD6F1B616C0}"/>
                </a:ext>
                <a:ext uri="{147F2762-F138-4A5C-976F-8EAC2B608ADB}">
                  <a16:predDERef xmlns:a16="http://schemas.microsoft.com/office/drawing/2014/main" pred="{23E3ED60-02D1-3A41-9DCB-3752D7B2A058}"/>
                </a:ext>
              </a:extLst>
            </xdr14:cNvPr>
            <xdr14:cNvContentPartPr/>
          </xdr14:nvContentPartPr>
          <xdr14:nvPr macro=""/>
          <xdr14:xfrm>
            <a:off x="6067440" y="8605440"/>
            <a:ext cx="298080" cy="461160"/>
          </xdr14:xfrm>
        </xdr:contentPart>
      </mc:Choice>
      <mc:Fallback xmlns="">
        <xdr:pic>
          <xdr:nvPicPr>
            <xdr:cNvPr id="74" name="Ink 73">
              <a:extLst>
                <a:ext uri="{FF2B5EF4-FFF2-40B4-BE49-F238E27FC236}">
                  <a16:creationId xmlns:a16="http://schemas.microsoft.com/office/drawing/2014/main" id="{A08EC418-10EC-104B-B766-6AD6F1B616C0}"/>
                </a:ext>
                <a:ext uri="{147F2762-F138-4A5C-976F-8EAC2B608ADB}">
                  <a16:predDERef xmlns:a16="http://schemas.microsoft.com/office/drawing/2014/main" pred="{23E3ED60-02D1-3A41-9DCB-3752D7B2A058}"/>
                </a:ext>
              </a:extLst>
            </xdr:cNvPr>
            <xdr:cNvPicPr/>
          </xdr:nvPicPr>
          <xdr:blipFill>
            <a:blip xmlns:r="http://schemas.openxmlformats.org/officeDocument/2006/relationships" r:embed="rId145"/>
            <a:stretch>
              <a:fillRect/>
            </a:stretch>
          </xdr:blipFill>
          <xdr:spPr>
            <a:xfrm>
              <a:off x="6058800" y="8596800"/>
              <a:ext cx="315720" cy="478800"/>
            </a:xfrm>
            <a:prstGeom prst="rect">
              <a:avLst/>
            </a:prstGeom>
          </xdr:spPr>
        </xdr:pic>
      </mc:Fallback>
    </mc:AlternateContent>
    <xdr:clientData/>
  </xdr:twoCellAnchor>
  <xdr:twoCellAnchor editAs="oneCell">
    <xdr:from>
      <xdr:col>10</xdr:col>
      <xdr:colOff>563103</xdr:colOff>
      <xdr:row>46</xdr:row>
      <xdr:rowOff>17965</xdr:rowOff>
    </xdr:from>
    <xdr:to>
      <xdr:col>10</xdr:col>
      <xdr:colOff>838143</xdr:colOff>
      <xdr:row>48</xdr:row>
      <xdr:rowOff>105520</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75" name="Ink 74">
              <a:extLst>
                <a:ext uri="{FF2B5EF4-FFF2-40B4-BE49-F238E27FC236}">
                  <a16:creationId xmlns:a16="http://schemas.microsoft.com/office/drawing/2014/main" id="{58B3A10E-877F-D84F-97A9-C654C9EB0664}"/>
                </a:ext>
                <a:ext uri="{147F2762-F138-4A5C-976F-8EAC2B608ADB}">
                  <a16:predDERef xmlns:a16="http://schemas.microsoft.com/office/drawing/2014/main" pred="{A08EC418-10EC-104B-B766-6AD6F1B616C0}"/>
                </a:ext>
              </a:extLst>
            </xdr14:cNvPr>
            <xdr14:cNvContentPartPr/>
          </xdr14:nvContentPartPr>
          <xdr14:nvPr macro=""/>
          <xdr14:xfrm>
            <a:off x="6157080" y="9153000"/>
            <a:ext cx="275040" cy="478080"/>
          </xdr14:xfrm>
        </xdr:contentPart>
      </mc:Choice>
      <mc:Fallback xmlns="">
        <xdr:pic>
          <xdr:nvPicPr>
            <xdr:cNvPr id="75" name="Ink 74">
              <a:extLst>
                <a:ext uri="{FF2B5EF4-FFF2-40B4-BE49-F238E27FC236}">
                  <a16:creationId xmlns:a16="http://schemas.microsoft.com/office/drawing/2014/main" id="{58B3A10E-877F-D84F-97A9-C654C9EB0664}"/>
                </a:ext>
                <a:ext uri="{147F2762-F138-4A5C-976F-8EAC2B608ADB}">
                  <a16:predDERef xmlns:a16="http://schemas.microsoft.com/office/drawing/2014/main" pred="{A08EC418-10EC-104B-B766-6AD6F1B616C0}"/>
                </a:ext>
              </a:extLst>
            </xdr:cNvPr>
            <xdr:cNvPicPr/>
          </xdr:nvPicPr>
          <xdr:blipFill>
            <a:blip xmlns:r="http://schemas.openxmlformats.org/officeDocument/2006/relationships" r:embed="rId147"/>
            <a:stretch>
              <a:fillRect/>
            </a:stretch>
          </xdr:blipFill>
          <xdr:spPr>
            <a:xfrm>
              <a:off x="6148440" y="9144360"/>
              <a:ext cx="292680" cy="495720"/>
            </a:xfrm>
            <a:prstGeom prst="rect">
              <a:avLst/>
            </a:prstGeom>
          </xdr:spPr>
        </xdr:pic>
      </mc:Fallback>
    </mc:AlternateContent>
    <xdr:clientData/>
  </xdr:twoCellAnchor>
  <xdr:twoCellAnchor editAs="oneCell">
    <xdr:from>
      <xdr:col>4</xdr:col>
      <xdr:colOff>128062</xdr:colOff>
      <xdr:row>44</xdr:row>
      <xdr:rowOff>67010</xdr:rowOff>
    </xdr:from>
    <xdr:to>
      <xdr:col>4</xdr:col>
      <xdr:colOff>216262</xdr:colOff>
      <xdr:row>45</xdr:row>
      <xdr:rowOff>58670</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76" name="Ink 75">
              <a:extLst>
                <a:ext uri="{FF2B5EF4-FFF2-40B4-BE49-F238E27FC236}">
                  <a16:creationId xmlns:a16="http://schemas.microsoft.com/office/drawing/2014/main" id="{C5356A95-7A7C-914A-AB78-273260CE8D16}"/>
                </a:ext>
                <a:ext uri="{147F2762-F138-4A5C-976F-8EAC2B608ADB}">
                  <a16:predDERef xmlns:a16="http://schemas.microsoft.com/office/drawing/2014/main" pred="{58B3A10E-877F-D84F-97A9-C654C9EB0664}"/>
                </a:ext>
              </a:extLst>
            </xdr14:cNvPr>
            <xdr14:cNvContentPartPr/>
          </xdr14:nvContentPartPr>
          <xdr14:nvPr macro=""/>
          <xdr14:xfrm>
            <a:off x="2068920" y="8812080"/>
            <a:ext cx="88200" cy="182160"/>
          </xdr14:xfrm>
        </xdr:contentPart>
      </mc:Choice>
      <mc:Fallback xmlns="">
        <xdr:pic>
          <xdr:nvPicPr>
            <xdr:cNvPr id="76" name="Ink 75">
              <a:extLst>
                <a:ext uri="{FF2B5EF4-FFF2-40B4-BE49-F238E27FC236}">
                  <a16:creationId xmlns:a16="http://schemas.microsoft.com/office/drawing/2014/main" id="{C5356A95-7A7C-914A-AB78-273260CE8D16}"/>
                </a:ext>
                <a:ext uri="{147F2762-F138-4A5C-976F-8EAC2B608ADB}">
                  <a16:predDERef xmlns:a16="http://schemas.microsoft.com/office/drawing/2014/main" pred="{58B3A10E-877F-D84F-97A9-C654C9EB0664}"/>
                </a:ext>
              </a:extLst>
            </xdr:cNvPr>
            <xdr:cNvPicPr/>
          </xdr:nvPicPr>
          <xdr:blipFill>
            <a:blip xmlns:r="http://schemas.openxmlformats.org/officeDocument/2006/relationships" r:embed="rId149"/>
            <a:stretch>
              <a:fillRect/>
            </a:stretch>
          </xdr:blipFill>
          <xdr:spPr>
            <a:xfrm>
              <a:off x="2060280" y="8803440"/>
              <a:ext cx="105840" cy="199800"/>
            </a:xfrm>
            <a:prstGeom prst="rect">
              <a:avLst/>
            </a:prstGeom>
          </xdr:spPr>
        </xdr:pic>
      </mc:Fallback>
    </mc:AlternateContent>
    <xdr:clientData/>
  </xdr:twoCellAnchor>
  <xdr:twoCellAnchor editAs="oneCell">
    <xdr:from>
      <xdr:col>4</xdr:col>
      <xdr:colOff>284662</xdr:colOff>
      <xdr:row>43</xdr:row>
      <xdr:rowOff>166673</xdr:rowOff>
    </xdr:from>
    <xdr:to>
      <xdr:col>5</xdr:col>
      <xdr:colOff>231952</xdr:colOff>
      <xdr:row>44</xdr:row>
      <xdr:rowOff>177608</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77" name="Ink 76">
              <a:extLst>
                <a:ext uri="{FF2B5EF4-FFF2-40B4-BE49-F238E27FC236}">
                  <a16:creationId xmlns:a16="http://schemas.microsoft.com/office/drawing/2014/main" id="{4CE783B7-85CE-824A-ABD1-6E9B9F38202A}"/>
                </a:ext>
                <a:ext uri="{147F2762-F138-4A5C-976F-8EAC2B608ADB}">
                  <a16:predDERef xmlns:a16="http://schemas.microsoft.com/office/drawing/2014/main" pred="{C5356A95-7A7C-914A-AB78-273260CE8D16}"/>
                </a:ext>
              </a:extLst>
            </xdr14:cNvPr>
            <xdr14:cNvContentPartPr/>
          </xdr14:nvContentPartPr>
          <xdr14:nvPr macro=""/>
          <xdr14:xfrm>
            <a:off x="2225520" y="8714520"/>
            <a:ext cx="537840" cy="210960"/>
          </xdr14:xfrm>
        </xdr:contentPart>
      </mc:Choice>
      <mc:Fallback xmlns="">
        <xdr:pic>
          <xdr:nvPicPr>
            <xdr:cNvPr id="77" name="Ink 76">
              <a:extLst>
                <a:ext uri="{FF2B5EF4-FFF2-40B4-BE49-F238E27FC236}">
                  <a16:creationId xmlns:a16="http://schemas.microsoft.com/office/drawing/2014/main" id="{4CE783B7-85CE-824A-ABD1-6E9B9F38202A}"/>
                </a:ext>
                <a:ext uri="{147F2762-F138-4A5C-976F-8EAC2B608ADB}">
                  <a16:predDERef xmlns:a16="http://schemas.microsoft.com/office/drawing/2014/main" pred="{C5356A95-7A7C-914A-AB78-273260CE8D16}"/>
                </a:ext>
              </a:extLst>
            </xdr:cNvPr>
            <xdr:cNvPicPr/>
          </xdr:nvPicPr>
          <xdr:blipFill>
            <a:blip xmlns:r="http://schemas.openxmlformats.org/officeDocument/2006/relationships" r:embed="rId151"/>
            <a:stretch>
              <a:fillRect/>
            </a:stretch>
          </xdr:blipFill>
          <xdr:spPr>
            <a:xfrm>
              <a:off x="2216880" y="8705880"/>
              <a:ext cx="555480" cy="228600"/>
            </a:xfrm>
            <a:prstGeom prst="rect">
              <a:avLst/>
            </a:prstGeom>
          </xdr:spPr>
        </xdr:pic>
      </mc:Fallback>
    </mc:AlternateContent>
    <xdr:clientData/>
  </xdr:twoCellAnchor>
  <xdr:twoCellAnchor editAs="oneCell">
    <xdr:from>
      <xdr:col>4</xdr:col>
      <xdr:colOff>157942</xdr:colOff>
      <xdr:row>47</xdr:row>
      <xdr:rowOff>71302</xdr:rowOff>
    </xdr:from>
    <xdr:to>
      <xdr:col>4</xdr:col>
      <xdr:colOff>271702</xdr:colOff>
      <xdr:row>48</xdr:row>
      <xdr:rowOff>17242</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78" name="Ink 77">
              <a:extLst>
                <a:ext uri="{FF2B5EF4-FFF2-40B4-BE49-F238E27FC236}">
                  <a16:creationId xmlns:a16="http://schemas.microsoft.com/office/drawing/2014/main" id="{918B60D3-EE42-804D-B115-03640221894A}"/>
                </a:ext>
                <a:ext uri="{147F2762-F138-4A5C-976F-8EAC2B608ADB}">
                  <a16:predDERef xmlns:a16="http://schemas.microsoft.com/office/drawing/2014/main" pred="{4CE783B7-85CE-824A-ABD1-6E9B9F38202A}"/>
                </a:ext>
              </a:extLst>
            </xdr14:cNvPr>
            <xdr14:cNvContentPartPr/>
          </xdr14:nvContentPartPr>
          <xdr14:nvPr macro=""/>
          <xdr14:xfrm>
            <a:off x="2098800" y="9403560"/>
            <a:ext cx="113760" cy="136440"/>
          </xdr14:xfrm>
        </xdr:contentPart>
      </mc:Choice>
      <mc:Fallback xmlns="">
        <xdr:pic>
          <xdr:nvPicPr>
            <xdr:cNvPr id="78" name="Ink 77">
              <a:extLst>
                <a:ext uri="{FF2B5EF4-FFF2-40B4-BE49-F238E27FC236}">
                  <a16:creationId xmlns:a16="http://schemas.microsoft.com/office/drawing/2014/main" id="{918B60D3-EE42-804D-B115-03640221894A}"/>
                </a:ext>
                <a:ext uri="{147F2762-F138-4A5C-976F-8EAC2B608ADB}">
                  <a16:predDERef xmlns:a16="http://schemas.microsoft.com/office/drawing/2014/main" pred="{4CE783B7-85CE-824A-ABD1-6E9B9F38202A}"/>
                </a:ext>
              </a:extLst>
            </xdr:cNvPr>
            <xdr:cNvPicPr/>
          </xdr:nvPicPr>
          <xdr:blipFill>
            <a:blip xmlns:r="http://schemas.openxmlformats.org/officeDocument/2006/relationships" r:embed="rId153"/>
            <a:stretch>
              <a:fillRect/>
            </a:stretch>
          </xdr:blipFill>
          <xdr:spPr>
            <a:xfrm>
              <a:off x="2089800" y="9394920"/>
              <a:ext cx="131400" cy="154080"/>
            </a:xfrm>
            <a:prstGeom prst="rect">
              <a:avLst/>
            </a:prstGeom>
          </xdr:spPr>
        </xdr:pic>
      </mc:Fallback>
    </mc:AlternateContent>
    <xdr:clientData/>
  </xdr:twoCellAnchor>
  <xdr:twoCellAnchor editAs="oneCell">
    <xdr:from>
      <xdr:col>4</xdr:col>
      <xdr:colOff>335062</xdr:colOff>
      <xdr:row>46</xdr:row>
      <xdr:rowOff>143245</xdr:rowOff>
    </xdr:from>
    <xdr:to>
      <xdr:col>5</xdr:col>
      <xdr:colOff>261472</xdr:colOff>
      <xdr:row>48</xdr:row>
      <xdr:rowOff>1480</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79" name="Ink 78">
              <a:extLst>
                <a:ext uri="{FF2B5EF4-FFF2-40B4-BE49-F238E27FC236}">
                  <a16:creationId xmlns:a16="http://schemas.microsoft.com/office/drawing/2014/main" id="{1B661E52-7437-3846-968A-7C7FB6CD4D10}"/>
                </a:ext>
                <a:ext uri="{147F2762-F138-4A5C-976F-8EAC2B608ADB}">
                  <a16:predDERef xmlns:a16="http://schemas.microsoft.com/office/drawing/2014/main" pred="{918B60D3-EE42-804D-B115-03640221894A}"/>
                </a:ext>
              </a:extLst>
            </xdr14:cNvPr>
            <xdr14:cNvContentPartPr/>
          </xdr14:nvContentPartPr>
          <xdr14:nvPr macro=""/>
          <xdr14:xfrm>
            <a:off x="2275920" y="9278280"/>
            <a:ext cx="516960" cy="248760"/>
          </xdr14:xfrm>
        </xdr:contentPart>
      </mc:Choice>
      <mc:Fallback xmlns="">
        <xdr:pic>
          <xdr:nvPicPr>
            <xdr:cNvPr id="79" name="Ink 78">
              <a:extLst>
                <a:ext uri="{FF2B5EF4-FFF2-40B4-BE49-F238E27FC236}">
                  <a16:creationId xmlns:a16="http://schemas.microsoft.com/office/drawing/2014/main" id="{1B661E52-7437-3846-968A-7C7FB6CD4D10}"/>
                </a:ext>
                <a:ext uri="{147F2762-F138-4A5C-976F-8EAC2B608ADB}">
                  <a16:predDERef xmlns:a16="http://schemas.microsoft.com/office/drawing/2014/main" pred="{918B60D3-EE42-804D-B115-03640221894A}"/>
                </a:ext>
              </a:extLst>
            </xdr:cNvPr>
            <xdr:cNvPicPr/>
          </xdr:nvPicPr>
          <xdr:blipFill>
            <a:blip xmlns:r="http://schemas.openxmlformats.org/officeDocument/2006/relationships" r:embed="rId155"/>
            <a:stretch>
              <a:fillRect/>
            </a:stretch>
          </xdr:blipFill>
          <xdr:spPr>
            <a:xfrm>
              <a:off x="2267280" y="9269280"/>
              <a:ext cx="534600" cy="266400"/>
            </a:xfrm>
            <a:prstGeom prst="rect">
              <a:avLst/>
            </a:prstGeom>
          </xdr:spPr>
        </xdr:pic>
      </mc:Fallback>
    </mc:AlternateContent>
    <xdr:clientData/>
  </xdr:twoCellAnchor>
  <xdr:twoCellAnchor editAs="oneCell">
    <xdr:from>
      <xdr:col>11</xdr:col>
      <xdr:colOff>134513</xdr:colOff>
      <xdr:row>43</xdr:row>
      <xdr:rowOff>189353</xdr:rowOff>
    </xdr:from>
    <xdr:to>
      <xdr:col>11</xdr:col>
      <xdr:colOff>310193</xdr:colOff>
      <xdr:row>44</xdr:row>
      <xdr:rowOff>148448</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80" name="Ink 79">
              <a:extLst>
                <a:ext uri="{FF2B5EF4-FFF2-40B4-BE49-F238E27FC236}">
                  <a16:creationId xmlns:a16="http://schemas.microsoft.com/office/drawing/2014/main" id="{262B4DEA-66ED-2642-9058-EB6B1646B0D0}"/>
                </a:ext>
                <a:ext uri="{147F2762-F138-4A5C-976F-8EAC2B608ADB}">
                  <a16:predDERef xmlns:a16="http://schemas.microsoft.com/office/drawing/2014/main" pred="{1B661E52-7437-3846-968A-7C7FB6CD4D10}"/>
                </a:ext>
              </a:extLst>
            </xdr14:cNvPr>
            <xdr14:cNvContentPartPr/>
          </xdr14:nvContentPartPr>
          <xdr14:nvPr macro=""/>
          <xdr14:xfrm>
            <a:off x="7005960" y="8737200"/>
            <a:ext cx="175680" cy="159120"/>
          </xdr14:xfrm>
        </xdr:contentPart>
      </mc:Choice>
      <mc:Fallback xmlns="">
        <xdr:pic>
          <xdr:nvPicPr>
            <xdr:cNvPr id="80" name="Ink 79">
              <a:extLst>
                <a:ext uri="{FF2B5EF4-FFF2-40B4-BE49-F238E27FC236}">
                  <a16:creationId xmlns:a16="http://schemas.microsoft.com/office/drawing/2014/main" id="{262B4DEA-66ED-2642-9058-EB6B1646B0D0}"/>
                </a:ext>
                <a:ext uri="{147F2762-F138-4A5C-976F-8EAC2B608ADB}">
                  <a16:predDERef xmlns:a16="http://schemas.microsoft.com/office/drawing/2014/main" pred="{1B661E52-7437-3846-968A-7C7FB6CD4D10}"/>
                </a:ext>
              </a:extLst>
            </xdr:cNvPr>
            <xdr:cNvPicPr/>
          </xdr:nvPicPr>
          <xdr:blipFill>
            <a:blip xmlns:r="http://schemas.openxmlformats.org/officeDocument/2006/relationships" r:embed="rId157"/>
            <a:stretch>
              <a:fillRect/>
            </a:stretch>
          </xdr:blipFill>
          <xdr:spPr>
            <a:xfrm>
              <a:off x="6996960" y="8728200"/>
              <a:ext cx="193320" cy="176760"/>
            </a:xfrm>
            <a:prstGeom prst="rect">
              <a:avLst/>
            </a:prstGeom>
          </xdr:spPr>
        </xdr:pic>
      </mc:Fallback>
    </mc:AlternateContent>
    <xdr:clientData/>
  </xdr:twoCellAnchor>
  <xdr:twoCellAnchor editAs="oneCell">
    <xdr:from>
      <xdr:col>11</xdr:col>
      <xdr:colOff>233873</xdr:colOff>
      <xdr:row>44</xdr:row>
      <xdr:rowOff>7610</xdr:rowOff>
    </xdr:from>
    <xdr:to>
      <xdr:col>12</xdr:col>
      <xdr:colOff>703988</xdr:colOff>
      <xdr:row>45</xdr:row>
      <xdr:rowOff>49310</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81" name="Ink 80">
              <a:extLst>
                <a:ext uri="{FF2B5EF4-FFF2-40B4-BE49-F238E27FC236}">
                  <a16:creationId xmlns:a16="http://schemas.microsoft.com/office/drawing/2014/main" id="{FC1A8DCC-7BC1-5D4D-9265-5401BCEB29DF}"/>
                </a:ext>
                <a:ext uri="{147F2762-F138-4A5C-976F-8EAC2B608ADB}">
                  <a16:predDERef xmlns:a16="http://schemas.microsoft.com/office/drawing/2014/main" pred="{262B4DEA-66ED-2642-9058-EB6B1646B0D0}"/>
                </a:ext>
              </a:extLst>
            </xdr14:cNvPr>
            <xdr14:cNvContentPartPr/>
          </xdr14:nvContentPartPr>
          <xdr14:nvPr macro=""/>
          <xdr14:xfrm>
            <a:off x="7105320" y="8752680"/>
            <a:ext cx="1241640" cy="232200"/>
          </xdr14:xfrm>
        </xdr:contentPart>
      </mc:Choice>
      <mc:Fallback xmlns="">
        <xdr:pic>
          <xdr:nvPicPr>
            <xdr:cNvPr id="81" name="Ink 80">
              <a:extLst>
                <a:ext uri="{FF2B5EF4-FFF2-40B4-BE49-F238E27FC236}">
                  <a16:creationId xmlns:a16="http://schemas.microsoft.com/office/drawing/2014/main" id="{FC1A8DCC-7BC1-5D4D-9265-5401BCEB29DF}"/>
                </a:ext>
                <a:ext uri="{147F2762-F138-4A5C-976F-8EAC2B608ADB}">
                  <a16:predDERef xmlns:a16="http://schemas.microsoft.com/office/drawing/2014/main" pred="{262B4DEA-66ED-2642-9058-EB6B1646B0D0}"/>
                </a:ext>
              </a:extLst>
            </xdr:cNvPr>
            <xdr:cNvPicPr/>
          </xdr:nvPicPr>
          <xdr:blipFill>
            <a:blip xmlns:r="http://schemas.openxmlformats.org/officeDocument/2006/relationships" r:embed="rId159"/>
            <a:stretch>
              <a:fillRect/>
            </a:stretch>
          </xdr:blipFill>
          <xdr:spPr>
            <a:xfrm>
              <a:off x="7096680" y="8743680"/>
              <a:ext cx="1259280" cy="249840"/>
            </a:xfrm>
            <a:prstGeom prst="rect">
              <a:avLst/>
            </a:prstGeom>
          </xdr:spPr>
        </xdr:pic>
      </mc:Fallback>
    </mc:AlternateContent>
    <xdr:clientData/>
  </xdr:twoCellAnchor>
  <xdr:twoCellAnchor editAs="oneCell">
    <xdr:from>
      <xdr:col>11</xdr:col>
      <xdr:colOff>156113</xdr:colOff>
      <xdr:row>47</xdr:row>
      <xdr:rowOff>1822</xdr:rowOff>
    </xdr:from>
    <xdr:to>
      <xdr:col>11</xdr:col>
      <xdr:colOff>351953</xdr:colOff>
      <xdr:row>47</xdr:row>
      <xdr:rowOff>143302</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82" name="Ink 81">
              <a:extLst>
                <a:ext uri="{FF2B5EF4-FFF2-40B4-BE49-F238E27FC236}">
                  <a16:creationId xmlns:a16="http://schemas.microsoft.com/office/drawing/2014/main" id="{F7114363-E31B-664E-8561-3455B94D8026}"/>
                </a:ext>
                <a:ext uri="{147F2762-F138-4A5C-976F-8EAC2B608ADB}">
                  <a16:predDERef xmlns:a16="http://schemas.microsoft.com/office/drawing/2014/main" pred="{FC1A8DCC-7BC1-5D4D-9265-5401BCEB29DF}"/>
                </a:ext>
              </a:extLst>
            </xdr14:cNvPr>
            <xdr14:cNvContentPartPr/>
          </xdr14:nvContentPartPr>
          <xdr14:nvPr macro=""/>
          <xdr14:xfrm>
            <a:off x="7027560" y="9334080"/>
            <a:ext cx="195840" cy="141480"/>
          </xdr14:xfrm>
        </xdr:contentPart>
      </mc:Choice>
      <mc:Fallback xmlns="">
        <xdr:pic>
          <xdr:nvPicPr>
            <xdr:cNvPr id="82" name="Ink 81">
              <a:extLst>
                <a:ext uri="{FF2B5EF4-FFF2-40B4-BE49-F238E27FC236}">
                  <a16:creationId xmlns:a16="http://schemas.microsoft.com/office/drawing/2014/main" id="{F7114363-E31B-664E-8561-3455B94D8026}"/>
                </a:ext>
                <a:ext uri="{147F2762-F138-4A5C-976F-8EAC2B608ADB}">
                  <a16:predDERef xmlns:a16="http://schemas.microsoft.com/office/drawing/2014/main" pred="{FC1A8DCC-7BC1-5D4D-9265-5401BCEB29DF}"/>
                </a:ext>
              </a:extLst>
            </xdr:cNvPr>
            <xdr:cNvPicPr/>
          </xdr:nvPicPr>
          <xdr:blipFill>
            <a:blip xmlns:r="http://schemas.openxmlformats.org/officeDocument/2006/relationships" r:embed="rId161"/>
            <a:stretch>
              <a:fillRect/>
            </a:stretch>
          </xdr:blipFill>
          <xdr:spPr>
            <a:xfrm>
              <a:off x="7018560" y="9325440"/>
              <a:ext cx="213480" cy="159120"/>
            </a:xfrm>
            <a:prstGeom prst="rect">
              <a:avLst/>
            </a:prstGeom>
          </xdr:spPr>
        </xdr:pic>
      </mc:Fallback>
    </mc:AlternateContent>
    <xdr:clientData/>
  </xdr:twoCellAnchor>
  <xdr:twoCellAnchor editAs="oneCell">
    <xdr:from>
      <xdr:col>11</xdr:col>
      <xdr:colOff>283913</xdr:colOff>
      <xdr:row>46</xdr:row>
      <xdr:rowOff>177085</xdr:rowOff>
    </xdr:from>
    <xdr:to>
      <xdr:col>12</xdr:col>
      <xdr:colOff>695708</xdr:colOff>
      <xdr:row>47</xdr:row>
      <xdr:rowOff>181900</xdr:rowOff>
    </xdr:to>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83" name="Ink 82">
              <a:extLst>
                <a:ext uri="{FF2B5EF4-FFF2-40B4-BE49-F238E27FC236}">
                  <a16:creationId xmlns:a16="http://schemas.microsoft.com/office/drawing/2014/main" id="{FD64E643-E32D-3748-8994-A6DEB3A440CE}"/>
                </a:ext>
                <a:ext uri="{147F2762-F138-4A5C-976F-8EAC2B608ADB}">
                  <a16:predDERef xmlns:a16="http://schemas.microsoft.com/office/drawing/2014/main" pred="{F7114363-E31B-664E-8561-3455B94D8026}"/>
                </a:ext>
              </a:extLst>
            </xdr14:cNvPr>
            <xdr14:cNvContentPartPr/>
          </xdr14:nvContentPartPr>
          <xdr14:nvPr macro=""/>
          <xdr14:xfrm>
            <a:off x="7155360" y="9312120"/>
            <a:ext cx="1183320" cy="204840"/>
          </xdr14:xfrm>
        </xdr:contentPart>
      </mc:Choice>
      <mc:Fallback xmlns="">
        <xdr:pic>
          <xdr:nvPicPr>
            <xdr:cNvPr id="83" name="Ink 82">
              <a:extLst>
                <a:ext uri="{FF2B5EF4-FFF2-40B4-BE49-F238E27FC236}">
                  <a16:creationId xmlns:a16="http://schemas.microsoft.com/office/drawing/2014/main" id="{FD64E643-E32D-3748-8994-A6DEB3A440CE}"/>
                </a:ext>
                <a:ext uri="{147F2762-F138-4A5C-976F-8EAC2B608ADB}">
                  <a16:predDERef xmlns:a16="http://schemas.microsoft.com/office/drawing/2014/main" pred="{F7114363-E31B-664E-8561-3455B94D8026}"/>
                </a:ext>
              </a:extLst>
            </xdr:cNvPr>
            <xdr:cNvPicPr/>
          </xdr:nvPicPr>
          <xdr:blipFill>
            <a:blip xmlns:r="http://schemas.openxmlformats.org/officeDocument/2006/relationships" r:embed="rId163"/>
            <a:stretch>
              <a:fillRect/>
            </a:stretch>
          </xdr:blipFill>
          <xdr:spPr>
            <a:xfrm>
              <a:off x="7146720" y="9303480"/>
              <a:ext cx="1200960" cy="222480"/>
            </a:xfrm>
            <a:prstGeom prst="rect">
              <a:avLst/>
            </a:prstGeom>
          </xdr:spPr>
        </xdr:pic>
      </mc:Fallback>
    </mc:AlternateContent>
    <xdr:clientData/>
  </xdr:twoCellAnchor>
  <xdr:twoCellAnchor editAs="oneCell">
    <xdr:from>
      <xdr:col>16</xdr:col>
      <xdr:colOff>28532</xdr:colOff>
      <xdr:row>34</xdr:row>
      <xdr:rowOff>109158</xdr:rowOff>
    </xdr:from>
    <xdr:to>
      <xdr:col>16</xdr:col>
      <xdr:colOff>250652</xdr:colOff>
      <xdr:row>36</xdr:row>
      <xdr:rowOff>114273</xdr:rowOff>
    </xdr:to>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84" name="Ink 83">
              <a:extLst>
                <a:ext uri="{FF2B5EF4-FFF2-40B4-BE49-F238E27FC236}">
                  <a16:creationId xmlns:a16="http://schemas.microsoft.com/office/drawing/2014/main" id="{F3431BAB-058A-8E41-A9EC-E5CDC01D59F6}"/>
                </a:ext>
                <a:ext uri="{147F2762-F138-4A5C-976F-8EAC2B608ADB}">
                  <a16:predDERef xmlns:a16="http://schemas.microsoft.com/office/drawing/2014/main" pred="{FD64E643-E32D-3748-8994-A6DEB3A440CE}"/>
                </a:ext>
              </a:extLst>
            </xdr14:cNvPr>
            <xdr14:cNvContentPartPr/>
          </xdr14:nvContentPartPr>
          <xdr14:nvPr macro=""/>
          <xdr14:xfrm>
            <a:off x="10978920" y="6895440"/>
            <a:ext cx="222120" cy="395640"/>
          </xdr14:xfrm>
        </xdr:contentPart>
      </mc:Choice>
      <mc:Fallback xmlns="">
        <xdr:pic>
          <xdr:nvPicPr>
            <xdr:cNvPr id="84" name="Ink 83">
              <a:extLst>
                <a:ext uri="{FF2B5EF4-FFF2-40B4-BE49-F238E27FC236}">
                  <a16:creationId xmlns:a16="http://schemas.microsoft.com/office/drawing/2014/main" id="{F3431BAB-058A-8E41-A9EC-E5CDC01D59F6}"/>
                </a:ext>
                <a:ext uri="{147F2762-F138-4A5C-976F-8EAC2B608ADB}">
                  <a16:predDERef xmlns:a16="http://schemas.microsoft.com/office/drawing/2014/main" pred="{FD64E643-E32D-3748-8994-A6DEB3A440CE}"/>
                </a:ext>
              </a:extLst>
            </xdr:cNvPr>
            <xdr:cNvPicPr/>
          </xdr:nvPicPr>
          <xdr:blipFill>
            <a:blip xmlns:r="http://schemas.openxmlformats.org/officeDocument/2006/relationships" r:embed="rId165"/>
            <a:stretch>
              <a:fillRect/>
            </a:stretch>
          </xdr:blipFill>
          <xdr:spPr>
            <a:xfrm>
              <a:off x="10969920" y="6886440"/>
              <a:ext cx="239760" cy="413280"/>
            </a:xfrm>
            <a:prstGeom prst="rect">
              <a:avLst/>
            </a:prstGeom>
          </xdr:spPr>
        </xdr:pic>
      </mc:Fallback>
    </mc:AlternateContent>
    <xdr:clientData/>
  </xdr:twoCellAnchor>
  <xdr:twoCellAnchor editAs="oneCell">
    <xdr:from>
      <xdr:col>16</xdr:col>
      <xdr:colOff>100892</xdr:colOff>
      <xdr:row>34</xdr:row>
      <xdr:rowOff>120678</xdr:rowOff>
    </xdr:from>
    <xdr:to>
      <xdr:col>17</xdr:col>
      <xdr:colOff>197387</xdr:colOff>
      <xdr:row>36</xdr:row>
      <xdr:rowOff>58473</xdr:rowOff>
    </xdr:to>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85" name="Ink 84">
              <a:extLst>
                <a:ext uri="{FF2B5EF4-FFF2-40B4-BE49-F238E27FC236}">
                  <a16:creationId xmlns:a16="http://schemas.microsoft.com/office/drawing/2014/main" id="{F11496D2-6F7F-D040-A35E-53002C461626}"/>
                </a:ext>
                <a:ext uri="{147F2762-F138-4A5C-976F-8EAC2B608ADB}">
                  <a16:predDERef xmlns:a16="http://schemas.microsoft.com/office/drawing/2014/main" pred="{F3431BAB-058A-8E41-A9EC-E5CDC01D59F6}"/>
                </a:ext>
              </a:extLst>
            </xdr14:cNvPr>
            <xdr14:cNvContentPartPr/>
          </xdr14:nvContentPartPr>
          <xdr14:nvPr macro=""/>
          <xdr14:xfrm>
            <a:off x="11051280" y="6906960"/>
            <a:ext cx="448920" cy="328320"/>
          </xdr14:xfrm>
        </xdr:contentPart>
      </mc:Choice>
      <mc:Fallback xmlns="">
        <xdr:pic>
          <xdr:nvPicPr>
            <xdr:cNvPr id="85" name="Ink 84">
              <a:extLst>
                <a:ext uri="{FF2B5EF4-FFF2-40B4-BE49-F238E27FC236}">
                  <a16:creationId xmlns:a16="http://schemas.microsoft.com/office/drawing/2014/main" id="{F11496D2-6F7F-D040-A35E-53002C461626}"/>
                </a:ext>
                <a:ext uri="{147F2762-F138-4A5C-976F-8EAC2B608ADB}">
                  <a16:predDERef xmlns:a16="http://schemas.microsoft.com/office/drawing/2014/main" pred="{F3431BAB-058A-8E41-A9EC-E5CDC01D59F6}"/>
                </a:ext>
              </a:extLst>
            </xdr:cNvPr>
            <xdr:cNvPicPr/>
          </xdr:nvPicPr>
          <xdr:blipFill>
            <a:blip xmlns:r="http://schemas.openxmlformats.org/officeDocument/2006/relationships" r:embed="rId167"/>
            <a:stretch>
              <a:fillRect/>
            </a:stretch>
          </xdr:blipFill>
          <xdr:spPr>
            <a:xfrm>
              <a:off x="11042640" y="6898320"/>
              <a:ext cx="466560" cy="345960"/>
            </a:xfrm>
            <a:prstGeom prst="rect">
              <a:avLst/>
            </a:prstGeom>
          </xdr:spPr>
        </xdr:pic>
      </mc:Fallback>
    </mc:AlternateContent>
    <xdr:clientData/>
  </xdr:twoCellAnchor>
  <xdr:twoCellAnchor editAs="oneCell">
    <xdr:from>
      <xdr:col>16</xdr:col>
      <xdr:colOff>92972</xdr:colOff>
      <xdr:row>37</xdr:row>
      <xdr:rowOff>76010</xdr:rowOff>
    </xdr:from>
    <xdr:to>
      <xdr:col>16</xdr:col>
      <xdr:colOff>323732</xdr:colOff>
      <xdr:row>39</xdr:row>
      <xdr:rowOff>9125</xdr:rowOff>
    </xdr:to>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86" name="Ink 85">
              <a:extLst>
                <a:ext uri="{FF2B5EF4-FFF2-40B4-BE49-F238E27FC236}">
                  <a16:creationId xmlns:a16="http://schemas.microsoft.com/office/drawing/2014/main" id="{591F33AC-A831-A14F-AE69-9BD5112264ED}"/>
                </a:ext>
                <a:ext uri="{147F2762-F138-4A5C-976F-8EAC2B608ADB}">
                  <a16:predDERef xmlns:a16="http://schemas.microsoft.com/office/drawing/2014/main" pred="{F11496D2-6F7F-D040-A35E-53002C461626}"/>
                </a:ext>
              </a:extLst>
            </xdr14:cNvPr>
            <xdr14:cNvContentPartPr/>
          </xdr14:nvContentPartPr>
          <xdr14:nvPr macro=""/>
          <xdr14:xfrm>
            <a:off x="11043360" y="7449480"/>
            <a:ext cx="230760" cy="323640"/>
          </xdr14:xfrm>
        </xdr:contentPart>
      </mc:Choice>
      <mc:Fallback xmlns="">
        <xdr:pic>
          <xdr:nvPicPr>
            <xdr:cNvPr id="86" name="Ink 85">
              <a:extLst>
                <a:ext uri="{FF2B5EF4-FFF2-40B4-BE49-F238E27FC236}">
                  <a16:creationId xmlns:a16="http://schemas.microsoft.com/office/drawing/2014/main" id="{591F33AC-A831-A14F-AE69-9BD5112264ED}"/>
                </a:ext>
                <a:ext uri="{147F2762-F138-4A5C-976F-8EAC2B608ADB}">
                  <a16:predDERef xmlns:a16="http://schemas.microsoft.com/office/drawing/2014/main" pred="{F11496D2-6F7F-D040-A35E-53002C461626}"/>
                </a:ext>
              </a:extLst>
            </xdr:cNvPr>
            <xdr:cNvPicPr/>
          </xdr:nvPicPr>
          <xdr:blipFill>
            <a:blip xmlns:r="http://schemas.openxmlformats.org/officeDocument/2006/relationships" r:embed="rId169"/>
            <a:stretch>
              <a:fillRect/>
            </a:stretch>
          </xdr:blipFill>
          <xdr:spPr>
            <a:xfrm>
              <a:off x="11034720" y="7440480"/>
              <a:ext cx="248400" cy="341280"/>
            </a:xfrm>
            <a:prstGeom prst="rect">
              <a:avLst/>
            </a:prstGeom>
          </xdr:spPr>
        </xdr:pic>
      </mc:Fallback>
    </mc:AlternateContent>
    <xdr:clientData/>
  </xdr:twoCellAnchor>
  <xdr:twoCellAnchor editAs="oneCell">
    <xdr:from>
      <xdr:col>16</xdr:col>
      <xdr:colOff>117812</xdr:colOff>
      <xdr:row>38</xdr:row>
      <xdr:rowOff>74627</xdr:rowOff>
    </xdr:from>
    <xdr:to>
      <xdr:col>16</xdr:col>
      <xdr:colOff>243452</xdr:colOff>
      <xdr:row>39</xdr:row>
      <xdr:rowOff>8327</xdr:rowOff>
    </xdr:to>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87" name="Ink 86">
              <a:extLst>
                <a:ext uri="{FF2B5EF4-FFF2-40B4-BE49-F238E27FC236}">
                  <a16:creationId xmlns:a16="http://schemas.microsoft.com/office/drawing/2014/main" id="{0739A1AD-D4E6-9F44-AD14-DF5CA36F2724}"/>
                </a:ext>
                <a:ext uri="{147F2762-F138-4A5C-976F-8EAC2B608ADB}">
                  <a16:predDERef xmlns:a16="http://schemas.microsoft.com/office/drawing/2014/main" pred="{591F33AC-A831-A14F-AE69-9BD5112264ED}"/>
                </a:ext>
              </a:extLst>
            </xdr14:cNvPr>
            <xdr14:cNvContentPartPr/>
          </xdr14:nvContentPartPr>
          <xdr14:nvPr macro=""/>
          <xdr14:xfrm>
            <a:off x="11068200" y="7645320"/>
            <a:ext cx="125640" cy="124200"/>
          </xdr14:xfrm>
        </xdr:contentPart>
      </mc:Choice>
      <mc:Fallback xmlns="">
        <xdr:pic>
          <xdr:nvPicPr>
            <xdr:cNvPr id="87" name="Ink 86">
              <a:extLst>
                <a:ext uri="{FF2B5EF4-FFF2-40B4-BE49-F238E27FC236}">
                  <a16:creationId xmlns:a16="http://schemas.microsoft.com/office/drawing/2014/main" id="{0739A1AD-D4E6-9F44-AD14-DF5CA36F2724}"/>
                </a:ext>
                <a:ext uri="{147F2762-F138-4A5C-976F-8EAC2B608ADB}">
                  <a16:predDERef xmlns:a16="http://schemas.microsoft.com/office/drawing/2014/main" pred="{591F33AC-A831-A14F-AE69-9BD5112264ED}"/>
                </a:ext>
              </a:extLst>
            </xdr:cNvPr>
            <xdr:cNvPicPr/>
          </xdr:nvPicPr>
          <xdr:blipFill>
            <a:blip xmlns:r="http://schemas.openxmlformats.org/officeDocument/2006/relationships" r:embed="rId171"/>
            <a:stretch>
              <a:fillRect/>
            </a:stretch>
          </xdr:blipFill>
          <xdr:spPr>
            <a:xfrm>
              <a:off x="11059200" y="7636320"/>
              <a:ext cx="143280" cy="141840"/>
            </a:xfrm>
            <a:prstGeom prst="rect">
              <a:avLst/>
            </a:prstGeom>
          </xdr:spPr>
        </xdr:pic>
      </mc:Fallback>
    </mc:AlternateContent>
    <xdr:clientData/>
  </xdr:twoCellAnchor>
  <xdr:twoCellAnchor editAs="oneCell">
    <xdr:from>
      <xdr:col>16</xdr:col>
      <xdr:colOff>335972</xdr:colOff>
      <xdr:row>37</xdr:row>
      <xdr:rowOff>122450</xdr:rowOff>
    </xdr:from>
    <xdr:to>
      <xdr:col>17</xdr:col>
      <xdr:colOff>157427</xdr:colOff>
      <xdr:row>38</xdr:row>
      <xdr:rowOff>94145</xdr:rowOff>
    </xdr:to>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88" name="Ink 87">
              <a:extLst>
                <a:ext uri="{FF2B5EF4-FFF2-40B4-BE49-F238E27FC236}">
                  <a16:creationId xmlns:a16="http://schemas.microsoft.com/office/drawing/2014/main" id="{7BD516FC-FD31-EE47-BF3C-A1E83DBCEC20}"/>
                </a:ext>
                <a:ext uri="{147F2762-F138-4A5C-976F-8EAC2B608ADB}">
                  <a16:predDERef xmlns:a16="http://schemas.microsoft.com/office/drawing/2014/main" pred="{0739A1AD-D4E6-9F44-AD14-DF5CA36F2724}"/>
                </a:ext>
              </a:extLst>
            </xdr14:cNvPr>
            <xdr14:cNvContentPartPr/>
          </xdr14:nvContentPartPr>
          <xdr14:nvPr macro=""/>
          <xdr14:xfrm>
            <a:off x="11286360" y="7495920"/>
            <a:ext cx="173880" cy="171720"/>
          </xdr14:xfrm>
        </xdr:contentPart>
      </mc:Choice>
      <mc:Fallback xmlns="">
        <xdr:pic>
          <xdr:nvPicPr>
            <xdr:cNvPr id="88" name="Ink 87">
              <a:extLst>
                <a:ext uri="{FF2B5EF4-FFF2-40B4-BE49-F238E27FC236}">
                  <a16:creationId xmlns:a16="http://schemas.microsoft.com/office/drawing/2014/main" id="{7BD516FC-FD31-EE47-BF3C-A1E83DBCEC20}"/>
                </a:ext>
                <a:ext uri="{147F2762-F138-4A5C-976F-8EAC2B608ADB}">
                  <a16:predDERef xmlns:a16="http://schemas.microsoft.com/office/drawing/2014/main" pred="{0739A1AD-D4E6-9F44-AD14-DF5CA36F2724}"/>
                </a:ext>
              </a:extLst>
            </xdr:cNvPr>
            <xdr:cNvPicPr/>
          </xdr:nvPicPr>
          <xdr:blipFill>
            <a:blip xmlns:r="http://schemas.openxmlformats.org/officeDocument/2006/relationships" r:embed="rId173"/>
            <a:stretch>
              <a:fillRect/>
            </a:stretch>
          </xdr:blipFill>
          <xdr:spPr>
            <a:xfrm>
              <a:off x="11277720" y="7486920"/>
              <a:ext cx="191520" cy="189360"/>
            </a:xfrm>
            <a:prstGeom prst="rect">
              <a:avLst/>
            </a:prstGeom>
          </xdr:spPr>
        </xdr:pic>
      </mc:Fallback>
    </mc:AlternateContent>
    <xdr:clientData/>
  </xdr:twoCellAnchor>
  <xdr:twoCellAnchor editAs="oneCell">
    <xdr:from>
      <xdr:col>17</xdr:col>
      <xdr:colOff>44217</xdr:colOff>
      <xdr:row>37</xdr:row>
      <xdr:rowOff>184010</xdr:rowOff>
    </xdr:from>
    <xdr:to>
      <xdr:col>17</xdr:col>
      <xdr:colOff>96057</xdr:colOff>
      <xdr:row>38</xdr:row>
      <xdr:rowOff>163265</xdr:rowOff>
    </xdr:to>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89" name="Ink 88">
              <a:extLst>
                <a:ext uri="{FF2B5EF4-FFF2-40B4-BE49-F238E27FC236}">
                  <a16:creationId xmlns:a16="http://schemas.microsoft.com/office/drawing/2014/main" id="{29765FB3-27A2-B946-955A-F9D6EBD82405}"/>
                </a:ext>
                <a:ext uri="{147F2762-F138-4A5C-976F-8EAC2B608ADB}">
                  <a16:predDERef xmlns:a16="http://schemas.microsoft.com/office/drawing/2014/main" pred="{7BD516FC-FD31-EE47-BF3C-A1E83DBCEC20}"/>
                </a:ext>
              </a:extLst>
            </xdr14:cNvPr>
            <xdr14:cNvContentPartPr/>
          </xdr14:nvContentPartPr>
          <xdr14:nvPr macro=""/>
          <xdr14:xfrm>
            <a:off x="11366640" y="7557480"/>
            <a:ext cx="51840" cy="179280"/>
          </xdr14:xfrm>
        </xdr:contentPart>
      </mc:Choice>
      <mc:Fallback xmlns="">
        <xdr:pic>
          <xdr:nvPicPr>
            <xdr:cNvPr id="89" name="Ink 88">
              <a:extLst>
                <a:ext uri="{FF2B5EF4-FFF2-40B4-BE49-F238E27FC236}">
                  <a16:creationId xmlns:a16="http://schemas.microsoft.com/office/drawing/2014/main" id="{29765FB3-27A2-B946-955A-F9D6EBD82405}"/>
                </a:ext>
                <a:ext uri="{147F2762-F138-4A5C-976F-8EAC2B608ADB}">
                  <a16:predDERef xmlns:a16="http://schemas.microsoft.com/office/drawing/2014/main" pred="{7BD516FC-FD31-EE47-BF3C-A1E83DBCEC20}"/>
                </a:ext>
              </a:extLst>
            </xdr:cNvPr>
            <xdr:cNvPicPr/>
          </xdr:nvPicPr>
          <xdr:blipFill>
            <a:blip xmlns:r="http://schemas.openxmlformats.org/officeDocument/2006/relationships" r:embed="rId175"/>
            <a:stretch>
              <a:fillRect/>
            </a:stretch>
          </xdr:blipFill>
          <xdr:spPr>
            <a:xfrm>
              <a:off x="11358000" y="7548840"/>
              <a:ext cx="69480" cy="196920"/>
            </a:xfrm>
            <a:prstGeom prst="rect">
              <a:avLst/>
            </a:prstGeom>
          </xdr:spPr>
        </xdr:pic>
      </mc:Fallback>
    </mc:AlternateContent>
    <xdr:clientData/>
  </xdr:twoCellAnchor>
  <xdr:twoCellAnchor editAs="oneCell">
    <xdr:from>
      <xdr:col>17</xdr:col>
      <xdr:colOff>178497</xdr:colOff>
      <xdr:row>37</xdr:row>
      <xdr:rowOff>56930</xdr:rowOff>
    </xdr:from>
    <xdr:to>
      <xdr:col>17</xdr:col>
      <xdr:colOff>326457</xdr:colOff>
      <xdr:row>38</xdr:row>
      <xdr:rowOff>111425</xdr:rowOff>
    </xdr:to>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90" name="Ink 89">
              <a:extLst>
                <a:ext uri="{FF2B5EF4-FFF2-40B4-BE49-F238E27FC236}">
                  <a16:creationId xmlns:a16="http://schemas.microsoft.com/office/drawing/2014/main" id="{89BA2A42-ED50-1342-991A-862456D2C275}"/>
                </a:ext>
                <a:ext uri="{147F2762-F138-4A5C-976F-8EAC2B608ADB}">
                  <a16:predDERef xmlns:a16="http://schemas.microsoft.com/office/drawing/2014/main" pred="{29765FB3-27A2-B946-955A-F9D6EBD82405}"/>
                </a:ext>
              </a:extLst>
            </xdr14:cNvPr>
            <xdr14:cNvContentPartPr/>
          </xdr14:nvContentPartPr>
          <xdr14:nvPr macro=""/>
          <xdr14:xfrm>
            <a:off x="11500920" y="7430400"/>
            <a:ext cx="147960" cy="254520"/>
          </xdr14:xfrm>
        </xdr:contentPart>
      </mc:Choice>
      <mc:Fallback xmlns="">
        <xdr:pic>
          <xdr:nvPicPr>
            <xdr:cNvPr id="90" name="Ink 89">
              <a:extLst>
                <a:ext uri="{FF2B5EF4-FFF2-40B4-BE49-F238E27FC236}">
                  <a16:creationId xmlns:a16="http://schemas.microsoft.com/office/drawing/2014/main" id="{89BA2A42-ED50-1342-991A-862456D2C275}"/>
                </a:ext>
                <a:ext uri="{147F2762-F138-4A5C-976F-8EAC2B608ADB}">
                  <a16:predDERef xmlns:a16="http://schemas.microsoft.com/office/drawing/2014/main" pred="{29765FB3-27A2-B946-955A-F9D6EBD82405}"/>
                </a:ext>
              </a:extLst>
            </xdr:cNvPr>
            <xdr:cNvPicPr/>
          </xdr:nvPicPr>
          <xdr:blipFill>
            <a:blip xmlns:r="http://schemas.openxmlformats.org/officeDocument/2006/relationships" r:embed="rId177"/>
            <a:stretch>
              <a:fillRect/>
            </a:stretch>
          </xdr:blipFill>
          <xdr:spPr>
            <a:xfrm>
              <a:off x="11491920" y="7421400"/>
              <a:ext cx="165600" cy="272160"/>
            </a:xfrm>
            <a:prstGeom prst="rect">
              <a:avLst/>
            </a:prstGeom>
          </xdr:spPr>
        </xdr:pic>
      </mc:Fallback>
    </mc:AlternateContent>
    <xdr:clientData/>
  </xdr:twoCellAnchor>
  <xdr:twoCellAnchor editAs="oneCell">
    <xdr:from>
      <xdr:col>16</xdr:col>
      <xdr:colOff>94772</xdr:colOff>
      <xdr:row>40</xdr:row>
      <xdr:rowOff>89662</xdr:rowOff>
    </xdr:from>
    <xdr:to>
      <xdr:col>17</xdr:col>
      <xdr:colOff>14147</xdr:colOff>
      <xdr:row>42</xdr:row>
      <xdr:rowOff>27097</xdr:rowOff>
    </xdr:to>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91" name="Ink 90">
              <a:extLst>
                <a:ext uri="{FF2B5EF4-FFF2-40B4-BE49-F238E27FC236}">
                  <a16:creationId xmlns:a16="http://schemas.microsoft.com/office/drawing/2014/main" id="{E1DFE2B7-189A-1D45-81A2-354A25CFDCEF}"/>
                </a:ext>
                <a:ext uri="{147F2762-F138-4A5C-976F-8EAC2B608ADB}">
                  <a16:predDERef xmlns:a16="http://schemas.microsoft.com/office/drawing/2014/main" pred="{89BA2A42-ED50-1342-991A-862456D2C275}"/>
                </a:ext>
              </a:extLst>
            </xdr14:cNvPr>
            <xdr14:cNvContentPartPr/>
          </xdr14:nvContentPartPr>
          <xdr14:nvPr macro=""/>
          <xdr14:xfrm>
            <a:off x="11045160" y="8050320"/>
            <a:ext cx="271800" cy="327960"/>
          </xdr14:xfrm>
        </xdr:contentPart>
      </mc:Choice>
      <mc:Fallback xmlns="">
        <xdr:pic>
          <xdr:nvPicPr>
            <xdr:cNvPr id="91" name="Ink 90">
              <a:extLst>
                <a:ext uri="{FF2B5EF4-FFF2-40B4-BE49-F238E27FC236}">
                  <a16:creationId xmlns:a16="http://schemas.microsoft.com/office/drawing/2014/main" id="{E1DFE2B7-189A-1D45-81A2-354A25CFDCEF}"/>
                </a:ext>
                <a:ext uri="{147F2762-F138-4A5C-976F-8EAC2B608ADB}">
                  <a16:predDERef xmlns:a16="http://schemas.microsoft.com/office/drawing/2014/main" pred="{89BA2A42-ED50-1342-991A-862456D2C275}"/>
                </a:ext>
              </a:extLst>
            </xdr:cNvPr>
            <xdr:cNvPicPr/>
          </xdr:nvPicPr>
          <xdr:blipFill>
            <a:blip xmlns:r="http://schemas.openxmlformats.org/officeDocument/2006/relationships" r:embed="rId179"/>
            <a:stretch>
              <a:fillRect/>
            </a:stretch>
          </xdr:blipFill>
          <xdr:spPr>
            <a:xfrm>
              <a:off x="11036520" y="8041320"/>
              <a:ext cx="289440" cy="345600"/>
            </a:xfrm>
            <a:prstGeom prst="rect">
              <a:avLst/>
            </a:prstGeom>
          </xdr:spPr>
        </xdr:pic>
      </mc:Fallback>
    </mc:AlternateContent>
    <xdr:clientData/>
  </xdr:twoCellAnchor>
  <xdr:twoCellAnchor editAs="oneCell">
    <xdr:from>
      <xdr:col>16</xdr:col>
      <xdr:colOff>202412</xdr:colOff>
      <xdr:row>41</xdr:row>
      <xdr:rowOff>28158</xdr:rowOff>
    </xdr:from>
    <xdr:to>
      <xdr:col>16</xdr:col>
      <xdr:colOff>307172</xdr:colOff>
      <xdr:row>41</xdr:row>
      <xdr:rowOff>140118</xdr:rowOff>
    </xdr:to>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92" name="Ink 91">
              <a:extLst>
                <a:ext uri="{FF2B5EF4-FFF2-40B4-BE49-F238E27FC236}">
                  <a16:creationId xmlns:a16="http://schemas.microsoft.com/office/drawing/2014/main" id="{A73C09BD-E0C0-4947-9A05-ECD82D930259}"/>
                </a:ext>
                <a:ext uri="{147F2762-F138-4A5C-976F-8EAC2B608ADB}">
                  <a16:predDERef xmlns:a16="http://schemas.microsoft.com/office/drawing/2014/main" pred="{E1DFE2B7-189A-1D45-81A2-354A25CFDCEF}"/>
                </a:ext>
              </a:extLst>
            </xdr14:cNvPr>
            <xdr14:cNvContentPartPr/>
          </xdr14:nvContentPartPr>
          <xdr14:nvPr macro=""/>
          <xdr14:xfrm>
            <a:off x="11152800" y="8186040"/>
            <a:ext cx="104760" cy="111960"/>
          </xdr14:xfrm>
        </xdr:contentPart>
      </mc:Choice>
      <mc:Fallback xmlns="">
        <xdr:pic>
          <xdr:nvPicPr>
            <xdr:cNvPr id="92" name="Ink 91">
              <a:extLst>
                <a:ext uri="{FF2B5EF4-FFF2-40B4-BE49-F238E27FC236}">
                  <a16:creationId xmlns:a16="http://schemas.microsoft.com/office/drawing/2014/main" id="{A73C09BD-E0C0-4947-9A05-ECD82D930259}"/>
                </a:ext>
                <a:ext uri="{147F2762-F138-4A5C-976F-8EAC2B608ADB}">
                  <a16:predDERef xmlns:a16="http://schemas.microsoft.com/office/drawing/2014/main" pred="{E1DFE2B7-189A-1D45-81A2-354A25CFDCEF}"/>
                </a:ext>
              </a:extLst>
            </xdr:cNvPr>
            <xdr:cNvPicPr/>
          </xdr:nvPicPr>
          <xdr:blipFill>
            <a:blip xmlns:r="http://schemas.openxmlformats.org/officeDocument/2006/relationships" r:embed="rId181"/>
            <a:stretch>
              <a:fillRect/>
            </a:stretch>
          </xdr:blipFill>
          <xdr:spPr>
            <a:xfrm>
              <a:off x="11143800" y="8177400"/>
              <a:ext cx="122400" cy="129600"/>
            </a:xfrm>
            <a:prstGeom prst="rect">
              <a:avLst/>
            </a:prstGeom>
          </xdr:spPr>
        </xdr:pic>
      </mc:Fallback>
    </mc:AlternateContent>
    <xdr:clientData/>
  </xdr:twoCellAnchor>
  <xdr:twoCellAnchor editAs="oneCell">
    <xdr:from>
      <xdr:col>17</xdr:col>
      <xdr:colOff>8577</xdr:colOff>
      <xdr:row>40</xdr:row>
      <xdr:rowOff>124582</xdr:rowOff>
    </xdr:from>
    <xdr:to>
      <xdr:col>17</xdr:col>
      <xdr:colOff>128817</xdr:colOff>
      <xdr:row>41</xdr:row>
      <xdr:rowOff>148117</xdr:rowOff>
    </xdr:to>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93" name="Ink 92">
              <a:extLst>
                <a:ext uri="{FF2B5EF4-FFF2-40B4-BE49-F238E27FC236}">
                  <a16:creationId xmlns:a16="http://schemas.microsoft.com/office/drawing/2014/main" id="{3289DEC1-F02E-F346-B698-B16FFCA5F75F}"/>
                </a:ext>
                <a:ext uri="{147F2762-F138-4A5C-976F-8EAC2B608ADB}">
                  <a16:predDERef xmlns:a16="http://schemas.microsoft.com/office/drawing/2014/main" pred="{A73C09BD-E0C0-4947-9A05-ECD82D930259}"/>
                </a:ext>
              </a:extLst>
            </xdr14:cNvPr>
            <xdr14:cNvContentPartPr/>
          </xdr14:nvContentPartPr>
          <xdr14:nvPr macro=""/>
          <xdr14:xfrm>
            <a:off x="11331000" y="8085240"/>
            <a:ext cx="120240" cy="223560"/>
          </xdr14:xfrm>
        </xdr:contentPart>
      </mc:Choice>
      <mc:Fallback xmlns="">
        <xdr:pic>
          <xdr:nvPicPr>
            <xdr:cNvPr id="93" name="Ink 92">
              <a:extLst>
                <a:ext uri="{FF2B5EF4-FFF2-40B4-BE49-F238E27FC236}">
                  <a16:creationId xmlns:a16="http://schemas.microsoft.com/office/drawing/2014/main" id="{3289DEC1-F02E-F346-B698-B16FFCA5F75F}"/>
                </a:ext>
                <a:ext uri="{147F2762-F138-4A5C-976F-8EAC2B608ADB}">
                  <a16:predDERef xmlns:a16="http://schemas.microsoft.com/office/drawing/2014/main" pred="{A73C09BD-E0C0-4947-9A05-ECD82D930259}"/>
                </a:ext>
              </a:extLst>
            </xdr:cNvPr>
            <xdr:cNvPicPr/>
          </xdr:nvPicPr>
          <xdr:blipFill>
            <a:blip xmlns:r="http://schemas.openxmlformats.org/officeDocument/2006/relationships" r:embed="rId183"/>
            <a:stretch>
              <a:fillRect/>
            </a:stretch>
          </xdr:blipFill>
          <xdr:spPr>
            <a:xfrm>
              <a:off x="11322000" y="8076600"/>
              <a:ext cx="137880" cy="241200"/>
            </a:xfrm>
            <a:prstGeom prst="rect">
              <a:avLst/>
            </a:prstGeom>
          </xdr:spPr>
        </xdr:pic>
      </mc:Fallback>
    </mc:AlternateContent>
    <xdr:clientData/>
  </xdr:twoCellAnchor>
  <xdr:twoCellAnchor editAs="oneCell">
    <xdr:from>
      <xdr:col>17</xdr:col>
      <xdr:colOff>177417</xdr:colOff>
      <xdr:row>40</xdr:row>
      <xdr:rowOff>53662</xdr:rowOff>
    </xdr:from>
    <xdr:to>
      <xdr:col>17</xdr:col>
      <xdr:colOff>312777</xdr:colOff>
      <xdr:row>41</xdr:row>
      <xdr:rowOff>140557</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94" name="Ink 93">
              <a:extLst>
                <a:ext uri="{FF2B5EF4-FFF2-40B4-BE49-F238E27FC236}">
                  <a16:creationId xmlns:a16="http://schemas.microsoft.com/office/drawing/2014/main" id="{0B6EF0FC-83AB-FF44-8D88-40F46B546625}"/>
                </a:ext>
                <a:ext uri="{147F2762-F138-4A5C-976F-8EAC2B608ADB}">
                  <a16:predDERef xmlns:a16="http://schemas.microsoft.com/office/drawing/2014/main" pred="{3289DEC1-F02E-F346-B698-B16FFCA5F75F}"/>
                </a:ext>
              </a:extLst>
            </xdr14:cNvPr>
            <xdr14:cNvContentPartPr/>
          </xdr14:nvContentPartPr>
          <xdr14:nvPr macro=""/>
          <xdr14:xfrm>
            <a:off x="11499840" y="8014320"/>
            <a:ext cx="135360" cy="286920"/>
          </xdr14:xfrm>
        </xdr:contentPart>
      </mc:Choice>
      <mc:Fallback xmlns="">
        <xdr:pic>
          <xdr:nvPicPr>
            <xdr:cNvPr id="94" name="Ink 93">
              <a:extLst>
                <a:ext uri="{FF2B5EF4-FFF2-40B4-BE49-F238E27FC236}">
                  <a16:creationId xmlns:a16="http://schemas.microsoft.com/office/drawing/2014/main" id="{0B6EF0FC-83AB-FF44-8D88-40F46B546625}"/>
                </a:ext>
                <a:ext uri="{147F2762-F138-4A5C-976F-8EAC2B608ADB}">
                  <a16:predDERef xmlns:a16="http://schemas.microsoft.com/office/drawing/2014/main" pred="{3289DEC1-F02E-F346-B698-B16FFCA5F75F}"/>
                </a:ext>
              </a:extLst>
            </xdr:cNvPr>
            <xdr:cNvPicPr/>
          </xdr:nvPicPr>
          <xdr:blipFill>
            <a:blip xmlns:r="http://schemas.openxmlformats.org/officeDocument/2006/relationships" r:embed="rId185"/>
            <a:stretch>
              <a:fillRect/>
            </a:stretch>
          </xdr:blipFill>
          <xdr:spPr>
            <a:xfrm>
              <a:off x="11491200" y="8005680"/>
              <a:ext cx="153000" cy="304560"/>
            </a:xfrm>
            <a:prstGeom prst="rect">
              <a:avLst/>
            </a:prstGeom>
          </xdr:spPr>
        </xdr:pic>
      </mc:Fallback>
    </mc:AlternateContent>
    <xdr:clientData/>
  </xdr:twoCellAnchor>
  <xdr:twoCellAnchor editAs="oneCell">
    <xdr:from>
      <xdr:col>16</xdr:col>
      <xdr:colOff>113852</xdr:colOff>
      <xdr:row>43</xdr:row>
      <xdr:rowOff>78473</xdr:rowOff>
    </xdr:from>
    <xdr:to>
      <xdr:col>16</xdr:col>
      <xdr:colOff>344972</xdr:colOff>
      <xdr:row>45</xdr:row>
      <xdr:rowOff>12668</xdr:rowOff>
    </xdr:to>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95" name="Ink 94">
              <a:extLst>
                <a:ext uri="{FF2B5EF4-FFF2-40B4-BE49-F238E27FC236}">
                  <a16:creationId xmlns:a16="http://schemas.microsoft.com/office/drawing/2014/main" id="{326154D2-CB5B-6D40-9465-305EB526558A}"/>
                </a:ext>
                <a:ext uri="{147F2762-F138-4A5C-976F-8EAC2B608ADB}">
                  <a16:predDERef xmlns:a16="http://schemas.microsoft.com/office/drawing/2014/main" pred="{0B6EF0FC-83AB-FF44-8D88-40F46B546625}"/>
                </a:ext>
              </a:extLst>
            </xdr14:cNvPr>
            <xdr14:cNvContentPartPr/>
          </xdr14:nvContentPartPr>
          <xdr14:nvPr macro=""/>
          <xdr14:xfrm>
            <a:off x="11064240" y="8626320"/>
            <a:ext cx="231120" cy="324720"/>
          </xdr14:xfrm>
        </xdr:contentPart>
      </mc:Choice>
      <mc:Fallback xmlns="">
        <xdr:pic>
          <xdr:nvPicPr>
            <xdr:cNvPr id="95" name="Ink 94">
              <a:extLst>
                <a:ext uri="{FF2B5EF4-FFF2-40B4-BE49-F238E27FC236}">
                  <a16:creationId xmlns:a16="http://schemas.microsoft.com/office/drawing/2014/main" id="{326154D2-CB5B-6D40-9465-305EB526558A}"/>
                </a:ext>
                <a:ext uri="{147F2762-F138-4A5C-976F-8EAC2B608ADB}">
                  <a16:predDERef xmlns:a16="http://schemas.microsoft.com/office/drawing/2014/main" pred="{0B6EF0FC-83AB-FF44-8D88-40F46B546625}"/>
                </a:ext>
              </a:extLst>
            </xdr:cNvPr>
            <xdr:cNvPicPr/>
          </xdr:nvPicPr>
          <xdr:blipFill>
            <a:blip xmlns:r="http://schemas.openxmlformats.org/officeDocument/2006/relationships" r:embed="rId187"/>
            <a:stretch>
              <a:fillRect/>
            </a:stretch>
          </xdr:blipFill>
          <xdr:spPr>
            <a:xfrm>
              <a:off x="11055240" y="8617320"/>
              <a:ext cx="248760" cy="342360"/>
            </a:xfrm>
            <a:prstGeom prst="rect">
              <a:avLst/>
            </a:prstGeom>
          </xdr:spPr>
        </xdr:pic>
      </mc:Fallback>
    </mc:AlternateContent>
    <xdr:clientData/>
  </xdr:twoCellAnchor>
  <xdr:twoCellAnchor editAs="oneCell">
    <xdr:from>
      <xdr:col>16</xdr:col>
      <xdr:colOff>189092</xdr:colOff>
      <xdr:row>44</xdr:row>
      <xdr:rowOff>34250</xdr:rowOff>
    </xdr:from>
    <xdr:to>
      <xdr:col>16</xdr:col>
      <xdr:colOff>281612</xdr:colOff>
      <xdr:row>44</xdr:row>
      <xdr:rowOff>139370</xdr:rowOff>
    </xdr:to>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96" name="Ink 95">
              <a:extLst>
                <a:ext uri="{FF2B5EF4-FFF2-40B4-BE49-F238E27FC236}">
                  <a16:creationId xmlns:a16="http://schemas.microsoft.com/office/drawing/2014/main" id="{9DC31B67-D868-3344-B9C5-9D7ED97A1113}"/>
                </a:ext>
                <a:ext uri="{147F2762-F138-4A5C-976F-8EAC2B608ADB}">
                  <a16:predDERef xmlns:a16="http://schemas.microsoft.com/office/drawing/2014/main" pred="{326154D2-CB5B-6D40-9465-305EB526558A}"/>
                </a:ext>
              </a:extLst>
            </xdr14:cNvPr>
            <xdr14:cNvContentPartPr/>
          </xdr14:nvContentPartPr>
          <xdr14:nvPr macro=""/>
          <xdr14:xfrm>
            <a:off x="11139480" y="8779320"/>
            <a:ext cx="92520" cy="105120"/>
          </xdr14:xfrm>
        </xdr:contentPart>
      </mc:Choice>
      <mc:Fallback xmlns="">
        <xdr:pic>
          <xdr:nvPicPr>
            <xdr:cNvPr id="96" name="Ink 95">
              <a:extLst>
                <a:ext uri="{FF2B5EF4-FFF2-40B4-BE49-F238E27FC236}">
                  <a16:creationId xmlns:a16="http://schemas.microsoft.com/office/drawing/2014/main" id="{9DC31B67-D868-3344-B9C5-9D7ED97A1113}"/>
                </a:ext>
                <a:ext uri="{147F2762-F138-4A5C-976F-8EAC2B608ADB}">
                  <a16:predDERef xmlns:a16="http://schemas.microsoft.com/office/drawing/2014/main" pred="{326154D2-CB5B-6D40-9465-305EB526558A}"/>
                </a:ext>
              </a:extLst>
            </xdr:cNvPr>
            <xdr:cNvPicPr/>
          </xdr:nvPicPr>
          <xdr:blipFill>
            <a:blip xmlns:r="http://schemas.openxmlformats.org/officeDocument/2006/relationships" r:embed="rId189"/>
            <a:stretch>
              <a:fillRect/>
            </a:stretch>
          </xdr:blipFill>
          <xdr:spPr>
            <a:xfrm>
              <a:off x="11130480" y="8770680"/>
              <a:ext cx="110160" cy="122760"/>
            </a:xfrm>
            <a:prstGeom prst="rect">
              <a:avLst/>
            </a:prstGeom>
          </xdr:spPr>
        </xdr:pic>
      </mc:Fallback>
    </mc:AlternateContent>
    <xdr:clientData/>
  </xdr:twoCellAnchor>
  <xdr:twoCellAnchor editAs="oneCell">
    <xdr:from>
      <xdr:col>17</xdr:col>
      <xdr:colOff>11457</xdr:colOff>
      <xdr:row>43</xdr:row>
      <xdr:rowOff>160553</xdr:rowOff>
    </xdr:from>
    <xdr:to>
      <xdr:col>17</xdr:col>
      <xdr:colOff>274977</xdr:colOff>
      <xdr:row>44</xdr:row>
      <xdr:rowOff>154568</xdr:rowOff>
    </xdr:to>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97" name="Ink 96">
              <a:extLst>
                <a:ext uri="{FF2B5EF4-FFF2-40B4-BE49-F238E27FC236}">
                  <a16:creationId xmlns:a16="http://schemas.microsoft.com/office/drawing/2014/main" id="{4B13CC44-D02C-E74F-AAF3-08A2576CE74B}"/>
                </a:ext>
                <a:ext uri="{147F2762-F138-4A5C-976F-8EAC2B608ADB}">
                  <a16:predDERef xmlns:a16="http://schemas.microsoft.com/office/drawing/2014/main" pred="{9DC31B67-D868-3344-B9C5-9D7ED97A1113}"/>
                </a:ext>
              </a:extLst>
            </xdr14:cNvPr>
            <xdr14:cNvContentPartPr/>
          </xdr14:nvContentPartPr>
          <xdr14:nvPr macro=""/>
          <xdr14:xfrm>
            <a:off x="11333880" y="8708400"/>
            <a:ext cx="263520" cy="194040"/>
          </xdr14:xfrm>
        </xdr:contentPart>
      </mc:Choice>
      <mc:Fallback xmlns="">
        <xdr:pic>
          <xdr:nvPicPr>
            <xdr:cNvPr id="97" name="Ink 96">
              <a:extLst>
                <a:ext uri="{FF2B5EF4-FFF2-40B4-BE49-F238E27FC236}">
                  <a16:creationId xmlns:a16="http://schemas.microsoft.com/office/drawing/2014/main" id="{4B13CC44-D02C-E74F-AAF3-08A2576CE74B}"/>
                </a:ext>
                <a:ext uri="{147F2762-F138-4A5C-976F-8EAC2B608ADB}">
                  <a16:predDERef xmlns:a16="http://schemas.microsoft.com/office/drawing/2014/main" pred="{9DC31B67-D868-3344-B9C5-9D7ED97A1113}"/>
                </a:ext>
              </a:extLst>
            </xdr:cNvPr>
            <xdr:cNvPicPr/>
          </xdr:nvPicPr>
          <xdr:blipFill>
            <a:blip xmlns:r="http://schemas.openxmlformats.org/officeDocument/2006/relationships" r:embed="rId191"/>
            <a:stretch>
              <a:fillRect/>
            </a:stretch>
          </xdr:blipFill>
          <xdr:spPr>
            <a:xfrm>
              <a:off x="11324880" y="8699400"/>
              <a:ext cx="281160" cy="211680"/>
            </a:xfrm>
            <a:prstGeom prst="rect">
              <a:avLst/>
            </a:prstGeom>
          </xdr:spPr>
        </xdr:pic>
      </mc:Fallback>
    </mc:AlternateContent>
    <xdr:clientData/>
  </xdr:twoCellAnchor>
  <xdr:twoCellAnchor editAs="oneCell">
    <xdr:from>
      <xdr:col>17</xdr:col>
      <xdr:colOff>313497</xdr:colOff>
      <xdr:row>43</xdr:row>
      <xdr:rowOff>80993</xdr:rowOff>
    </xdr:from>
    <xdr:to>
      <xdr:col>18</xdr:col>
      <xdr:colOff>107232</xdr:colOff>
      <xdr:row>44</xdr:row>
      <xdr:rowOff>118208</xdr:rowOff>
    </xdr:to>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98" name="Ink 97">
              <a:extLst>
                <a:ext uri="{FF2B5EF4-FFF2-40B4-BE49-F238E27FC236}">
                  <a16:creationId xmlns:a16="http://schemas.microsoft.com/office/drawing/2014/main" id="{5EC81485-C637-DE48-A8E8-07B7DF4A77EB}"/>
                </a:ext>
                <a:ext uri="{147F2762-F138-4A5C-976F-8EAC2B608ADB}">
                  <a16:predDERef xmlns:a16="http://schemas.microsoft.com/office/drawing/2014/main" pred="{4B13CC44-D02C-E74F-AAF3-08A2576CE74B}"/>
                </a:ext>
              </a:extLst>
            </xdr14:cNvPr>
            <xdr14:cNvContentPartPr/>
          </xdr14:nvContentPartPr>
          <xdr14:nvPr macro=""/>
          <xdr14:xfrm>
            <a:off x="11635920" y="8628840"/>
            <a:ext cx="146160" cy="237240"/>
          </xdr14:xfrm>
        </xdr:contentPart>
      </mc:Choice>
      <mc:Fallback xmlns="">
        <xdr:pic>
          <xdr:nvPicPr>
            <xdr:cNvPr id="98" name="Ink 97">
              <a:extLst>
                <a:ext uri="{FF2B5EF4-FFF2-40B4-BE49-F238E27FC236}">
                  <a16:creationId xmlns:a16="http://schemas.microsoft.com/office/drawing/2014/main" id="{5EC81485-C637-DE48-A8E8-07B7DF4A77EB}"/>
                </a:ext>
                <a:ext uri="{147F2762-F138-4A5C-976F-8EAC2B608ADB}">
                  <a16:predDERef xmlns:a16="http://schemas.microsoft.com/office/drawing/2014/main" pred="{4B13CC44-D02C-E74F-AAF3-08A2576CE74B}"/>
                </a:ext>
              </a:extLst>
            </xdr:cNvPr>
            <xdr:cNvPicPr/>
          </xdr:nvPicPr>
          <xdr:blipFill>
            <a:blip xmlns:r="http://schemas.openxmlformats.org/officeDocument/2006/relationships" r:embed="rId193"/>
            <a:stretch>
              <a:fillRect/>
            </a:stretch>
          </xdr:blipFill>
          <xdr:spPr>
            <a:xfrm>
              <a:off x="11626920" y="8620200"/>
              <a:ext cx="163800" cy="254880"/>
            </a:xfrm>
            <a:prstGeom prst="rect">
              <a:avLst/>
            </a:prstGeom>
          </xdr:spPr>
        </xdr:pic>
      </mc:Fallback>
    </mc:AlternateContent>
    <xdr:clientData/>
  </xdr:twoCellAnchor>
  <xdr:twoCellAnchor editAs="oneCell">
    <xdr:from>
      <xdr:col>16</xdr:col>
      <xdr:colOff>107012</xdr:colOff>
      <xdr:row>46</xdr:row>
      <xdr:rowOff>5365</xdr:rowOff>
    </xdr:from>
    <xdr:to>
      <xdr:col>18</xdr:col>
      <xdr:colOff>233762</xdr:colOff>
      <xdr:row>47</xdr:row>
      <xdr:rowOff>143380</xdr:rowOff>
    </xdr:to>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99" name="Ink 98">
              <a:extLst>
                <a:ext uri="{FF2B5EF4-FFF2-40B4-BE49-F238E27FC236}">
                  <a16:creationId xmlns:a16="http://schemas.microsoft.com/office/drawing/2014/main" id="{27490D15-ACCB-AE45-8A2E-7C48763EB860}"/>
                </a:ext>
                <a:ext uri="{147F2762-F138-4A5C-976F-8EAC2B608ADB}">
                  <a16:predDERef xmlns:a16="http://schemas.microsoft.com/office/drawing/2014/main" pred="{5EC81485-C637-DE48-A8E8-07B7DF4A77EB}"/>
                </a:ext>
              </a:extLst>
            </xdr14:cNvPr>
            <xdr14:cNvContentPartPr/>
          </xdr14:nvContentPartPr>
          <xdr14:nvPr macro=""/>
          <xdr14:xfrm>
            <a:off x="11057400" y="9140400"/>
            <a:ext cx="831600" cy="338040"/>
          </xdr14:xfrm>
        </xdr:contentPart>
      </mc:Choice>
      <mc:Fallback xmlns="">
        <xdr:pic>
          <xdr:nvPicPr>
            <xdr:cNvPr id="99" name="Ink 98">
              <a:extLst>
                <a:ext uri="{FF2B5EF4-FFF2-40B4-BE49-F238E27FC236}">
                  <a16:creationId xmlns:a16="http://schemas.microsoft.com/office/drawing/2014/main" id="{27490D15-ACCB-AE45-8A2E-7C48763EB860}"/>
                </a:ext>
                <a:ext uri="{147F2762-F138-4A5C-976F-8EAC2B608ADB}">
                  <a16:predDERef xmlns:a16="http://schemas.microsoft.com/office/drawing/2014/main" pred="{5EC81485-C637-DE48-A8E8-07B7DF4A77EB}"/>
                </a:ext>
              </a:extLst>
            </xdr:cNvPr>
            <xdr:cNvPicPr/>
          </xdr:nvPicPr>
          <xdr:blipFill>
            <a:blip xmlns:r="http://schemas.openxmlformats.org/officeDocument/2006/relationships" r:embed="rId195"/>
            <a:stretch>
              <a:fillRect/>
            </a:stretch>
          </xdr:blipFill>
          <xdr:spPr>
            <a:xfrm>
              <a:off x="11048400" y="9131760"/>
              <a:ext cx="849240" cy="355680"/>
            </a:xfrm>
            <a:prstGeom prst="rect">
              <a:avLst/>
            </a:prstGeom>
          </xdr:spPr>
        </xdr:pic>
      </mc:Fallback>
    </mc:AlternateContent>
    <xdr:clientData/>
  </xdr:twoCellAnchor>
  <xdr:twoCellAnchor editAs="oneCell">
    <xdr:from>
      <xdr:col>16</xdr:col>
      <xdr:colOff>316532</xdr:colOff>
      <xdr:row>47</xdr:row>
      <xdr:rowOff>100822</xdr:rowOff>
    </xdr:from>
    <xdr:to>
      <xdr:col>19</xdr:col>
      <xdr:colOff>227297</xdr:colOff>
      <xdr:row>50</xdr:row>
      <xdr:rowOff>58552</xdr:rowOff>
    </xdr:to>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00" name="Ink 99">
              <a:extLst>
                <a:ext uri="{FF2B5EF4-FFF2-40B4-BE49-F238E27FC236}">
                  <a16:creationId xmlns:a16="http://schemas.microsoft.com/office/drawing/2014/main" id="{4EF32065-1A87-A745-8035-2067E00D459A}"/>
                </a:ext>
                <a:ext uri="{147F2762-F138-4A5C-976F-8EAC2B608ADB}">
                  <a16:predDERef xmlns:a16="http://schemas.microsoft.com/office/drawing/2014/main" pred="{27490D15-ACCB-AE45-8A2E-7C48763EB860}"/>
                </a:ext>
              </a:extLst>
            </xdr14:cNvPr>
            <xdr14:cNvContentPartPr/>
          </xdr14:nvContentPartPr>
          <xdr14:nvPr macro=""/>
          <xdr14:xfrm>
            <a:off x="11266920" y="9433080"/>
            <a:ext cx="968040" cy="548280"/>
          </xdr14:xfrm>
        </xdr:contentPart>
      </mc:Choice>
      <mc:Fallback xmlns="">
        <xdr:pic>
          <xdr:nvPicPr>
            <xdr:cNvPr id="100" name="Ink 99">
              <a:extLst>
                <a:ext uri="{FF2B5EF4-FFF2-40B4-BE49-F238E27FC236}">
                  <a16:creationId xmlns:a16="http://schemas.microsoft.com/office/drawing/2014/main" id="{4EF32065-1A87-A745-8035-2067E00D459A}"/>
                </a:ext>
                <a:ext uri="{147F2762-F138-4A5C-976F-8EAC2B608ADB}">
                  <a16:predDERef xmlns:a16="http://schemas.microsoft.com/office/drawing/2014/main" pred="{27490D15-ACCB-AE45-8A2E-7C48763EB860}"/>
                </a:ext>
              </a:extLst>
            </xdr:cNvPr>
            <xdr:cNvPicPr/>
          </xdr:nvPicPr>
          <xdr:blipFill>
            <a:blip xmlns:r="http://schemas.openxmlformats.org/officeDocument/2006/relationships" r:embed="rId197"/>
            <a:stretch>
              <a:fillRect/>
            </a:stretch>
          </xdr:blipFill>
          <xdr:spPr>
            <a:xfrm>
              <a:off x="11258280" y="9424440"/>
              <a:ext cx="985680" cy="565920"/>
            </a:xfrm>
            <a:prstGeom prst="rect">
              <a:avLst/>
            </a:prstGeom>
          </xdr:spPr>
        </xdr:pic>
      </mc:Fallback>
    </mc:AlternateContent>
    <xdr:clientData/>
  </xdr:twoCellAnchor>
  <xdr:twoCellAnchor editAs="oneCell">
    <xdr:from>
      <xdr:col>17</xdr:col>
      <xdr:colOff>221697</xdr:colOff>
      <xdr:row>49</xdr:row>
      <xdr:rowOff>151497</xdr:rowOff>
    </xdr:from>
    <xdr:to>
      <xdr:col>17</xdr:col>
      <xdr:colOff>337617</xdr:colOff>
      <xdr:row>51</xdr:row>
      <xdr:rowOff>3972</xdr:rowOff>
    </xdr:to>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01" name="Ink 100">
              <a:extLst>
                <a:ext uri="{FF2B5EF4-FFF2-40B4-BE49-F238E27FC236}">
                  <a16:creationId xmlns:a16="http://schemas.microsoft.com/office/drawing/2014/main" id="{45CA6C98-63AF-ED4E-965D-4AFFEFBBB236}"/>
                </a:ext>
                <a:ext uri="{147F2762-F138-4A5C-976F-8EAC2B608ADB}">
                  <a16:predDERef xmlns:a16="http://schemas.microsoft.com/office/drawing/2014/main" pred="{4EF32065-1A87-A745-8035-2067E00D459A}"/>
                </a:ext>
              </a:extLst>
            </xdr14:cNvPr>
            <xdr14:cNvContentPartPr/>
          </xdr14:nvContentPartPr>
          <xdr14:nvPr macro=""/>
          <xdr14:xfrm>
            <a:off x="11544120" y="9873720"/>
            <a:ext cx="115920" cy="243000"/>
          </xdr14:xfrm>
        </xdr:contentPart>
      </mc:Choice>
      <mc:Fallback xmlns="">
        <xdr:pic>
          <xdr:nvPicPr>
            <xdr:cNvPr id="101" name="Ink 100">
              <a:extLst>
                <a:ext uri="{FF2B5EF4-FFF2-40B4-BE49-F238E27FC236}">
                  <a16:creationId xmlns:a16="http://schemas.microsoft.com/office/drawing/2014/main" id="{45CA6C98-63AF-ED4E-965D-4AFFEFBBB236}"/>
                </a:ext>
                <a:ext uri="{147F2762-F138-4A5C-976F-8EAC2B608ADB}">
                  <a16:predDERef xmlns:a16="http://schemas.microsoft.com/office/drawing/2014/main" pred="{4EF32065-1A87-A745-8035-2067E00D459A}"/>
                </a:ext>
              </a:extLst>
            </xdr:cNvPr>
            <xdr:cNvPicPr/>
          </xdr:nvPicPr>
          <xdr:blipFill>
            <a:blip xmlns:r="http://schemas.openxmlformats.org/officeDocument/2006/relationships" r:embed="rId199"/>
            <a:stretch>
              <a:fillRect/>
            </a:stretch>
          </xdr:blipFill>
          <xdr:spPr>
            <a:xfrm>
              <a:off x="11535120" y="9864720"/>
              <a:ext cx="133560" cy="260640"/>
            </a:xfrm>
            <a:prstGeom prst="rect">
              <a:avLst/>
            </a:prstGeom>
          </xdr:spPr>
        </xdr:pic>
      </mc:Fallback>
    </mc:AlternateContent>
    <xdr:clientData/>
  </xdr:twoCellAnchor>
  <xdr:twoCellAnchor editAs="oneCell">
    <xdr:from>
      <xdr:col>16</xdr:col>
      <xdr:colOff>322292</xdr:colOff>
      <xdr:row>49</xdr:row>
      <xdr:rowOff>51417</xdr:rowOff>
    </xdr:from>
    <xdr:to>
      <xdr:col>18</xdr:col>
      <xdr:colOff>279482</xdr:colOff>
      <xdr:row>52</xdr:row>
      <xdr:rowOff>22107</xdr:rowOff>
    </xdr:to>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02" name="Ink 101">
              <a:extLst>
                <a:ext uri="{FF2B5EF4-FFF2-40B4-BE49-F238E27FC236}">
                  <a16:creationId xmlns:a16="http://schemas.microsoft.com/office/drawing/2014/main" id="{7D583E08-5FDB-D649-85D4-919D338C5229}"/>
                </a:ext>
                <a:ext uri="{147F2762-F138-4A5C-976F-8EAC2B608ADB}">
                  <a16:predDERef xmlns:a16="http://schemas.microsoft.com/office/drawing/2014/main" pred="{45CA6C98-63AF-ED4E-965D-4AFFEFBBB236}"/>
                </a:ext>
              </a:extLst>
            </xdr14:cNvPr>
            <xdr14:cNvContentPartPr/>
          </xdr14:nvContentPartPr>
          <xdr14:nvPr macro=""/>
          <xdr14:xfrm>
            <a:off x="11272680" y="9773640"/>
            <a:ext cx="662040" cy="561240"/>
          </xdr14:xfrm>
        </xdr:contentPart>
      </mc:Choice>
      <mc:Fallback xmlns="">
        <xdr:pic>
          <xdr:nvPicPr>
            <xdr:cNvPr id="102" name="Ink 101">
              <a:extLst>
                <a:ext uri="{FF2B5EF4-FFF2-40B4-BE49-F238E27FC236}">
                  <a16:creationId xmlns:a16="http://schemas.microsoft.com/office/drawing/2014/main" id="{7D583E08-5FDB-D649-85D4-919D338C5229}"/>
                </a:ext>
                <a:ext uri="{147F2762-F138-4A5C-976F-8EAC2B608ADB}">
                  <a16:predDERef xmlns:a16="http://schemas.microsoft.com/office/drawing/2014/main" pred="{45CA6C98-63AF-ED4E-965D-4AFFEFBBB236}"/>
                </a:ext>
              </a:extLst>
            </xdr:cNvPr>
            <xdr:cNvPicPr/>
          </xdr:nvPicPr>
          <xdr:blipFill>
            <a:blip xmlns:r="http://schemas.openxmlformats.org/officeDocument/2006/relationships" r:embed="rId201"/>
            <a:stretch>
              <a:fillRect/>
            </a:stretch>
          </xdr:blipFill>
          <xdr:spPr>
            <a:xfrm>
              <a:off x="11263680" y="9764640"/>
              <a:ext cx="679680" cy="578880"/>
            </a:xfrm>
            <a:prstGeom prst="rect">
              <a:avLst/>
            </a:prstGeom>
          </xdr:spPr>
        </xdr:pic>
      </mc:Fallback>
    </mc:AlternateContent>
    <xdr:clientData/>
  </xdr:twoCellAnchor>
  <xdr:twoCellAnchor editAs="oneCell">
    <xdr:from>
      <xdr:col>16</xdr:col>
      <xdr:colOff>332012</xdr:colOff>
      <xdr:row>47</xdr:row>
      <xdr:rowOff>142222</xdr:rowOff>
    </xdr:from>
    <xdr:to>
      <xdr:col>19</xdr:col>
      <xdr:colOff>857</xdr:colOff>
      <xdr:row>52</xdr:row>
      <xdr:rowOff>50347</xdr:rowOff>
    </xdr:to>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103" name="Ink 102">
              <a:extLst>
                <a:ext uri="{FF2B5EF4-FFF2-40B4-BE49-F238E27FC236}">
                  <a16:creationId xmlns:a16="http://schemas.microsoft.com/office/drawing/2014/main" id="{3535C02F-2F17-4443-B8C1-F981B355E164}"/>
                </a:ext>
                <a:ext uri="{147F2762-F138-4A5C-976F-8EAC2B608ADB}">
                  <a16:predDERef xmlns:a16="http://schemas.microsoft.com/office/drawing/2014/main" pred="{7D583E08-5FDB-D649-85D4-919D338C5229}"/>
                </a:ext>
              </a:extLst>
            </xdr14:cNvPr>
            <xdr14:cNvContentPartPr/>
          </xdr14:nvContentPartPr>
          <xdr14:nvPr macro=""/>
          <xdr14:xfrm>
            <a:off x="11282400" y="9474480"/>
            <a:ext cx="726120" cy="889200"/>
          </xdr14:xfrm>
        </xdr:contentPart>
      </mc:Choice>
      <mc:Fallback xmlns="">
        <xdr:pic>
          <xdr:nvPicPr>
            <xdr:cNvPr id="103" name="Ink 102">
              <a:extLst>
                <a:ext uri="{FF2B5EF4-FFF2-40B4-BE49-F238E27FC236}">
                  <a16:creationId xmlns:a16="http://schemas.microsoft.com/office/drawing/2014/main" id="{3535C02F-2F17-4443-B8C1-F981B355E164}"/>
                </a:ext>
                <a:ext uri="{147F2762-F138-4A5C-976F-8EAC2B608ADB}">
                  <a16:predDERef xmlns:a16="http://schemas.microsoft.com/office/drawing/2014/main" pred="{7D583E08-5FDB-D649-85D4-919D338C5229}"/>
                </a:ext>
              </a:extLst>
            </xdr:cNvPr>
            <xdr:cNvPicPr/>
          </xdr:nvPicPr>
          <xdr:blipFill>
            <a:blip xmlns:r="http://schemas.openxmlformats.org/officeDocument/2006/relationships" r:embed="rId203"/>
            <a:stretch>
              <a:fillRect/>
            </a:stretch>
          </xdr:blipFill>
          <xdr:spPr>
            <a:xfrm>
              <a:off x="11273760" y="9465840"/>
              <a:ext cx="743760" cy="906840"/>
            </a:xfrm>
            <a:prstGeom prst="rect">
              <a:avLst/>
            </a:prstGeom>
          </xdr:spPr>
        </xdr:pic>
      </mc:Fallback>
    </mc:AlternateContent>
    <xdr:clientData/>
  </xdr:twoCellAnchor>
  <xdr:twoCellAnchor editAs="oneCell">
    <xdr:from>
      <xdr:col>19</xdr:col>
      <xdr:colOff>119867</xdr:colOff>
      <xdr:row>47</xdr:row>
      <xdr:rowOff>165262</xdr:rowOff>
    </xdr:from>
    <xdr:to>
      <xdr:col>20</xdr:col>
      <xdr:colOff>35282</xdr:colOff>
      <xdr:row>50</xdr:row>
      <xdr:rowOff>47752</xdr:rowOff>
    </xdr:to>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104" name="Ink 103">
              <a:extLst>
                <a:ext uri="{FF2B5EF4-FFF2-40B4-BE49-F238E27FC236}">
                  <a16:creationId xmlns:a16="http://schemas.microsoft.com/office/drawing/2014/main" id="{84691A4E-A157-B74C-8DD7-63BEDE9D8D0B}"/>
                </a:ext>
                <a:ext uri="{147F2762-F138-4A5C-976F-8EAC2B608ADB}">
                  <a16:predDERef xmlns:a16="http://schemas.microsoft.com/office/drawing/2014/main" pred="{3535C02F-2F17-4443-B8C1-F981B355E164}"/>
                </a:ext>
              </a:extLst>
            </xdr14:cNvPr>
            <xdr14:cNvContentPartPr/>
          </xdr14:nvContentPartPr>
          <xdr14:nvPr macro=""/>
          <xdr14:xfrm>
            <a:off x="12186360" y="9497520"/>
            <a:ext cx="267840" cy="473040"/>
          </xdr14:xfrm>
        </xdr:contentPart>
      </mc:Choice>
      <mc:Fallback xmlns="">
        <xdr:pic>
          <xdr:nvPicPr>
            <xdr:cNvPr id="104" name="Ink 103">
              <a:extLst>
                <a:ext uri="{FF2B5EF4-FFF2-40B4-BE49-F238E27FC236}">
                  <a16:creationId xmlns:a16="http://schemas.microsoft.com/office/drawing/2014/main" id="{84691A4E-A157-B74C-8DD7-63BEDE9D8D0B}"/>
                </a:ext>
                <a:ext uri="{147F2762-F138-4A5C-976F-8EAC2B608ADB}">
                  <a16:predDERef xmlns:a16="http://schemas.microsoft.com/office/drawing/2014/main" pred="{3535C02F-2F17-4443-B8C1-F981B355E164}"/>
                </a:ext>
              </a:extLst>
            </xdr:cNvPr>
            <xdr:cNvPicPr/>
          </xdr:nvPicPr>
          <xdr:blipFill>
            <a:blip xmlns:r="http://schemas.openxmlformats.org/officeDocument/2006/relationships" r:embed="rId205"/>
            <a:stretch>
              <a:fillRect/>
            </a:stretch>
          </xdr:blipFill>
          <xdr:spPr>
            <a:xfrm>
              <a:off x="12177720" y="9488520"/>
              <a:ext cx="285480" cy="490680"/>
            </a:xfrm>
            <a:prstGeom prst="rect">
              <a:avLst/>
            </a:prstGeom>
          </xdr:spPr>
        </xdr:pic>
      </mc:Fallback>
    </mc:AlternateContent>
    <xdr:clientData/>
  </xdr:twoCellAnchor>
  <xdr:twoCellAnchor editAs="oneCell">
    <xdr:from>
      <xdr:col>19</xdr:col>
      <xdr:colOff>201587</xdr:colOff>
      <xdr:row>47</xdr:row>
      <xdr:rowOff>145462</xdr:rowOff>
    </xdr:from>
    <xdr:to>
      <xdr:col>21</xdr:col>
      <xdr:colOff>112697</xdr:colOff>
      <xdr:row>49</xdr:row>
      <xdr:rowOff>128977</xdr:rowOff>
    </xdr:to>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105" name="Ink 104">
              <a:extLst>
                <a:ext uri="{FF2B5EF4-FFF2-40B4-BE49-F238E27FC236}">
                  <a16:creationId xmlns:a16="http://schemas.microsoft.com/office/drawing/2014/main" id="{E85E74F0-1F1C-6948-B12F-3F95A01AD15E}"/>
                </a:ext>
                <a:ext uri="{147F2762-F138-4A5C-976F-8EAC2B608ADB}">
                  <a16:predDERef xmlns:a16="http://schemas.microsoft.com/office/drawing/2014/main" pred="{84691A4E-A157-B74C-8DD7-63BEDE9D8D0B}"/>
                </a:ext>
              </a:extLst>
            </xdr14:cNvPr>
            <xdr14:cNvContentPartPr/>
          </xdr14:nvContentPartPr>
          <xdr14:nvPr macro=""/>
          <xdr14:xfrm>
            <a:off x="12268080" y="9477720"/>
            <a:ext cx="615960" cy="374040"/>
          </xdr14:xfrm>
        </xdr:contentPart>
      </mc:Choice>
      <mc:Fallback xmlns="">
        <xdr:pic>
          <xdr:nvPicPr>
            <xdr:cNvPr id="105" name="Ink 104">
              <a:extLst>
                <a:ext uri="{FF2B5EF4-FFF2-40B4-BE49-F238E27FC236}">
                  <a16:creationId xmlns:a16="http://schemas.microsoft.com/office/drawing/2014/main" id="{E85E74F0-1F1C-6948-B12F-3F95A01AD15E}"/>
                </a:ext>
                <a:ext uri="{147F2762-F138-4A5C-976F-8EAC2B608ADB}">
                  <a16:predDERef xmlns:a16="http://schemas.microsoft.com/office/drawing/2014/main" pred="{84691A4E-A157-B74C-8DD7-63BEDE9D8D0B}"/>
                </a:ext>
              </a:extLst>
            </xdr:cNvPr>
            <xdr:cNvPicPr/>
          </xdr:nvPicPr>
          <xdr:blipFill>
            <a:blip xmlns:r="http://schemas.openxmlformats.org/officeDocument/2006/relationships" r:embed="rId207"/>
            <a:stretch>
              <a:fillRect/>
            </a:stretch>
          </xdr:blipFill>
          <xdr:spPr>
            <a:xfrm>
              <a:off x="12259080" y="9468720"/>
              <a:ext cx="633600" cy="39168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4</xdr:col>
      <xdr:colOff>71011</xdr:colOff>
      <xdr:row>0</xdr:row>
      <xdr:rowOff>66674</xdr:rowOff>
    </xdr:from>
    <xdr:to>
      <xdr:col>10</xdr:col>
      <xdr:colOff>552451</xdr:colOff>
      <xdr:row>3</xdr:row>
      <xdr:rowOff>152399</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0636" y="66674"/>
          <a:ext cx="341831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45</xdr:row>
      <xdr:rowOff>76200</xdr:rowOff>
    </xdr:from>
    <xdr:to>
      <xdr:col>5</xdr:col>
      <xdr:colOff>91440</xdr:colOff>
      <xdr:row>49</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9867900"/>
          <a:ext cx="3291838" cy="1047749"/>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600708</xdr:colOff>
      <xdr:row>7</xdr:row>
      <xdr:rowOff>54117</xdr:rowOff>
    </xdr:from>
    <xdr:to>
      <xdr:col>10</xdr:col>
      <xdr:colOff>850614</xdr:colOff>
      <xdr:row>17</xdr:row>
      <xdr:rowOff>37323</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728968" y="1410477"/>
          <a:ext cx="1979646" cy="1979646"/>
        </a:xfrm>
        <a:prstGeom prst="rect">
          <a:avLst/>
        </a:prstGeom>
        <a:scene3d>
          <a:camera prst="orthographicFront"/>
          <a:lightRig rig="threePt" dir="t"/>
        </a:scene3d>
        <a:sp3d>
          <a:bevelT/>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411480</xdr:colOff>
      <xdr:row>3</xdr:row>
      <xdr:rowOff>138519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168041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480060</xdr:colOff>
      <xdr:row>40</xdr:row>
      <xdr:rowOff>83820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464820</xdr:colOff>
      <xdr:row>37</xdr:row>
      <xdr:rowOff>30480</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00025" y="5000625"/>
          <a:ext cx="464820" cy="459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Perfect%20Shutters%20Work\Survey%20Sheet%20-%20Sales%20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Survey Front"/>
      <sheetName val="Drawing"/>
      <sheetName val="Technical"/>
      <sheetName val="Data"/>
      <sheetName val="Matrix2"/>
      <sheetName val="Pro Quote"/>
      <sheetName val="CS2"/>
      <sheetName val="Matrix"/>
      <sheetName val="Front Sheet"/>
      <sheetName val="Antigua"/>
      <sheetName val="Cuba"/>
      <sheetName val="Java"/>
      <sheetName val="Fiji"/>
      <sheetName val="Bermuda"/>
      <sheetName val="Samoa"/>
      <sheetName val="Survey Sheet - Sales 7a"/>
    </sheetNames>
    <sheetDataSet>
      <sheetData sheetId="0" refreshError="1"/>
      <sheetData sheetId="1" refreshError="1"/>
      <sheetData sheetId="2" refreshError="1"/>
      <sheetData sheetId="3" refreshError="1"/>
      <sheetData sheetId="4">
        <row r="2">
          <cell r="A2" t="str">
            <v>Living room</v>
          </cell>
          <cell r="B2" t="str">
            <v>Front</v>
          </cell>
          <cell r="C2" t="str">
            <v>Full Height</v>
          </cell>
          <cell r="D2" t="str">
            <v>Antigua</v>
          </cell>
        </row>
        <row r="3">
          <cell r="A3" t="str">
            <v>Dining room</v>
          </cell>
          <cell r="B3" t="str">
            <v>Back</v>
          </cell>
          <cell r="C3" t="str">
            <v>Café</v>
          </cell>
          <cell r="D3" t="str">
            <v>Bermuda</v>
          </cell>
        </row>
        <row r="4">
          <cell r="A4" t="str">
            <v>Kitchen</v>
          </cell>
          <cell r="B4" t="str">
            <v>Bay</v>
          </cell>
          <cell r="C4" t="str">
            <v>Tier on Tier</v>
          </cell>
          <cell r="D4" t="str">
            <v>Cuba</v>
          </cell>
        </row>
        <row r="5">
          <cell r="A5" t="str">
            <v>Hall</v>
          </cell>
          <cell r="B5" t="str">
            <v>Front Left</v>
          </cell>
          <cell r="C5" t="str">
            <v>Shape</v>
          </cell>
          <cell r="D5" t="str">
            <v>Java</v>
          </cell>
        </row>
        <row r="6">
          <cell r="A6" t="str">
            <v>Bedroom</v>
          </cell>
          <cell r="B6" t="str">
            <v>Front Right</v>
          </cell>
          <cell r="C6" t="str">
            <v>Tracked</v>
          </cell>
          <cell r="D6" t="str">
            <v>Fiji</v>
          </cell>
        </row>
        <row r="7">
          <cell r="A7" t="str">
            <v>Bathroom</v>
          </cell>
          <cell r="B7" t="str">
            <v>Front Centre</v>
          </cell>
          <cell r="C7" t="str">
            <v>S/Shade</v>
          </cell>
          <cell r="D7" t="str">
            <v>Samoa</v>
          </cell>
        </row>
        <row r="8">
          <cell r="A8" t="str">
            <v>Conservatory</v>
          </cell>
          <cell r="B8" t="str">
            <v>Back Left</v>
          </cell>
        </row>
        <row r="9">
          <cell r="B9" t="str">
            <v>Back Right</v>
          </cell>
        </row>
        <row r="10">
          <cell r="B10" t="str">
            <v>Back Centre</v>
          </cell>
        </row>
        <row r="11">
          <cell r="B11">
            <v>1</v>
          </cell>
        </row>
        <row r="12">
          <cell r="B12">
            <v>2</v>
          </cell>
        </row>
        <row r="13">
          <cell r="B13">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22.887"/>
    </inkml:context>
    <inkml:brush xml:id="br0">
      <inkml:brushProperty name="width" value="0.05" units="cm"/>
      <inkml:brushProperty name="height" value="0.05" units="cm"/>
    </inkml:brush>
  </inkml:definitions>
  <inkml:trace contextRef="#ctx0" brushRef="#br0">1 132 1320,'0'0'0,"0"0"40,2-3 0,-2 1 8,2-1-8,-2 3-40,3-2 56,-1 0 16,0-2 24,1 0 48,-1 2 72,1-2 40,-3 4-256,2-3 320,0-1 72,1 1 24,-1-1 64,-2 2 8,3-2 33,-3 4-521,0-2 544,2-1 40,0 1 8,1-1 16,-3 0 24,2-1-32,-2 4-600,0-3 608,3 0-79,-1 1-1,-2 2-64,2-2-16,1-1 0,-3 3-448,2-2 384,1-1 40,-3 1-144,2 0-16,0-1-56,1 3-40,-3 0-168,0-2 184,2 2 0,1 0 8,-1 0 0,-2 0-7,2 0 23,-2 0-208,0 0 176,3 0 32,-3 0-24,0 0-48,0 0 48,0 0-8,0 0-176,2 0 248,-2 0 16,0 0-16,0 1-24,0 0 24,0 0-16,0-1-232,0 3 256,0-1 24,0 2-72,0-1 48,-1 1-96,0 1-16,1-5-144,-1 9 152,-1-6-16,1 0 32,0 1-47,0 5 39,0-5-64,1-4-96,-2 5 104,1 4 8,1-5-24,-1 7-16,0-8-24,1 8 56,0-11-104,-1 5 88,-1 5 8,1-6 64,0 8 16,0-8-48,0 8 24,1-12-152,-2 4 72,2 9 8,-1-4-8,0 1 48,1-1-48,0 2 48,0-11-120,-1 4 96,1 8 8,0-7 48,0 7-80,0-8 24,0 10 8,0-14-104,0 9 136,0 1 32,0 1-8,2-7 24,-2 10-40,3-5 16,-3-9-160,2 10 152,0 0-40,-2 2 8,3-1 16,-1 1-72,1-1 72,-3-11-136,2 11 104,0 0-7,1 1-17,-1-2 16,1 1 40,-3 0 0,0-11-136,2 10 192,-2-1-24,2 1-8,-2 0-32,0 1-32,0 1 16,0-12-112,0 12 96,0 1 16,0-2 40,0 1-48,0 1 8,0 1-48,0-14-64,0 14 32,0 0 48,0 1-32,0-2 88,0-1-16,0 0-48,0-12-72,0 12 64,3 2-72,-3-2 48,0 0 32,2 0-16,-2 0 32,0-12-88,3 12 40,-3-1 0,2 3 24,-2-2-24,2 1-8,-2 1-8,0-14-24,3 12 16,-3-2 0,2 4 40,1-1-16,-3 0 8,2 0-8,-2-13-40,0 11 16,0 2 24,2-1-8,-2 1 0,0 2-8,0-2 24,0-13-48,0 14 24,0-2-40,0 1 64,0 1 40,0-1-48,0 0 8,0-13-48,0 12 24,-1-1-112,0 0 160,1-1-40,-1 1-16,1 1 0,0-12-16,0 12-32,0-1 88,0 1-40,0-1 88,0-2-72,0 2 24,0-11-56,0 10 0,0-6 0,2 8 32,-2-8-96,3 7 136,-3-8-24,0-3-48,2 11 72,-2-7-24,0 7-64,2-8-16,-2 9-8,3-8 24,-3-4 16,0 10-64,2-6 128,-2 1-48,3 4 40,-3-7 32,2 2-56,-2-4-32,0 5 56,2 5-56,-2-7 32,3 1-32,-3 1-16,0 0 0,0-5 16,2 3-32,-2 7 32,0-7 16,0 2-16,0 5 32,3-7-64,-3-3 32,0 4-32,0 6 80,2-8-80,-2 2 96,2-1-40,-2 1 40,0-4-64,3 3 16,-3 1-64,0-1 16,0 1-56,2-2 136,1 1-32,-3-1 8,0-2-24,0 3 64,0-2-64,2 1 16,-2-1 8,0 1-64,2 0 24,-2-2 16,0 1 0,0 2 16,3-1 56,-3-1-88,0 0-16,0-1 32,0 2 16,0-1-56,2 0 56,-2 0 8,0 0-40,3-1 16,-3 0 32,0 0-32,0 2-16,0-2 32,2 1 16,-2-1 8,0 0-56,2 0-24,-2 0 40,0 0-16,0 1 0,3 0 48,-1-1-16,-2 0 8,2 0-48,-2 0 24,3 0-32,-1 0 32,1 0-32,-1 0 64,0 0-16,2 0-48,-4 0 32,4 0 16,-1 0-56,1 0 24,-1-2 16,1-1 16,0 1 40,-4 2-56,3-2 40,7-1 24,-10 1-96,3-1 32,1 1-16,6 0-24,-10 2 40,2-3 16,2 1-16,5-1 40,-5 1-40,5-2-32,-6 1 48,-3 3-16,12-4-112,-9 2 112,9 0-16,-8-1 32,6 3 40,-7 0-16,-3 0-40,11 0 0,-9 0-24,9 0-8,-7 0-24,8 0 56,-9 0 0,-3 0 0,12 0-32,-2 1-16,-1 1 64,2-1-104,0 1 88,1 0 48,-12-2-48,12 4-64,0-2 40,-1 2 80,1 0-88,-2-2 32,2 0 16,-12-2-16,12 4-104,-1-3 104,1 2-24,-1-1-24,0-1 32,1 0 8,-12-1 8,11 3-16,-1-2 16,1 1 40,-1 0-64,1-1 48,-1 0-40,-10-1 16,10 2-40,-1 1 80,1-2-40,-6 0-8,10-1 64,-10 0-112,-4 0 56,13 0-48,-10 0 80,9 0-8,-8 0 8,6 0 0,-8 0-48,-2 0 16,10 0-104,-8 0 88,2 0-24,-1 0 80,7 0-8,-10 0-64,0 0 32,2 0 16,2 0-32,-2 0 64,1 0 8,-1 0-40,0 0-64,-2 0 48,0 0-24,3-2-80,-1 2 120,-2 0 72,0-3-16,0 3-72,0 0 32,0-2 8,0 0-96,0-1 96,0 1 8,3-2 8,-3 4-56,0-3 0,0-1 16,0-7 16,0 9-96,0-8 64,0 8 0,0 2 0,0-11 0,0 8 16,0-9 16,0 8-16,0-9-32,0 9 72,0 4-56,0-12-56,0 9 56,-2-12 0,2 12 72,0-12-40,0 12-48,0 3 16,0-15 72,-1 4-112,1 1 8,-1-1 104,1 0-160,0-1 56,0 12 32,-1-12 48,1-1-112,-1-1 56,-1 2-8,1-3-48,0 2 24,1 13 40,-1-14 88,0-2-120,1 2 80,-2-2-48,1 2-72,1-1 72,0 15 0,-1-15-32,1-1 0,-1-1 96,1 2-80,-1-1 0,-1 1 48,2 15-32,0-16-64,0 2 64,-1-2-16,1 2 16,0-2-8,-1 2 16,1 14-8,0-16-8,0 1-24,0 1 104,0 1-112,0 0 40,-1 0 0,1 13 0,0-12-80,-1 0 40,-1-1 56,1 1-32,0-1 0,0-2 64,1 15-48,-1-13-32,1 0 48,-2-2 8,2 1-24,-1 0-40,0 1 56,1 13-16,-1-17-88,0 1 72,-1-1 56,1 3-112,0 0 104,0-1 0,1 15-32,-1-14-32,-1 2 72,1 0-64,-1 0-40,1 1 64,-1-3-80,2 14 80,-1-11 0,-1-1-16,1 2 0,-2 1 72,1-2-40,-2 0 0,4 11-16,-2-11 24,-1 1-48,1 0 40,1-1-48,-2-1-8,1 1 120,2 11-80,-1-9 0,-2 5-40,1-10 24,0 10-40,-1-9 8,1 4 40,2 9 8,-1-10-64,-2 0-8,2 7 88,-1-8-48,0 7 8,1-6 8,1 10 16,-2-4-40,1-8 120,-2 8-64,1-8 16,1 10-32,-1-9-120,2 11 120,-1-2 48,0-8-104,0 8 40,0-8 104,-1 7-104,1-9 88,1 12-72,-1-4 0,0-7-72,0 9 56,1 0-24,-2-2 112,2 0-104,0 4 32,-1-3 32,1-7 40,-1 10-144,1-9 40,0 9 0,0-3-56,0 3 88,0-3 32,0 0 0,0 1-32,0-2 24,0 2-80,0-1 24,0 3 32,0-2 0,0 0 16,0-1 16,2 1-16,-2-1 0,0 1-80,0 2 64,3-2-16,-3-1-8,2 1 40,-2-1-8,3 1-16,-3 0 32,0 2-24,2-4-40,-2 2 56,2-2 24,-2 2-40,3-1 48,-3 1-48,0 2 0,2-3-48,-2 0 8,0-1-32,0 1 56,3-1 88,-3-5 0,0 9-72,0-3 40,0 1 24,0-1-96,0 1-56,0 0 104,0-2-48,0 4 32,0-2-24,0-1 112,0 3-120,0 0 0,0-2 64,0 2-88,0 0 56,0-3 24,-2 3-24,1-2-72,0 2 72,0 0-40,1 0 64,0 0-24,0-2 32,0 2 0,-1 0 8,-1 0-56,2-3-8,0 3 24,-1 0-48,1-2 48,-1 2 88,1 0-56,0 0 56,-1 0-120,1 0 32,-1-3-72,-1 1 24,1 2 24,0-2 24,0-1 24,0 3-8,1 0-16,-2 0-16,1-2 8,0 2-8,0 0 32,0-3-16,-1 3 24,2 0-24,-1 0-40,-1-2 8,-1 2 8,0 0-96,0 0 168,1 0-48,2 0 0,-4 0-32,2 0 136,-2 0-120,1 0 32,1 0-32,-2 0 0,4 0 16,-4 0 56,1 0-56,-1 0 48,1 0-40,-2 1-64,1 0 56,4-1 0,-5 2 16,2-1-32,-2 0 72,-5-1-80,7 1 40,-2-1-48,5 0 32,-11 0-112,8 0 224,-9 0-168,8 0 112,-8 0 32,7 0-104,5 0 16,-13 0 72,3 1-72,1-1 0,-2 2-24,0-2 8,-1 0-32,12 0 48,-12 0 32,-1 0 24,-1 0-40,-1 0 88,1 0-120,0 0 0,14 0 16,-14 0 40,0 0-24,0 0 48,-1 0-40,0 0-24,0 0 16,15 0-16,-15 0 16,-1 1-64,1 0 48,-2 0-40,0 0-8,0 1 40,17-2 8,-15 2 8,0-1 24,1 3 56,1-2 16,1 2-136,1-1 32,11-3 0,-11 3-24,2-1-56,4-1 96,-6 3-40,9-3 32,-2 0 40,4-1-48,-4 2 0,1-1 16,-1 0-120,3 0 16,0 0-24,0 1-40,1-2 152,0 1-152,0 0-56,0-1 24,0 0-72,0 1-16,2-1-120,-2 0 392,2 0-520,1 0 64,6 0-104,-6 0-65,6 0-151,-5 0-216,-4 0 992,12 0-1296,-8-2-297,8-1-407,-3 1-465,-5 2-559,9-2-393,-13 2 3417,10 0-2913,-1-3 985,1 1-632,-10 2 2560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9:24.425"/>
    </inkml:context>
    <inkml:brush xml:id="br0">
      <inkml:brushProperty name="width" value="0.05" units="cm"/>
      <inkml:brushProperty name="height" value="0.05" units="cm"/>
    </inkml:brush>
  </inkml:definitions>
  <inkml:trace contextRef="#ctx0" brushRef="#br0">18 375 168,'0'0'0,"-3"-4"344,0-8 128,3 12-472,-5-11 536,1 2 48,3 5 56,0-9 88,1 9 32,0-9 73,0 13-833,0-3 880,0-11-56,0 5-32,2 5-24,1-10-112,-1 10-39,0-7-33,-2 11-584,4-2 512,0-2 24,-1-6-32,7 7-40,-10 0 16,3-1-56,-3 4-424,4-4 416,-1 2-48,1 0-39,0 2-17,-1 0-104,1 0 0,-4 0-208,3 0 184,1 0-32,6 1 8,-10 1 0,3 2-16,1 7 32,-4-11-176,3 4 168,7 11 48,-10-2-24,2 3-8,1 0 16,-1 5-16,-2-21-184,3 21 224,0 4 0,0 2-32,-1 0-8,0 2-24,1 4 24,-3-33-184,0 32 176,2 1 8,-2 2-7,0-2-17,0 1 24,3 1 0,-3-35-184,0 36 160,0 0 24,0 0-24,2-1-32,-2-4 32,2 0-8,-2-31-152,0 29 152,3 0 8,-1-3 24,1 1-72,-1-1 64,0 0-32,-2-26-144,4 24 128,0 0 56,-1-1-80,1-3 24,-1 2-40,1-3 8,-4-19-96,4 18 152,-1 0-16,7-3 8,-8 1-64,2 0 0,5-3 0,-9-13-80,3 13 48,-1-1 72,2-3-80,-1 3-48,1-7 16,5 7-8,-9-12 0,0 5 16,3 5 80,0-7-16,1 2-40,-2-1 56,2-1-32,-4-3-64,4 4 16,-2-1 32,0 0-32,1-1 0,-1-1 24,-2 1-16,0-2-24,3 2 16,-3-1 8,2 0-8,-2 1-16,2-2 25,-2 0 15,0 0-40,0 0 72,3 0-56,-3 0 32,0 0-16,2 0-48,-2 0 72,0 0-56,0 0-16,3-3 88,-1 1-32,-2-1-16,4 1-24,-2-2-80,-2 4 80,2-3-72,1-1 8,-1 1 40,1-1 8,-1 0 56,2-5-16,-4 9-24,3-3 56,7 1-40,-8-2-32,2-5-48,8 6 24,-9 0 48,-3 3-8,13-10-40,-3 8 72,0-8-104,0 10 88,2-3 24,2-8-56,-14 11 16,14 0 56,2-10-80,2 8 48,1-1 0,1 1-8,2-2-16,-22 4 0,22-2-24,4 2 48,0-2 16,3 2 56,2 0-16,0 0-40,-31 0-40,34 0 48,-3 0-64,0 0 32,0 2 32,0 0 40,0 0-24,-31-2-64,33 2 96,-3 0-80,1 0 64,-1-1-40,-1 0 16,-1 0-8,-28-1-48,28 1 24,-2 1 0,1-1-24,-3 0 160,1-1-136,-4 0 0,-21 0-24,22 0 48,-3 0-104,-1 0 112,-1-2 24,-3 2-64,-1-3 8,-13 3-24,12-2 48,-1 2-64,1-3 88,-2 1-48,-7 2-48,9-2 24,-12 2 0,3-3 0,0 1 24,7 2 8,-10 0 8,2 0 16,1-2-88,-3 2 32,2 0 16,-2 0 0,3 0 0,-3-3-8,0 3-8,0-2 32,0-2-16,0 1 40,0-1 24,-2 0-136,1 1 112,1 3-56,-1-12-24,0 8-24,0-7 136,-1 8-64,1-13 152,0 4-96,1 12-80,-1-14 40,0-2 8,-2-1-96,1-2 24,1 1 8,-2 0 0,3 18 16,-2-19-40,-2 1 56,1-1-16,-1-1 24,-1-2-24,0 2 16,5 20-16,-4-22-40,0 1-64,-6-1 96,8 0-80,-2-2 64,-5 0 48,9 24-24,-3-25-24,0-1-8,-2-2-8,0 0-16,0 0 16,1 2-32,4 26 72,-4-27-16,-1 2-40,0-1 32,2-1 8,-2 0-40,1-2 72,4 29-16,-4-26-128,-1-1 40,0 1 8,0 1 0,-4 1 136,6 1-48,3 23-8,-4-20-24,-6 1 8,8 2-40,-2 1 16,0 3 0,1 2 24,3 11 16,-3-9-40,1-1 56,0 6 32,-1-8-32,2 9 24,0-7-64,1 10 24,-1-2-40,-1-8 48,2 8-16,-1-8 32,0 8 32,0-2-40,1 4-16,0-9-40,0 9 8,0-3 8,0 1 24,0 0 0,0-1 24,0 3-24,0 0-56,0-2 88,0-1-24,0 3 8,0 0-16,0 0-56,0 0 16,0 0 0,0 0 8,0 0 48,0 0 136,0 0-304,-1 0 168,1 2-16,-2-2 16,2 1 24,-1-1-24,1 0-16,-1 1-32,0 0 48,0 0-88,-2 1 72,1-2 16,-1 1-32,3-1 16,-3 1 40,-1 0-48,1 2 8,-1-2-16,0-1-56,1 1 88,3-1-16,-5 1 56,0 0-16,-4 1-24,5-1-56,-6-1-48,7 0 24,3 0 64,-10 0-40,7 0 40,-9 0 24,7 0-40,-7 0 48,7-3-64,5 3 32,-13-2-24,2 0-32,0-1 32,-1 1-48,0-1 16,-1 0 112,13 3-56,-12-10-96,-1 8 80,-1-2 16,-1-5-64,0 5 48,-1 0 0,16 4 16,-18-10-40,0 7-16,0-6-8,-1 5-16,0-8 24,0 8 0,19 4 56,-21-10-56,0 6 72,-1-7-40,-3 9-17,0-8-31,0 7-24,25 3 96,-27-10-168,2 8 56,0-8 48,1 10-48,-1-3 112,1-7-80,24 10 80,-26 0-104,-1-2 40,1-1-16,-1 1-56,1 2 64,2 0-24,24 0 96,-25 0-224,1 1 208,1 1-32,-1 2 8,3 0 104,-1 5-128,22-9 64,-19 3-16,1 6-72,1-5 72,3 6-32,-1-6-96,2 7 128,13-11 16,-11 5-48,1 5 32,5 0-16,-6-6-88,7 6-48,1-5-136,3-5 304,-3 11-360,2-7-160,1 5-248,3-5-177,6 5-223,1-5-200,-10-4 1368,11 4-1560,3 0-241,2 0-215,2 0-441,0-2-223,0 0 247,-18-2 2433,17 3-1776,3-2 1016,-1 0 616,-19-1 144</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14.421"/>
    </inkml:context>
    <inkml:brush xml:id="br0">
      <inkml:brushProperty name="width" value="0.05" units="cm"/>
      <inkml:brushProperty name="height" value="0.05" units="cm"/>
    </inkml:brush>
  </inkml:definitions>
  <inkml:trace contextRef="#ctx0" brushRef="#br0">1206 403 2480,'0'0'0,"-1"-11"1448,-4 2-15,-5-2-201,8 7-200,0-7-176,2 11-856,-4-2 720,2-2-87,-2-6-25,0 7-32,1 1-80,-1-1 0,4 3-496,-5-2 480,2 0-48,-2 2 24,1 0-72,1 0-71,-1 1-17,1 0-24,3-1-272,-5 5 248,0 6 24,0-7 24,-4 12 48,6-2 48,0 3 72,3-17-464,-10 17 480,6 1 8,1 1 32,-1 0-64,1 0 9,0 3 39,3-22-504,-1 20 336,0 1-24,1 0-40,0 1-152,0 0 96,3-2 0,-3-20-216,4 20 144,6-2 32,-8-1-48,2-3-64,5 1 32,-5-3-32,-4-12-64,11 12 24,-8-1 32,9-7-32,-2 7 16,-7-8 40,13 0 8,-16-3-88,10 4 24,0-3 16,1 0-88,0-1 8,1-3 24,-1-9-48,-11 12 64,10-12-24,1-3 8,0-2-24,0-2 40,1 0 0,-1 0-64,-11 19 64,10-21-48,0 1 8,-6 0 8,5-1 32,-6 2-8,0-1-56,-3 20 64,4-19-96,-2 1 32,-2 1 64,0 0 0,0-1 24,0 3 16,0 15-40,-1-16-64,-1 2 40,-2-1 24,0 2-40,0-1 64,-6 2-8,10 12-16,-4-12-48,-6 2 16,6 1 24,-7 5-32,6-6 64,-5 8-48,10 2 24,-4-2 0,-7-1 8,8 1-32,-7 2 0,6 0-16,-6 0-8,10 0 48,-4 0-104,-1 0 16,1 0-104,0 1-80,0 0-40,1 2-112,3-3 424,-3 1-504,2 1-129,1 1-119,0-1-128,0 0-80,3 1-64,-3-3 1024,3 1-1081,1 0-7,8-1-32,-9 0-72,12 0 32,-5 0 31,-10 0 1129,12-2-1056,0-2 40,3 1 72,-1-1 87,2-7 113,1 9 88,-17 2 656,16-12-584,4 2 88,0 1 88,-1-1 136,1-1 104,-2 0 80,-18 11 88,20-10-48,-4-2 24,1-2 8,0 2 0,-2 1 8,-1-1 16,-14 12-8,13-12 56,-2 0 120,-1 1 192,0 0 296,-6 0 336,8 2 256,-12 9-1256,2-10 1385,2 0-97,-1 1-176,1 5-168,-1-10-151,0 10-105,-3 4-688,0-12 616,0 9-56,-3-8-40,0 9-56,-1-2-32,-5 0-32,9 4-400,-5-3 328,-7-1-39,2 2-57,-2-1-32,3 3-48,-3 0 8,12 0-160,-12 0 160,0 3-40,-1 0 56,-1 2 16,1 5-72,0-1 56,13-9-176,-12 11 160,0 1-8,0 1 96,1 2-8,0-1 24,1 0-24,10-14-240,-10 16 232,0 2-56,7-2 48,-7 0-32,9 0-40,-1 1 16,2-17-168,-1 16 72,1-1-24,0 0 24,3-1-24,8-1 0,-8-1 16,-3-12-64,16 11 8,-5-7 16,1 6-24,0-8-24,1 2 16,1-2-32,-14-2 40,15 2-24,-1-2-56,2-3 32,-1 0 8,2-9-16,-3 2 32,-14 10 24,16-11-72,-3-2-40,2 0 56,-3-2 16,0 0-8,-2-2 16,-10 17 32,10-17-40,-6 0-88,5 1 72,-6-1 40,-1 3-112,0-2 176,-2 16-48,3-14-24,-3 2-8,0-2 112,0 2-88,0 0 40,-1 2-24,1 10-8,-3-10 16,1 6 16,-1-7-40,1 8 56,0 0-24,-2-1 24,4 4-48,-2-2 40,-2-1 32,2 1 16,-1 2-40,1 0 24,1 1-24,1-1-48,-3 4 72,2 6 0,-1 2 32,0 1 8,1 4 41,1 1 31,0-18-184,0 18 192,0 1 8,4 2-40,7 0-48,-9 1-16,9 1 16,-11-23-112,3 22 64,11 0 24,-11 1-16,11 0-48,-4 1 40,1-1-48,-11-23-16,11 23 8,-1 0-8,1-1-8,1-2-32,-1-3-48,0-2-24,-11-15 112,9 14-224,-5-4-32,9 0-80,-9-5-137,7 4-111,-9-5-208,-2-4 792,4 2-968,-1 1-216,1-2-217,-1-1-335,0 0-392,-3 0-345,0 0 2473,0-3-2753,0 0 561,0-7-160,0 10 2352</inkml:trace>
  <inkml:trace contextRef="#ctx0" brushRef="#br0" timeOffset="1">0 905 6961,'0'0'0,"0"1"3321,0 1-1953,0 0-744,0-2-624,4 4 520,8-1 56,1 0 32,1-2 9,2-1-9,2 0 8,-18 0-616,19-3 520,-1 0-40,1-8-152,1 1-96,-3 1-56,1-2-112,0-1 16,-18 12-80,17-13 0,0-2 0,-3 0 24,0-2-24,-2-1 24,-12 18-24,10-20-16,1 1 56,-1-2-32,-1 0 8,-5 0 32,8 1-48,-10 1 8,-2 19-8,3-19 40,-1 1-16,-2 0 8,0 1 24,0 0 16,-1 1-8,1 16-64,-4-14 120,-7 1-72,8 1 56,-7-1-8,7 2-8,-8 0 41,11 11-129,-4-3 64,-5-11 16,5 11 0,-5-1-48,5-5 56,-1 9-32,5 0-56,-11-3 48,8 3-16,-7 0-32,7 0 0,-7 0 8,6 3 40,4-3-48,-9 4 16,5 7-16,-1-1 24,1 3-40,-1 1 40,1 3 16,4-17-40,-3 18 16,-1 2 16,3 3 8,1 4-8,0 1-8,2 3 32,-2-31-56,10 34 24,-8 2 24,9 2-40,-7 2 56,9 1 0,-4 2 0,-9-43-64,11 44 64,0 2-56,-1-2 32,-1 3-56,1-1 32,1 1 8,-11-47-24,9 46-16,-5-5 56,9-6-16,-11 0-64,2-2 56,-1-2 32,-3-31-48,4 28 24,-2-1 88,1-3-8,-3-3-16,0-1 88,0-4 16,0-16-192,0 14 176,-1-2 32,-2-9-56,1 7 16,-1-8 40,1 2 0,2-4-208,-4 2 176,1-1-8,-1-1-8,0 0-72,0 0 48,-1-3-8,5 3-128,-5-11 72,1 7 32,-1-11-40,0 3-24,0-1 56,2-3 0,3 16-96,-4-17 24,0 0 32,2-2-32,1-1 24,1 0-8,0-1-16,0 21-24,0-20-16,3-1-48,7 2 80,-6 1-32,9 0 32,-2 1 24,-11 17-40,10-17-72,3 0 48,-1 1-8,2 1-8,0-1 40,-1 0-40,-13 16 40,17-15-40,-1-1-8,2 2 16,-2 2-32,2 0 24,-1 2-40,-17 10 80,16-3-160,-1-9-56,0 9-128,0-6-200,-2 6-152,1 0-192,-14 3 888,12-3-1160,-3 1-193,-5 0-279,8 2-425,-10 0-383,1 0-321,-3 0 2761,2 1-3048,-2 1 567,-1 2-399,1-4 2880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15.228"/>
    </inkml:context>
    <inkml:brush xml:id="br0">
      <inkml:brushProperty name="width" value="0.05" units="cm"/>
      <inkml:brushProperty name="height" value="0.05" units="cm"/>
    </inkml:brush>
  </inkml:definitions>
  <inkml:trace contextRef="#ctx0" brushRef="#br0">15 2217 6681,'0'0'0,"-3"0"3817,-1-3-1753,-1 1-1344,3-2-472,2 1-176,0 3-72,2-11 88,8 7-16,-1-8 16,1 3 64,2-1-95,0-1-1,-12 11-56,13-10 0,2-2-89,0 0-55,2 0-184,1-2-312,0 1-392,-18 13 1032,19-13-1544,0 0-521,0 1-327,-1 0 151,-1 0-1047,-17 12 3288</inkml:trace>
  <inkml:trace contextRef="#ctx0" brushRef="#br0" timeOffset="1">755 2470 3048,'0'0'0,"0"0"1616,0 0-1616,0 0 1721,0 0-185,-2 0-232,1-3-199,1 0-121,0-7-72,0 10-912,0-4 856,3-9 40,-1 4-7,2-5 15,5-1 40,-6-3-56,-3 18-888,12-22 848,-3-3-71,3-1-97,1-4-144,2-1-24,0-4-64,-15 35-448,18-37 432,3-4 8,0-2-40,4-6-120,1-4 0,2-2-15,-28 55-265,29-59 216,2-1 96,2-3-96,0-3-8,2-4-40,0 0-16,-35 70-152,36-72 152,-2-3-40,2 0 56,2-4-120,-1 0-24,-1-3 8,-36 82-32,34-79-112,0 0 40,-3 0-40,1-1-96,-2 3 64,2 1-32,-32 76 176,30-75-152,-2 7-32,1 3-16,0 6 8,-2 8 16,0 5 80,-27 46 96,26-42-80,-2 6-1,-1 4-47,0 4-88,-2 4 16,0 3 32,-21 21 168,19-19-200,0 1 0,-1 6-48,-4 1-80,-1 8-112,-2 0-160,-11 3 600,4 0-744,5 0-80,-6 2-89,-1 9-71,1 0-144,-3 2-400,0-13 1528,0 18-1833,-2 1-607,-1 1-689,-1 2-152,-5 1 305,9-23 2976</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15.877"/>
    </inkml:context>
    <inkml:brush xml:id="br0">
      <inkml:brushProperty name="width" value="0.05" units="cm"/>
      <inkml:brushProperty name="height" value="0.05" units="cm"/>
    </inkml:brush>
  </inkml:definitions>
  <inkml:trace contextRef="#ctx0" brushRef="#br0">1 682 4080,'0'0'0,"0"0"1833,2 0-649,-2 0-1184,4 0 800,6-2-96,0-2 0,1 1-87,3-7-41,2 6-120,-16 4-456,15-12 352,1 2-128,1-2-80,1-1-56,1-3-56,2-1-8,2 0-48,-23 17 24,23-19-48,-2-1 0,1-2 16,0 1 8,-1-2 0,0-1-16,-21 24 40,21-25-56,2 0 8,-2-2 40,1 2 8,-3 2-8,-1 1 0,-18 22 8,16-22-32,-1 2-24,-1 0 40,-2 0 24,-2 2 0,-6-1 40,-4 19-48,12-18 8,-10 1 48,2 0 40,-2 3 0,-2 1 104,0 0-8,0 13-192,0-12 176,-1 1 32,-3 1-32,1 1 16,-7 5-64,6-8-24,4 12-104,-12-2 72,7-8-24,-8 10 16,3-2-8,-1-1 0,2 3-40,9 0-16,-11 0 48,0 0-32,0 4 16,-1 6 32,1-6 16,-1 12 0,12-16-80,-10 14 104,-2 4-32,1 1 24,0 2 9,0 2 63,1 1 16,10-24-184,-10 26 192,0 3 8,6-2-48,-7 4 56,7 1-16,1 2-16,3-34-176,-4 36 224,2 1-24,0 2-8,2-3-16,3 0-8,0-2-16,-3-34-152,10 35 136,-6-2-32,8-1 24,-3-1 8,1-1 0,1-1-32,-11-29-104,9 29 96,2-1-40,0 0-8,-2-2 48,1 2-24,-1-3-64,-9-25-8,10 24 72,-6 1 0,6-2-24,-7-2 72,0 1-48,7-2 0,-10-20-72,0 21 72,2-2-24,-2 0-72,0 0 48,-1-1 24,-1 0-24,2-18-24,-4 17 80,1 0-56,-2-3 16,0 1-16,0-3 8,-4 1-8,9-13-24,-4 10 0,-7 2 40,6-1-8,-5-1 33,6-5-17,-5 4-48,9-9 0,-4 4 32,0-1-16,0 1 8,0 0 8,-1-3-40,2-1 32,3 0-24,-4 0 0,0 0 0,1-3 0,-1 0 0,2-1 16,1-5-16,1 9 0,-2-3 48,1-9 0,1 3-16,0-3 16,4-1-8,5-2 8,-9 15-48,4-13 88,8-3 8,-1 2 16,0-4 24,2 0 16,1-1-16,-14 19-136,14-19 112,3 0-16,-1 2-16,-1 0 16,2 3-16,0-1-16,-17 15-64,17-12 32,-2 0 0,2 1-24,-1 2 16,0-2-32,0 0 8,-16 11 0,17-9 0,0 5-24,-2-9 24,0 9-64,-1-6-24,-1 7-16,-13 3 104,13-9-248,-2 5-128,-1 0-240,-1 1-289,-5-1-183,5 2-312,-9 2 1400,3-3-1560,-1 3-289,1 0-295,-3 0-169,-2 0-7,-1 2 199,3-2 2121,-10 2-1592,1 2-136,9-4 1728</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17.707"/>
    </inkml:context>
    <inkml:brush xml:id="br0">
      <inkml:brushProperty name="width" value="0.05" units="cm"/>
      <inkml:brushProperty name="height" value="0.05" units="cm"/>
    </inkml:brush>
  </inkml:definitions>
  <inkml:trace contextRef="#ctx0" brushRef="#br0">12 1038 5153,'0'0'0,"-2"-2"2808,-2-2-879,0 0-849,2-6-344,2 10-736,0 0 608,0-10-88,2 8-48,2-8 0,6 8 25,-8-9-49,-2 11-448,4-4 416,8-6-56,-9 6-72,12-9-96,-5 9-72,1-10-24,-11 14-96,12-4 16,1-9 8,2 3-24,-1 7-32,2-12 0,0 5 0,-16 10 32,17-12-112,0 1-128,0 0-240,0-1-320,-1 0-321,1 0-431,-17 12 1552,17-11-2048,-1 1-361,-3-1-95,1 1 111,-2 1-15,-12 9 2408</inkml:trace>
  <inkml:trace contextRef="#ctx0" brushRef="#br0" timeOffset="1">561 427 1984,'0'0'0,"0"-3"1600,2-7-239,1 6-457,-3 4-904,11-14 640,-8 10-120,14-10-56,-6 4-56,1-1-72,0 1-88,-12 10-248,10-12 224,1 1-104,-1 1-64,1 1 16,-2 5-48,1-10 8,-10 14-32,3-4 56,11-9-24,-5 9-16,-5-8 24,7 9 8,-9-8 0,-2 11-48,4-3 64,-1 0 1,1-8-17,-2 11 40,-2-3-8,0-1 0,0 4-80,0-2 88,0-1-16,0 1-16,-2 2-8,-2 0-24,-5 0 0,5 0 0,4 0-24,-10 1 8,6 3-16,-10 0 8,5 6-16,-1-7 0,-1 7 0,11-10 16,-10 10-16,-1-1-16,0 2 48,-1 0 8,1 0-24,0 1 64,11-12-64,-11 12 8,0 0-24,1 2 64,1-1-24,-1 3-8,0 0 64,10-16-80,-10 16 64,0 1-24,5-2 64,-7 2 0,9-1 16,-7-2 48,10-14-168,-4 12 184,1 0 16,-1-1 8,2 0 0,1-1-8,-1 0 32,2-10-232,0 10 240,0-6 8,0 7-8,3-7-8,0 7 16,1-8 16,-4-3-264,4 4 320,5-1 41,-5 1 7,7-2-16,-2 0 0,1-1-80,-10-1-272,9 1 240,2-1-40,0 0-64,1 0-24,1-4 0,0 1-56,-13 3-56,15-4 56,-2-5 16,0 6-48,0 1 32,0-2 8,1 1-48,-14 3-16,13-4 56,1 0 24,-1 2-8,2 0 16,-2 2 24,0 0-40,-13 0-72,11 0 96,-2 0-16,1 0 8,0 2 24,-7 2-8,9-1 0,-12-3-104,4 4 96,7 5 8,-9-5 0,2 6 8,5-7 32,-9 9 0,0-12-144,3 10 168,-3-1 25,0 2-9,0 0 8,0 1 0,-4 0 0,4-12-192,-4 12 168,-5 0 8,4 0-16,-6 0-24,2 0 40,-1 0-56,10-12-120,-10 11 128,1-1-16,-2 1-64,0-1 32,0-1-32,0 1 8,11-10-56,-11 4 24,-2 6-16,1-7 8,0 2-16,0-1 0,1 1-40,11-5 40,-10 4-24,1-1 8,-1 0 32,6-2 24,-5 0-96,5-1-40,4 0 96,-3 0-192,-1 0-112,0-2-120,2-1-296,1 0-137,1-8-335,0 11 1192,0-2-1472,2-10-297,2 8-559,8-12-425,-9 6-287,11-2 175,-14 12 2865,10-15-2784,-10 15 2784</inkml:trace>
  <inkml:trace contextRef="#ctx0" brushRef="#br0" timeOffset="2">1098 194 7089,'0'0'0,"-11"0"3737,11 0-3737,-10 0 2016,0 0-703,5 0-305,-5 2-192,7 0-240,-7 2-88,10-4-488,-5 10 408,-7-5-80,3 11-8,-1-2-56,1 3 16,-2 2-39,11-19-241,-10 20 240,1 2 0,4 3-32,-8 0 24,9 2-32,-7-1 0,11-26-200,-2 24 176,-1 1-48,2-2 48,0 0-96,1-3 8,0-1 0,0-19-88,10 18-24,-8-1 64,8-3-16,-7 1 0,10-2 32,-3-2-8,-10-11-48,11 9 80,0-4-56,2 5 40,1-8-56,2 2-8,-1-2 32,-15-2-32,17 1-32,0-1 32,-2-2 0,2-2-24,0-8 0,0 9 48,-17 3-24,15-16-24,1 4 8,-2-1 16,1 1-32,0-4 16,0 1 16,-15 15 0,13-16-16,1-3-8,-2 1 48,-1 0-8,0-1 32,-8 0-8,-3 19-40,11-21 24,-8 1-24,-1 1-8,0 0 16,-2 3-56,0-1 64,0 17-16,-2-14-16,-3 0-32,-7-1 48,3 2 0,-3 1 0,-3 0-32,15 12 32,-15-11-8,-2-1-48,-1 3 8,-1-1 32,-3 6-32,1-6 0,21 10 48,-23-3-56,1 1 8,2 0 24,1 2-8,0 0 0,1 1-48,18-1 80,-17 3-88,2 1-16,1 5 8,2-5-48,0 7-88,1-6-80,11-5 312,-5 10-456,-5-6-121,6 6-127,2-7-216,0 7-264,2-7-192,0-3 1376,0 10-1593,4-6-183,7 0-161,-2 1-231,2 0 8,1-1 63,-12-4 2097,13 1-1424,3-1 120,-16 0 1304</inkml:trace>
  <inkml:trace contextRef="#ctx0" brushRef="#br0" timeOffset="3">1532 95 4697,'0'0'0,"-4"0"2744,-6-3-559,1 1-529,4 0-216,5 2-1440,-12-3 1385,3 1-89,-2-1-144,-1 3-152,0 0-216,-1 0-191,13 0-593,-14 0 400,1 4-136,0 7-104,-1-8-96,0 12 0,1-4-8,13-11-56,-13 12 88,1 1 24,0 1-8,1 3-8,2 1 56,4 0-24,5-18-128,-11 19 120,9-1 16,-2 0-72,3-1 24,1 0-24,2-1 0,-2-16-64,4 18 56,7-2 16,-8 0-56,12-2 8,-6 0 16,3-1-24,-12-13-16,12 15 72,2-3 0,0-1-48,1-2 64,1-5-72,0 5 8,-16-9-24,15 3 40,3-1-64,0-1 88,1-1-64,-1 0 0,0-2 0,-18 2 0,17-4 8,0-8 32,-3 9 16,1-9-32,-1 2-8,-2-1-8,-12 11-8,13-10 16,-2-2 40,1-2-16,-2-1-16,-1 1 24,1-2-16,-10 16-32,3-14 24,10-1 16,-9 2-16,0 0-8,-1-2 24,1 2 8,-4 13-48,2-14 32,-2-1 16,-1 0-8,-3 1-24,0-1 24,-10 1 8,14 14-48,-9-13-8,-2-2 48,-1 2-56,-1-1-32,-1-1 32,-2 1-120,16 14 136,-17-13-152,-1 1 80,0 0 8,-1 1 64,0 1 16,-1 1-72,20 9 56,-20-4-104,4-7 16,-1 9 32,4 0-64,1-1 16,1 3-88,11 0 192,-5 0-232,-7 0-64,8 0-184,1 1-184,-1 2-385,3 0-463,1-3 1512,-1 11-1960,1-7-489,0 10-655,9-3-353,-5 0 336,8 0 177,-12-11 2944</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9:25.006"/>
    </inkml:context>
    <inkml:brush xml:id="br0">
      <inkml:brushProperty name="width" value="0.05" units="cm"/>
      <inkml:brushProperty name="height" value="0.05" units="cm"/>
    </inkml:brush>
  </inkml:definitions>
  <inkml:trace contextRef="#ctx0" brushRef="#br0">4 161 1456,'0'0'0,"-1"0"1136,1 0-1136,-1 0 728,-1 0-272,2 0-80,0 0 80,10 0 193,0-3 199,-10 3-848,9-2 936,3 0-8,1-2-96,3 0-111,3-5-81,1 6-96,-20 3-544,24-3 480,2-7 32,1 8-8,2-2 96,1 1 24,2-7 9,3 10 15,-35 0-648,35-3 632,3-1-24,0-6-72,3 8-8,2 0-48,3-2-72,-46 4-408,44-10 384,-1 8-72,-2 0-95,-1-2-9,-1 0-64,0 1-8,-39 3-136,37-4 120,-1 1-16,-3-1 32,1 2 8,-3-2-8,-1 2-24,-30 2-112,29-4 104,-2 0-80,-2 2 0,-2 0-136,-2 2-152,-4-3-192,-17 3 456,15 0-769,-2-2-167,-1 2-360,0-3-344,-2 1-281,-1 2-439,-9 0 2360,4-2-2665,8-1 49,-10 3 311,2-2 825,-2-2 104,-2 4 1376</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9:26.200"/>
    </inkml:context>
    <inkml:brush xml:id="br0">
      <inkml:brushProperty name="width" value="0.05" units="cm"/>
      <inkml:brushProperty name="height" value="0.05" units="cm"/>
    </inkml:brush>
  </inkml:definitions>
  <inkml:trace contextRef="#ctx0" brushRef="#br0">12 304 6665,'0'0'0,"-2"0"3873,2 0-3873,-4-3 1760,1-1-816,2 0-216,-1 1-119,2 0-33,0 1-16,0 2-560,0 0 632,3 0 24,0 0-8,0 0-40,0 1-95,1 3-57,-4-4-456,4 5 432,5 8-16,-6 0-72,6 3 8,-7 3-64,9 0-8,-11-19-280,4 20 336,5 4-72,-5 1 8,6 2-56,-7 2-24,10-2-40,-13-27-152,4 30 160,9-1-80,-3 2 56,-7 1-16,12 1-16,-12 0 65,-3-33-169,12 33 80,-8-3 80,6 1-32,-7-1-24,1 0 104,6 1-184,-10-31-24,3 30 72,0 0 8,7-1-144,-10-2 104,4 2 0,-2 0-24,-2-29-16,2 26 96,-2 0-24,3-3 32,-3-1-32,0 0-56,0-1 24,0-21-40,0 21 40,0 0 32,-1-4 40,-1-1-24,0-1-80,0-2 24,2-13-32,-3 13 56,1-1-40,-2-2 40,2-1 0,-1 1-112,0-5 64,3-5-8,-1 12 48,-2-9-24,2 7 88,0-9-24,0 3-16,0-2-64,1-2-8,0 2-40,0 0 40,0-1-40,0 0 8,0-1 64,0 0-16,0 0-16,2 0 0,0 0 24,2-2-24,-1-2-56,7 0 40,-8 1 8,-2 3 8,4-10-64,8 8 128,-8-2-80,6-5 32,-6 6-8,9 0-64,-13 3 56,4-11 0,10 8 0,-4 0 16,1-1 24,1 1-48,0-1-24,-12 4 32,13-2-16,-1-1 0,1 1 32,-1 2-40,1-3 48,1 3-48,-14 0 24,15 0-32,3 3 72,0 0-48,2 2 16,1 5 8,2-7 32,-23-3-48,26 5 8,1 5 8,3-7 0,0 7-56,1-6 24,0 6 40,-31-10-24,33 4 32,-1 8-48,2-7 48,-2 7-48,-1-7 0,3 7 88,-34-12-72,31 3 0,0 7 40,-1-8 16,-1 2-128,0 0 72,-2 0 0,-27-4 0,27 4-40,-2-1 112,-3-2-40,-1 1-24,-3-2 40,-1 0-48,-17 0 0,15 0 8,-2-4 24,1 0-16,-4 1-16,0-8 0,-6 9 0,-4 2 0,11-10 0,-7 7 40,6-9-56,-8 8 64,2-9-8,-1 3-72,-3 10 32,4-9-8,-2-1-8,1 0 16,-3 0 40,0 0 16,0-1-56,0 11 0,-3-11 88,1 1-120,-2 0 32,1-2-8,-1 1-40,0 2 40,4 9 8,-3-12-48,-1 0 48,-1 0-40,2-3 40,-1 1 0,1 0 16,3 14-16,-4-14 0,2 0 8,-1 0-32,2-3-8,-1-1 8,-1 0-24,3 18 48,-1-20 0,0 2-40,-1-5 16,-1 0 24,0-1-88,0-2 72,3 26 16,-3-28-16,0-1-24,0-1 40,-1 0-24,0-2 8,1 1 0,3 31 16,-4-32-32,1-3-8,0-1-88,1-1 128,1 2 0,-2-1-24,3 36 24,-1-34 80,0 3-144,-2-2-24,2 0 72,-1 2-40,-1 1 48,3 30 8,-2-28 40,-2 0-72,1 2-8,-1-1 16,1 3-24,0 1-8,3 23 56,-3-21 32,0 1-16,0 0-8,0 4 24,2-1-64,0 0-8,1 17 40,-1-14-56,-1-1 56,1 2-24,0 1 48,0 1-48,0 1-8,1 10 32,0-4 16,-2-10 0,2 10-88,0-7 96,0 9 32,0-8-80,0 10 24,0 0 56,0-2-88,0-1-32,0 3 72,0 0 8,0-2 0,0 2-16,0 0 24,0 0 8,0 0-48,0 1 0,0 0 8,0-1 8,0 3-56,0-2 80,3 1 8,-3 1-32,0-1 8,0 1-32,0-3 24,0 2 0,2 0 24,-2 2-8,0-2-16,0 0 16,0 0-16,0-2 0,0 2 16,0 0 24,0 0-56,0-1 48,0 0 8,0 1-24,0-2-16,0 1 8,0 0-16,0 0-24,0 0 48,0-1-32,0 0 72,0 0-56,0 2-16,-1-2 32,0 0 24,-2 0-80,1 0 80,1 0-64,1 0 24,-4 0 16,2 0 40,-2 0-56,1 0 40,-7 0-80,6 0-32,4 0 72,-10 1-32,0-1-8,1 0 80,-2 1-40,-1 0 16,0 2-16,12-3 0,-15 3-40,1 1 24,-2-1-24,0 1 80,-1 0-24,-2-1-32,19-3 16,-21 10 0,-3-7-80,-2 7 24,-2-5 0,0 7 8,-2-8 64,30-4-16,-33 12-24,0-2 8,-4 0 32,1 0-64,-3 1 64,0 1 16,39-12-32,-40 11-72,1 0 72,-1 0-32,3-1 8,-3-5 40,2 8-48,38-13 32,-36 5-8,0 6 32,4-8 0,2 8 24,1-7 32,3 5-40,26-9-40,-25 3 0,1 0 48,3 1-64,4 1 32,3-2 40,2-1-88,12-2 32,-11 1-56,7 0 16,-6-1-56,9 1 40,-2 0-96,2-1-280,1 0 432,0 0-696,0 0-345,4-3-263,10-1-400,2-8-569,3 9-904,-19 3 3177,23-14-4272,5 4-73,4-2-416,-32 12 4761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9:26.471"/>
    </inkml:context>
    <inkml:brush xml:id="br0">
      <inkml:brushProperty name="width" value="0.05" units="cm"/>
      <inkml:brushProperty name="height" value="0.05" units="cm"/>
    </inkml:brush>
  </inkml:definitions>
  <inkml:trace contextRef="#ctx0" brushRef="#br0">28 289 6281,'0'0'0,"-10"0"3457,6-2-1433,-8-2-808,11 0-416,1 4-800,-1-3 569,1-1-129,0 1-24,10-7 48,-7 8 40,10-8 144,-13 10-648,12-2 712,4-9 0,3 9 73,2-10-97,1 8-72,5-10 8,-27 14-624,28-11 536,7 0 0,2 0-56,2-1-56,3 1-24,-2-1-71,-40 12-329,44-10 296,-1 0-56,1-1-80,2 1-32,0-1-120,1 0 96,-47 11-104,47-10 96,0 1 0,-2 5 56,1-9-136,-2 9 24,1-5-40,-45 9 0,44-3 40,-1-6-8,-2 6-48,-3 1-24,-5 0-216,-3-1-168,-30 3 424,27 0-752,-3 0-457,-3 0-783,-3 0-1409,-1 0-2008,-4 0-600,-13 0 6009,4 1-5089,-4-1 5089</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1:24.138"/>
    </inkml:context>
    <inkml:brush xml:id="br0">
      <inkml:brushProperty name="width" value="0.05" units="cm"/>
      <inkml:brushProperty name="height" value="0.05" units="cm"/>
    </inkml:brush>
  </inkml:definitions>
  <inkml:trace contextRef="#ctx0" brushRef="#br0">34 26 200,'0'0'0,"-3"0"40,0 0-24,-2-3-16,0 0 8,2 0-8,-1 1 0,0-1 0,2 1 0,0 0-8,0-2-176,1 0 120,1 4 64</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1:25.970"/>
    </inkml:context>
    <inkml:brush xml:id="br0">
      <inkml:brushProperty name="width" value="0.05" units="cm"/>
      <inkml:brushProperty name="height" value="0.05" units="cm"/>
    </inkml:brush>
  </inkml:definitions>
  <inkml:trace contextRef="#ctx0" brushRef="#br0">1 191 248,'0'0'0,"0"0"80,0-2 24,0-2 80,0-6 112,2 7 120,-2 3-416,3-3 480,-1-1 72,0-8 48,1 8 40,-1-8 48,2 9 25,-4 3-713,3-14 728,1 4-16,0 0-32,-1 1-48,1-1-72,7 7-16,-11 3-544,2-15 513,2 6-1,5 5-16,-6-8-16,-1 8 8,2-6-40,-4 10-448,3-3 440,1-6-24,-1 9-16,1-4 0,-1 2-8,1-1-7,-4 3-385,2-2 344,-2 2-16,3 0-56,-3 0-32,0 0 8,2 1-32,-2-1-216,0 1 224,3 3 0,-3 1-40,2-1 56,-2 7-8,2-1-40,-2-10-192,0 11 256,3 1-40,-3 2-8,0-2 16,2 4-32,1 0 88,-3 1-39,0-17-241,2 20 256,0 1-48,-2 0-24,0 2-48,3 0-16,-3 0 40,0-23-160,0 24 128,0 0 48,0 1-16,0 2-16,0 0-56,0 3 8,0-30-96,0 28 96,0 1-24,0-1 32,0-1-40,0 1-16,2-2 32,-2-26-80,0 28 48,0-2-8,0 1 16,3 0-24,-3-2 0,0 0 16,0-25-48,2 26 16,-2-2 48,2 0-24,-2-4-40,3 2 64,-3-1-56,0-21-8,2 22 40,1-1 80,-1 0-96,0-2 16,1-1 24,-1 0-88,-2-18 24,3 17 24,-1-1-24,2-1-8,-1-1 16,1-1-8,-1-1 0,-3-12 0,4 11 16,6 1 24,-8 0 8,0-2-8,2 0 0,6-5-80,-10-5 40,2 12-40,0-2 16,2-5 24,0 7-16,-1-8 32,1 7-16,-4-11 0,3 5-24,1 6 32,-2-8-32,1 8 40,-3-7 8,0 0 0,0-4-24,0 5 40,2 5-80,-2-8 56,0 2-32,0 1 56,3-2-8,-3-3-32,0 5-32,0-1 48,0 0-56,0 1 24,0 0 16,2-1 0,-2-4 0,0 4 0,0 1 0,0-1 32,2 1-24,-2-2 24,0 1-24,0-4-8,3 3-40,-3 1 0,0 0 32,0-2-24,0 0 104,0 1-48,0-3-24,2 2 0,-2-1 24,0 1-64,0-1 40,0 0 32,0-1-48,0 0 16,0 1 24,0-1-32,0 0 40,0 0 8,0 0 32,0 0-72,2 0-56,-2 0 80,3 0-24,-3-2 40,0 2-8,0 0-32,2-3 8,-2 3 16,0-2-24,3 2 32,-1-2-88,-2 2 56,0 0-8,2-3-24,-2 3 64,3 0-24,-3-2 8,0 2-32,0 0 16,0 0-24,2-3 40,-2 3-48,3 0 48,-3 0 8,2 0-32,-2 0 8,2-2 24,1 2-16,-1 0-8,1-2 0,-1-1 0,2 3-48,-4 0 48,9 0-16,-6 0 8,6 0-24,-5-2 24,7-1-32,-2 1 24,-9 2 16,10-2-24,1-2 0,-1 2 32,4-2-48,-1 2-8,0-2 48,-13 4 0,13-4-56,1 2 32,1-2 32,0 2-32,2 0-16,1-2 0,-18 4 40,19-2-88,1-1 0,0 1 72,0-1-32,1 1 48,1 0-40,-22 2 40,23-3-32,0 1-32,2-1 64,1 3 0,1-2-24,-1 2-24,-26 0 48,27-2-104,-3 2 0,0 0 16,-2-3 72,1 1-24,-1 2-8,-22 0 48,24-3-24,-3 1-32,1 2 24,-3 0-32,0-2 48,-1 2-32,-18 0 48,18-3-32,1 3 24,-2 0-72,0-2 48,1 2 32,-3 0 0,-15 0 0,15 0 8,-1 0-16,0 0-56,-2 0 24,0 0-24,0 0-40,-12 0 104,11 0-32,1 0 8,-1 0 24,1 0 0,-1 0 0,0 0-56,-11 0 56,10 0-32,1 0 56,-7 0-40,8 0 16,-9 0-24,1 0-16,-4 0 40,9 0-8,-5 0 32,-2-3-40,1 3 40,-3-2-24,0 2 0,2-2 0,-2-1 80,0 0-80,0-1 24,0-6 0,0 7-32,0 3 8,0-10 24,-1 7-80,0-8 120,-2 7-64,1-8 0,-2 9 56,4 3-56,-2-16-16,-2 4 88,1 0-40,-1-1-48,1 1 40,-2-1-64,5 13 40,-4-13 64,0-1 0,-1-1-40,0 1-24,1-3-24,0 0 24,4 17 0,-4-17 16,0-2-40,1 2 32,-1-1-32,1-1-40,0-2 104,3 21-40,-3-22-24,-1-1 72,0 0 0,1 1-16,-1-4 56,1 4-80,3 22-8,-4-27 40,0 1 0,1 0-40,-1-1 48,1 2-72,0 1 64,3 24-40,-2-25 24,-1 1-48,1 0 112,0 0-40,-1 0-32,0-1 32,3 25-48,-3-24 32,1 0-48,-1 4 56,0 0 0,0 1-32,0 2-16,3 17 8,-4-14 24,1-2 0,0 3-24,0-1 80,-1 1-80,2 0 8,2 13-8,-3-14 24,0 1-8,0 1-16,0 1-16,-1 1 8,1 6-56,3 4 64,-3-14 8,1 10 24,-1-9-152,1 9 96,0-7 8,0 8-16,2 3 32,-2-10 8,1 8-16,0-9-56,-1 9 8,0-8 32,1 8 40,1 2-16,-1-10 24,-1 8-24,1-2 24,0-5-48,0 6 8,0 0 8,1 3 8,0-4-32,-2 0 0,1-5 32,0 9-32,0-3 32,1 0 16,0 3-16,-1-3-40,-1 1 64,1 0-56,1 2-32,0 0 64,-1 0-88,1 0 32,0 0-8,-1 0 16,1 0 24,0 0 0,0 0 24,0 0-16,0 0 0,0 0-32,0 0-16,0 0 40,0 1 0,0-1 24,0 0-16,0 1 56,0-1-48,0 0-8,0 0-24,0 0 40,0 1 40,0-1-64,0 1 32,0-1-32,0 0-8,0 0 40,0 0-8,0 0-8,0 0 32,-1 0-16,1 0-8,-2 0 0,1 0 16,1 0-32,-1 0 32,0 0-40,0 0 32,1 0-8,-2 0 0,1-2 24,-1 0-24,-1 2-8,2 0-16,-1-3 32,2 3-8,-4 0-24,2-2-16,-2-1 72,2 3-64,-2-2 24,2 2 32,2 0-24,-4 0-24,2-2-16,-1 2 80,0-3-64,-1 1 32,1 2-16,3 0 8,-4-3-24,0 1 8,1 2-8,-1 0 40,1-2 8,-2 2-40,5 0 16,-5 0 24,-5-3-32,7 3 8,-1 0 32,-7 0-16,8 0 8,3 0-24,-10 0-16,6 0-8,-8 0 24,2 0-8,-1 1-32,0 1 0,11-2 40,-12 2 0,0 2 16,-1-2 0,0 2 32,-1-2-64,-2 2 32,16-4-16,-15 3 32,-2 1-32,-1 5 32,-1-6-24,-1 2 16,-1 4 0,21-9-24,-24 3 16,0 6-56,-1-5 16,1 7 48,-1-7 0,-1 7 16,26-11-40,-25 5 40,1 8-64,0-8 56,-1 8 56,1-9-32,1 8 40,23-12-96,-21 4 0,0 7 16,1-7-104,0 7 64,1-8-32,-2 7-32,21-10 88,-19 5 16,-1 4-56,2-5-8,1 1 48,1-1-16,3 0 16,13-4 0,-13 4-24,1-1 24,1 1-8,2-1-32,5 0 0,-7-2-48,11-1 88,-3 0-120,-1 0-96,-1 0-40,2 0-64,0 0-81,2 0-79,1 0 480,-1 0-520,1 0-120,0-2-160,0 2-160,0-3-216,3 3-257,-3 0 1433,4-2-1560,6-1-128,-7 3-169,8-2-79,-7 0-129,8-2 409,-12 4 1656,3-2-1864,-3 2 1864</inkml:trace>
  <inkml:trace contextRef="#ctx0" brushRef="#br0" timeOffset="1">209 619 1944,'0'0'0,"-3"-3"1744,3 3-1744,-4-11 1505,-5 7-545,7-7-200,-1 9-168,0-1-112,2-1-72,1 4-408,-1-2 360,0-2-32,1 0-7,-1 2-17,1 0-40,0 2-72,0-3-88,0 3-104,0 0 88,0 0-72,0 0 0,0 0 0,2 0-8,2 0 8,-4 0-16,3 0 24,1 0 0,5 0 8,-6 0 24,6 0-8,-6 0-16,-3 0-32,11 1 48,-8-1-16,10 2 24,-3-1 48,-1 0-24,2-1 0,-11 0-80,12 0 72,1 0-32,2 0 0,0 0-24,0 0-32,2 0-8,-17 0 24,19 0-16,0-2 16,2-1-24,1 1 24,0-1-32,0 1-8,-22 2 40,26-2 8,-1-2-56,0 0 8,1 1 32,1-1-40,-1 1 24,-26 3 24,28-4-32,-1-6-16,1 10 24,0-3 8,-1 0 8,-1 0 24,-26 3-16,25-10 8,0 8 0,1-2 16,-1-5-16,0 5 8,1-7 16,-26 11-32,26-2 24,-3-9 24,0 9-16,0-8 0,-1 6-8,-3-5-40,-19 9 16,18-3-16,0-6 16,-1 7 8,0-8-16,0 8 16,-1-9 0,-16 11-8,14-3 0,-1 0 32,-2-1 0,1 1-32,-2-1-8,-1 0-8,-9 4 16,4-2-40,7 0-8,-9-1-112,2 1-224,-2 2-296,1-3-329,-3 3 1009,0 0-1328,0 0-248,0 0-177,0 2-71,-2 0 544,-1 2 304,3-4 976</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29.011"/>
    </inkml:context>
    <inkml:brush xml:id="br0">
      <inkml:brushProperty name="width" value="0.05" units="cm"/>
      <inkml:brushProperty name="height" value="0.05" units="cm"/>
    </inkml:brush>
  </inkml:definitions>
  <inkml:trace contextRef="#ctx0" brushRef="#br0">57 435 2160,'0'0'0,"-3"0"560,-7 2-160,6 2-56,0 0-40,0-2 0,4-2-304,-4 2 312,1 1-7,-1-3 7,1 2 24,0-2 0,2 0 24,0 0 8,1 0-368,-1 0 344,-1 0-8,1 0-32,1-1-16,0-1-40,0-1 0,0 3-248,0-2 256,0-2 8,0-1 24,0 1 16,0-6 25,0 7-9,0 3-320,3-5 328,-3-5 0,0 9 0,2-4 48,-2 2 40,0-1-8,0 4-408,0-2 408,0 0-32,0 1-32,0 0-32,0 1-32,0 0-55,0 0-225,-1 0 184,0 2-16,-1 2-48,1 0-8,0 6 48,0-6 16,1-4-176,-1 12 152,-1-8-24,2 10 16,-1-5-56,1 1 24,0-6 32,0-4-144,-1 14 112,1-3 8,0 0 16,0 1-40,0 1 40,0 0 0,0-13-136,0 14 96,0 1 16,0-1 0,0 0 8,0 2 64,0 1-40,0-17-144,0 17 144,0-1 8,0 1-8,0 1-32,0-1 8,0 2 0,0-19-120,0 18 56,0 0 64,0 0 16,0 1-32,0 0 40,0 1-31,0-20-113,0 20 96,0-1-24,0 0 48,0 0-72,0 1 48,0-1 8,0-19-104,-1 19 24,1 1 48,0 0 0,0-1-56,0 1 56,0-2-8,0-18-64,0 20-16,0 0 88,0-2-16,0-2-32,0 0 24,2 0 0,-2-16-48,0 14-24,3-1 40,-3 1-32,2-2-8,-2 0 24,2-1 16,-2-11-16,0 11 32,3-1 16,-1-7 16,1 12-40,-1-6-24,0 1 0,-2-10 0,3 9-24,-1 1 24,1-6 0,-1 7-8,-2-7 40,2 7-32,-2-11 0,3 2 0,-3 8 16,2-8-40,1 8 24,-1-7 32,-2 7-40,0-10 8,2 2 0,-2 2 24,3 6 0,-3-10 0,2 3-8,-2 1 8,0-4-24,3 3 8,-3 0-8,2-1 0,0 1 0,-2-1 16,3 0-16,-3-2 0,2 3 48,-2-1-72,0 1 64,3-3-56,-1 2-8,0 0 40,-2-2-16,0 3-56,3-1 72,-1 1 0,1 0-56,-1 1 24,0-1 16,-2-3 0,3 4-8,-1 6 40,1-8 0,-3 2-8,2-1-16,0 1-16,-2-4 8,0 9-16,3-6-32,-1 0 56,1 1 24,0 7-24,0-9 40,-3-2-48,3 4-8,0-1-32,-1 0 56,2 0-72,-1 0 48,1-3 16,-4 0-8,3 0 0,1 0-8,6 0 48,-10 0-32,3 0-8,7 0 16,-10 0-16,2 0 0,2-2 8,8-1-16,-10-1 8,9 1 8,-8-2 48,-3 5-56,15-5 48,-6 0-64,3 0 16,0 1-72,-1 0 24,2-1 56,-13 5-8,15-3-24,-1-2 40,2 1-8,0 1 8,1-1-32,0 1 16,-17 3 0,17-4 0,1 2-40,0-1 8,1 2-8,0 0 16,1 0 24,-20 1 0,21-2 16,0 1-16,2 1-16,1 0-8,-1-1 8,1 0-32,-24 1 48,24 0 0,-1-1 16,2 1 8,0-2 0,-1 2-24,1 0-40,-25 0 40,25 0-48,-1-1 0,1 1 8,-2 0 40,0 0 0,1 0 0,-24 0 0,24 0 40,0 0-40,1 0 8,-1 3 16,-2-1-56,-1 0 32,-21-2 0,18 3-64,1-1 64,-1 1-40,1-1 56,-1 2-8,-1-1-32,-17-3 24,17 4-88,-1-1 80,-1 1 16,1 0-16,-1-1 120,-2-1-104,-13-2-8,14 3-8,-2-1 32,0 1-8,-2-3 32,1 2-24,-1 0 16,-10-2-40,11 0 48,-8 3-40,10-3 72,-9 0-24,6 0 0,-8 0 16,-2 0-72,2 0 64,2 0 40,0 0-16,-2 0 0,0 0 0,1 0-80,-3 0-8,2 0 64,1 0 0,-3 0-32,2 0 80,-2 0-24,0 0-24,0 0-64,2-1 120,-2-1-48,0 1 8,0 0 8,0-1-8,0-1 40,0 3-120,0-2 32,0-2 64,-1 1-16,0-7-48,0 7 88,-3-8-64,4 11-56,-3-5 48,0-8-8,0 3 32,-1-1-24,-1 1 16,0-2-24,5 12-40,-4-12 0,-1-2 40,0 1 0,0 1-8,0-1-8,-4-1-48,9 14 24,-4-15 0,1 0 24,-1-1-8,0-1 16,0 2 0,0-3-24,4 18-8,-4-18-24,1-1 48,-1-2-24,1 0 16,-1-3-32,0 0-8,4 24 24,-3-25-40,-1 1 40,1 0 16,0-1-32,0 1 8,0 0-8,3 24 16,-2-24 16,-1 0-32,1-2 0,1 3-24,-2-1 0,1 0 40,2 24 0,-2-24 0,-1 1-8,2 0-24,0-1-8,0 1 32,1 1 8,0 22 0,0-23-32,0 2 32,0 1-24,0 1 8,0 2-8,0-1 24,0 18 0,0-17-24,0 1 8,0-1 16,0 1-64,0 2 40,2-2 32,-2 16-8,0-14-8,0 1 48,0 0-32,0 2-16,0 0-24,0 1 24,0 10 8,-1-4-32,0-8 24,-1 8 8,1-7 24,0 6-40,0-5 8,1 10 8,-1-5 0,0-6-16,-1 9 32,0-3-40,1 0 8,-2 0 16,3 5 0,-1-3-40,0-1 80,-1 0-40,0 2-16,1 0 48,0-1-8,1 3-24,0-2 0,-1-1 0,0 1-24,-1-2-48,1 2 88,0 0-16,1 2 0,-1-4 0,0 1 0,-1-1-16,2 0-24,0 1 40,0-2 16,0 5-16,-1-5 16,1-6-8,0 8-32,0-7 0,0 7-32,0-8 32,0 11 24,-1-5 16,0-6-16,0 2-16,-1 4-24,0-8 16,1 3-32,1 10 56,-3-10-40,1 6 40,0-8-8,-1 8-8,0-7 32,0 8-8,3 3-8,-2-12-8,-1 8 8,2-7-16,-2 8-24,0-7 40,1 7-72,2 3 72,-3-5 24,1-5-40,0 7-8,-1-1 88,0-6-48,-1 8-32,4 2 16,-2-4 16,-1-5-48,0 8-40,0-3 40,0 0-16,0 1 32,3 3 16,-3-4 56,-1 1-16,2 0 0,-2 1-56,0 1 16,1-1-40,3 2 40,-4-1-16,-1 0-8,2 1 24,-2 0 16,0 0-16,-4 0 40,9 0-40,-4 2-56,-5 1 32,5-1 8,-6 1-32,7-1 48,-2 2 16,5-4-16,-11 3 8,6 1 8,-5 5-16,5-6 0,-8 0 40,2 7-32,11-10-8,-12 4-8,1-1-8,-1 8-24,0-9 56,0 2 48,-2 7-80,1-9 16,13-2 0,-15 10-8,0-8-8,0 8 32,0-8 8,-1 2-24,-1 7-56,17-11 56,-17 2 32,1 7-48,-1-6 32,-2 0-8,1 8-32,18-11 24,-21 3 40,2 0 0,0 8 8,-1-9 8,3 8-56,-5-6 8,3 5 24,19-9-32,-20 4 8,-2 5 16,4-6-8,-3 8-16,0-8 0,2 7-24,19-10 24,-21 2-16,1 8 40,0-8-32,1 2 48,0 5-32,1-9-16,18 0 8,-20 4 40,3 0-16,0-2 0,-1 0-24,1-2 0,-1 3 24,18-3-24,-19 0-8,1 0 8,0 0 0,3 0-40,0 0 64,1 0-8,14 0-16,-14 0 0,2-1 8,2-1-32,0 1 8,0 0 16,7 0-8,3 1 8,-11-1-16,7-1 32,0 1-32,-7 0-48,8 0 16,0 0-96,3 1 144,-4 0-184,2 0-72,-1 0-144,2 0-152,-1 0-104,-1 0-209,3 0 865,-1 0-992,0 0-144,0 0-112,0 2-9,1-2-47,0 2 8,0-2 1296,0 0-1336,0 3-105,0-1-7,0 1-80,2-1-57,0 0 313,-2-2 1272,3 3-2496,-3-3 2496</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29.702"/>
    </inkml:context>
    <inkml:brush xml:id="br0">
      <inkml:brushProperty name="width" value="0.05" units="cm"/>
      <inkml:brushProperty name="height" value="0.05" units="cm"/>
    </inkml:brush>
  </inkml:definitions>
  <inkml:trace contextRef="#ctx0" brushRef="#br0">24 199 3016,'0'0'0,"-3"-1"784,0 0-216,-1-3-159,1 2-81,3 2-328,-4-4 304,0 0 16,3 1 24,0-1-16,1 1-16,0-1 32,0 4-344,2-4 288,1 1-16,-1 0 24,1 1-24,-1 0 56,2 0 48,-4 2-376,3-1 384,7 0-23,-7 0 15,9 0-16,-8-1-40,10 2 24,-14 0-344,10 0 280,1-1 24,1 1 32,0 0 8,-2 0 32,4 0-8,-14 0-368,14 0 376,-1 0-8,3 0-7,-1 0 23,3 0-96,0 0 0,-18 0-288,21 0 272,-2 0-72,1 0-8,-1 0-40,2 0-8,-2 0 0,-19 0-144,19 0 128,3 0-24,-2 0-16,0-1 0,2 0-24,0-2 48,-22 3-112,21-3 80,3-1-24,-1 1 72,1-7-40,0 8 8,0-3 24,-24 5-120,24-5 56,0 0-8,0 1-24,-2 0-40,2-1-8,-1 0 64,-23 5-40,23-3 88,-1-2-24,-1 1 40,2 1-8,-2-1-64,1 1 40,-22 3-72,20-4 72,1 2-24,-1-2 24,1 0 8,0 1-32,1-1-8,-22 4-40,21-3 48,0-1-48,-3 0 0,-2 1 32,-1-1-32,-2 1 48,-13 3-48,12-4 16,0 2 16,-3-2-32,-5 3 64,9-2-40,-10 1 8,-3 2-32,3-1 48,1 0-8,-1-1 9,0 1-1,-1 0-16,1 1-8,-3 0-24,0 0 48,0 0-72,0 0-120,0 0-249,0 2-359,0-2 752,-3 3-1216,1-1-416,-1 2-289,0 7-303,0-8-105,0 8-271,3-11 2600,-10 4-2073,7 8-1151,3-12 3224</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31.215"/>
    </inkml:context>
    <inkml:brush xml:id="br0">
      <inkml:brushProperty name="width" value="0.05" units="cm"/>
      <inkml:brushProperty name="height" value="0.05" units="cm"/>
    </inkml:brush>
  </inkml:definitions>
  <inkml:trace contextRef="#ctx0" brushRef="#br0">73 227 1904,'0'0'0,"-4"-2"360,4 2-360,-2-4 288,-2-1-72,2-4 0,-1 6 40,2-2 72,0 1 64,1 4-392,-1-5 400,1 0 1,-1 2-41,1-1-64,0 0 40,0 3-24,0 1-312,0-1 328,0 0 24,0 0 0,0-1-8,0 2 24,0 0 24,0 0-392,0 0 352,0 0-16,-2 0-48,2 0-47,-1 3 31,0 0 0,1-3-272,-1 10 280,0-7 24,-1 9-8,1-1-24,0 1-24,-1 1-32,2-13-216,-2 15 232,0 0 8,0 3 0,0 2-16,1-1 0,0 1-8,1-20-216,-1 22 200,0-1-24,-1 2-24,1 2-32,1-2-8,-1 2-16,1-25-96,0 24 64,0 2 16,0 1-24,0 0-23,0 1-17,2-1 8,-2-27-24,0 28 0,3-2 32,-1 1 8,1 0-40,-1 0 0,2 0 0,-4-27 0,2 27-32,2 0 48,-1 0-8,0-1-16,-1-1 8,0 0-32,-2-25 32,3 24-32,0-2 8,0 1 24,0-2-8,0 0 16,-1-1-16,-2-20 8,3 18-33,-1 0 33,0-1 0,1-1-24,-1 1 81,-2-1-49,0-16-8,3 13-8,-1 1 48,0 0-40,1-4 24,-3 2 24,2-1-16,-2-11-32,0 11 56,3 0-8,-1-2 8,-2-5-16,2 8 8,-2-10-40,0-2-8,3 10 8,-1-8 8,1 2 0,-1-1 8,-2 1-16,2 0 16,-2-4-24,0 2-24,3 0 40,-1 1-16,-2-1 8,3 1 16,-1-1-8,-2-2-16,0 2-8,2-2 16,1 3 8,-3-3-8,2 2 32,-2-2-16,0 0-24,0 3 24,0-3 16,0 2-32,0 0 24,0 1-8,3-1-24,-3-2 0,0 4 40,0-2 8,0 2-8,0-2-40,0 2 0,0-2-40,0-2 40,0 4-48,0-1 48,2 1-8,-2 5 16,2-9-8,-2 4 0,0-4 0,3 2-8,-1 2-16,0-2-16,1 1 8,-1 0 24,2 0-8,-4-3 16,3 2 24,0 1 8,0-1-32,8-2 24,-8 2-40,7-2 32,-10 0-16,4 0 8,9 0-32,-2 0 24,0 0-32,0 0 48,1 0 24,-12 0-40,13 0 40,-1 0-24,2-1-8,0 0 0,2 0 8,1 0-32,-17 1 16,17-2 24,-1 1-24,2 0 8,0 0 24,0 0-40,0-1 64,-18 2-56,19-1 24,2 0-16,-1 1 32,1 0-56,-2-1 32,0 1 32,-19 0-48,19 0 8,0 0 0,0 0-8,1 0 40,-2 0-32,1 0 24,-19 0-32,18 0 32,2 0-32,1 2 8,-1 1 8,1-3-8,0 2-16,-21-2 8,20 2 8,-1-2-8,-1 3 0,-1-3 24,-1 0-16,-1 0 24,-15 0-32,16 0 40,-1 0-24,0 0 32,-1 0-16,1 0-24,-1 0 16,-14 0-24,16-1 0,-2-1 24,0 1-16,1 0 24,-1 0 0,-1-2-8,-13 3-24,13-2 24,1 1-16,-4 0 16,2-1-16,-2 1 40,0 0-24,-10 1-24,3-1 8,9 1 48,-9-1-56,6-1 48,-6 2 8,0-1-24,-3 1-32,4-1 40,-1 0-24,0 0 40,-1-1-32,-2 1 48,3 0 32,-3 1-104,0-1 64,2 1 32,-2-1-16,0 1 8,0-2 16,0 2-16,0 0-88,0-1 72,0 1-64,0-1 40,0 1 0,0-1-40,0 0 56,0 1-64,0-2 0,0 1-24,2 0 48,-2 0-24,0 0 8,0 0 24,0 1-32,3-2-24,-3 1 40,2 0 16,-2-1-32,0-1 72,0 1-24,0 2-48,0-3-24,0 0 80,0-1-32,0 1 8,0-1-8,0-1-8,0 5-16,0-9 32,0 5-40,0-8 48,0 7 8,-1-8-32,0 2 32,1 11-48,-1-12 40,-1-2-40,1 1 96,0-3-48,0 1 0,-2-3 48,3 18-96,-2-20 48,0-1-16,-1-1 16,0-2 8,0-1-8,0-2 40,3 27-88,-4-28 72,0-2 0,0-2-24,-6-1 0,9-1 0,-3-2 8,4 36-56,-3-36 88,-1 1-8,0 0 9,1 3-41,-2-2-24,0 1 8,5 33-32,-3-34 80,-1 2-8,0-1-24,1 1 8,-1 3-32,1 2-8,3 27-16,-4-25 48,2 1 16,-1 2-40,2 3 40,-1 0-64,0 3 0,2 16 0,-1-17 48,0 3-88,0-2 64,0 2-8,-1 0-32,1 0 56,1 14-40,-1-12 24,0 3-16,0-1 32,-1 7 0,1-8-40,0 7 24,1 4-24,-1-3-16,0-1-8,1 0 16,0 1-8,-2 0 0,1 2 32,1 1-16,-1-2 24,0 1 0,0-1 24,-1 1-48,1 0 0,1 0-8,0 1 8,-1-1-24,0 1 24,1-2-16,0 1 16,0 1 24,0-1-24,0 1 0,-1-1 48,-1 0-32,2 1-32,0-2 8,-1 1-40,1 0 48,0 1 0,0-1-64,0-2 40,0 1 32,0 0-8,0-2 88,0 1-48,0 3-40,0-4 8,0 0-32,0 0-8,0-1 40,0-5 8,0 7 8,0 3-24,0-5 40,3-5-56,-1 7 0,-2-7 16,2 6-24,-2-5 48,0 9-24,0-4-24,0-1 40,0-4-16,0 5-16,0-1 80,0 1-40,0 4-24,0-5 24,0 0-24,0 0-24,-1 0 16,0 1 16,0-1 8,1 5-16,-3-4 32,1 1-40,0-1-32,-2 0 64,2 2-8,-2-2-16,4 4 0,-3-3 40,-1 1-72,0-2 32,1 0 16,-1 2 8,1 0 16,3 2-40,-4-3 48,0 2-48,1 0-40,-1 0 32,-1-1 16,2 1-16,3 1 8,-5-1 8,-5 0 8,8 0-40,-2 1 8,-5 0 40,5 0-32,4 0 8,-9 0 8,5 0-8,-8 0-24,2 0 48,0 0-32,-2 2 32,12-2-24,-12 2 8,-1 1-16,-1-1-8,-1 1 8,-2 0 32,0 7-24,-3-8 24,20-2-24,-21 4 0,1 5-16,0-6 48,-1 0-64,1 7 24,0-8 16,20-2-8,-20 10 16,-1-7-16,-1 7 40,0-6-56,-2 6 8,1-6-8,23-4 16,-24 12-16,0-8 16,-1 9-8,-2-10-16,2 11 8,-1-11 32,26-3-16,-25 13-16,-2-9 8,0 9 32,2-9-48,-1 8 24,1-9 24,25-3-24,-23 10-16,3-8 16,-2 2 40,3-1-32,1 1 8,2 0 0,16-4-16,-17 2 24,1 0-16,2 1 16,1-3-8,-1 0 8,4 2-24,10-2 0,-11 0 16,1 0-32,7 0-8,-2 0 8,1 0-8,1-1 0,3 1 24,-3-1-64,2 0-72,0-1-184,1 1-328,0 0-425,0 0-463,0 1 1536,2-1-1872,2-1-113,7 1-151,-1-1-161,0-1-215,0 0-1897,-10 3 4409,0 0 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31.837"/>
    </inkml:context>
    <inkml:brush xml:id="br0">
      <inkml:brushProperty name="width" value="0.05" units="cm"/>
      <inkml:brushProperty name="height" value="0.05" units="cm"/>
    </inkml:brush>
  </inkml:definitions>
  <inkml:trace contextRef="#ctx0" brushRef="#br0">85 233 1720,'0'0'0,"-9"0"488,9 0-488,-4 0 352,-8 0-160,8 2-72,-6-2-8,6 0 24,-6 0 40,10 0-176,-3 0 216,-1 0 48,1 0 0,-2 0-8,1-1-16,1 0-15,3 1-225,-4-3 200,3 2 16,0-1 8,-1 1-8,1-1 40,0 1-8,1 1-248,0-1 288,0 0 40,0-2 40,0 2 88,0 0 32,0 0 32,0 1-520,0-3 552,0 2-63,0 0-1,0 0-48,0 1-8,0 0-32,0 0-400,0 0 376,0-1 40,0 1-24,2 0 24,1 0 32,-1 0-32,-2 0-416,3 0 393,0 0-17,8 0 0,-9 0-72,10 0-8,-8 0-32,-4 0-264,14 0 224,-3 0 16,-1 0-40,1 0-8,2 0-16,-1 0-24,-12 0-152,13 0 160,1-2-32,2 1-16,-2-1-8,2-2-8,-1 1 0,-15 3-96,17-4 120,0-1-16,1 0 24,1-4 16,2 5 0,0-1-8,-21 5-136,22-9 128,-1 5-80,3-7 49,-1 7-33,1-7-32,-1 6 80,-23 5-112,22-11 64,4 8 8,-1-8 0,0 7-24,0-5 16,2 5-32,-27 4-32,23-3 56,3-7-32,-1 8 8,-1-2-16,0-1-32,1 2 40,-25 3-24,24-5 24,0 0 16,-3 1 8,0 0-32,-3 0-16,-3 0 24,-15 4-24,15-3 0,-3-1 64,-1 2-32,-1-1-8,-6 0 16,9 0-16,-13 3-24,4-2 48,-1 1-8,7 0 0,-10-1 24,0 1-8,2 1 8,-2 0-64,0 0 128,0 0-32,0 0-16,0 0-32,-1 0-80,0 3-152,1-3 184,-4 2-344,1 2-280,-2-1-257,0 1-255,0 5-352,-4-6-248,9-3 1736,-4 3-2049,-1 1-415,1 6-321,-1-10 216,0 2-1151,5-2 3720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23.868"/>
    </inkml:context>
    <inkml:brush xml:id="br0">
      <inkml:brushProperty name="width" value="0.05" units="cm"/>
      <inkml:brushProperty name="height" value="0.05" units="cm"/>
    </inkml:brush>
  </inkml:definitions>
  <inkml:trace contextRef="#ctx0" brushRef="#br0">41 84 1408,'0'0'0,"-1"1"64,-2 0 32,-7-1 40,8 0 48,-2 0 72,4 0-256,-2 0 304,-1 0 64,1-2 64,-1 2 40,0-3 40,2 3 33,1 0-545,-2-2 528,1-1 16,0 3-16,0-3-24,0 0 0,1 1-8,0 2-496,0-2 496,0 2-24,0-3-16,0 1-55,0-1-41,0 3-48,0 0-312,2-2 320,0 0 0,1-1 24,-1 1 40,1 2-16,-1-2-8,-2 2-360,2-3 344,2 3-16,0 0 8,-1-2 0,1 2 1,-1 0 15,-3 0-352,4-3 296,-1 3 16,1-2-48,6 2-40,-10-2 8,3 2-32,-3 0-200,4 0 200,5 0 16,-6 0-8,0 0-8,1 0 8,6 0 0,-10 0-208,2 0 224,2 0-32,5 0-8,-6 0-8,0 0-16,8 0-8,-11 0-152,2 0 144,9 0 0,-8 0 1,7 0 7,-6 0-24,7 0-16,-11 0-112,3 0 120,8 1-16,-7 0-32,5-1 0,-5 0 0,7 1-40,-11-1-32,3 0 56,7 1-16,-7 1 0,9-2 72,-8 0-56,8 1 32,-12-1-88,4 0 64,9 1-16,-4 0 16,-5-1-8,10 0 56,-4 0-48,-10 0-64,10 0 48,-7 0 16,12 0-16,-5 0 40,1 0 16,1 0 24,-12 0-128,12 0 104,0 0-24,1 0 32,0-2 32,-1 2-32,2-3-8,-14 3-104,13 0 104,0-2-48,1 2-32,1 0 32,-2 0-32,0-2-24,-13 2 0,14 0 24,1-3 0,-1 3-8,1 0-16,-2-2 16,1 2-8,-14 0-8,13 0 32,-1 0-8,0 0-8,0 0 8,0 0-48,-1 0 32,-11 0-8,12-3 56,-1 3-32,0-2 56,-1 0-56,1 2-24,-1-3 0,-10 3 0,9-2 16,1 2 24,-6-3-16,10 1 16,-10 2-24,9-2-8,-13 2-8,3-3 16,9 1 0,-8 2-16,5 0 24,-6 0-8,0-3-16,-3 3 0,4 0 0,-2 0 0,1 0 24,-3-2-40,0 2 72,0 0-32,0 0-24,0 0 40,0 0 24,0 0-48,0 0 80,0 0-56,0 0-16,0 0-304,-1 0 600,-2 0-376,1 0 56,-1 0-8,1 0-24,-2 1 48,4-1-16,-3 0 16,-1 0-32,1 1 32,-2 1-56,1-1-40,1 0 0,3-1 80,-4 0-144,1 0-56,-1 0-24,2 1-120,-1-1-64,2 0-144,1 0 552,-2 0-696,0 0-232,1 0-281,-1 0-375,-1 0-472,1 0-609,2 0 2665,-4 0-3313,1 0 89,-1 0 983,1 0-407,3 0 2648</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43.733"/>
    </inkml:context>
    <inkml:brush xml:id="br0">
      <inkml:brushProperty name="width" value="0.05" units="cm"/>
      <inkml:brushProperty name="height" value="0.05" units="cm"/>
    </inkml:brush>
  </inkml:definitions>
  <inkml:trace contextRef="#ctx0" brushRef="#br0">24 71 6049,'0'0'0,"-4"-1"2264,-5-3-1312,5 1-199,2-1-33,2 4-720,-1-3 784,-1-1 96,1-1 0,0 0-103,1 2-49,0-2-88,0 5-640,0-4 576,0 1-16,0-1-16,0 1-32,2-1-8,1 0-24,-3 4-480,3-3 393,1 0-65,6 1-24,-8 0-40,2 0 40,5 2 24,-9 0-328,3 0 264,7 0-8,-7 3 24,9 6-8,-10-5 16,8 12 32,-10-16-320,2 12 264,2 2 24,5 4-48,-9 4-64,3 3 81,-1 2-57,-2-27-200,3 28 208,-3 1 8,0 1-64,0 1-16,0 1 16,-2 2 32,2-34-184,-1 32 72,0 2 24,0-4-24,0-2-88,-1-1 56,1-1-40,1-26 0,-1 25 0,1-1 0,-1-2 16,0-1 0,-1-3-48,1-1 64,1-17-32,0 16-48,0-4 40,0-3 16,0-5-128,0-1-48,0 1-96,0-4 264,4 0-424,-1 0-120,8 0-105,-7-2-223,5-3-184,-5-7-240,-4 12 1296,10-11-1681,-8-3-295,10-3-473,-9-1-463,11-2-97,-5-1 112,-9 21 2897,10-21-1968,-1-1-536,-9 22 2504</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45.144"/>
    </inkml:context>
    <inkml:brush xml:id="br0">
      <inkml:brushProperty name="width" value="0.05" units="cm"/>
      <inkml:brushProperty name="height" value="0.05" units="cm"/>
    </inkml:brush>
  </inkml:definitions>
  <inkml:trace contextRef="#ctx0" brushRef="#br0">125 86 4913,'0'0'0,"-10"0"2320,1 3-1120,-2 1-103,6 0-113,-6-1 0,11-3-984,-3 10 936,-7-8-176,5 2-72,-5 7-63,5-9 23,-6 2 64,11-4-712,-4 10 720,-6-6-8,6 6-88,0-8-72,0 8-143,0-8-145,4-2-264,-2 10 224,0-1-128,1 1 56,1 1 32,0 0-8,0 3-24,0-14-152,3 14 160,-1 0 32,0 2 0,2-2 32,0 3-80,5 0 8,-9-17-152,3 17 144,6 0-56,-6-2 40,0 2 16,7 0-48,-8-1 16,-2-16-112,10 16 80,-7-2-64,7 0 48,-8-4-80,8 1 56,-8-7 0,-2-4-40,4 12 16,8-10 48,-10 2-64,2-1 56,7 0-32,-9-3 0,-2 0-24,10 0 40,-7 0-24,10-2 24,-9-2 0,7-7-16,-9 1 16,-2 10-40,12-12 16,-9-1 32,6-2 8,-6-3-40,0-2-8,0 0 24,-3 20-32,2-20 0,-2-1 0,0 1 48,-1 0-48,-3 0 0,1 1 56,3 19-56,-5-20-16,0 2-8,0-1 24,-4 1 0,5 1-16,-7 1 48,11 16-32,-9-14 0,-2 1 0,1 0 0,1 1 0,-1 0-72,5 1 24,5 11 48,-12-10-80,8 1-64,-8 4 48,7-6-104,-7 8-48,8-1 0,4 4 248,-5-4-280,2 2-80,-1 1-64,1 0-72,0 1-192,2 0-97,1 0 785,0 0-928,0 0-240,2 0-120,2 0-273,6 0-303,-7 2-200,-3-2 2064,12 2-2257,-2-2-63,1 3 391,2-1 657,-1 1-624,-12-3 1896</inkml:trace>
  <inkml:trace contextRef="#ctx0" brushRef="#br0" timeOffset="1">326 113 2376,'0'0'0,"-9"3"1352,4 0 193,-8 1-345,13-4-1200,-4 4 1200,-6-2-24,7 0 1,-1-2-113,1 0-112,-1 0-96,4 0-856,-4 0 776,2 0-7,1 0-41,0-1-40,-1-2 16,2-2-24,0 5-680,0-10 680,10 5-8,-8-7-79,8 8-89,-6-10-64,6 10-64,-10 4-376,10-12 304,0 7-8,-1-7-80,3 8-112,1-6 0,-1 6-48,-12 4-56,14-4 24,-2 2 40,-2 0-64,2 2-24,0 0 24,0 2 0,-12-2 0,11 10 8,0-7 88,1 12-48,-3-3 32,2 2-16,-7 1-48,-4-15-16,14 17 40,-10 2-16,8 1 16,-9-1-16,7 2 32,-8-1-16,-2-20-40,3 20 24,-1-1 40,-2 0-24,0-2 32,0 1-64,0 0 32,0-18-40,-3 17 40,-1 1 40,-1 0 16,-6-3 8,8 3 32,-10-1-48,13-17-88,-10 17 176,0-2-64,1 0 8,-1-3 17,1-1-33,4-2 48,5-9-152,-13 4 112,8 9 8,-7-10-24,8 7 16,-1-8 0,-4 1-72,9-3-40,-2 3 40,-2 0-56,-1-1 16,2-2 56,0 0-40,2 0 8,1 0-24,-1 0 48,1 0-64,0 0 32,0 0-48,3-1 16,-3 1 16,4-2-8,6-1 8,-8 1 0,9-1 8,-9 1 64,9 1-40,-11 1-32,3-1 24,11-1-40,-11 1-48,10 1 16,-9 0 40,10 0 48,-14 0-40,11 0-16,1 3 32,0-1-56,0-2-16,1 2 56,-1-2-56,-12 0 56,12 0 24,1 0-8,-1 0-32,2 0 8,-1 0-8,-1 0-16,-12 0 32,12 0-8,-3 0 48,1-1-176,-6-2 96,8-1-32,-9-1-104,-3 5 176,12-10-168,-8 6-168,7-8-113,-8 7-55,8-8-40,-8 3-88,-3 10 632,11-12-672,-8 0-144,6-2-104,-6 0-33,6-1-79,-6 1-48,-3 14 1080,3-15-1144,1 1-113,-1 0-223,1-1-8,0 1-25,-1 1 49,-3 13 1464,10-13-1216,-10 1 184,2-2 183,2 0 201,-1 1 128,1 0 128,-4 13 392,4-12-280,-1 0 96,1 1 72,-1 1 56,1 1 40,0 4 8,-4 5 8,3-13 24,1 3 24,-1 5 56,1-5 88,0 5 96,-2-6 152,-2 11-440,2-4 616,1-5 177,-3 5 167,2 1 120,-2-2 56,0 0 8,0 1-15,0 4-1129,0-3 1104,0-1-24,0 1-24,0 2-47,0-2-113,-1 2-112,1 1-784,-2-1 696,-2 1-112,0 0 0,1 0-40,-1 0-47,1 0-49,3 0-448,-4 0 400,0 0-24,1 2-40,0 1 24,0 0 0,-1 1-56,4-4-304,-5 9 328,1-6-24,0 9-40,-6-2 16,9 1-16,-2 2 8,3-13-272,-4 16 233,0 0-17,1 2-24,2 1-48,-1-1 0,1 0-8,1-18-136,0 18 80,0 0-24,3-3 16,-1 0-64,2-1 48,6-1-8,-10-13-48,4 13 8,8-2 48,-8 0-56,10 0-24,-3-8 48,1 9-24,-12-12 0,12 3 0,0 0 40,1 0-80,1-1 40,1-2 16,0 0-56,-15 0 40,16-1 8,-2-3-32,-1-5 0,1 4 32,-2-7 8,-2 1 24,-10 11-40,11-12 0,-1-1 16,-7 0 0,9 0-48,-8-3 48,5 0-16,-9 16 0,3-18-32,-1 0 32,-2-2 0,0 2-40,0-1 72,-1 0-48,1 19 16,-4-18 0,1 1 56,-8 1-56,6 1-16,-7 0 88,2 2-72,10 13 0,-11-12-32,-1 2 64,-1-1-64,-1 1 8,1 5 24,-1-4 40,14 9-40,-15-1-24,2-3 80,0 3-16,0 1-96,2 0 112,0 2-112,11-2 56,-9 4-96,-1 5-112,7-5-168,-8 6-72,7-7-217,1 8-127,3-11 792,-4 2-1016,3 9-240,1-7-337,0 6-575,2-7-1049,10 6-1192,-12-9 4409,10 3-3993,2 0-215,-12-3 4208</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54.309"/>
    </inkml:context>
    <inkml:brush xml:id="br0">
      <inkml:brushProperty name="width" value="0.05" units="cm"/>
      <inkml:brushProperty name="height" value="0.05" units="cm"/>
    </inkml:brush>
  </inkml:definitions>
  <inkml:trace contextRef="#ctx0" brushRef="#br0">48 1 3720,'0'0'0,"-11"10"1953,1-6-689,-1 9-296,8-9 24,-1 5 1,4-9-993,-3 3 872,0 0-160,2 9-112,0-8-104,1 8 56,0-8 32,0-4-584,0 12 641,0-3 47,0-5-24,2 10 0,1-3-48,-1 0-64,-2-11-552,4 12 512,-1 2-72,7 2-31,-8-1-49,2 2-56,5 1 24,-9-18-328,3 17 312,6 1-48,-5-2 16,7 2-104,-8 0-48,7 2 40,-10-20-168,3 19 64,7 1 64,-8 2-8,2 1-48,6-1 48,-8 1-56,-2-23-64,4 24 56,5-1-56,-9 0 8,4-3 48,-1 0-32,1-1 16,-4-19-40,2 17 40,1-2-56,-3-3 16,2-2-88,1 0-112,-3-6-176,0-4 376,2 9-584,-2-9-192,0 3-376,0-3-337,2 0-319,1-4-321,-3 4 2129,2-10-2200,2-2-185,-1-3-127,1-4-65,0-3-839,-4 22 3416</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3:56.106"/>
    </inkml:context>
    <inkml:brush xml:id="br0">
      <inkml:brushProperty name="width" value="0.05" units="cm"/>
      <inkml:brushProperty name="height" value="0.05" units="cm"/>
    </inkml:brush>
  </inkml:definitions>
  <inkml:trace contextRef="#ctx0" brushRef="#br0">17 291 4072,'0'0'0,"-4"3"1729,1 0-633,-2 1-256,5-4-840,-4 4 784,3-2-48,1-2-103,0 0-81,0 0-40,4 0 64,-4 0-576,2 0 632,2 0 0,5-1-24,-6-3-64,6-1-111,-5-4-73,-4 9-360,14-5 280,-4-7-128,0 9-32,-1-11-16,2 5-72,0-1 32,-11 10-64,10-9 32,2-1 0,-1 0 0,-1 0-8,-1 0-8,-5 0-16,-4 10 0,13-4 0,-10-7-24,7 7-8,-7-5 32,0 5-40,1 0 64,-4 4-24,4-4 16,-1 0 0,0 0 32,-3 3-8,0 0 8,0 0 32,0 1-80,0 0 88,-2 0-32,1 0 24,-2 0-48,-2 3 0,-5 1 0,10-4-32,-2 10 24,-8-8 40,7 8-24,-2-7 0,-7 9 16,8-2-32,4-10-24,-11 9 48,8 2 8,-9 0 0,8 0 0,-7 0 16,8-1-48,3-10-24,-10 12 40,7 0-16,-1 0-24,-5 1 48,7 1-72,-1-4 72,3-10-48,-4 12 32,-1-1-8,2-1 0,-1-1-24,2-5 24,1 9-24,1-13 0,-2 4 32,1 7-8,1-8-24,0 1 0,0 7 0,0-11-16,0 0 16,0 3 0,0 1 40,0-2-64,3-2 48,0 3 16,1-3-16,-4 0-24,11 0 104,-9 0-24,10 0 48,-8-2 24,9-1-8,-4-1 8,-9 4-152,10-5 152,1-4-16,-2 5-56,2 1 32,1-1-56,0 0 16,-12 4-72,11-3 64,2 2-8,-1-1 8,-1 2-40,2 0 49,0 3-25,-13-3-48,12 2 32,0 8 56,0-7-40,1 9 24,-1-8 16,0 10-40,-12-14-48,11 11 88,-1-1-8,-7 2-16,10 0-40,-9 1 24,7 0 0,-11-13-48,3 13 32,7-1 40,-8 0-48,2 0 0,5 0 48,-6 1-8,-3-13-64,2 12 48,1 1 16,-3-1-16,0 0 32,0 2 16,0-2 32,0-12-128,-3 13 96,0 0 0,-2-1 16,0 0-72,-6 0 16,8-1 40,3-11-96,-11 11-32,6-2 96,-8 2 16,3-2-56,0-5 96,0 9-88,10-13-32,-12 4 40,1 5-16,2-9-32,-2 4-8,1 0 8,1-2 16,9-2-8,-10 0 0,5 0 16,-7 0-8,8-1 8,-7-2 0,7 0-32,4 3 16,-5-4-64,-4-1-24,6-4-32,0 5-56,-1-8 0,3 7-88,1 5 264,-1-12-352,0 3-96,1-1-128,0 0-105,0-2-143,2 0-112,-2 12 936,2-14-1032,8 0-160,-8 1-169,9-2-175,-7 2-168,8-2-137,-12 15 1841,3-16-1936,11 1 23,-11-1 185,13 0-192,-16 16 1920</inkml:trace>
  <inkml:trace contextRef="#ctx0" brushRef="#br0" timeOffset="1">442 160 1200,'0'0'0,"0"0"0,-1 0 1176,-2 0 200,-1 3-7,0 1-81,2-2 16,0 2-40,2-4-1264,-2 2 1193,1 2-129,1-1-120,0 1-56,0 6-64,0-8-15,0 8-65,0-10-744,0 3 704,4 8-80,-2-7-80,2 8-56,-1-3-32,1 1-72,-4-10-384,10 11 377,-8-1-49,2 1-56,-1 0 0,1-2-72,5 2 24,-9-11-224,0 10 208,4-1-8,0 1 72,-1 0-112,1-1 40,-1-5-64,-3-4-136,4 14 136,6-10 16,-10 10-64,3-10 8,1 8-8,-2-9-16,-2-3-72,4 12 48,-1-8 8,1 7 8,0-8-48,5 7 32,-9-8-8,0-2-40,4 4-8,7-1 32,-9 1-8,9-2-32,-8 1 40,8-3-8,-11 0-16,4 0 16,9 0 8,-4 0-8,2-3-56,-1 0 48,-7-2 8,-3 5-16,15-10-24,-4 7 24,-2-7-32,1 7-8,-1-7 32,-5 6 16,-4 4-8,14-10-48,-10 5 16,10-7-8,-4 2-88,-7 6 32,12-10-32,-15 14 128,3-9-232,11 4-56,-11-8-72,9 8-96,-8-7 0,7 7-72,-11 5 528,2-12-584,8 3-105,-10 4-119,3-8-136,0 8-152,-1-7-200,-2 12 1296,0-4-1553,0 0-135,0-6-145,0 8-175,0-2 56,-1 0 199,1 4 1753,-1-3-1520,-4-1 544,0 1 80,5 3 896</inkml:trace>
  <inkml:trace contextRef="#ctx0" brushRef="#br0" timeOffset="2">729 161 656,'0'0'0,"-1"0"600,1 0-600,-3 0 816,0 2 104,-1 1 64,0 0 49,1 1 15,0-1-24,3-3-1024,-2 10 1040,0-8-16,-1 2 1,1 8-1,0-8-16,0 8-48,2-12-960,-1 10 864,1 1-63,0 2-113,0 2-56,0 0-64,0 3-120,0-18-448,3 17 408,0 1-104,0-1-40,0 0-72,1-1-40,-1 1-56,-3-17-96,10 17 96,-8-2-7,2 1-33,-1 1 8,7-2-40,-8 0-16,-2-15-8,4 13 16,6-1-32,-8-1-32,2-2 24,6-5-32,-7 7-33,-3-11 89,9 2-144,-6 2-144,0-1-176,8 1-144,-7-4-224,5 0-136,-9 0 968,3 0-1112,0-2-193,8-2-143,-8-7-104,7 6-129,-6-7-63,-4 12 1744,10-10-1720,-7-4 127,7 0 209,-7-3 456,8 0 8,-11 17 920</inkml:trace>
  <inkml:trace contextRef="#ctx0" brushRef="#br0" timeOffset="3">1033 47 2408,'0'0'0,"-11"0"1736,7 4-79,-9 5-209,3-6-256,10-3-1192,-4 3 1057,-6 9-121,6-8-64,-6 8-96,8-9-48,-3 11-16,5-14-712,-5 9 657,1 3-41,0 1-32,0 3-64,1-1-48,2 2-48,1-17-424,-2 18 320,2-1-32,0 1-24,0-1-80,3-1-40,-1 0-24,-2-16-120,4 14 48,7 1 8,-9-2 32,8 0-56,-7-2 32,8 0-16,-11-11-48,4 9 32,6-5 32,-6 10-40,8-11-16,-9 6-8,9-9-8,-12 0 8,4 4 24,8-2-24,-8 1 24,6-3 0,-6 0-16,9 0 16,-13 0-24,4-4 24,9-1-24,-9-7 41,6 2-9,-6-4-32,6 1-24,-10 13 24,2-15-32,8-1 15,-8-1-7,0-2 16,2 0-32,-2 1 32,-2 18 8,3-20 8,-1 2-56,-2-3 40,0 2-32,0 2 32,-2 0 8,2 17 0,-4-14 0,-5 1 32,5 0-8,-7 1 40,6 1-32,-8 0 9,13 11-41,-9-9 8,-3 4 8,0-7-8,0 8 8,1-5-16,0 6-24,11 3 24,-10-3 8,6-1-32,-7 0 40,7 1-40,-5 0-17,6 0 17,3 3 24,-3-3-96,-1 1-24,1 0-104,0 0-144,1 1-96,1 1-168,1 0 632,-2 0-832,2 0-200,0 0-313,0 3-479,4-1-609,6 0-455,-10-2 2888,2 4-2953,9 0 913,-8 5 648,-3-9 1392</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08.873"/>
    </inkml:context>
    <inkml:brush xml:id="br0">
      <inkml:brushProperty name="width" value="0.05" units="cm"/>
      <inkml:brushProperty name="height" value="0.05" units="cm"/>
    </inkml:brush>
  </inkml:definitions>
  <inkml:trace contextRef="#ctx0" brushRef="#br0">157 1 1728,'0'0'0,"-4"0"752,4 0-752,-9 0 712,4 0-136,-4 0-24,6 0 17,0 0 63,-7 2 120,10-2-752,-2 3 800,-2-1 56,-6 0 72,7 2 49,-2-2 47,-5 1 16,10-3-1040,-2 2 984,-3 1-48,0-1-159,1 0-81,-1 1-56,0-3-88,5 0-552,-5 2 552,0 1-32,2-1-32,-1 0-56,1 1-15,-1-3-81,4 0-336,-4 2 304,2 1-56,0 0-72,-1 1-16,1-1-72,-2 7-8,4-10-80,-2 4 136,-1 9-64,2-1 32,-1 2 8,-1 3-32,2 0 0,1-17-80,-1 20 112,1 0-48,0 3 24,0 0-24,2 1-64,2 0 16,-4-24-16,10 24-56,-8 1 24,9-2 16,-2 1-8,1-1 48,2-2-40,-12-21 16,12 21 0,0-2-48,1-3-16,2 1 48,-1-2 8,2-3-32,-16-12 40,16 10-24,0 0 32,1-6-16,-3 6-8,2-7 32,-1-1-72,-2 1 32,-13-3 24,15 2 24,-3-2-32,0 0 16,-2 0-8,0-2-8,0-2-8,-10 4 16,3-10 0,10 6 24,-9-8 56,9 2-64,-9-2 16,7 0-16,-11 12-16,2-13 40,8 0 48,-8-2-64,2 1 40,-1-2-64,0 1 16,-3 15-16,0-16 48,2 1-56,-2 0 56,0 2-32,0-1-8,0 3 24,0 11-32,-2-12 8,-2 7 8,0-6-56,0 8 40,-1-1-16,-5 1 32,10 3-16,-3-3 48,-7 2 16,5 1-64,-6 0 16,2 4-16,-1 8-40,10-12 40,-9 3 16,-1 9-32,5-1 40,-8 1-24,8 1 0,-7 1 16,12-14-16,-3 15-24,-8-1 24,7 1-40,1 0 0,-2 1 32,1-1-32,4-15 40,-3 15-32,2-1 0,1 0-8,0 0 0,0-1 16,0-4 0,0-9 24,3 10-56,7-6 32,-8 6-40,9-7-24,-7 0-32,8 1-128,-12-4 248,3 2-408,9-2-136,-8 0-208,9-1-121,-2-8-143,1 4-248,-12 5 1264,10-15-1544,1 3-465,0-2-447,-1 0-241,0-2 88,1-1 617,-11 17 1992,11-19-2288,-11 19 2288</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10.200"/>
    </inkml:context>
    <inkml:brush xml:id="br0">
      <inkml:brushProperty name="width" value="0.05" units="cm"/>
      <inkml:brushProperty name="height" value="0.05" units="cm"/>
    </inkml:brush>
  </inkml:definitions>
  <inkml:trace contextRef="#ctx0" brushRef="#br0">147 252 3448,'0'0'0,"-8"-1"3553,-2-2-1561,0-2-447,5 1-273,5 4-1272,-9-3 1128,6 1 9,-2 1-129,-3 1-104,4 0-112,-5 3-128,9-3-664,-3 2 624,-2 2-16,-5-1 1,7 8-49,-7-9-32,7 9-136,3-11-392,-9 4 296,5 9-56,1-3-32,-1 0-24,-1 2-16,2 3-24,3-15-144,-5 14 120,2 3 8,1 1-8,1 0 40,0 1-16,-1 0-24,2-19-120,0 20 104,0 1 48,0-2 24,0 0 9,0-1 7,3 0-56,-3-18-136,2 19 112,1-1-16,5 0-40,-5-1 8,5 0-8,-4-3-72,-4-14 16,11 14 56,-2-2-24,0-1-120,2 0 104,-2-1-16,2-7-24,-11-3 24,14 12 8,-2-9-16,2 0-40,1 0 24,1-3 8,3 0-8,-19 0 24,18 0-32,3-4 32,-2-7-40,0 6 56,-1-7-16,0 3-40,-18 9 40,17-10 16,1-2-32,-3 0-24,-1-1 48,-2 0-8,2-2-40,-14 15 40,9-14 16,1 0-40,-7-1 24,10 2 8,-12-1-16,3 0-8,-4 14 16,2-12 24,-2 0 32,0 1-112,-1 0 88,-3 1-48,1 6 32,3 4-16,-12-11 80,8 7-24,-9 1-32,3-1 32,0 2-24,-2 1-8,12 1-24,-11 0 0,-2 0-24,0 3 24,-1 9 0,1-8 0,1 9 8,12-13-8,-13 11 40,0 1-24,1 0 24,1 1-8,0 2-48,-1 1-24,12-16 40,-10 17 16,0-1-72,7 0 24,-8-1 48,9 1-32,-1 0 56,3-16-40,-2 14-8,0-2-8,2 1-40,0-2 0,3-1 48,0-7-8,-3-3 16,10 11-56,-6-9-40,8 2 56,-2 0-40,3-2 24,-2-2-16,-11 0 72,11 0-201,1-2-71,3-3-144,-1-7-152,1 2-176,-2-3-136,-13 13 880,16-14-1064,-2-1-185,1-2-183,0-1-224,0-2-337,0 0-239,-15 20 2232,14-22-2393,2-2-71,-1 2 311,-1-1 473,1-1 672,-2 1 512,-13 23 496,14-25-680,-14 25 680</inkml:trace>
  <inkml:trace contextRef="#ctx0" brushRef="#br0" timeOffset="1">598 158 2016,'0'0'0,"-2"-4"1456,-3-6 353,-3 5 63,8 5-1872,-4-5 1912,-6 1-127,7 1-201,-9 0-176,3 2-167,4 1-145,5 0-1096,-12 0 1008,2 3-144,7 0-95,-10 8-97,9-7-96,-8 9-24,12-13-552,-4 10 472,-9 2-16,10 3-40,-8-1-72,8 2-32,-1-1 0,4-15-312,-4 17 224,1 0 65,2 1-73,-1 0-56,2 1 8,0 0-56,0-19-112,4 19 96,6 0 8,-8-1 8,9-1-56,-1-2-32,0-2 8,-10-13-32,11 13-16,0-1 0,2-1 16,1-1-8,2 0-8,-3-6 32,-13-4-16,16 10-40,0-7 8,-1 0 8,2 0-32,2-3 40,-1 0 40,-18 0-24,16-1 0,1-2 32,-2-2 8,2-5-64,1 6 64,-2-9-40,-16 13 0,15-11 0,-2-1 24,-2 0-8,0 0-40,-2-1 64,-6-1-32,-3 14-8,10-15-40,-10 1 136,4-2-40,-2 1-8,-2 0 56,0 1-48,0 14-56,-2-15 56,-7 1 56,5 0-40,-8 1 0,0 1 8,1 0-32,11 12-48,-14-10 64,-1 0-8,-2 6 48,-1-7-104,0 7 24,0-5 8,18 9-32,-20-4-16,1 0 104,0 1-104,2-2 40,0 2 32,2-1-96,15 4 40,-13-1-16,0 0 16,2-1-24,2 2 24,6 0-16,-6 0-24,9 0 40,-2 3-48,1-3-160,0 2-144,1 1-144,2-3-176,2 2-57,-4-2 729,10 0-880,-7 0-144,10 0-208,-1 0-225,-1 0-279,2-1-328,-13 1 2064,14-4-2633,3 2-504,0-2-255,2 1 743,-2-1-71,-17 4 2720</inkml:trace>
  <inkml:trace contextRef="#ctx0" brushRef="#br0" timeOffset="2">1810 230 3624,'0'0'0,"-12"3"2865,0 9-1129,0-8-511,7-1-265,5-3-960,-9 4 848,8 0-48,-2-2-80,1 0-80,1-2-32,1 3-39,0-3-569,0 0 560,0 0 56,0 0 96,3-1 80,6-3 72,-5-1-95,-4 5-769,10-11 664,-2 2-80,3-2-104,1-1-88,0-1-16,3-3-80,-15 16-296,15-13 200,0-1 8,1 0 0,0-2-88,1 2 80,-2-2-56,-15 16-144,15-13 32,-2 0 32,1 2-48,-2 0-32,0 6 56,-1-7-16,-11 12-24,9-3 16,0-7 40,-5 6-40,8 1-16,-9-1-16,7 2 0,-10 2 16,4-3 32,4 1-8,-5 1-8,0 1-16,0 0 8,-1 0 64,-2 0-72,3 2 24,-2 8 32,-1-7-48,0 12-72,0-3 64,0 3 0,0-15 0,0 17-40,0 4 64,0-1-48,0 3-16,0 1 16,0 1 8,0-25 16,0 25-56,0 1 88,0 2-64,0-2-8,2 2 120,1-1-160,-3-27 80,2 29-80,2-1 16,-1-1-16,6-1 48,-7 0 104,2-1-88,-4-25 16,9 23 0,-7-1-24,2 1-88,4-1 64,-5-2-48,0-1 48,-3-19 48,4 18-96,-1-2 56,6-2-64,-9-1 64,4-1 40,-1-8-96,-3-4 96,3 13-32,0-11-120,1 1-56,-2 0-112,1-3-216,-1 0-176,-2 0 712,2 0-976,1 0-209,1-3-271,4-8-456,-5 1-489,-1-2-688,-2 12 3089,2-12-3336,2-3 383,0-1 1073,4-2 984,-8 18 896</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11.401"/>
    </inkml:context>
    <inkml:brush xml:id="br0">
      <inkml:brushProperty name="width" value="0.05" units="cm"/>
      <inkml:brushProperty name="height" value="0.05" units="cm"/>
    </inkml:brush>
  </inkml:definitions>
  <inkml:trace contextRef="#ctx0" brushRef="#br0">46 136 1864,'0'0'0,"-2"0"1920,0-1-279,0-1-313,-1 0-168,3 2-1160,0-4 1048,0 1-71,0-1-33,3-1-72,-1 1-56,2-1 24,-4 5-840,3-5 801,0 0-65,0 0-24,1-4-80,5 6-80,-6 0-56,-3 3-496,3-10 416,7 7-96,-8-1-40,2-1-80,7 2-31,-9-2 15,-2 5-184,4-4 112,7 1-8,-9-1 0,2 0-80,-1 1 56,1 2-48,-4 1-32,2-3 72,0 2-16,-2 0 32,0 0 24,0-1 16,0 2-8,0 0-120,0 0 136,0 0 16,0 3-72,-2 0-72,-2 1 16,0 7-56,4-11 32,-5 3 8,-5 11 32,7-11-16,-7 13 0,7-4 16,-8 0 8,11-12-48,-4 12 40,-5 2 0,5-1 8,-6 2-32,1-1-8,5 0-8,4-14 0,-11 15 16,8-1 32,-7-1-8,8 1-24,-2-2 8,1-2-64,3-10 40,-4 11 16,2-1-72,0-7 72,1 11-32,0-11-48,1 8 64,0-11 0,0 2-32,0 2 32,2-1 48,1 0-48,0 0-24,8 0 8,-11-3 16,3 0-32,7 0-24,-6 0 80,8 0-24,-8-3-8,8 0 80,-12 3-72,9-4 40,-5-1 0,10-4 0,-4 7-56,-1-3 40,2 1 0,-11 4-24,11-3 32,0-1-8,1 3-48,0 0 24,-2-1-16,1 2 32,-11 0-16,11 0-16,2 3 0,0-1 32,1 2 24,-1 7-64,0-9 48,-13-2-24,12 12 0,1-9 24,-1 11 88,0-5-32,-1 3-16,0 0 24,-11-12-88,9 13 104,-5 2 24,8-1 16,-9 2 16,7-2-56,-10 2 0,0-16-104,4 15 112,-1 1-56,0-2 40,-1 2 8,-2-2 24,0 1 16,0-15-144,0 14 112,-1 0 16,-2 0-96,0 0 56,-7 0-32,7 1-24,3-15-32,-11 12 24,7 0-24,-8-2 16,3 1-72,4 0 72,-10-1-48,15-10 32,-10 9-24,0-5 32,1 8-8,-1-9 0,0 7-8,6-8 8,4-2 0,-14 3 24,5-1-8,4 1-32,-7-1-48,8-2-16,-6 0-72,10 0 152,-4 0-144,-1-2-64,0-2-120,2 0-136,-1-5-112,2 4-176,2 5 752,-1-12-880,-1 1-137,2-1-183,0 0-152,4-2-248,7-2-345,-11 16 1945,2-15-2440,10-2-457,-2-2-40,2 1 545,1-1 832,-13 19 1560</inkml:trace>
  <inkml:trace contextRef="#ctx0" brushRef="#br0" timeOffset="1">638 0 3240,'0'0'0,"-10"0"3161,5 0-801,-9 0-583,14 0-1777,-5 0 1448,-6 3-264,8-1-215,-1 1-153,-5-1-96,5 0-8,-6 2-16,10-4-696,-3 9 712,-7-6 16,7 8-63,-2-8-57,-6 10-64,7-2-112,4-11-432,-4 13 424,-1 2-64,1 0 8,1 5 0,-1-1-64,4-19-304,-1 21 360,-2 1-80,2 1-87,1-1-1,0 0-96,3 1-96,-3-23 0,2 21 0,2 1-72,6-2-8,-6 1 56,8-1 32,-2-1-48,-10-19 40,3 18-24,9-1-8,-2-4-33,-1 0 25,2-1 0,0-1 8,0-1 32,-11-10 0,10 3-24,1 8 40,0-9-72,0 1 56,1-3-24,-12 0 24,13 0 8,1 0-8,0-4-24,1-7 64,0 2-40,-1-3 16,-14 12-16,14-13 64,-1-2-8,2 0 1,-2-3 23,-1-3-24,-1 1-8,-8 0 24,-3 20-72,11-22 64,-8 3 24,-1-1-24,-2 0-8,0 1 16,-1 0-24,1 19-48,-4-18 72,-1 0-16,-5 0 0,0 1 8,-2 3-24,0 0 8,12 14-48,-14-14 24,-3 4-64,1-1-32,0 6-24,-1-6-64,-1 8-8,18 3 168,-17-4-200,1 0-8,2 1-73,0 2-151,0 1-96,14 0 528,-13 0-776,2 0-192,1 2-312,0 2-305,5-1-303,-5 1-321,10-4 2209,-3 9-2696,2-6-729,0 0-224,1 8 81,0-11 3568</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17.141"/>
    </inkml:context>
    <inkml:brush xml:id="br0">
      <inkml:brushProperty name="width" value="0.05" units="cm"/>
      <inkml:brushProperty name="height" value="0.05" units="cm"/>
    </inkml:brush>
  </inkml:definitions>
  <inkml:trace contextRef="#ctx0" brushRef="#br0">51 3 1344,'0'0'0,"0"0"0,-10 0 104,-1-1-48,1 0-72,5 1-64,-5 0 0,9 0-8,1 0 88,-4 0-1200,4 0 1200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19.838"/>
    </inkml:context>
    <inkml:brush xml:id="br0">
      <inkml:brushProperty name="width" value="0.05" units="cm"/>
      <inkml:brushProperty name="height" value="0.05" units="cm"/>
    </inkml:brush>
  </inkml:definitions>
  <inkml:trace contextRef="#ctx0" brushRef="#br0">87 555 3480,'0'0'0,"-9"0"1000,4 0-423,-9 0-393,9 2-144,5-2-40,-12 2 24,7 1 24,-6-1 80,8 1 144,-2-1 184,0 0 136,5-2-592,-3 3 704,-1-3-8,0 2-112,3 1-72,0-1-183,1 2-73,0-4-256,0 3 184,0 1-24,2 5 8,2-6 64,0 6 40,5-6 0,-9-3-272,3 10 352,6-6-56,-5 7-16,9-8 8,-3 11-56,0-11 8,-10-3-240,10 15 192,1-6-40,-1 2-16,1 0-24,0 1-8,0 0-24,-11-12-80,9 13 56,1 0 0,0-1-24,-7 1 40,7 0 0,-8 2-40,-2-15-32,4 14 56,-1-2-40,1 1 17,0-1 31,-2-2 0,0 0-32,-2-10-32,0 3 96,0 7-8,0-8 8,0 2 64,0-2-16,0 0 40,-1-2-16,1 0-168,-1 0 104,0 0-40,0-1-8,-1-2-8,1-8 8,0 1-24,1 10-32,-2-10 8,0-4 56,0 0-16,0-2 8,-1 0 24,0-1 16,3 17-96,-4-17 80,2 1 56,-2-1 16,0 0-64,1 0 48,-2 0-16,5 17-120,-5-15 56,0 0 48,-5 1-64,6-2 8,-1 2 48,-4-2-96,9 16 0,-3-15 40,-2-1-40,1-1 24,-1 2 16,1-2-8,-1 0-24,5 17-8,-3-18-56,1 0 24,0 1 8,2 0 8,0-1 0,0 0-24,0 18 40,3-18-64,0-2 16,7 2-8,-8 0 0,10-1 16,-8 1 8,-4 18 32,14-16 0,-10 0-48,8 4 72,-9 0-32,8 2 16,-8 1 48,-3 9-56,3-4-16,1 1 80,-1-1-48,1 3 64,-2 1 64,1 2 40,-3-2-184,0 4 248,0 9-16,0-2 16,0 1-136,0 5 24,0-1-32,0-16-104,-1 19 16,-1 1 64,0-2-56,0-2-48,-1 1 48,2-1-8,1-16-16,-1 15 24,0 1 8,-1-2-16,1 1-16,0-2 32,0 0-32,1-13 0,-1 13-8,-1 0 40,1 1-32,0-1 16,-1-2 40,-1-1-56,3-10 0,-2 4 0,-1 10 16,1-10-8,-2 7 32,1-9-32,0 8 40,3-10-48,-3 2-8,-1 8 8,1-8 24,-1 2-72,0-1 56,1 1 8,3-4-16,-4 9-24,1-9 72,0 3-40,0-1 16,1 1-32,0-3 8,2 0 0,-2 2-24,0-2 0,0 0 8,1 0 32,0 0-8,-1 0-40,2 0 32,-1 0-16,1-1-8,0 0-8,0-1 40,0 1 8,0 0-16,0 1 0,0-1 0,4 0-16,-1 1 8,1 0-40,7 0 48,-8 0 8,-3 0-8,15 2-24,-3 8 40,2-7-16,1 8-24,0-7 72,2 8-64,-17-12 16,17 3 16,2 9-32,0-8 8,1 8 16,0-9-8,-1 11 24,-19-14-24,19 3-24,0 10 16,-1-9 32,-1 8-48,1-10 8,-4 8 8,-14-10 8,16 2-40,-2 2 40,1 5 16,-1-6-56,-2-1 64,0 1-8,-12-3-16,11 2-24,0-2-24,-2 0-48,-5 0-64,8 0-64,-10-1-104,-2 1 328,10-4-480,-8 1-128,8-2-160,-8-6-104,2 6-209,-1-7-255,-3 12 1336,4-10-1544,-1-1-89,1-1 65,-2 0 152,-2 0 184,3-1 127,-3 13 1105,0-12-1016,0 0 232,0 0 272,-1 1-1024,1 11 1536</inkml:trace>
  <inkml:trace contextRef="#ctx0" brushRef="#br0" timeOffset="1">644 339 4664,'0'0'0,"-15"2"2529,-2 1-593,-3 0-1175,20-3-761,-18 10 200,4-7-168,-1 9 0,2-2 56,1-6 104,1 8 112,11-12-304,-12 3 352,3 8 24,4-7-40,-6-1-64,8 8-80,-2-9-72,5-2-120,-5 4 80,0 7-72,2-8 0,-1 7-8,0-7 0,1 11 40,3-14-40,-4 3 8,2 13 24,-2-5-8,3 1-8,0 0 40,0-2 48,1-10-104,-2 12 112,2 0-16,0 0 40,0 0-112,0-1 40,3 1-16,-3-12-48,3 12 0,1-1 56,0-2-56,5-5-24,-6 8 8,0-8-8,-3-4 24,12 9 0,-8-6-16,7-1 24,-8 0-8,8 1 8,-7-1-8,-4-2 0,12 0-32,-9 0-8,9-2 0,-8-2 8,8-5 24,-10 5 32,-2 4-24,12-12 0,-10 7-16,8-7-8,-8 1-16,8 2 16,-8-2-8,-2 11 32,3-11-16,0 1-8,0-1 16,-3 0 24,2 0 24,-2 2 24,0 9-64,0-10 48,0-1 16,-1 0-32,0 2-32,-2-1 32,0 1-56,3 9 24,-4-5 0,2-7 8,-1 8-48,1-8-8,-2 9-96,1-7-136,3 10 280,-4-3-472,1-7-176,-1 6-96,0 0-88,1-1-49,-1 0-71,4 5 952,-3-5-1080,2 2-32,-3-1 40,3 0 111,0 1 129,-2 0 112,3 3 720,-1-2-552,0 0 184,0-1-1048,1 3 1416</inkml:trace>
  <inkml:trace contextRef="#ctx0" brushRef="#br0" timeOffset="2">602 163 8209,'0'0'0,"-4"-2"3465,-7 2-2217,6-1-936,-5 1-240,10 0-72,-3 0 40,0 3 56,-1-1 72,2 2 88,0-1 65,1 1-25,1-4-296,0 2 288,3 2-80,0 7-72,1-8 0,-1 10-40,8-2 16,-11-11-112,4 11 112,5 2-72,1 0 16,-6 3-8,10 1 8,-3-1-16,-11-16-40,11 17 8,-1 0 8,4-1-16,0-1-16,-2 1-16,2-1-24,-14-15 56,13 16-104,-1 0 8,0-1-56,-1-1-40,0 2-64,0 0-72,-11-16 328,11 15-344,-1 0-49,0-2-47,0-1-64,-7 0-128,9-1-112,-12-11 744,4 10-896,6 0-112,-6-1-33,7-5 25,-9 8 96,2-10 128,-4-2 792,9 4-704,-9 0 55,3-1 57,-1 0-32,1-3-40,-3 0 80,0 0 584,0-2-456,0-1 144,0-1 176,0-5-992,0 9 1128</inkml:trace>
  <inkml:trace contextRef="#ctx0" brushRef="#br0" timeOffset="3">733 134 7217,'0'0'0,"-10"-1"3985,-1 0-1585,-2-2-1375,1 2-481,12 1-544,-5 0 416,-7 0 24,7 0-8,-4 0 120,5 2-48,2 1-96,2-3-408,-2 2 296,1 2-112,0-1-40,1 1-88,0 5 16,0-5-31,0-4-41,2 11 24,1-2 8,6-5-32,-6 12 24,6-4-32,-5 0 8,-4-12 0,16 12-16,-6 1 16,2 1 0,1 1 24,-2 0-8,2 1-16,-13-16 0,14 15-40,-2 0-8,1-1-9,0-2-63,0 1 8,0 0-104,-13-13 216,14 12-288,-3 0-16,1 0-152,0-2-112,0 1-160,0-2-128,-12-9 856,12 10-1033,-1-7-79,-1 9-120,-7-8-120,11 7-9,-11-8-23,-3-3 1384,12 4-1304,-8 0 120,5-1 143,-5 0 121,6-3 120,-8 0 232,-2 0 568,9 0-376,-6 0-944,-3 0 1320</inkml:trace>
  <inkml:trace contextRef="#ctx0" brushRef="#br0" timeOffset="4">1039 432 2264,'0'0'0,"0"0"1368,-1-1 449,-2-2-49,-1 0-416,4 3-1352,-5-1 953,1 0-289,-1 0-136,2-1-16,-1 1-24,1 0-40,3 1-448,-4-1 424,2 0-96,1-1-96,-1 1-72,1 0-88,1 0-64,0 1-8,0-3 16,0 1-40,0-2-24,3 2 24,-1-2-56,1 1 48,-3 3 32,4-10-40,7 7 0,-9-7 32,8 6-24,-7-6 32,8 6-8,-11 4 8,4-13 0,9 8 0,-9-7 8,9 1-16,-10 0-16,9 2 24,-12 9 0,4-12-16,9 2 24,-9 1 0,8-1-8,-10 5 8,2-7-16,-4 12 8,9-4 0,-6-8 8,-1 7-32,2-6 32,-2 7 8,0-6-16,-2 10 0,3-4 72,-3-6-24,0 7 0,0-1 40,0 1-8,0-1-16,0 4-64,0-4 104,-1 1 0,-2 2 16,1-1 72,0 1-7,-1 0 15,3 1-200,-3 0 224,-1 0-8,0 2-56,0 2 40,-6 0-40,8 8-40,2-12-120,-5 3 168,-6 10-16,7-2-48,-6 0 40,6 1-8,-6 0-40,10-12-96,-2 12 88,-8 0-24,7 0-48,-7 1 32,7 0-16,-2 2 16,5-15-48,-5 13 24,1 0-48,1-1 16,0 0 8,1-1 0,1-2-40,1-9 40,0 10-8,0-6 8,0 9 0,2-10 8,1 9 32,0-9-88,-3-3 48,4 9 0,5-6 0,-6-1-16,0 0 32,9 1-16,-9-1 8,-3-2-8,9 0 0,-5 0 0,9 0 40,-2 0 0,2-3-16,-1-1 48,-12 4-72,13-9 32,-1 5 0,0-7 40,1 6-64,2-8 8,-3 8-16,-12 5 0,12-12 8,0 3 16,-1 4-16,-1-7 32,0 8-40,0-8 24,-10 12-24,3-4 16,9-7 24,-9 7 16,0-5-32,1 5-16,5 0 16,-9 4-24,0-3 24,4-1-8,-2 1 16,2 0-48,-1 2 8,0 0 32,-3 1-24,3-1 32,0 1 16,-1 0 32,1 2 16,-1 2 0,0 5 8,-2-9-104,3 3 112,-1 9-16,1-9-24,0 9-40,1-8 8,5 9-56,-9-13 16,3 4 0,6 9 0,-5-10-24,7 11 8,-9-11-32,9 7 32,-11-10 16,2 2 16,9 2-40,-8 5 32,6-9-16,-5 3-16,5-1 48,-9-2-24,3 0 0,0 3 0,7-3 32,-10 0-8,4-2-32,5 0 32,-9 2-24,0-4 0,4 0 8,-2-6 48,0 6-16,1-6 8,-3 5 24,0 5-72,0-12 96,0 2 8,0 1 56,-3-2-8,0 0 41,-8 1 7,11 10-200,-5-10 184,-7 0 48,2 1-48,0-1 0,0 5 8,1-6-32,9 11-160,-5-3 176,-7-8-8,7 7-32,-6-6-24,8 5-16,-7-6-48,10 11-48,-2-5 40,-2-8-16,1 3-24,-1 0-24,3-1 8,0 0 8,1 11 8,-2-12-40,2 1 0,0 2-24,3-1-24,0 1 8,1 4-48,-4 5 128,11-13-152,-8 8-48,9-6-48,-8 7-64,10-6-96,-2 6-97,-12 4 505,14-10-672,1 8-232,2-3-296,0 0-512,-1 2-553,1-2-328,-17 5 2593,18-4-2648,0 0 311,1 0 689,1 0 448,-2 1-280,-18 3 1480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20.523"/>
    </inkml:context>
    <inkml:brush xml:id="br0">
      <inkml:brushProperty name="width" value="0.05" units="cm"/>
      <inkml:brushProperty name="height" value="0.05" units="cm"/>
    </inkml:brush>
  </inkml:definitions>
  <inkml:trace contextRef="#ctx0" brushRef="#br0">34 196 3296,'0'0'0,"-1"0"2121,1 0-2121,-1 0 2112,-2 3-632,1-3-575,-2 2-345,2 0-80,-1 2-16,3-4-464,-1 4 512,0 5 88,0-6 0,1 6-24,0-6-71,0 7-145,0-10-360,0 10 264,0-1 8,0 2-72,2 1 48,1 1 8,-1 1-96,-2-14-160,4 15 176,-1 1-16,1 2-72,5 0 16,-6 0-24,0 0-24,-3-18-56,10 16 8,-8 1 8,2-1-16,5-1-24,-6 1 56,0-2-8,-3-14-24,4 14 0,0-1 32,5-1-16,-9-2 16,4-6-8,-2 9-16,-2-13-8,3 4-8,-1 8-24,-2-10 32,2 2 0,1-1 32,-3 0-8,0-3-24,0 0 24,0 0-16,0 0 16,0 0-16,0-1 32,0 1-40,0-4 0,-1 0 32,-1-5-48,1 4 0,0-6-48,0 2-24,1 9 88,-4-10-88,1-2 40,-1-1-32,-1-1 32,0-3 64,1 0-64,4 17 48,-10-17-24,6-1 48,-5 0-56,5-1 32,-5-1 8,5-1-32,4 21 24,-5-21 16,1 0-56,-6 1 40,8-3-32,-2 2 32,-1-2-24,5 23 24,-3-23-40,-1 0 40,2 1-72,0 0 64,2 0-40,0 3-8,0 19 56,0-15-8,0 0-16,0 2 16,3 2 8,0 7-16,1-10 8,-4 14 8,4-3 32,-1-2-32,1-5-32,5 9 16,-6-2 16,0-1 24,-3 4-24,4-2 24,-1-1-16,8 2-8,-8 0-8,0 1 56,7 0-8,-10 0-40,2 0 72,2 2-16,7 2 32,-8-1-32,7 8-8,-7-7 56,-3-4-104,11 13 16,-7-3 56,7 0-24,-8 1-40,9 0 40,-8 1-64,-4-12 16,9 11 64,-6 1-56,-1 0 0,2 0 32,-1-2-32,0 4 16,-3-14-24,0 12 24,0-2 48,0 2-40,0-1 40,-1-1 16,-3-1 32,4-9-120,-5 10 40,-4-7-40,5 9 48,-6-8-24,7 9 24,-8-9 56,11-4-104,-4 12 24,-6-10 16,6 8-32,-7-8 16,8 2-16,-8 5 8,11-9-16,-4 3 80,-7 0-32,8 1-32,-7 0 8,7 5-40,-2-6-16,5-3 32,-10 3 8,7 7-56,-2-8 64,0 9-64,0-7 56,2 8 32,3-12-40,-4 3-24,3 9 56,0-8-8,0 8 0,1-10-32,0 2-8,0-4 16,2 9-72,8-6 0,-8 0 64,9 1-24,-8-1 8,12 0 24,-15-3 0,10 2-16,2-2-8,0 0 24,2 0 0,-1 0 0,1 0 0,-14 0 0,15 0-32,0 0 16,1 0 88,-2-1-48,2 0 16,-1 0-24,-15 1-16,16-2-32,-1 0 24,0 0-16,0-1-16,0 1-112,-2-1 0,-13 3 152,12-2-240,-1 0-216,-2-1-144,1 1-272,-1-1-281,-5 0-231,-4 3 1384,12-3-1512,-8 1-184,6-2-49,-7 1 1,6-1 127,-6 1 273,-3 3 1344,2-5-992,2-6 416,-2 8-776,-2 3 1352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26.791"/>
    </inkml:context>
    <inkml:brush xml:id="br0">
      <inkml:brushProperty name="width" value="0.05" units="cm"/>
      <inkml:brushProperty name="height" value="0.05" units="cm"/>
    </inkml:brush>
  </inkml:definitions>
  <inkml:trace contextRef="#ctx0" brushRef="#br0">0 217 1776,'0'0'0,"0"0"48,0-4 8,2 1 8,-2 3-64,0-10 104,0 8 24,3-2 32,-3 1 16,2-7 80,-2 8 32,0 2-288,3-4 312,-3-6 88,0 8-56,2-1 32,-2-8 33,2 8 31,-2 3-440,3-3 480,-3-8 56,2 9 56,1-2-8,-1 0 64,0 1 16,-2 3-664,0-4 657,0-5 15,3 9-8,-3-4-32,0 0-16,0 2-16,0 2-600,0-2 520,0-1 24,0 1-71,0-1 7,0 1-64,0 2-32,0 0-384,0-2 376,0-1-96,0 1 24,-1 2-96,1-3 24,0 3-40,0 0-192,0-2 152,0 2 56,0-2-8,0-1 0,0 1 88,0-1-88,0 3-200,0 0 232,0-2-31,0 2-41,0 0 48,0-2-72,0-1 56,0 3-192,0 0 160,0-2 8,0 2 16,0 0 0,0-3 8,0 3 64,0 0-256,0 0 216,0 0 16,0 0-32,0 0-56,0 0 48,0 0-8,0 0-1352,0 0 2520,0 2-1168,0 0-56,0 2-8,-2-2 16,2 2 24,0-4-160,-1 9 120,0-5 24,0 5-104,0-5 40,-1 8 16,1-8-16,1-4-80,0 13 96,-1-4-56,1 1 1,0 2-25,-1-1 48,1 1 8,0-12-72,0 14 40,0-1 40,0 2-56,0-2 48,0 0 24,0 0-40,0-13-56,0 15 96,0-1-88,0 0 48,0 2 16,2-2 8,-2 1 32,0-15-112,0 15 72,3 1-8,-3-1-8,0 2 40,2-1-8,-2-1-8,0-15-80,0 16 128,0 0-48,0-2-64,0 1 72,0 2-24,0 0 8,0-17-72,0 18 144,0 0-32,2 1-88,-2 2 32,0-1 0,0 0 48,0-20-104,0 19 72,0 1 0,0-2-88,0 0-16,3 0 80,-3-2-64,0-16 16,0 17 96,0-1-48,2 0-48,-2 2 72,3 0-64,-3-2 40,0-16-48,2 17 24,0-2-8,1-1 0,-1 1 8,1-2-24,0 0 16,-3-13-16,3 16 56,0-2-96,1 1 80,-1-1-24,1-1-16,0-1 16,-2 2-16,-2-14 0,4 12 40,-2 1-24,0 0-16,-2-1 48,3 0 32,-1 0-48,-2-12-32,3 12 32,-3 1-24,2-2-88,0 1 120,-2 0-24,0-12-16,3 9 16,-1 2-8,-2 0-16,3-1-8,-1-6 16,-2 8-56,2-8 96,-2-4-40,3 11 40,-1-8-40,1 7 48,-3-5-48,2 5 24,0-6-24,-2-4 0,3 10 32,-3-7-32,2 7 32,0-7-24,-2 2 24,3 0-48,-3-5 16,0 5-24,0 4-8,2-5 0,-2 6 80,0-7-8,0 2 8,0-5-48,0 11 40,0-8-40,0 8-16,0-7 0,0 8 8,0-8 16,0-4-8,0 11 0,0-7 48,0 7-8,0-8-152,0 7 112,-1-7-16,1-3 16,0 10-32,0-6 168,-1 6-112,1-6-24,0 7 0,-1-8 0,1-3 0,0 5-24,0 5 64,0-8-8,0 2-48,0-1 104,0 1-120,0-4 32,0 4 0,0-1 16,0 1-88,0-2 40,2 1 64,-2-2-32,0-1 0,0 2 16,0-1 56,0 1-88,0-1 48,2 0-8,-2 0-40,0-1 16,0 1 0,3-1 16,-3 0 16,0 0-88,0 0 96,0 0-40,2 0-16,-2 2 64,0-2-24,3 0-32,-1 0 48,-2 0 16,0 0-56,2 0-56,1 0 72,-1 0-16,1 0-72,-1 0 144,0 0-72,-2 0 0,3 0-16,-1 0 136,2 0-120,-2 0 24,2-3-8,5 3-32,-9 0 16,3-2 16,0-1-16,1 1 0,7 2-32,-9-2 8,2 2-8,-4 0 32,11-3-16,-9 3 16,8-2-8,-8-1 48,2 3-40,8 0 16,-12 0-16,2-2 24,9 2-48,-8 0 8,10 0-40,-3 0 40,0-2 0,-10 2 16,9 0 0,1 0 16,1 0-16,-2 0-32,2 1 64,1 0-48,-12-1 16,13 2 0,0 1 16,2-1-48,-2 1 32,1 0 0,-1 0-16,-13-3 16,14 3 16,0 0-32,-1-1 80,0 1-80,2 1-16,-1 0 32,-14-4 0,15 2-40,-1 0 24,-1 2-40,0 0 56,2-2-72,-1 2 80,-14-4-8,14 2 32,1 2-48,-2 0-40,0 1 40,2 0-8,-2-1 8,-13-4 16,14 3 40,1 1-64,-1-1 48,-1 1 8,1-2-64,-2 1 80,-12-3-48,12 2-64,0 1 24,0-2-8,0 0-48,0 0 8,0 0-16,-12-1 104,10 2-40,1-1 24,1-1 88,-2 1-56,1-1-72,0 0 8,-11 0 48,10 0-96,2 0 80,-2 0 16,1 0 0,1 0 32,-1 0-48,-11 0 16,11 0-16,-2 0 16,1 0-16,0 0 16,-1-2 32,-5-1-64,-4 3 32,14-2-16,-3 2-8,-2-3 8,1 3 16,0-2-32,-7 0 64,-3 2-32,15-3-16,-12 1 16,12-2-16,-5 2 8,0-1-8,0 0-32,-10 3 48,10-3 32,1 1-64,-1-2 32,-1 1 48,1-1-64,-7 1 0,-3 3 16,14-3 0,-11 0-24,10-1-8,-9 0-8,7 2-16,-8-2 40,-3 4 16,10-3 16,-6-1-48,5 1 48,-6-1-16,0 2-32,7-2 48,-10 4-16,2-3-16,1 0 32,0 0 0,0 0-16,0 0-16,0-1 32,-3 4-16,2-2 16,0-1 56,1 0-88,-1 0 0,1 0-16,-1-1 8,-2 4 24,2-4 0,1 1-16,-3-1 16,2 1-16,1-1-24,-1 0 24,-2 4 16,2-9 48,-2 6-64,3 0 88,-1-1-88,-2 1-24,2-8 48,-2 11-8,0-3 16,3 0-40,-3-7 88,0 8-64,0-8-8,0 8 64,0 2-56,0-10-48,0 7 48,0-9 0,0 8 16,0-8-40,0 9 24,0 3 0,0-11-16,0 7-16,0-9 32,0 3 32,0 7-64,0-9 64,0 12-32,-1-4 0,1-9-16,0 3 56,-2 0-64,2 0-48,0 0 40,0 10 32,0-9 0,0-1 0,0 0 48,0-1-80,-1-1 80,0-1-48,1 13 0,0-14 0,-1-1 24,0 0-96,-1-1 72,1 0 0,0 0 0,1 16 0,-1-16-16,0 0 32,-2-1 0,1 1 0,0-1 40,0-1-56,2 18 0,-2-16-16,0-1 16,-1-1-40,2 2 56,-1-1-8,-1 0-8,3 17 0,-2-17 16,-1 1-40,1 0 8,0-2 16,-1 4-32,1-1 32,2 15 0,-4-13 16,2 0 24,-1-3-24,0 2-32,0 0-8,2-2 8,1 16 16,-3-14-40,0 0 40,1 1 8,-1 1-8,1-1 32,-2-3-32,4 16 0,-2-15-40,-2-2 8,2 0 32,-2 3-24,2 0 32,-2-1-16,4 15 8,-2-13-48,0 1 64,-2 0-72,2 0 24,-2 1 80,2-1-80,2 12 32,-4-10 16,2-1-16,-1 0-16,0-1-72,0 1 88,0-1-24,3 12 24,-4-11-16,0 1 104,1 0-72,-1 0 8,1 7-40,-1-9 8,4 12 8,-4-4-16,1-8 16,1 10 0,-1-8-72,1 8 40,1-8-8,1 10 40,-4-2-24,2-11 104,-1 10-80,1-10 16,-1 10 24,2-9-80,1 12 40,-2-4-32,1-7 8,-1 8-32,1-8 80,0 7-24,0-7 32,1 11-32,-1-3 24,-1-9-24,1 8 32,1-7-16,0 8 8,-1-8-40,1 11 16,0-2-40,0-9-16,-1 7 16,1-6 40,-1 7 40,-1-6-24,2 9-16,0-3-32,0-6-8,0 6 8,0 0-8,-1-8 72,1 8-120,0 3 88,-1-3 16,1-8 24,-1 9-56,1-2 136,-1-6-96,-1 10-40,2 0 16,-1-3 0,0-1-40,0-5 8,0 6 32,-1 1 16,1-2 0,1 4-16,-1-3-32,0-1 24,0 2 32,-1-2-40,0 0 48,1 2-32,1 2 0,-1-4-40,-2 2 48,2 0-64,0 2 72,-2-3 40,2 1-72,1 2 16,-1-3 88,0 1-128,-2 0 64,2 2-32,0-3-24,0 3 48,1 0-16,-1 0-16,-1-2 16,1 2-72,0 0 72,0 0-24,0-2 48,1 2-24,-2 0 40,1 0-40,1-3-24,-1 3 8,1 0 0,-1 0 16,1 0 0,-1 0 48,-1 0-80,1 0 48,0 0 0,-1 1 24,-1 1-40,3-2 0,-2 1 16,-1 0-32,1 0-40,-2 2 72,1-1-48,0 0 8,3-2 24,-3 3 64,-1-2-120,2 0 72,-2 1 16,1 0-104,-1-1 88,4-1-16,-4 1 56,1 0-72,-2 2 16,0-2 24,2 0-24,-2 1-8,1 0-24,4-2 32,-4 1 16,-1 0 0,-5-1-8,7 1-8,-2 0 16,-6 1-16,11-2 0,-5 1 16,-6 0-32,7 0 0,-8 0 16,7-1 64,-8 2-8,13-2-56,-10 1 24,0 0-48,1 1-32,-1 0 80,-1-1 8,1 1-8,10-2-24,-11 1-24,0 1-32,-1-1 40,0 0-56,-1 0 88,0 0 24,13-1-40,-12 2 0,-1-1 32,-1-1 24,1 0-88,0 1 16,0-1-40,13 0 56,-12 0-16,-1 0 48,1 0 8,-1 0 64,1-2-96,-2 2-8,14 0 0,-14 0 0,0 0-40,-1-3 72,1 1-48,0-1 56,0 1-40,14 2 0,-13-2-16,0 2 80,1-3-80,-1 1 16,0 2 56,1 0-56,12 0 0,-12 0-16,-2 0 32,2 0 0,2 1-88,-2 1 128,-1 1-40,13-3-16,-12 3-16,0 1 88,1-2-88,0 1 48,0 0-8,2 1-48,9-4 24,-5 4-16,-7-1 72,8 1-88,-8 1 48,7-1 0,-7 0-88,12-4 72,-4 4-16,-7-1 0,7 0 16,-5-2-24,5 1 40,-5 1 24,9-3-40,-4 3-32,0 0 80,-5-1-8,5 0-96,1 0 128,-7-1-56,10-1-16,-2 1-56,-2 0 136,-1 0-104,2 1 32,-1-1 8,0-1-72,4 0 56,-4 1-72,0-1 72,-1 0 32,0 0-64,2 0 64,-1 0-48,4 0 16,-3 0-72,-1 0 128,-1 0-96,2 0 0,-1 0 64,0 0-64,4 0 40,-3 0-56,-1 0-16,1 0-88,0-2 40,1 2 16,-2-3-48,4 3 152,-3 0-168,-1 0-64,1-2-80,0 2-16,1 0 40,-1 0-73,3 0 361,-2-3-392,-2 3-40,2-2-64,0 2 0,0-2-24,1 2-128,1 0 648,-1-3-784,0 3-161,1 0-303,0-2-240,0-1-344,0 3-393,0 0 2225,0-2-2488,0 0-89,2-1 376,1 3 673,-1 0-1216,-2 0 2744</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4:22.358"/>
    </inkml:context>
    <inkml:brush xml:id="br0">
      <inkml:brushProperty name="width" value="0.05" units="cm"/>
      <inkml:brushProperty name="height" value="0.05" units="cm"/>
    </inkml:brush>
  </inkml:definitions>
  <inkml:trace contextRef="#ctx0" brushRef="#br0">69 595 3592,'0'0'0,"0"0"0,-3 0 2105,0-1-153,-7-1-728,8 2-463,-2 0-217,-1 0 8,5 0-552,-3 0 608,-1 0 56,1 0 32,0 3-112,1-1-88,1 1-183,1-3-313,-2 2 256,1 0-32,0 1-64,0 0 32,0 7 0,-1-8 64,2-2-256,-1 11 240,0-1 24,0-7-24,0 12-40,-1-6-40,2 2-48,0-11-112,0 11 80,0 1-64,0 0 48,3 1 8,-1-1-64,1-1 24,-3-11-32,3 11-32,7-2 8,-10 1 0,3-7 8,8 8 24,-8-8-64,-3-3 56,9 3-32,-6 7-32,0-10-16,8 2-16,-7-2 24,5 3 8,-9-3 64,4 0-136,5 0 64,-5 0-56,7-3 0,-8 0 32,7-2-16,-10 5 112,4-11-80,6 7-40,-6-8 8,7 8-16,-9-8-16,0 2 40,-2 10 104,4-10-64,6 1 0,-10-2 16,3 1 32,1 0-8,-2 0 16,-2 10 8,3-9-16,-3-1 8,0 5 40,0-7-8,0 7 24,-2-7 16,2 12-64,-2-3 56,-2-7 40,-5 7-32,5-1-8,-7 0-24,7 2-32,4 2 0,-13-2 16,2 0-32,0 1-40,0 0 16,2 0-48,-1 1-80,10 0 168,-5 0-160,-8 0-160,8 0-97,-7 0-127,7 0-112,-5 2-80,10-2 736,-4 0-800,-6 3-8,9-1-104,-4 0-105,2 1-127,-1-1-80,4-2 1224,-3 3-1256,1-3 23,0 2 113,1-2 336,0 0 208,0 0-528,1 0 1104</inkml:trace>
  <inkml:trace contextRef="#ctx0" brushRef="#br0" timeOffset="1">243 292 7385,'0'0'0,"-4"0"3761,-8 0-1665,2 2-1151,6 0-465,4-2-480,-11 4 352,8 7 24,-1-9 88,0 8 24,0-8 40,1 8-104,3-10-424,-1 3 280,1 8-64,0-7-136,0 10-24,2-4 32,0 2-56,-2-12-32,4 13 40,6 1 16,-8 1-32,2 0 16,6 1 32,-6-1-40,-4-15-32,11 15 40,-8-1-32,11 2 8,-11-1-56,12 2 40,-12-3 16,-3-14-16,13 15-16,-3-2-8,-6 0 0,11 0-56,-5-1 32,-1-1-48,-9-11 96,10 11-200,-1-1-24,1-1-128,0-5-96,-1 8-24,1-10-88,-10-2 560,3 10-656,11-8-64,-11 0-121,8 2-151,-9-2-56,9-2-192,-11 0 1240,3 3-1377,6-3-55,-6 0-48,6-1 136,-6-3 207,0 0 193,-3 4 944,4-9-712,-1 5 232,1-6 184,-1 5-808,-3 5 1104</inkml:trace>
  <inkml:trace contextRef="#ctx0" brushRef="#br0" timeOffset="2">308 151 4817,'0'0'0,"-10"0"4136,5-1-327,-11 0-1872,6 1-937,6 0-392,4 0-608,-12 0 512,8 4 32,1-1 24,-1 1 72,2-1-111,1 8-145,1-11-384,-2 3 272,2 6-88,0-5-8,3 9-24,0-3-40,9 0-72,-12-10-40,4 12 16,9 0-8,-9 1 16,10 1 0,-3 1-72,0 2 40,-11-17 8,13 17 0,1 1 8,2-1 56,1-2-48,-1 2-32,0 0-24,-16-17 40,17 18-24,-2-2 0,2 1-40,0-2 16,-2-1-64,1-1-40,-16-13 152,13 15-160,2-2-104,-2 0-48,-1-1-112,0 0-73,-1-3-71,-11-9 568,10 10-568,0 0-16,-6-7-80,9 8-104,-10-9-184,7 8-305,-10-10 1257,2 2-1584,2 2-280,-1-2-193,1 1 49,-2-1 215,1-2 417,-3 0 1376,2 0-832,-2-1-656,0 1 1488</inkml:trace>
  <inkml:trace contextRef="#ctx0" brushRef="#br0" timeOffset="3">645 455 3352,'0'0'0,"-2"0"2217,-3 0 175,-6-2-447,8 2-529,3 0-1416,-11 0 1064,7 0-184,0 0-55,-1 0-81,1 0-56,1 0-112,3 0-576,-3 0 384,1 0-120,1 0-104,-1 0-136,2 0-16,0 0-16,0 0 8,0 0-72,0-1 112,3-2-64,0-1 0,1 0 0,0 0-80,-4 4 104,3-5-64,7-5-72,-8 7 32,8-8 24,-7 7-32,7-6 64,-10 10 48,3-4-80,8-7-40,-8 6 56,7-7-32,-7 3 8,8 4 32,-11 5 56,3-13-64,8 3 0,-7 1 0,5-1-24,-6 5 16,0-8-48,-3 13 120,4-5-136,-1-7 0,0 9-8,-1-8 32,1 6 40,-1-6 16,-2 11 56,0-3-16,0-8-8,0 7 32,0 0 8,0-6-8,-1 8 24,1 2-32,-3-4 24,0 2 8,-1-1-16,1 2 8,-7 0-32,9 1-8,1 0 16,-5 0 16,0 2 0,0 1 8,-5 0 0,6 8-8,-6-7 0,10-4-16,-3 13 16,-7-10 40,7 12-24,-7-5 32,6 1 0,-6 2-8,10-13-56,-4 14 72,-1 0-32,1 0 8,-1 2 0,1-2-8,1 2-8,3-16-32,-3 14 40,2 1-8,0-1-24,1 0-8,0 1 0,2-3-32,-2-12 32,4 11-24,5-8 40,-6 10-16,0-9-16,8 6 16,-7-8-8,-4-2 8,9 4-16,-5-2 8,7 0-24,-8-2-16,10 0 16,-9 0-8,-4 0 40,13 0-8,-3-2 8,-7-2-16,11-5 16,-5 5-8,1-8-8,-10 12 16,11-9-16,-2-2-8,1-1 16,-7-1-8,10-2 8,-9 2 0,-4 13 8,12-13 0,-8 0-16,8 1 16,-9 0 0,7 1 16,-8-1-16,-2 12 0,4-10 0,-1 1 0,1-1 0,0 7 8,-1-7 0,0 8 16,-3 2-24,2-4 64,0 0-32,1 2 0,-1 1-8,1 0-16,-1 1 40,-2 0-48,2 0 64,1 0 16,-1 2 8,2 2 56,-1 6-56,1-7-16,-4-3-72,4 12 56,-1-9-40,1 11-8,7-5 8,-8-5-64,8 9 16,-11-13 32,4 10-24,5-7-16,-5 9 24,5-8 8,-5 5-24,7-6 16,-11-3 16,2 3-24,8 7 24,-8-8-8,8 1 16,-8-1 8,8 0-16,-10-2 0,0 3 40,3-3-24,1 0 16,-1 0 56,7 0 0,-10 0 56,0 0-144,2 0 168,1-3 24,-1 1-8,-2-2 48,3 1 0,-3-1-24,0 4-208,0-4 216,0-6-40,-3 6 32,1-6-32,-2 5-8,-1-8-24,5 13-144,-4-11 128,-7-1 16,7 0-31,-1 0 55,-4-1-32,6-1-24,3 14-112,-4-12 128,-1-1-48,-5 1-32,8-1-16,-2 0-16,-1-1 8,5 14-24,-3-15 0,-1 0-8,1-1-48,-1 0 0,3 0-8,0 0-32,1 16 96,-2-15-112,2 0-56,0 2-105,0 2-47,4 2-168,0 5-208,-4 4 696,9-11-848,-6 9-344,0-3-505,9 1-695,-8 0-593,10-1 17,-14 5 2968,11-4-2233,0-1-495,-11 5 2728</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8:29.126"/>
    </inkml:context>
    <inkml:brush xml:id="br0">
      <inkml:brushProperty name="width" value="0.05" units="cm"/>
      <inkml:brushProperty name="height" value="0.05" units="cm"/>
    </inkml:brush>
  </inkml:definitions>
  <inkml:trace contextRef="#ctx0" brushRef="#br0">52 236 4392,'0'0'0,"-11"-1"673,11 1-673,-5-2 344,-9 0-216,11 2-80,-1 0 16,-1 0 8,2 0 48,3 0-120,-3 2 216,2-2 88,0 0 48,0 3 24,1-3-64,0 0-80,0 0-232,0 2 200,0 1-40,2-1 8,0 0 0,1 1 8,0 0-8,-3-3-168,4 10 144,-2-8 16,2 2-32,-1 8 8,7-8-7,-8 6 7,-2-10-136,4 10 160,6-1 32,-10 1 16,9 0 16,-6 0 0,6 1-8,-9-11-216,3 13 240,6 2-64,-5-2-8,5 3-8,-5-2-8,7 2-8,-11-16-144,3 15 160,9-2-56,-8 2 8,7-2 40,-8 1 16,8-1-16,-11-13-152,3 15 144,6-2-24,-6 0-8,0 0 16,1-1-16,5-1 0,-9-11-112,3 11 80,-1-2 24,2 1 0,-1-6-24,0 6 24,-1-7 0,-2-3-104,2 2 104,1 1 41,-3-1-1,0-2 24,0 2 48,0-2 8,0 0-224,0 0 264,0 0-48,0 0-8,-1-2-32,-1-2-48,-1 0-16,3 4-112,-4-11 88,-5 6 0,5-9-24,-1 2-8,-5-1 8,6-2-8,4 15-56,-11-15 40,6-2 8,-5-1-40,5-1 16,-6-1 16,6 0-24,5 20-16,-12-20 40,9-1-40,-8 1-40,7 0 104,-7 0-48,8 0 24,3 20-40,-11-19 56,7 0-72,0 0 56,-6-2-8,8 1 16,-2-1-48,4 21 0,-4-19-16,1 0-8,-1 1 24,1 1 16,1 2 32,0 0-40,2 15-8,-1-13-56,0 1 80,0-1-40,1 1 32,0 1 24,0-1-24,0 12-16,0-11-24,0 2 24,2 4 8,0-6 8,-2 9 32,4-2-48,-4 4 0,2-3-40,2 0 16,-1 2 16,1 0-16,7 1 40,-9 0-8,-2 0-8,4 0-24,7 2 40,-8 2 16,7 5 0,-7-6-40,7 0-8,-10-3 16,2 11 0,9-8-64,-8 0 72,7 1 8,-6-2-80,7 1 88,-11-3-24,3 3 0,7 0 16,-8-1 8,2 0-8,0 1-24,-1-1 8,-3-2 0,4 3 8,-2 0-16,1 1 56,-3 5-16,0-6-8,0 0 24,0-3-48,0 12 0,0-8 0,0 9 32,0-2-56,-3 1-24,0 1 64,3-13-16,-4 13 8,-1 0 56,0 2 16,-4 0-40,5 1-40,-5 1-8,9-17 8,-5 14 48,-6 2-48,7-1 24,-8 0-24,9-1-64,-7-1 24,10-13 40,-3 12 8,-7 0 8,6 0 40,0-1-48,-1 0 32,0-8-32,5-3-8,-4 15-8,1-6-16,2 1 0,-1-6 24,2 9-16,0-10 56,0-3-40,0 12 8,3-8-8,6 8 0,-6-10-8,8 8-64,-8-8 24,-3-2 48,13 3-8,-3 0 8,1 1 48,1-2-40,1 1 16,-1-3-40,-12 0 16,13 0 16,-1 0-32,0 0-16,0 0 24,0 0-56,0 0 64,-12 0 0,12-2 0,0 0 16,-1 0 8,0-2-24,-1 2 0,1-2 0,-11 4 0,10-4-16,-7 1 32,9-1-16,-8 1 0,6-1 8,-8 0-16,-2 4 8,4-2-16,6 0-40,-7-2 72,0 1-40,7-1-16,-10 0 32,0 4 8,3-4-24,1 0 16,0-1 8,-1 0 0,1 1-24,-1-1-24,-3 5 48,4-5-72,-2 1 8,1 0-56,-1-1-40,2 1-56,-2 1-48,-2 3 264,3-4-384,-1 0-32,0 1-80,1 0-96,0 1 23,0 0-7,-3 2 576,3-3-536,1 0 120,0-1 0,-1 0 72,1 1 48,5-1-16,-9 4 312,0-3-232,4-2 0,6 1 56,-10-1-8,3 1 56,7-6 16,-10 10 112,0-4-88,3-6 56,0 5 0,0-7 40,0 2 0,-1 1 16,-2 9-24,3-11 16,-3 0-16,2 2 16,-2-2 0,2 1 0,-2 1 16,0 9-32,3-11 32,-3 1 0,0-1 8,0 2 8,2 4 16,-2-7 16,0 12-80,0-3 88,0-2 40,-1 0 16,-2 1 24,0 1 24,-1 0-8,4 3-184,-3-1 208,-1 1-8,-1 0 24,1 3 24,-1 0-8,0 1 48,5-4-288,-5 12 272,0-9-24,1 10-32,0-3 0,0 2-16,1-1-16,3-11-184,-3 13 200,2-1-64,-1 0 9,1 1-9,-1 0 16,1 2-8,1-15-144,0 13 160,0-1 0,0-1-40,3-1 0,-1 1-24,2-1-16,-4-10-80,3 9 120,7 1-64,-8-6 16,9 9-8,-7-10-40,9 7 32,-13-10-56,3 2 24,10 8 8,-9-10 0,8 4-40,-8-1-8,6 0-16,-10-3 32,4 2 0,7-2 32,-8 0-8,8 0 0,-7-1 8,5-3-16,-5-5 48,-4 9-64,10-4 24,-8-9 32,8 2 0,-8-1-24,2 0 48,-4 12-80,3-13 16,1 0 8,-2-1 48,1 0-56,-1 0 32,-2-1 0,0 1-16,0 14-32,0-14 0,0 0 32,0 2 24,-1 0-32,-3 2 80,1-2-56,3 12-48,-5-11 40,-5 1 8,7 5-24,-2-5 8,-6 6-8,7-7 24,4 11-48,-9-3 24,5-2 8,1 1 16,-8 1-32,7-1 24,1 1-8,3 3-32,-10-4-8,6 2-16,-5 0 56,5 1-32,1 0 48,-1 0-40,4 1-8,-4 0-32,2 0 8,0 0-24,1 0 16,-1 0 8,2 0-32,0 0 56,0 0-80,0 0-24,0 0-32,0 0-56,0 0-88,3 0-104,-3 0 384,3 0-480,1 0-72,5 0-73,-6 0-79,0-1-24,8-2-48,-11 3 776,3-2-824,6-2-40,-5 1-121,5-1-31,-5-1 0,7-4 32,-11 9 984,2-4-872,2-1 95,5-6 113,-6 7 176,0-7 160,7 1-2120,-10 10 2448,0 0 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8:30.802"/>
    </inkml:context>
    <inkml:brush xml:id="br0">
      <inkml:brushProperty name="width" value="0.05" units="cm"/>
      <inkml:brushProperty name="height" value="0.05" units="cm"/>
    </inkml:brush>
  </inkml:definitions>
  <inkml:trace contextRef="#ctx0" brushRef="#br0">75 521 2648,'0'0'0,"-4"-4"184,1-8-80,-7 3 40,10 9-144,-3-5 216,-1-6 80,-1 7 48,0 0 40,-4-1 57,6-5 15,3 10-456,-3-1 440,-1-3 24,1 1-16,-1-2-8,0 1 0,2 1-48,2 3-392,-1-4 416,-2 2 8,2-1 24,0 2-15,0 0 7,0 1-8,1 0-432,0-1 384,0 1 0,0 0-80,0 0-16,0 0 16,2 2 16,-2-2-320,2 4 360,2 7 64,6-8 32,-7 8 1,8-1-25,-7-1-24,-4-9-408,13 12 328,-4 0 0,-5 0-40,10 1-72,-4 2-8,0 2-80,-10-17-128,9 15 80,1 3 32,0 0-32,0 0 16,0 1 16,-1 0-40,-9-19-72,10 20 32,-1-2 16,-5-2-40,10 1 8,-10-3 8,9 1-16,-13-15-8,4 14 0,9-1 8,-9 1 8,6-2-16,-7 0 32,0 0-16,-3-12-16,11 12-16,-8-2 32,0 1-8,1-1 16,5-1 8,-9-5-8,0-4-24,4 13-8,-1-9-16,0 6 0,0-7-24,0 0 0,-1 7-8,-2-10 56,3 0-104,-1 4-32,0-1-72,1 1-96,-1-2-136,-2 1-112,0-3 552,0 2-648,3 0-49,-3-2-87,0 3-80,0-3-120,0 0-152,0 0 1136,0 0-1257,0 0-31,0 0-8,0 0 40,0 0 151,0-1-2207,0 1 3312</inkml:trace>
  <inkml:trace contextRef="#ctx0" brushRef="#br0" timeOffset="1">282 407 2456,'0'0'0,"-3"-4"184,-8-5-152,6 4 8,-4 0 8,5-4 56,4 9-104,-4-4 144,-5-1 40,8-4 48,-3 5 0,-1-1-8,2-4 32,3 9-256,-4-3 264,0 0 17,1-2 55,-1 1 32,1 1 24,0-1 24,3 4-416,-3-1 440,0 0-40,1 1 0,-2 0-32,2 0-24,-1 3 8,3-3-352,-2 4 312,0-1 32,0 1-31,1 7-17,0-8 64,0 8-16,1-11-344,-1 4 352,-1 9 16,2-3-32,0 2-16,0-2 48,0 2-16,0-12-352,3 12 336,0 0-8,1 3-40,7-2-40,-9 0 0,8 0-15,-10-13-233,3 13 200,9-1 0,-8 2-8,9-2-16,-9 1 0,10-1-24,-14-12-152,11 12 104,0 0 0,-2 0-24,2-2-16,0 1 0,0-1-48,-11-10-16,9 12 32,1-3 0,-7 2 0,12 0 0,-6-7-16,1 10 0,-10-14-16,4 4-8,9 7 32,-10-7 8,8 7 32,-7-9-64,7 8-8,-11-10 8,3 2 24,8 2-40,-9 5 56,8-9-8,-8 4-56,8 0 24,-10-4 0,2 2 24,2 0-24,-1 1 32,1-1-32,0-2 24,-1 0-16,-3 0-8,3 3 32,-1-3-32,0 0 0,1 2 16,-1-2 16,-2 0-32,0 0-8,3 0 8,-1 0-16,0 0 16,-2 0 32,0 0-32,0-1 16,3 0-16,-3-1 8,0 0-32,0 0 24,0-2 0,0 4 0,0-4 16,0 2 8,0 1-40,2-2 8,-2 1 8,0 0-16,0 2 16,0-2 0,0 1 40,0 0-40,0 0 0,0 0 8,0-1 16,0 2-24,0-1 0,0 0 8,0 0-16,0 0-16,0-1 16,0 1 8,0 1 0,0-1 8,0 0 16,0 0-16,0-1 8,0 1 8,0 0-24,0 1 0,0-1 8,0 0 0,0-2-16,-1 1 0,0-1 8,1 1 0,0 2 0,0-2 8,0-2 0,0 1-8,2-1-8,-2 0 0,3 1 8,-3 3 0,0-4-16,2 1 40,0-7-24,1 8 0,-1-3 8,1-5-24,-3 10 16,2-3 16,0-2-16,1-5-8,-1 8 32,2-2-72,-1-5 40,-3 9 8,4-3-16,6 0 16,-10-7 0,3 8 0,1-2-8,-1-1-8,-3 5 16,4-5-8,6-4 8,-8 6 0,0-1 0,2-6 8,-1 6-8,-3 4 0,10-10 24,-10 5-24,4-7-24,-1 7 24,1-9-16,-1 4-24,-3 10 40,10-11 0,-8-1-8,8-1-16,-8 1 24,2-1 16,0 0-8,-4 13-8,2-13 32,0-1-16,2 1-16,-2 0 0,2-1-24,-2 1 0,-2 13 24,3-12-8,-1 1 8,-2 0 0,0 1 0,0 6 0,0-7 8,0 11-8,0-4 32,-2-1 0,-2-4 32,1 8-80,-2-3-16,-5 0 0,10 4 32,-3-3-24,-7-1 48,6 2-24,-6 1 16,6-1 0,-9 2 8,13 0-24,-5 0 32,-8 0 0,8 0-16,-7 4 40,7 0-24,-7-1-8,12-3-24,-4 10 24,-10-7-16,10 9 40,-8-2-24,7 1-24,-6 0 8,11-11-8,-5 10 0,0 1 0,-5-1 32,7 1-32,0-1-8,-1 1 16,4-11-8,-4 12 0,1 0 16,2 1-16,-1 0 24,2 1-24,0 0 0,0-1-16,0-13 16,3 13-8,0 1 8,8-2-16,-7 0 16,7 0 0,-8 0-8,-3-12 8,15 11-24,-5 1 0,1-1-8,0-1 32,1-1-8,-1-5-8,-11-4 16,12 13-8,-2-9-32,1 8 24,1-9 16,1 8-24,-1-8 24,-12-3 0,12 3-24,0 1 0,-1-1 16,0 0-8,0-3-8,0 0 16,-11 0 8,10 0 0,1-1 0,-1-3 8,-7-1 8,9-4-8,-9 4-8,-3 5 0,9-12-8,-6 1 16,6 0 16,-6-2-24,0 0 32,7-2-32,-10 15 0,0-14-8,9-3 8,-6-1 0,0 2-24,1-2 48,7 1-40,-11 17 16,0-17-16,3 0 16,1 3 0,0-2-24,-1 1 32,1 0-32,-4 15 24,3-13-32,0 2 32,0 2 0,0 4-24,-1-6 24,1 8-8,-3 3 8,2-4-32,0 2 40,-2-1-16,3 2-16,-1 1 24,1 0 8,-3 0-8,2 0 0,0 4 16,-2 5-8,3-6-40,-1 7 32,2-6 0,-4-4 0,3 13-48,0-3 80,0-7-8,1 13-56,-1-12 64,1 9-40,-4-13 8,4 3-32,-1 8 48,1-9-24,-2 2 0,1 0 24,-1-1 0,-2-3-16,2 4-16,1-2 40,-3-2 0,0 0-16,0 0 40,0 0-16,0 0-32,0 0 24,0 0 48,0-1-8,-1-1-40,-1-3 48,0-5 16,2 10-88,-4-5 48,1-8 64,-1 4-16,-1-3-16,-4 1 24,5-1-16,4 12-88,-9-12 48,5-1 0,-5 0 24,5-1-16,-6 1 24,7 0-80,3 13 0,-10-13-8,8 0-8,-3 0-8,0-2 64,0 0-16,2 0 0,3 15-24,-4-14 8,2-2-8,1 1 16,-1-2-16,2 2 8,0 0-16,0 15 8,3-14-24,-1-1 32,2 2-16,-1 2-16,1 0 24,6 1-48,-10 10 48,2-10-24,9 6-48,-9-5-80,8 6-120,-8 0-312,9 2-392,-11 1 976,4 0-1424,6 0-497,-6 2-679,8 8-393,-9-7-2240,-3-3 5233</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15.969"/>
    </inkml:context>
    <inkml:brush xml:id="br0">
      <inkml:brushProperty name="width" value="0.05" units="cm"/>
      <inkml:brushProperty name="height" value="0.05" units="cm"/>
    </inkml:brush>
  </inkml:definitions>
  <inkml:trace contextRef="#ctx0" brushRef="#br0">2 142 2328,'0'0'0,"0"0"424,-1 0 128,1-1 112,0 0 73,-1 1 15,1 0-752,0 0 728,0 0-48,0 0-48,0 0-40,0 0-32,0 0-16,0 0-4280,0 0 8017,0 0-3729,0 0-40,2 0-8,1 2-24,-1 0-56,-2-2-424,3 3 344,-1-1-40,0-2-8,1 3-48,-1-1 24,1 0-32,-3-2-240,2 4 225,2-2-9,-2 2 0,2 0-24,-2-1 16,0 7-16,-2-10-192,3 0 152,0 3 0,0 7-16,0-8-40,0 2 48,-1 0-32,-2-4-112,0 10 128,3-7 0,-3 0-16,2 8-16,-2-8 24,2 6-56,-2-9-64,0 3 16,0 6 56,3-6-16,-3 0-8,0 1 40,0 5-16,0-9-72,0 4 72,0-1-64,0 1-8,0 0 32,2-1 16,-2-3-48,0 10 16,0-10 40,0 3 0,0 1-32,0-2 56,0 1-24,0-3-56,0 3 64,0 0 24,0 0-40,0 1 40,0-2-24,0 2 8,0-4-72,-1 2 48,0 1 0,0-1 32,-1 1-32,1-1 40,1-2-32,0 0-56,-1 2 24,1-2 24,0 0 16,-1 0-32,1 0 56,0 0-16,0 0-72,0 0 48,0 0 56,0 0-31,-1 0-1,1 0 24,0 0 8,0 0-104,0 0 80,0 0 56,0 0 16,0 0-48,0-1 88,0 1-72,0 0-120,0-1 152,0 1 24,0 0-56,0-1 72,0 1-16,0 0-8,0 0-168,0-1 176,0 1-48,0-2 16,0 2 64,0-1-24,0 0-48,0 1-136,0-1 184,-2-2-88,1 1 48,-1 0 24,1-2-8,-2 2-64,3 2-96,-2-4 120,1 0-40,-1 1-32,0-2 120,0 0-80,-1-4 24,3 9-112,-2-4 80,1 0-56,-3-6 8,3 6 49,-2-7-41,2 8-16,1 3-24,-1-11 56,0 7-96,0-5 40,1 5 80,-2-7-96,2 8-32,0 3 48,0-5 24,0-5-24,0 7 64,0-8 24,3 7-120,-1-6-24,-2 10 56,3-4-48,-1-9 32,2 8 72,-1-8-16,8 3-40,-9 5 0,-2 5 0,10-12-16,-6 8-40,8-8 48,-9 8 8,11-8-32,-4 7 48,-10 5-16,10-12 16,0 8-8,0-8-16,1 8 16,0-6-16,-8 7 8,-3 3 0,16-4 24,-5-1-24,-2 1 24,1 0-24,-7 0 0,11 2-24,-14 2 24,3-2-24,8-1 32,-9 2 8,9 0 56,-9 0-32,8 1-56,-10 0 16,2 0 0,8 2-72,-6 2 88,5 6 0,-6-6-16,0 9 0,-3-13 0,3 12-40,0 0 40,0 3 24,-1 0 32,0 1-16,-2 2-40,0-18 0,3 16-16,-3 2 32,0-2-32,0-2 32,0 0 0,0-1-16,0-13 0,-1 13 96,-1-1-112,1 0 128,-2-1-48,-1-1-88,0 0 136,4-10-112,-9 4-32,5 8 16,-1-10 48,-4 8-8,5-8 32,-5 2 0,9-4-56,-10 2 24,7 0 8,-9 1-16,2-3 32,0 0-16,1 0-8,9 0-24,-11 0 72,0-1-16,0-3-32,2 0 32,4-5-112,-7 5 0,12 4 56,-5-9-24,-6 5-16,9-6 24,-3 6-24,2-7 24,-2 6-80,5 5 96,-4-11-136,1 7-16,0-7-24,1 7 24,1-7-40,-1 8-65,2 3 257,0-10-336,0 7-88,0-7-8,3 6-128,6 1-48,-6-2-72,-3 5 680,9-5-784,-5 2-9,9 0-95,-2 1-144,1 1-144,2-1-232,-14 2 1408,14 0-1673,-1 0-247,1 0-185,-2 3-103,0-1 359,0 2-1791,-12-4 3640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18.200"/>
    </inkml:context>
    <inkml:brush xml:id="br0">
      <inkml:brushProperty name="width" value="0.05" units="cm"/>
      <inkml:brushProperty name="height" value="0.05" units="cm"/>
    </inkml:brush>
  </inkml:definitions>
  <inkml:trace contextRef="#ctx0" brushRef="#br0">50 217 3752,'0'0'0,"0"0"0,0-1 2329,0 0-1233,0-3-752,0 0-192,0 2 88,0 0 224,0 2-464,0-3 584,2 1 137,-2-1-17,3 0-112,-3 2 0,0 0-48,0 1-544,0 0 528,0 0 48,0 0-8,0 2 1,-1 1-9,-2 1-32,3-4-528,-3 10 472,-1-8 0,0 9-40,1-8-64,-1 9 48,0-8-48,4-4-368,-3 15 336,-1-4 32,1-1-87,-1 1-9,0-1 8,3 0-96,1-10-184,-1 13 248,0-2-96,-2 1 0,2-1 8,0-1-40,0 1 40,1-11-160,-2 9 88,2 1 8,0-6-48,0 9-24,0-10 32,3 9-72,-3-12 16,2 4 40,2-1 8,-2 7 16,8-10 0,-6 2-24,5 1-24,-9-3-16,3 0-64,8 0 72,-8 0-48,9 0 72,-8-1-8,11-3-24,-15 4 0,10-5 40,0-6-40,-1 8-32,-6-9 48,12 8-16,-6-8-40,-9 12 40,9-4 56,0-10-56,-5 10 8,6-11 16,-8 5-32,2 0 16,-4 10-8,9-11 16,-9 1-16,3 5-48,-3-9 32,0 4 0,0 5 32,0 5-16,0-11 24,0 7 16,-1-6 16,-3 6-32,0-6 40,0 7-64,4 3 0,-9-3-16,5-7-8,-5 9-24,5-3 72,-5 1-40,4-1 32,5 4-16,-11-2-24,6 1 24,-7-1-16,7 1-40,-6 1 8,8 0-16,3 0 64,-10 0-88,6 0-32,-5 0-32,6 0-192,0 0-96,0 3-200,3-3 640,-1 0-881,0 0-207,1 0-352,0 0-264,0 0-265,0 0-239,2 0-9,-2 0 2217,1 0-2152,3 0 447,6 0-1711,-10 0 3416</inkml:trace>
  <inkml:trace contextRef="#ctx0" brushRef="#br0" timeOffset="1">283 1 7961,'0'0'0,"-3"0"2145,-1 0-1497,4 0-648,-5 0 424,2 2 136,2 2 208,-1 0 152,1 5 9,0-6-169,1-3-760,0 11 584,0-1-112,0 1-88,0 2-32,0 1 32,2 3-8,-2-17-376,3 17 376,0-2 40,1 3 33,7-2-57,-9-1 16,8 3-88,-10-18-320,3 15 256,8 2-56,-7-1-48,8 0-64,-9 1-8,7-2-16,-10-15-64,4 14 24,7 1-16,-7 0-8,9-2-24,-11 0 16,10-1-48,-12-12 56,4 11-88,6-2-64,-8-5-136,9 9-168,-9-9-136,7-1-193,-9-3 785,2 11-1008,2-11-264,0 2-328,-1-2-361,1 0-343,-2 0-209,-2 0 2513,4 0-2384,-1 0 631,0-1-1447,-3 1 3200</inkml:trace>
  <inkml:trace contextRef="#ctx0" brushRef="#br0" timeOffset="2">646 90 9353,'0'0'0,"0"0"1945,-2 0-1289,-1 0-128,1 0 160,1 0 297,1 0-985,-2 0 1136,1 0-8,0 3-176,0-3-208,-3 2-119,1 1-113,3-3-512,-4 2 480,-1 0-32,0 1-56,-4 0-48,7 1-48,-1 0-40,3-4-256,-10 9 264,7-6-32,-6 0 32,5 9 0,-6-8 16,6 5 24,4-9-304,-10 4 296,5 8-63,-5-9-25,7 11-88,-7-4 48,7 0-32,3-10-136,-9 9 152,6-5 0,-2 10-40,1-10 8,2 11-64,1-5 0,1-10-56,0 3 56,0 11-16,0-11 16,3 10 0,7-9 0,-8 9-64,-2-13 8,3 4 8,8 6-16,-8-7 16,9 0-16,-8 1 8,11 0 0,-15-4 0,9 2 0,1 0 40,-2-2-24,2 0 8,1 0-40,1-1 64,-12 1-48,11-2-16,1-2-24,-2-1 24,0-4-40,0 4 40,0-7 0,-10 12 16,3-5 0,11-7-8,-11 9 8,12-9 0,-13 7-32,10-6 64,-12 11-32,3-3-32,0-9 16,6 8 8,-9-5-24,2 5 32,1-1 16,-3 5-16,0-9 0,0 5 16,0 0-16,0-5-16,0 6 16,0-1 0,0 4 0,0-4 72,0 1-64,-2-1 40,1 1-40,0-1-16,0 0 8,1 4 0,-1-2 0,-2 1 8,2 0 40,0-1-40,1 2-32,-2 0-8,2 0 32,-1 0 0,0 0 0,0 3 32,1 0-16,0 7-64,0-6 80,0-4-32,0 13 24,3-3-48,0 0 48,7 1-24,-8-2-40,7 2 56,-9-11-16,2 12 0,10-3-32,-8 1 48,8 0 16,-3-1-88,0-5 64,-9-4-8,4 14-64,10-10 32,-4 6 16,1-7 8,-2 0 48,5 1-56,-14-4 16,9 2 0,3-2 16,-2 0-32,1 0 16,-1 0 16,-1-1-32,-9 1 16,10-2-40,0-2 24,-7-1 16,9-4 16,-9 5 24,8-1 0,-11 5-40,2-10-80,2 6 104,4 1 8,-8-7-32,3 8 96,-1-2-112,-2 4 16,2-5 0,1 2 48,-1-1-40,1 0 24,-3 2-16,0 0-8,0 2-8,0-2 48,0 1 8,0-1-32,0 2 16,0-1 8,0 1-48,-2 0 72,1 0-16,0 0-32,1 0-40,-1 3-8,1-3 24,-1 3 0,-1 0 40,1 7-40,1-8 0,-1 9-24,1-7-8,0-4 32,0 14 0,0-10 0,2 11 32,1-5-48,0-7 16,6 10 0,-9-13 0,2 4-40,2 7 8,0-9 16,-1 9-8,6-9 48,-7 2 8,-2-4-32,4 3 16,6 0-8,-10-1 24,3-2-48,1 0 16,-1 0 32,-3 0-32,4 0-16,-2 0 40,1-2 8,-1-2 24,0 0 16,-2-5-16,0 9-56,0-3 16,2-7 56,-2 6-88,0-5 32,0 4 40,0-7-72,0 12 16,-1-10 96,-1 6-64,1-11 8,-1 11-24,-1-8-32,1 7 32,2 5-16,-3-11 32,1 7-24,1-9-8,-2 10 32,1-8 0,1 6-8,1 5-24,-1-12-24,0 7 48,1-8 8,0 2-48,0 1 48,0-1-32,0 11 0,2-9-16,0 4 32,2-7-16,5 6-16,-6-5-32,8 8 8,-11 3 40,3-11-40,10 7-8,-4-7-24,2 8 8,-1-8 0,1 8-48,-11 3 112,9-4-144,2-1 24,-1 2-112,1 0-16,-3 2-104,-4 0-128,-4 1 480,13 0-592,-9 0-113,5 0-87,-5 2-136,0 2-96,5-1-104,-9-3 1128,3 4-1241,-1 7-103,1-9-128,-1 2-161,0-1-87,1 1-152,-3-4 1872,2 3-1889,1 1 113,-3 0 295,1-2 385,1 0 392,-2 1 320,0-3 384,3 0-200,-3 0 120,0 2 40,2-2 8,-2 0 24,0 0 16,0 0-8,0 0 8,0 0 32,0 0 40,0 0 144,0 0 224,-1 0 272,1 0-720,-1 0 1000,0 0 169,-1 0 79,1 0 16,0 0-15,0 0-41,1 0-1208,-2 0 1144,1 0-96,1 0-112,0 0-71,0 3-89,0-1-48,0-2-728,0 0 728,0 4-48,0-1-40,0 1-55,3-1-81,-2 9-104,-1-12-400,4 4 344,-1 8-48,1-9-72,7 11-32,-10-5-48,3-5-56,-4-4-88,9 15 72,-6-5-32,0-1-48,7-5 8,-8 8-32,2-9-16,-4-3 48,11 13-64,-9-9-152,8 6-152,-7-8-184,6 8-232,-5-10-193,-4 0 977,9 3-1184,-6 1-264,0-2-305,7 1-287,-8-3-176,8 0-81,-10 0 2297,2 0-2120,7 0 559,-7-2-1535,-2 2 3096</inkml:trace>
  <inkml:trace contextRef="#ctx0" brushRef="#br0" timeOffset="3">1548 32 5961,'0'0'0,"0"0"0,-1-5 2600,-3 2-919,1-8-985,1 10-160,1-3 128,1 3 160,0 1-824,0-2 888,0 0 1,0 1-97,0 1-96,-1 0-96,0 0-48,1 0-552,-1 0 488,-1 0-40,1 4-23,0-1-97,0 7-8,-2-8-48,3-2-272,-2 12 192,-1-8 32,0 9-8,0-4-24,1 2 64,0 0-16,2-11-240,-3 11 208,2-1 8,-2 1-8,2-1-88,1-7 16,0 13-16,0-16-120,0 3 56,0 11 8,4-11-48,-2 8-56,8-7 40,-8 5 24,-2-9-24,4 3 0,7 0 24,-9 1-32,10 0-24,-3 6 32,1-10 0,-10 0 0,9 2 0,3-2 0,-1 3 16,1-3-40,-1 0-8,1 2 32,-12-2 0,11 0-32,1 0 80,-1 0-24,0 0-64,-1 2 56,1 1-40,-11-3 24,3 2-24,9 1 72,-8-1-8,0 0 0,5 2 40,-6 0 40,-3-4-120,3 9 160,1-6 112,-4 1 176,0 6-31,0-8 119,0 8-96,0-10-440,-1 3 352,-3 7 40,-1-6-112,2 6 0,-7-6 8,5 8-56,5-12-232,-11 3 160,0 9 40,3-9-88,-2 6-8,1-5-16,5 0 0,4-4-88,-13 9 32,8-6 40,-7 0-32,2 0-56,6 1 64,-8-2-80,12-2 32,-3 3-16,-2-1-8,-4-2-40,8 3-32,-2-3-64,-1 0-176,4 0 336,-2 0-504,-1 0-208,2 0-304,0 0-249,1 0-415,0-2-416,0 2 2096,0-1-2601,0 0-600,0-1-487,2-2 79,1 2-1616,-3 2 5225</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19.162"/>
    </inkml:context>
    <inkml:brush xml:id="br0">
      <inkml:brushProperty name="width" value="0.05" units="cm"/>
      <inkml:brushProperty name="height" value="0.05" units="cm"/>
    </inkml:brush>
  </inkml:definitions>
  <inkml:trace contextRef="#ctx0" brushRef="#br0">0 141 3448,'0'0'0,"0"-1"1281,0 1-1281,0-2 1200,0 0-440,0 0-112,3 0 72,-1 1 136,0 0 169,-2 1-1025,3 0 1048,0 0-72,0 0-128,-1 0-176,1 0-176,-1 0-87,-2 0-409,0 0 400,4 2-24,-2 2 16,0 0 0,2 6-32,0-6-48,-4-4-312,3 13 320,7-2-88,-8 0 0,2 1 16,5 0-80,-6 0 8,-3-12-176,3 13 168,8 1 8,-8-1 16,7 1 49,-7-2-65,6-2 16,-9-10-192,3 10 184,0-6-96,1 9 96,0-10-72,-1 8-40,1-8 56,-4-3-128,2 9 88,1-6 32,-1 0 32,0 1-40,-2-2 16,3-2 8,-3 0-136,0 0 232,0 0-40,0 0 0,0 0-32,0 0-72,-1-2 16,1 2-104,0-4 64,-2-1 0,2-4-48,0 5-8,-1-5 8,1 5 0,0 4-16,-1-13 24,0 8 16,0-9 8,-1 3-32,1-1 0,0 0 8,1 12-24,-1-13 24,1 1-8,-1-1 8,-1 1 32,2 0-88,0-2 64,0 14-32,0-12-16,0 0-8,0 0 72,0 2-32,3-2 40,-1 1-48,-2 11-8,3-12 0,-1 1-8,2 0-24,-2 1 48,1 0-40,1-2 48,-4 12-24,4-10-40,6 1 56,-7 4-8,6-5-32,-5 7 64,6-1-24,-10 4-16,2-3 8,9 0 56,-9 2-8,2 0 0,7 0 32,-9 1-8,-2 0-80,10 0 80,-8 0-16,2 3 16,5 1-48,-6 7-8,6-9 0,-9-2-24,3 12-24,0-8 80,1 10 24,-1-4-72,1-7 32,-2 12 8,-2-15-48,3 3-16,-1 10 56,-2-9 16,0 9-88,0-9 112,0 5-80,0-9 0,0 4 0,0 7 72,-1-9-64,0 8 64,-2-8-32,0 2-16,3-4-24,-3 3 57,0 1 23,-1-2 0,2 1-40,-2-1 48,1-2-88,3 0 0,-4 0-32,2 2 64,-1-2-64,1 0-8,-1 0 72,1 0-32,2 0 0,-2 0-32,0 0 104,1 0-64,0 0 8,0 0 0,1 0-72,0 0 56,0-1-72,0 0 48,0 0 0,0 0 8,0 1 56,0 0 0,0 0-40,0 0-40,2 0 64,2 0-64,-1 0 0,1 2 40,7 0 16,-11-2-16,2 4 16,9 0-32,-7 5 40,10-6-8,-3 7 8,-1-6-8,-10-4-16,14 11-40,-1-8 24,0 11 8,1-11-32,1 10 80,-1-3-32,-14-10-8,15 3-8,-2 11 72,0-11-80,0 8 16,-1-7 32,0 5-64,-12-9 32,10 3-24,-1 0 24,-5 7-16,7-10 8,-9 3 104,2 1-16,-4-4-80,3 4-32,1-2 48,-1 0-56,0 1-16,-3-3 136,0 2-24,0-2-56,0 0 96,-1 3 16,-1-3 8,-1 2 8,-8-2-72,6 2-16,5-2-40,-13 0 40,2 0-40,-1 0 56,-2 0 8,0 0-8,-2 0 16,16 0-72,-14 0 40,-1-1 0,0 0-64,-1 0 48,2 0 24,-1 1-40,15 0-8,-15-2 72,1 1-88,1 0-40,1 0 32,2 0 24,0-1 56,10 2-56,-5-1-16,-7 0 16,9 0-120,-7 0-64,8-1-24,-2 1-48,4 1 256,-4-1-328,1 0-81,0 0-127,2-1-288,1 1-152,0 0-216,0 1 1192,3-1-1401,-1 0-215,2-2-400,6 0-441,-7-1-423,9-1-89,-12 5 2969,9-5-2281,1-4-1319,-10 9 3600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21.886"/>
    </inkml:context>
    <inkml:brush xml:id="br0">
      <inkml:brushProperty name="width" value="0.05" units="cm"/>
      <inkml:brushProperty name="height" value="0.05" units="cm"/>
    </inkml:brush>
  </inkml:definitions>
  <inkml:trace contextRef="#ctx0" brushRef="#br0">4 130 5953,'0'0'0,"0"-1"2992,-1 0-1431,0-2-1129,-1 2-144,2 1-288,0-1 472,0 0 224,0 1 248,3 0 57,0 0-121,-1 0-56,-2 0-824,2 0 728,1 0-96,-3 3-32,2 8-80,0-7-63,1 9-25,-3-13-432,4 9 416,5 2-64,-7 1 0,1-1-48,7 1-96,-6 1 24,-4-13-232,8 13 144,-4 0 8,6 2 16,-8-2-88,8 1-40,-9-1-40,-1-13 0,4 14-40,5-1 24,-6 0 56,0-1-40,6 0 24,-7-1 8,-2-11-32,3 9-40,-1-5-40,1 9-104,0-9-128,1 5-144,-1-6-120,-3-3 576,3 3-696,-1 0-136,2-1-65,-2-2-183,2 0-176,-2 0-176,-2 0 1432,3 0-1713,1 0-231,-1-2-89,0-2-47,6-1 223,-6-4 529,-3 9 1328,8-4-2760,-8 4 2760</inkml:trace>
  <inkml:trace contextRef="#ctx0" brushRef="#br0" timeOffset="1">409 168 5329,'0'0'0,"-1"0"2248,0 0-568,-1-1-631,2 1-1049,-3 0 920,3 0 56,-2 0 80,0 0-39,0 0-161,0 0-144,2 0-712,-4 0 552,1 2-96,-1-2-16,-5 3-56,5-3 56,0 2-48,4-2-392,-9 3 441,5-1-25,-5 0-48,5 2 16,-5 0-40,5-1 0,4-3-344,-9 4 320,5-1 0,-4 1-24,4 7-8,-4-9-40,4 9-8,4-11-240,-10 4 216,7 9-8,-2-10 40,-4 12-72,8-4-15,-2-2-25,3-9-136,-2 11 120,2-2-48,0 2 24,0 1-40,0-1-32,2-1 16,-2-10-40,2 3 0,0 10 16,2-9 0,6 7-32,-8-8 0,8 1-8,-10-4 24,2 11-16,8-11 0,-1 2 48,-6 1-8,12-3-8,-7 0-32,-8 0 16,11 0 0,1 0-40,-1-3-32,2 0 24,-4-7-8,2 6-32,-11 4 88,10-9-24,0 4-56,-2-7 8,2 2 48,-8 6-32,10-10 56,-12 14 0,2-9 32,7 4-64,-7-8 24,1 3-24,1 6-24,0-8 48,-4 12 8,3-5 40,-1-6-32,0 7-32,-2-6 40,0 6-48,0-6 48,0 10-16,0-3 0,0-2 40,0 0-24,-1-4 0,0 6 48,-1 0 0,0-1 24,2 4-88,-1-4 40,-2 1-16,2 0-24,-1 2 32,-1 0 16,3 1-48,-1-1 88,0 1-32,-1 0-32,1 0 0,0 2-32,0 2 32,1-4-24,-1 9 32,-1-6-24,1 0 48,1 11-40,0-11 0,3 10-8,0-3-16,-3-10 8,3 10 24,0 0-40,7 1-24,-9 0 40,3 0 16,6-1-32,-10-10 16,2 11 40,8-1-104,-6-1 8,5-5-16,-6 9-8,6-10-16,-9-3 96,3 9-208,9-6-49,-9 0-199,9 1-168,-9-2-136,7 1-160,-10-3 920,10 2-1032,-2-2-209,1 0-215,0 0-264,-6-1-217,-3 1 1937,12-4-2088,-3-1-65,-6-4 81,11 5 192,-6-7 375,-4 7 513,8-10-1312,-12 14 2304,0 0 0</inkml:trace>
  <inkml:trace contextRef="#ctx0" brushRef="#br0" timeOffset="2">761 137 4745,'0'0'0,"0"0"0,0-1 1928,-2 0-200,-1-2-391,-1 2-169,2 1-32,0 0 8,2 0-1144,-3 0 1041,1 0-97,-2 4-144,0-1-160,1 7-104,0-8-64,3-2-472,-3 11 376,-1-7-40,1 8-40,0-3-15,-1 1 39,1-1 8,3-9-328,-3 12 312,1 0 16,0 0 8,1 2-56,0-1 56,0-1 0,1-12-336,-1 13 296,1-2 32,0 1-48,0 0-96,0-2 0,0 1-48,0-11-136,2 11 64,2-7 8,-2 8-32,8-9-40,-10 7 40,8-8-16,-8-2-24,3 4-24,0-1 48,10 0-40,-10-1-24,8-2 80,-1 0-80,-10 0 40,10 0-8,0 0-24,1-1-24,-1-3-48,1-5-16,-1 5-40,-10 4 160,11-11-200,0 8 72,-1-10-88,1 8-16,-2-10 8,1 5-8,-10 10 232,12-11-232,-2-1 40,0 1 16,-2-1 8,-4 1 64,7 1 48,-11 10 56,4-11-80,7-1 64,-9 0-8,7 0 0,-7 1 72,2 0-56,-4 11 8,3-11-24,0 2 56,-1-1-32,-2 5 64,2-8 16,-2 9-16,0 4-64,0-11 48,0 7 16,0-1 40,0-4-16,0 8 104,-1-2-40,1 3-152,-1-2 128,0 1 40,0 1 0,0 0-24,0 0 16,0 0-40,1 0-120,-1 2 88,1 2 56,-1 8-24,0-9 16,-1 12-8,1-5-32,1-10-96,0 12 56,-1 0 8,1 0-8,0 1 0,0 2-8,2 0-16,-2-15-32,3 15 8,-1 0 32,1 0-8,0-2 8,1 1 8,4 1-32,-8-15-16,3 13 56,0 0-16,6-2-15,-5-2 15,4 1-24,-5-6 0,-3-4-16,8 10 24,-5-7 8,6 0 16,-6 1 24,7-2 8,-7 1-8,-3-3-72,4 0 80,6 0 16,-8 0 16,0 0-8,1-1 8,-1-3-40,-2 4-72,2-4 40,1 0 24,1-6-16,-2 6 32,1-6-8,-2 5-32,-1 5-40,0-13 72,0 3 8,0-1-8,0 0 0,0 1-8,0 0-8,0 10-56,0-9 88,0-2 8,0 1 16,0 1-40,0-1-32,0 0-24,0 10-16,2-4-24,1-10 32,-3 5 8,3 4-16,1-7 16,-1 7-72,-3 5 56,3-12 0,7 9-32,-7-8-8,7 7 56,-6-5-88,9 5 40,-13 4 32,4-5-24,9-4-32,-4 5-16,-1 1-80,2-2-72,-7 0-112,-3 5 336,12-4-408,-10 1-112,9 0-121,-10 2-87,10 0-184,-9 0-184,-2 1 1096,2 0-1232,2 0-169,-2 0-191,-2 2-216,0 2-329,0-1-359,0-3 2496,0 11-2633,-2-8 328,-2 7 745,-6-6-1192,10-4 2752</inkml:trace>
  <inkml:trace contextRef="#ctx0" brushRef="#br0" timeOffset="3">1089 261 4705,'0'0'0,"-1"0"2184,1 0-2184,-2 2 2088,-1 0-567,2-2-377,0 3-136,1-1-72,0 1-55,0-3-881,0 3 784,2 1-88,2-1-56,5 1-96,-7 0-32,2 5-40,-4-9-472,8 2 416,-4 2 1,5 6-41,-5-8-80,8 8-8,-3-8-88,-9-2-200,8 10 112,3-8-16,-1 2-8,1 5-56,0-9 0,1 3-8,-12-3-24,11 3 0,1 0 32,-1-1-32,1-2-16,0 0-88,1 0-104,-13 0 208,12 0-376,0 0-272,0-1-289,0-3-375,1 1-376,0-2-329,-13 5 2017,12-10-2320,2 7-193,-2-8 9,0 7 479,1-8-1367,-13 12 3392</inkml:trace>
  <inkml:trace contextRef="#ctx0" brushRef="#br0" timeOffset="4">1492 125 5881,'0'0'0,"-12"0"3144,0 0-551,-2 3-1177,2 0-424,12-3-992,-10 4 857,6-1-25,-7 1-40,6 7-136,-5-9-144,7 9-88,3-11-424,-9 3 288,5 9 0,0-8-47,-5 9-9,8-3 16,-2 1 0,3-11-248,-3 10 248,3 1 16,-2 0-48,2 0 0,0-2 24,0 2-8,0-11-232,3 10 280,1-7 16,7 12-32,-9-12-16,9 9-64,-7-8-64,-4-4-120,12 3 80,-4 8-16,2-11-24,-7 4-56,10-2 72,-2 1-72,-11-3 16,11 0 0,0 0 40,0 0-40,1-2 16,-1-1-32,1-2 32,-12 5-16,12-10 40,-1 7-56,0-9 32,-1 7-56,-1-7-16,0 7 32,-9 5 24,3-13 0,8 4 40,-8-1-40,-1 0 40,2 1-40,0-1 24,-4 10-24,2-9 56,-2 4-40,0-7 88,0 7-80,-1-6 72,-3 8 16,4 3-112,-5-11 128,-3 7-32,4-7-15,-4 8-9,3-8-56,-6 7 32,11 4-48,-9-4 32,-1-6 8,6 8-24,-7-2 8,7 1 0,-6 0 16,10 3-40,-3-1 16,-1 0-16,0 0-40,1-1-24,-1 2-24,1 0-16,3 0 104,-2 0-153,1 3-87,0-3-120,0 2-136,1 1-144,0 0-208,0-3 848,0 4-1016,2-2-161,-1 1-191,2-1-184,6 0-105,-6 1-143,-3-3 1800,11 0-1816,-7 2 63,9-2 81,-9 0 104,6 2 207,-6-2 305,-4 0 1056,10 0-696,-7 0-1360,-3 0 2056</inkml:trace>
  <inkml:trace contextRef="#ctx0" brushRef="#br0" timeOffset="5">1686 141 3680,'0'0'0,"0"0"1785,0 0-1785,2 0 2176,1 2-295,-1-2-257,0 2-112,0 1-79,-2-1-25,2 2-128,-2-4-1280,2 3 1176,-2 1-151,3 6-121,-3-8-104,0 9-96,2-8-8,-2-3-696,0 14 568,3-5-64,-3 3-71,0-1-113,0 1-64,1-1-32,-1-11-224,2 11 136,2 1 40,0-2-48,-2 1-16,1 0-24,0-2-48,-3-9-40,4 10 56,4 0-40,-5-7-16,0 7 0,8-8-32,-7 2 16,-4-4 16,11 9 0,-8-9 16,10 3 56,-3-1-56,-2-2 8,2 0-40,-10 0 16,11 0-80,-2 0 48,1-1-8,1-3-40,0 0-8,0-1-48,-11 5 136,10-11-240,0 7 64,-2-5-32,2-1-8,-7 5 8,10-9 72,-13 14 136,2-10-120,8 1 80,-9-1 80,3 6-72,-1-10 32,1 5 16,-4 9-16,2-10-16,-2-1 8,0 1 16,0-1-8,0 0-8,0 1 48,0 10-40,-1-10 8,-2-1 8,-1 0 24,0 0-64,1-1 8,-2 0-40,5 12 56,-5-13-145,1-1 9,1 1-184,-2 1 16,2 0-16,1 2-88,2 10 408,-3-5-336,2-7-16,-1 9-56,1-7-32,-1 8-72,1-2-104,1 4 616,0-4-713,0 2-47,0 0-120,-1 0-192,1 2-80,0 0-145,0 0 1297,0 0-1344,0 0 16,0 0-25,0 0 25,0 0 48,1 3 64,-1-3 1216,0 2-1081,3-2 225,-1 0 208,-2 0 176,2 0 176,1 3 104,-3-3 192,2 0-120,0 0 80,0 0 24,-2 0 0,2 0 24,2 0 0,-4 0-8,2 0 8,0 0 40,1 0 88,1 0 168,0 0 240,-2 0 256,-2 0-800,4 0 1024,-1 0 121,1 0 39,-1 0-24,0 0-32,7 0-95,-10 0-1033,1 0 984,3 0-24,-1 2-40,1 0-56,-2 1-39,2-1-121,-4-2-704,9 3 624,-7 0-8,0 1-56,2 7-24,5-9-24,-7 9-15,-2-11-497,4 3 464,-1 12-8,0-4-8,0 1-48,1 1-56,5 0 16,-9-13-360,2 13 296,0 0-8,1 0-40,1-1-32,-1 2-32,1-1-40,-4-13-144,2 12 144,2 1-24,0-1-88,-1-1-8,0 0-8,0-1-56,-3-10 40,4 10 40,-2-6-56,-2 9 16,3-10 40,-2 8-56,-1-9 48,0-2-32,0 4 0,0 0-40,0-1 8,0 0 32,0-3 72,0 0-32,0 0-40,0 0 56,0 0-48,0 0 32,0-3-40,0 0 32,0-1-8,0 4-24,0-4-56,0 1 72,0-7 8,-1 7-24,1-2 40,0-5-8,0 10-32,0-3 8,0-8 8,0 7-40,0-6 64,0 6-16,0-7 32,0 11-56,2-5 97,2-7-33,0 8 48,-1-8 8,0 7 32,8-8 112,-11 13-264,1-10 200,11 0-16,-10 1-48,12-1-24,-11 1 16,11-1-32,-14 10-96,10-9 128,1-1-88,1 5 0,-1-7 48,-2 7-64,2-7 8,-11 12-32,13-3 0,-2-7-56,1 7 56,0-2 0,-1-5-40,1 8 64,-12 2-24,11-4-72,-1 1-80,-1-1 16,-6 0-200,9 1-152,-10 0-248,-2 3 736,4-1-1017,5 0-311,-9-1-464,2 0-473,-2 1-599,0 0-673,0 1 3537,0 0-3785,0-1-1864,0 1 5649</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24.909"/>
    </inkml:context>
    <inkml:brush xml:id="br0">
      <inkml:brushProperty name="width" value="0.05" units="cm"/>
      <inkml:brushProperty name="height" value="0.05" units="cm"/>
    </inkml:brush>
  </inkml:definitions>
  <inkml:trace contextRef="#ctx0" brushRef="#br0">171 424 3472,'0'0'0,"0"-1"1417,0 0 15,0-1-312,0 2-1120,0-2 912,-1 1-24,1 1 57,0-1 95,-1 1 24,-1 0-56,2 0-1008,-2 0 921,0 0-121,-2 0-72,0 0-48,1 0 0,-1 2-64,4-2-616,-11 4 584,8 0-47,-8-1-57,7 7-8,-7-8-16,6 2-32,5-4-424,-9 9 368,4-5-24,-7 7-16,7-8-80,-6 10 24,2-3 32,9-10-304,-5 4 312,-6 10 24,7-4-55,-5-1 7,5 2-56,0 0-40,4-11-192,-2 11 232,-3 1-64,1 1 0,2 0 24,1 0-64,1 1 40,0-14-168,0 12 168,0 2-40,2-4 0,1 2-72,0-2-40,6 1 8,-9-11-24,2 9 72,10 1-40,-8-6 24,8 9 0,-1-11-40,-2 8 8,-9-10-24,10 0 32,2 2-64,-1 1 32,2-3-16,1 0-8,0 0 80,-14 0-56,13-2 24,2-1 24,-3-2-24,4-6-48,-4 6 24,2-8-48,-1 2 40,-13 11 8,14-10-56,-2-1-64,-1 0 24,-1 0-16,-1 0 24,-9 11 88,4-13-88,8 1 48,-10 0-16,1-1 40,0 1 48,0 0-32,-3 1 0,0 11 0,0-10-16,0 0 32,0 0 0,-3 0 8,0 5 32,-6-7-40,9 12-16,-5-4 16,-8-8-16,3 9-16,-2-9 0,1 8 32,-1-7-16,12 11 0,-12-3-32,-1-1 48,0 1-32,-1-2-8,4 1 48,0-1-64,10 5 40,-11-3-24,2-1-8,0 1-64,-1-1-48,5 2 8,-6 0-64,11 2 200,-3-1-264,-2 0-24,0 0-120,2 0-169,0 1-119,1 0-152,2 0 848,-2 0-1096,1 0-128,1 0-289,0 2-231,0 0-232,0 1-289,0-3 2265,3 2-2528,-1 1-145,8-1 360,-8 0-1495,-2-2 3808</inkml:trace>
  <inkml:trace contextRef="#ctx0" brushRef="#br0" timeOffset="1">533 438 7257,'0'0'0,"-1"0"2481,1 0-1609,0 0-872,0-2 288,0 1 0,0 0 224,0 0 224,0 1 136,0 0-87,0 0-785,-1 0 632,-3 0-200,0 0-104,1 0-24,-1 0 32,-1 2 24,5-2-360,-4 3 416,0-1 32,-7 0-16,8 2 0,-7 0-64,7-1-63,3-3-305,-12 10 264,3-8 0,0 2-16,0 5 8,4-6-32,-5 0 8,10-3-232,-4 4 200,-5-1-8,5 1 24,-1 6-48,-3-10-40,5 3 0,3-3-128,-3 4 120,-1-1-8,1 1 32,-1 6-40,3-10-40,0 3-32,1-3-32,-2 10 8,1-8 8,1 2 0,0 5-8,0-6-16,3 0-8,-3-3 16,2 10 0,2-8 0,-1 2 0,1 7 0,7-9 0,-9 2-16,-2-4 16,11 9 32,-1-6-24,-7 0-16,11 1 32,-4 0-64,0-1 64,-10-3-24,10 4-8,-1-2 8,0 0 0,-5 1-56,10-3 56,-12 0-80,-2 0 80,14 0 0,-4 0-16,-7-1-8,11-3 64,-10 1-64,8-2-32,-12 5 56,4-10-8,9 7-56,-9-7 8,5 5 16,-6-4-48,8 5 64,-11 4 24,2-11-40,2 8 24,-2-8 16,1 6-64,0-7 40,0 8 0,-3 4 24,2-13-40,-2 8 24,0-5 32,0 5 24,0-6-16,0 7 0,0 4-24,0-10 64,0 6-104,0-5 40,0 5 16,0 0-56,-1 0 88,1 4-48,-1-5 16,-2 0 24,2 0-16,0 0-8,0 2-8,-1-1-8,2 4 0,-1-3-8,0-1 8,1 0-16,-1 1 32,-1 2-8,1-1-8,1 2 0,-1 0 32,0 0-64,1 0 64,0 3 8,-1 0-32,1 9 56,0-12-64,0 4 40,0 10-24,0-2 32,2 2-32,0 0-32,1 0 48,-3-14-32,1 16 48,3-1-8,7 1 16,-9 1 8,2-2-104,7 0 16,-11-15 24,3 15 24,10-1-80,-9-1 72,8-1-32,-2-2-24,-2 0 32,-8-10 8,11 10-16,0-7 32,-8 8-16,11-9-16,-5 2 16,0-2-40,-9-2 40,10 0-24,-1 0 8,-5 0-8,8-1 8,-8-2 16,8-2-72,-12 5 72,9-11-64,-5 6-96,10-8-24,-11 2 48,8-1-48,-8-1 88,-3 13 96,4-14-120,6-1 72,-8 0-8,2 0 32,-1 0 40,1-1-64,-4 16 48,2-14 24,1-1 40,-3 1-56,0 1-8,0 0 0,0 0-64,0 13 64,0-14 24,0 0 16,-2 0 0,0-1 24,-2 1-40,2-2 40,2 16-64,-4-13 24,1 0 32,-2 1 8,2 1 0,-1 1 40,0-1-72,4 11-32,-4-5 80,0-5 48,1 8-48,1 0 72,-1 0-8,2 1-40,1 1-104,-4 0 160,1 0-16,0 3-48,1 6-32,0-5 0,-1 8-8,3-12-56,-2 9 104,-1 1-8,2 1-16,1-1-56,0 4-8,0-1 8,0-13-24,0 15 16,4-2 8,-1 1 0,7 0-32,-8 0 16,2 0-8,-4-14 0,3 13-8,6-1 16,-5-2-48,7 2 16,-9-1 24,8-1-16,-10-10 16,3 9 16,8-5-40,-8 9 8,6-10 32,-6 6-32,0-6 56,-3-3-40,4 2 24,0 0-8,4 1 8,-8-1-8,4 1-16,-2-3 16,-2 0-16,3 0 8,-1 0 8,-2 0 0,0 0-48,2 0 32,-2-2 16,0 2-16,0-2-16,0-2 88,0 1-48,0-1-8,0-1 24,0-4-24,0 9-16,-1-4 24,1-1 0,-1-5 8,0 6 8,1-6-40,-1 7 40,1 3-40,-2-10 56,0 7-48,1-7 73,0 6-49,-1-6-8,1 6 16,1 4-40,0-11-40,0 8 24,0-7 32,3 7 16,0-2 8,1-5-32,-4 10-8,3-2 0,1-2-80,0-1 56,5 1-16,-5-1-17,7 1 17,-11 4 40,3-3-32,8-1-16,-7-1-24,8 2-8,-10-1-40,13-1-56,-15 5 176,3-2-224,10 0-104,-10-1 64,8 0-88,-7 1-8,4 0 48,-8 2 312,4-1-352,-1 0 80,7-1 88,-10 1 32,2 1 0,1 0 64,-3 0 88,2 0-72,-2 0 8,0 3 40,0-1 40,0 0-16,0-2 0,0 3-16,0-1 40,0 2-8,0-1 32,0 2 16,0-1 24,0-4-88,0 3 120,0 1 8,0 5 8,0-6 16,0 6 40,0-6-32,0-3-160,0 9 192,0-6-24,0 8 16,0-9-48,2 9-16,1-8 32,-3-3-152,3 12 72,0-2 0,1-1 48,5 1-56,-5 0-24,6-1 56,-8 1-32,-2-10-64,10 11 80,-8-2 104,7 1-144,-7-1 24,9-5 0,-8 8-88,-3-12 24,10 4 56,-7 8-16,7-9-16,-7 7 16,8-8 64,-8 1-32,-3-3-72,10 3 48,-8 0 8,2-1-16,0 0 40,-2-2-8,2 0 8,-4 0-80,3 0 56,0 0 9,-1-1 31,1 0-40,-3-3-8,2 1-16,-2 3-32,0-4 16,0-1 8,-1-4 16,0 5 0,-2-1-64,1-4 24,2 9 0,-4-4 8,1-1-8,-1-5 56,3 6 16,-2-6-56,1 7-8,2 3-8,-3-10 32,0 7-24,2-7-32,-2 6 24,2-6 16,0 6-32,1 4 16,-1-10 16,1 7 40,0-9-104,0 7 24,3-7 24,1 7-56,-4 5 56,3-10-16,1 5 8,5-7-64,-7 7 48,2-6-16,5 8 24,-9 3 16,4-10-40,4 8 24,-4-2 16,7 2-56,-9 0 72,7 1-32,-9 1 16,2-1 0,8 1 16,-8 0-16,2 0-40,4 4 56,-5 5 8,-3-9-24,9 3-16,-6 6 48,6-5-64,-7 8-8,7-9 40,-6 8-8,-3-11 8,3 4 0,1 8 24,4-9 16,-5 11-24,0-5 8,1-5-8,-4-4-16,4 13-16,-1-10 88,1 9-32,-2-2-32,1-6 64,0 10-48,-3-14-24,4 10 32,0-7 88,-1 10-64,1-9 16,-1 8 48,1-8-64,-4-4-56,2 10 40,2-7 0,0 6-40,-1-6 32,1-1 32,-2 2-32,-2-4-32,3 2 16,-1 1 24,0-3 16,-2 0 8,3 0-8,-3 0 16,0 0-72,1 0 56,-1 0 0,3-3-24,-3 0 32,0-1-16,0 4-48,0-4 24,0 0 48,-2-6-72,1 6 0,0-5-16,-2 5 16,3 4 0,-2-9 32,0 5-8,-1-7 8,1 8-64,-1-8 32,1 7-16,2 4 16,-1-12 16,0 7 16,-1-7-48,1 8 0,0-10 0,1 4-40,0 10 56,0-11-40,0 0-32,0 0 32,0 2 0,2-3-32,1 0 0,-3 12 72,9-12-80,-6 0 24,7 7-16,-7-8 72,7 9 0,-7 1-40,-3 3 40,9-5 32,-5 1-48,6 1-16,-7-1 64,7 2-48,-7-1-8,-3 3 24,12-1 24,-2 0-48,-8 1 24,13 0 0,-6 0-48,0 2 80,-9-2-32,9 4 16,1 7-8,-7-9-48,10 9 56,-10-9 40,11 10-16,-14-12-40,11 3 96,-2 7-112,0-7 16,0 8 0,-5-9 32,9 8-32,-13-10 0,10 2 40,-6 2 32,10-1-16,-4 1 40,-1-1-96,0 0-16,-9-3 16,9 2 0,2 1-24,-8-1 8,11 0 56,-10-2-8,10 0-144,-14 0 112,10 0 24,-6 0-24,8 0 16,-9 0 184,8-1-176,-7-1 16,-4 2-40,12-3 0,-2 1-40,-2-2 72,3 1-48,-2-1-40,0-1 24,-9 5 32,4-9-40,10 5 0,-4-1 40,-7-5 16,11 6-48,-11-1 88,-3 5-56,10-11 0,-6 8-16,8-8 64,-9 8-104,0-7 80,0 6-64,-3 4 40,4-10-56,-2 6-40,1-6 24,-3 7 72,0-7 0,0 7 24,0 3-24,-1-10 0,-3 7 88,0-2-88,1-5 16,-7 9-16,6-3-112,4 4 112,-10-3-56,7 2-32,-9-1 24,2 2 32,6 0 8,-9 0 80,13 0-56,-4 4 40,-10 7-72,5-9 48,-2 10-40,1-8 24,1 10 24,9-14-24,-5 10 16,-7-1 24,8 1-24,0 1-8,0-2 8,0 3 16,4-12-32,-2 12 0,0-1 8,1 0-8,1-1-8,0 0-88,3-6 104,-3-4-8,2 14-8,2-10 104,-1 8 72,7-9-88,-7 9 16,7-8-104,-10-4 8,4 9 0,10-6-56,-3-1 56,1 2 0,-1-1 40,0 0-56,-11-3 16,13 2-56,0-2 32,2 2-80,2-2-32,-3 0-88,4 0-160,-18 0 384,15 0-544,-1-1-81,3-2-199,-2-1-112,0 0-80,-2 1-96,-13 3 1112,13-4-1241,-2-5-183,1 5-352,-1-1-321,-2-4-311,2 5-185,-11 4 2593,9-9-2632,-6 5 727,12-1-871,-15 5 2776</inkml:trace>
  <inkml:trace contextRef="#ctx0" brushRef="#br0" timeOffset="2">2261 194 9089,'0'0'0,"-4"0"3961,4 0-3961,-5 0 1641,1 0-889,1 0-128,1 0 56,0 0 104,1 3 16,1-3-800,-2 0 689,-2 2-113,2 1-176,-2-1-64,-1 2-48,1-1-40,4-3-248,-9 4 288,7 7-16,-3-8-48,-5 8 8,8-1-48,-3-7-24,5-3-160,-12 15 184,8-5-24,-7 2 64,8-1 16,-8 0 32,7 0-15,4-11-257,-3 10 216,-1 1 16,0 0-96,1-1 32,2 0-72,1 1-24,0-11-72,0 10 96,0-7-40,2 12 40,1-12 40,6 7-24,-5-8-96,-4-2-16,9 4 128,-5 5-200,7-9-8,-8 4 48,12-2-96,-12 1 120,-3-3 8,11 0 136,-1 0-80,-6 0-56,7 0 56,-8 0-152,12-1 56,-15 1 40,2-4-32,13 0-64,-12 1 40,11-7 0,-5 8-24,1-3-24,-10 5 104,3-11-64,11 8-48,-11-8 32,8 6-8,-7-6 24,7 1 48,-11 10 16,2-4-64,2-8 144,4 8-96,-8-8 72,3 9 0,-1-9-72,-2 12 16,0-4 32,2-6-48,1 6 0,-3-6 48,0 7-32,0-8 40,0 11-40,0-4 104,0-5-88,0 5 16,0-1-24,0-4-32,0 6 48,0 3-24,-1-4 32,-2-1-72,1 1-16,-1 1 0,0 0 40,1 2 32,2 1-16,-2-1-16,0 1 48,0 0-128,1 0 96,0 3 80,0 1-40,1-4-40,-1 10 96,-1-8-64,2 2-64,0 8 64,0-9 32,4 10-24,-4-13-40,4 4 72,-1 10 0,7-10 8,-6 10-24,8-4-24,-9-7-64,8 12-40,-11-15 72,4 9-24,10 1-104,-4 0 176,2-7-104,-2 11-16,0-10 200,-10-4-128,12 12-88,-1-10 88,1 8 88,-2-10-120,1 4 8,-1-1-24,-10-3 48,8 3-152,-4-1-80,7-2-72,-8 0-128,7 0-161,-6 0-15,-4 0 608,10 0-744,-7-1-56,6-2-16,-6 0-120,6-2-129,-6-5-55,-3 10 1120,8-3-1256,-5-7-120,-1 5-17,1-8-95,-1 4-32,0-1-33,-2 10 1553,3-9-1456,-3-2 160,2 0 247,-2 0 289,0 2 224,0-2 208,0 11 328,0-11-184,0-1 96,0-1 72,-1 1 56,0-1 72,0 0 96,1 13-208,-2-14 296,1 1 96,0 0 88,-1-1 96,-2-1 129,0 1 111,4 14-816,-3-13 872,0-2 0,-2 1-40,2 1-39,-1 0 31,1-1 0,3 14-824,-4-13 840,0 1 24,2 3-24,0 4 33,0-5-57,1 9-72,1 1-744,-1-2 704,0 1-72,1-1 8,0 2-32,0 0 65,0 3-17,0-3-656,0 11 680,0-8 24,0 11-80,0-2-104,2 2-112,2 1-56,-4-15-352,2 16 257,2-1 55,-1 2-40,7 1 48,-6-1-48,4 1 8,-8-18-280,3 18 328,7-1-24,-7-1 72,7 0-96,-7 1-16,10 0-64,-13-17-200,4 15 176,7 0-24,-7-2 0,10-1-80,-4 0-16,-7-2-24,-3-10-32,15 10 0,-12 0 16,8-7-8,-7 9-96,5-8 88,-5-1-72,-4-3 72,9 4-144,-7-1-16,0 0-272,2-3-200,0 0-320,4-1-376,-8 1 1328,0-3-1769,4 0-543,-2-2-713,1-6-944,-1 6-688,-2-7-1776,0 12 6433,0 0 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26.553"/>
    </inkml:context>
    <inkml:brush xml:id="br0">
      <inkml:brushProperty name="width" value="0.05" units="cm"/>
      <inkml:brushProperty name="height" value="0.05" units="cm"/>
    </inkml:brush>
  </inkml:definitions>
  <inkml:trace contextRef="#ctx0" brushRef="#br0">0 78 2832,'0'0'0,"0"0"840,0 0-840,0 0 752,0 0-279,0 0-97,0 0 56,0 0 136,3 2 104,-3-2-672,0 3 712,2 0-32,-2 1-72,3 6-31,-1-8-81,-2 2 24,0-4-520,2 13 520,2-10-48,0 13 24,-2-4-96,2 1-8,-1 2-88,-3-15-304,4 16 264,5 1 8,-6 0-48,0-2 81,8 1-17,-8 0 32,-3-16-320,9 15 288,-6 1-32,6-2-24,-5 0-32,-1 1 16,9-3-24,-12-12-192,4 12 216,6 0-56,-8-1 32,2-1 24,5 0-48,-6 0 48,-3-10-216,2 3 208,2 9-64,-1-9 56,1 0-56,-1 1-40,1-1 88,-4-3-192,2 4 168,1-2 0,-1-2 41,0 0-41,1 0-8,-1 0 16,-2 0-176,0 0 136,3 0-56,-3 0 48,2-1-80,0 0-8,-2-3 56,0 4-96,3-3 64,-3-1-16,2-5 0,-2 4-48,0-6 16,0 0 0,0 11-16,0-9-32,0-2 64,0 0 0,0-1-8,-1-1 32,0 1-48,1 12-8,0-13 40,-1-2-16,-1 2 24,1-1-32,-1-1-80,1 1 64,1 14 0,-3-14 0,2-1-24,-1 0 112,0-1-72,1 0-72,-1 1 136,2 15-80,-1-16-40,-1 2 56,1 1 16,1 0-56,0 1-16,0 0 56,0 12-16,0-11 0,0 1 0,0 1 24,3 5-64,-1-7 32,0 8-16,-2 3 24,4-10 0,0 8 8,-1-2 16,1 1-24,-1-2-32,7 1 8,-10 4 24,2-3 24,2 0-40,7 1 40,-9 1-8,2-1-40,7 1 32,-11 1-8,2 0 0,2 0 24,6 0 72,-7 3-72,0-1 0,9 2 0,-12-4-24,3 3-24,6 8 8,-6-7 40,6 7-8,-6-1-16,0 1 24,-3-11-24,4 9 56,-1 2-8,1-1 0,0 1 40,-2-1-24,-2 1 0,0-11-64,0 10 40,0 1 40,0-2-16,0 1 24,-1-1 56,-3-5-80,4-4-64,-3 13 104,-7-9 0,7 8-40,-7-9 48,5 8 24,-7-9-8,12-2-128,-5 4 96,-8 0-16,8-1-56,-9 1-16,4-1 104,1 0-112,9-3 0,-10 2 48,5 1-16,-5-3-72,5 0 0,-5 0 0,7 0 8,3 0 32,-10 0-48,6 0 8,1 0-80,-7-2-24,8 1-40,-2-1-72,4 2 256,-3-4-376,0 1-72,2-2-256,0 0-200,1-5-129,0 7-367,0 3 1400,2-11-1648,2 6-353,8-6-335,-8 8-281,10-8 33,-5 8 663,-9 3 1921,11-11-3152,-11 11 3152</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28.775"/>
    </inkml:context>
    <inkml:brush xml:id="br0">
      <inkml:brushProperty name="width" value="0.05" units="cm"/>
      <inkml:brushProperty name="height" value="0.05" units="cm"/>
    </inkml:brush>
  </inkml:definitions>
  <inkml:trace contextRef="#ctx0" brushRef="#br0">102 63 6753,'0'0'0,"-2"0"2144,0 0-1399,2 0-745,-4 0 344,1 0-64,2 0 168,-1 0 192,2 0 104,0 0-48,0 0-696,-1 0 592,-1 0-144,-1 0-103,1 0-17,1 2-16,-3-2 40,4 0-352,-4 3 456,1-1-16,-1 2-32,2-1 48,-2 1-64,2 0 8,2-4-400,-5 9 440,1-6-80,-5 0-23,6 8 7,1-7-24,-3 8-24,5-12-296,-10 9 320,8 3-64,-2-1-56,1 1 8,-1 0-48,2-1-32,2-11-128,-2 10 192,1 1-48,1 0 24,0 0 32,0 0 8,0-1-24,0-10-184,3 12 120,0-1-32,7-1-56,-8 0 16,2 0-8,5-6-24,-9-4-16,3 14 0,7-10 24,-7 6-8,8-6 24,-7 6-16,10-8 16,-10 0 64,-4-2-104,13 4 56,-9 0 24,9-2-56,-9-2-72,10 0 72,-10 0-80,-4 0 56,14-1-64,-11-3 48,10 1-72,-4-7 56,0 6-56,-5-5-16,-4 9 104,13-5-80,-9-7-72,8 7 48,-10-7-24,1 3 24,6-1 8,-9 10 96,0-11-40,0 2 16,0-2 0,-1 0 48,-2 2 16,-1-1-56,4 10 16,-10-5 32,7-7-64,-7 7 32,6-5 16,-9 6 8,3-6 40,10 10-64,-9-3 32,-3-2-24,3-5-8,-2 8 0,2-2 0,-1 0 0,10 4 0,-10-4-48,1 0 8,4 1-24,-6-1-16,7 2 80,-5-1-80,9 3 80,-2-2-112,0 1-72,-1 0-112,2 0-64,0 1-144,1-2-168,0 2 672,0-1-849,0 1-127,0 0-136,0 0-104,4 0-145,4 0-247,-8 0 1608,3 0-1784,7-1-137,-7 0-167,10 0 95,-9-3 569,8 2-1384,-12 2 2808,0 0 0</inkml:trace>
  <inkml:trace contextRef="#ctx0" brushRef="#br0" timeOffset="1">262 7 6721,'0'0'0,"-2"0"2905,2 0-2905,-4 0 1488,1 0-560,-1 0-160,2 0 120,1 2 137,-1 0-17,2-2-1008,-1 3 928,1-1-208,-1 1-152,1 6-152,0-6-39,0 9-89,0-12-288,0 3 272,0 13 0,2-4-64,1 1 32,-1 0-80,2 0-32,-4-13-128,9 15 96,-7 0-16,1 1 24,8-2-8,-7 1 8,6-1 8,-10-14-112,3 13 64,8-1 16,-9 1-32,10-1 8,-8 0-16,7-1-56,-11-11 16,4 10-40,5-7 32,-5 10-32,4-9 16,-5 7-16,6-9-128,-9-2 168,3 10-280,5-10-152,-5 3-160,0 0-144,7-1-153,-9-2-183,-1 0 1072,4 0-1224,0 0-176,5 0-169,-6 0-119,-1-1-89,2-1-31,-4 2 1808,9-4-1672,-6-1 231,0 0 273,7-4 408,-6 6-1376,-4 3 2136</inkml:trace>
  <inkml:trace contextRef="#ctx0" brushRef="#br0" timeOffset="2">700 81 5377,'0'0'0,"-1"-1"2592,0-3-599,-2 1-721,3 0-216,-1 2-112,1 1-944,-1-1 961,0 0-105,-1-1-96,0 1-152,0 0-208,-2 0-88,4 1-312,-4-1 272,1 1-56,-1 0 40,-1 0-16,0 0-40,1 0 64,4 0-264,-9 0 265,5 2-9,-5 0 32,5 1-8,-4 0-16,4 1 32,4-4-296,-10 4 264,7-1-16,-8 7 8,7-8-16,-6 2 16,7-1 8,3-3-264,-10 11 296,7-8-16,-6 6-96,6-5 56,-1 6-80,0-6-24,4-4-136,-3 12 184,0-8-56,1 10-7,1-10-25,0 9-48,1-4 0,0-9-48,0 10 24,0-6 32,3 9-32,1-10 8,-1 11-24,1-11-48,-4-3 40,10 12 40,-8-8-40,8 5-24,-7-6 24,6 0-56,-5 1 56,-4-4 0,12 2 56,-9 1-32,8-3-32,-7 0-8,7 0-40,-8 0 16,-3 0 40,12-2-56,-8-1 32,7-2-56,-9-4-56,9 5 23,-8-6-63,-3 10 176,9-3-200,-6-9 56,6 8-16,-6-8 16,6 9 32,-6-9 8,-3 12 104,3-5-144,6-6 64,-7 6 16,2-6 8,-2 8 72,1-8-16,-3 11 0,2-4 40,1 0 0,-1-6-24,-2 8-32,0-2-48,0-1 32,0 5 32,0-3 72,0-1-104,0 1 48,0-1 24,0 0-80,0 3 80,0 1-40,-1-2 24,0 1-32,-2 1 8,1 0 8,1 0 8,-2 0-16,3 0 0,-3 0-40,1 3 80,0 1-40,0 5 8,0-6 24,1 6-88,1-9 56,0 4-40,0 8 96,0-9-80,3 11 8,-1-11 40,0 9-64,-2-12 40,10 4 0,-8 8-8,2-9-8,7 7 16,-8-8 0,7 8 56,-10-10-56,4 2-16,7 2 0,-8 6 32,11-10-72,-11 3 72,11 0-40,-14-3 24,10 2-56,-6-2 112,8 0-72,-8 0 16,7 0 24,-8 0-64,-3 0 40,12-1-8,-8-2 16,6 1-16,-7 0-24,7-2 24,-8 2-16,-2 2 24,9-3-16,-7 1 40,2 1 0,-1-2-48,6 2-16,-9 0 16,0 1 24,4-1-16,-1 1 32,1 0 8,-1 0-64,1 0 32,-1 2-16,-3-2 24,2 2 0,0 2 8,-2 0-8,3-1-24,-1 7 8,1-8 8,-3-2 8,0 4-56,2 5 48,-2-5-8,2 7 0,-2-8 72,3 7-56,-3-10 0,0 3 8,2 7 24,0-6-64,0 5 24,0-6-16,1 0 8,-3-3 16,2 4-40,1-2 56,-3 1-32,2-1 40,-2 0-8,2-2-16,-2 0 0,3 0 40,-1 0-64,0 0 48,-2 0 0,2 0-24,0-1 16,-2 1-16,0-1 0,0-3-16,3 1 16,-3-1 0,2-1 24,-2-4 8,0 9-32,0-4 24,0-1-16,0-5-8,0 5-8,0-6 16,0 8-8,0 3 0,0-12 40,0 7-24,0-7-16,0 7 24,0-7-24,0 7 40,0 5-40,0-12 24,3 3-24,-1 4 32,-2-8-48,2 3 32,2-1-32,-4 11 16,2-9-24,1-2 24,1 0-32,5 2 24,-9-1-8,9 0-32,-9 10 48,2-4-16,8-8-24,-7 8-72,9-7-48,-8 8-56,8-2-80,-12 5 296,10-5-320,-1 1-32,1 1-48,0-1-72,-2 2-96,2-1-89,-10 3 657,10-1-720,-8 0-32,11 0-48,-9 0-16,6-1-32,-8 2-57,-2 0 905,4 0-952,-1 0-88,1 0-104,-1 0-65,0 0-79,1 3-88,-4-3 1376,2 2-1384,0 1 143,-2-1 265,3 0 336,-3 1 272,0-1-1248,0-2 1616</inkml:trace>
  <inkml:trace contextRef="#ctx0" brushRef="#br0" timeOffset="3">1224 91 2512,'0'0'0,"0"0"832,0 0 144,0 0-976,0 0 929,0 2-105,2 0-16,0 1-8,1 0-48,-3 1-40,2 7-71,-2-11-641,4 2 528,-2 10-64,1-8-48,0 9-56,1-4-48,0 1-80,-4-10-232,2 10 168,2-7-56,-1 10-56,0-9-40,0 8 8,1-8-16,-4-4-8,10 9-8,-10-5 0,3 5-32,0-6-48,0 0-48,7 1-120,-10-4 256,2 4-480,2-2-160,-1 0-304,7-2-353,-7 0-279,6 0-184,-9 0 1760,3-1-1657,11-2 497,-5-1-1104,-9 4 2264</inkml:trace>
  <inkml:trace contextRef="#ctx0" brushRef="#br0" timeOffset="4">1673 1 7409,'0'0'0,"-3"0"3841,-11 0-1945,6 0-935,3 0-169,-5 0-32,10 0-760,-3 2 744,-7 0 24,5 2-160,-6 0-168,7-1-128,-10 8-168,14-11-144,-9 2 65,-2 2-9,1 8-8,-1-10-32,3 10 16,3-8 8,5-4-40,-12 11-40,8-8 56,-6 7 8,7-6 0,-2 6 24,-4-7-32,9-3-16,-1 11 0,-2-9-16,1 8 8,1-8 32,1 1-24,0 1-48,0-4 48,0 10-40,4-8 0,4 2 32,-4-1 8,8 0-16,-8-1-16,-4-2 32,14 4-48,-3-2 0,1 0-1,0-2 9,3 3 16,-3-3 16,-12 0 8,13 2 0,-1 1 0,1-1-24,-2-2 8,2 2 16,-1 2 16,-12-4-16,10 2 24,0 2-16,0 0-16,-7-1 40,7 1 16,-6-1 73,-4-3-121,3 4 208,6 0 24,-9-1 128,2 7 24,1-10-8,-3 3 48,0-3-424,2 4 352,-2 0-16,0-1-8,0 1-64,-2-1-16,-2 1-24,4-4-224,-3 4 144,-6-2-32,5 2-32,-6-2-40,1 2 24,-1-1-24,10-3-40,-11 4 40,-1-1-40,1 0 0,-1-1 16,0-2-32,2 2-24,10-2 40,-11 0-120,0 0-120,2 0-80,0 0-136,-1 0-184,1 0-216,9 0 856,-4 0-1120,-7 0-409,8 0-535,-2-1-689,-5 0-663,6-1-105,4 2 3521,-9-1-5081,9 1 5081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27.757"/>
    </inkml:context>
    <inkml:brush xml:id="br0">
      <inkml:brushProperty name="width" value="0.05" units="cm"/>
      <inkml:brushProperty name="height" value="0.05" units="cm"/>
    </inkml:brush>
  </inkml:definitions>
  <inkml:trace contextRef="#ctx0" brushRef="#br0">12 76 1544,'0'0'0,"-2"0"128,2 0-128,-1-3 40,-1 3-8,-1-2-8,2-1 48,0 1 40,1 2 32,0 0-144,-1-2 192,1 2 40,0-3 40,0 1 72,0-1 48,0 1 112,0 2-504,0-2 600,0-1 73,0 1 55,0-1 0,0 1 8,0 0 8,0 2-744,0-3 752,0 1 17,0-1 7,0 3-24,0-2-8,0 0-40,0 2-704,0 0 704,0-3-7,0 3-41,0-2-16,0 2-40,0 0-32,0 0-568,0-3 528,2 3-8,-2 0-8,0 0-104,0 0 25,0 0-25,0 0-408,0 0 320,0-2 56,0 2-104,3 0-32,-3 0 8,2 0-24,-2 0-224,2 0 248,2 0-16,0 1 0,-1 0-8,1 1-48,5-2-8,-9 0-168,4 1 160,7-1-40,-8 1 24,9-1-64,-8 1-16,10-1 24,-14 0-88,10 0 88,-1 1 48,2 1-56,0-1-40,1-1 33,0 0 7,-12 0-80,11 0 56,1 1 64,0-1-24,0 0-72,0 0 88,1 0-32,-13 0-80,14 0 72,2 0 24,-2 0 16,2 0-8,-1 0 8,2 0-40,-17 0-72,17 0 16,0 0 24,-2 0 16,1 0-56,-3 1 56,0 0-32,-13-1-24,15 2-16,-1-1 104,0 1-32,1-1-40,-2 1 40,0-1-48,-13-1-8,13 1-56,0 0 104,1 0-24,-2 1 16,1-1 72,1 0-112,-14-1 0,13 1 88,2-1-88,-2 0 0,1 1 16,0-1-64,0 0 48,-14 0 0,14 2 32,1-2-16,-1 1 8,-1-1 8,2 0 32,-2 0-48,-13 0-16,14 0 56,-1 0-40,1 0 40,-1 0-24,-1 0-64,1 0 16,-13 0 16,12 0-56,0 0 56,-1-3 40,-1 3 24,2 0-56,-1 0 24,-11 0-32,12-2-16,-1 2 32,-1 0 8,0 0-8,0 0 16,-6 0-24,-4 0-8,13 0-8,-10 0 48,9 0-40,-8 0 40,7 0-8,-9 1-48,-2-1 16,11 1 40,-8-1-48,7 2 16,-6-2 8,5 0 0,-6 0 0,-3 0-16,3 1 16,7-1 8,-8 1 88,2-1-120,5 1 48,-9-1-56,0 0 16,10 1-144,-10 1 144,10-2-24,-8 0 40,2 0 64,5 0-32,-9 0-48,4 0 8,5 0-16,-6 0-40,6 0 48,-6 0 48,6-3-40,-9 3-8,3-2 32,0 2-16,7 0-16,-8-3 24,2 1-8,5 2 80,-6-2-48,-3 2-48,3-3 24,1 1 48,0-1-168,-1 1 96,1 0-56,-1 2 56,-3 0 0,4-3 24,0 3-8,-1-2 72,0 2-88,-1-3-16,0 3 48,-2 0-32,3-2 8,-1 2 64,-2-2-8,3 2-56,-3 0-64,0 0-16,0 0 72,2-3-24,-2 3 8,0 0 112,0-2-80,0 2 32,0 0-8,0 0-40,0 0-16,0 0 72,0 0-24,0-3 0,0 3-8,0 0-24,0-2 16,0 2 0,0 0 24,0 0-8,0 0-32,-1-2 24,1 2-8,-1-3-32,-1 3-24,1-2 56,0 2-16,1 0 0,-2 0-16,0 0 72,1 0-56,-1 0-16,-1-3-8,2 3-48,1 0 72,-2 0-56,-1 0-8,1 0 24,0 0-104,-1 0 16,1 0-88,2 0 216,-4 0-352,2 0-32,-2-2-144,1 2-80,-1 0-201,0 0-231,4 0 1040,-3 1-1336,-2 0-408,1 1-401,-5 0-575,6 0-721,-6 1-248,9-3 3689,-5 3-2905,-7 1-775,12-4 3680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31.985"/>
    </inkml:context>
    <inkml:brush xml:id="br0">
      <inkml:brushProperty name="width" value="0.05" units="cm"/>
      <inkml:brushProperty name="height" value="0.05" units="cm"/>
    </inkml:brush>
  </inkml:definitions>
  <inkml:trace contextRef="#ctx0" brushRef="#br0">4 320 12162,'0'0'0,"0"0"1881,-1 3-1361,0 6-376,0-5-16,1 7 152,0-11-280,0 3 416,2 8 168,1-7 48,0 9-160,0-10-64,0 10-112,-3-13-296,11 10 192,-9 0-40,7-1-32,-5 2 16,4 2 8,-4 0 57,-4-13-201,11 13 200,-9 1 40,10-2 0,-9 1-8,6-1 32,-6 0-64,-3-12-200,8 12 176,-4 0 0,6-3-64,-7-5 48,7 9-8,-8-11-24,-2-2-128,4 10 104,5-8 32,-9 1-32,3 0-40,1 0 120,-1-3-40,-3 0-144,2 2 184,0-2 24,-2 0-48,2-1 24,1 0-32,-3-3-48,0 4-104,2-9 80,-2 5-40,3-9-40,-1 2 40,-2-1-24,0-1-16,0 13 0,0-14-16,0-1 16,0 2 16,-1-3 0,0 2 72,-2-1-56,3 15-32,-1-14 24,-1 1-48,0 1-32,1 0 72,0 0-56,0 0 40,1 12 0,-1-12 8,0 0-32,1 0 24,0 0 40,-1 0-24,0 0-32,1 12 16,0-10-16,-1-2 32,1 1-16,0 0 16,0 1-8,2 6-16,-2 4 8,2-11-72,0 7-8,2-5-64,5 5 104,-7 1-32,1-1 48,-3 4 24,10-4 40,-8 3-120,8-1 104,-8 1 16,7 1-48,-7 0 16,2 0-8,-4 0 0,4 0 0,5 0 16,-6 2-16,0 2-16,7-1 32,-10-3-16,3 11 16,0-9 8,1 8 16,-1-7 24,1 11-24,-1-11-40,-1 13 40,-2-16-40,2 9-8,1 1 64,-3 0 24,0-1-40,0 2-16,-1-1-40,1-10 16,-2 10 0,0 0 40,-2-6 16,1 9 40,-2-10-15,-5 7 15,10-10-96,-1 2 56,-4 2 48,-5-1 8,8 1-48,-3 0 64,0-2-128,5-2 0,-5 2 24,2 1-8,-1-3 8,0 0 32,1 2-40,2-2-32,1 0 16,-3 0-40,2 0 24,0 0 8,0 0 32,1 0-48,0-1-32,0 1 56,0-1-72,2 0-24,0-1 32,2 1 8,6-1-40,-8-1-8,-2 3 104,12-2-113,-3 0-7,2 0 64,-3 0 0,3 1 56,0 0-64,-11 1 64,10 0-40,3 0 40,-1 0-40,0 0 40,3 0 16,-2 3-32,-13-3 16,15 4-32,-1-1 24,0 7-24,0-8-8,-2 2 56,0 6 0,-12-10-16,12 2-16,-2 2 56,0 6-16,-1-7-64,-5 0 96,5 9-40,-9-12-16,2 3-56,0 0 80,1 7-24,-1-8 48,-2 2 72,0-1 0,0-3-120,-1 4 80,-1 6 57,-2-8-33,-5 2-64,5 5 56,-8-6-64,12-3-32,-9 2-32,0 2 120,0-1-80,-1 1-32,-1-1 64,2 1-24,9-4-16,-10 3-32,1 0 72,0-1-40,-1 1-40,-2-1 56,3-2-16,9 0 0,-9 2-72,-1-2 88,1 0-80,5 0-128,-7 0 15,8-1-135,3 1 312,-9-1-464,6 0-64,0-3-176,0 1-328,0-1-224,0 0-481,3 4 1737,-1-3-2296,1-2-401,0 0-352,0 1 49,2-7 599,7 7-1055,-9 4 3456,0 0 0</inkml:trace>
  <inkml:trace contextRef="#ctx0" brushRef="#br0" timeOffset="1">471 305 7633,'0'0'0,"-1"0"4705,-2 0-2992,1 2-1249,2-2-464,0 2 144,0 1 16,2-1 152,2 1 128,4 0 32,-5 7-72,-3-10-400,3 2 336,6 8-104,-7-7-48,2 11-8,7-11-48,-10 12-48,-1-15-80,10 3 88,-8 11-56,2-4-24,-2-6 40,8 10-56,-8-10-40,-2-4 48,3 12 0,5-9-32,-5 10 32,-1-9 8,2 8-64,4-9-48,-8-3 104,0 11-192,4-8-88,6 6-144,-10-6-160,2-1-256,8 0-280,-10-2 1120,2 3-1417,2-1-295,5-2-265,-6 0-159,0 0 88,8 0 423,-11 0 1625,4 0-1024,7-2-992,-11 2 2016</inkml:trace>
  <inkml:trace contextRef="#ctx0" brushRef="#br0" timeOffset="2">907 312 8313,'0'0'0,"0"0"0,-1-1 3049,-3-1-1777,1 1-624,-1 0-112,0 0 57,3 1 31,1 0-624,-1-1 632,-2 1-104,0 0-192,-1 0-104,0 0-120,0 0-48,4 0-64,-4 2 104,-5 2 40,5-1 32,-5 1 32,6-1 40,-7 7-24,10-10-224,-4 2 224,-6 9 32,6-7 17,-6 8 31,7-9 56,-7 11-48,10-14-312,-3 3 336,0 8-48,-1-8-40,0 9 0,2-8-80,0 8-8,2-12-160,-2 4 104,2 5 24,0-5-48,0 7-24,3-9-8,0 10-48,-3-12 0,4 2 24,5 9 8,-7-9 8,7 8-40,-6-8 8,11 1-8,-14-3 0,9 3 24,0 0-32,-6-1-32,12-2 0,-5 0 16,-2 0-16,-8 0 40,11-2-16,-8-2-32,11 1-112,-6-7 24,3 6-96,-2-6 0,-9 10 232,9-4-264,0-9 24,1 9-48,-7-8 24,9 8 64,-8-8-8,-4 12 208,9-10-176,-6 5-24,1-8 40,-1 3 23,0 6 57,1-9 40,-4 13 40,3-5 0,0-7 16,-1 8-16,-2-5 0,0 5 0,0-1 32,0 5-32,-1-5 120,-2-4-31,2 6-9,0 0 0,0-1-32,-2-1 56,3 5-104,-1-3 88,-1-2 24,0 1-48,0 1 8,0-1-16,0 3 8,2 1-64,-1-1 48,0 0-8,1 1 0,0 0-56,0 0 40,0 0-24,0 2-8,0 2 32,0 5 0,2-6-40,1 7 80,0-6-72,-3-4 8,3 11-16,7-8 64,-8 11-32,2-5 8,5 1 24,-6-1-24,-3-9-24,8 10-24,-4-1 40,8-5-32,-10 9-8,12-9 48,-12 7-32,-2-11 8,10 2-88,-7 8 24,6-8-72,-5 0-64,5 2-96,-6 0-249,-3-4 545,9 2-776,-5 0-368,5 1-376,-7-3-353,8 0-407,-9 0-257,-1 0 2537,10-1-2544,-7-3 383,7 0-1151,-10 4 3312</inkml:trace>
  <inkml:trace contextRef="#ctx0" brushRef="#br0" timeOffset="3">1299 199 6681,'0'0'0,"-11"0"3449,2 0-1545,-3 3-936,8 0-240,-5 1-47,9-4-681,-4 9 696,1-6 0,-6 7-96,5-6-80,0 10-128,-5-4-56,9-10-336,-4 10 248,1-1-24,0 2 16,0 0-56,-1 1-15,2 0-49,2-12-120,-2 12 120,1 1-8,1-1 8,0 1 24,3-1-32,-1-1 48,-2-11-160,4 11 152,-1-1 24,6-6 8,-7 9-32,2-9 0,6 8-48,-10-12-104,2 2 88,8 9 8,-7-9-56,11 1 24,-6-1-24,2 0 8,-10-2-48,12 0 40,-2 0-40,3 0 24,-1-2-72,1-2 8,2-6-8,0 6-16,-15 4 64,15-12-80,1 7-16,-1-8-8,-2 2-40,0 1 8,2-2 24,-15 12 112,12-13-128,0-1 16,0 1 16,-2 0-16,0 1 40,0 0-8,-10 12 80,4-12-32,8 0 8,-9 1 24,5 0-16,-5 1 40,-1-2-8,-2 12-16,2-11 8,1-1 32,-3 2 8,0 1-8,0 4 24,0-7-40,0 12-24,-1-10 32,-2 6 8,0-7 24,-1 7 0,1-2 8,0 2-8,3 4-64,-4-4 48,1 2 0,1 0 0,1 2-8,0 0 0,0 0 8,1 0-48,0 3 40,-2 6 0,1-4 32,1 7-32,0-2 8,0 0 16,0-10-64,0 11 24,3 1 0,-1 3 16,2-1-64,5 0 24,-6 2 0,-3-16 0,8 15-24,-5 1 32,0 0 32,7-1-16,-7 1 16,6-2 0,-9-14-40,2 15 16,1-2 48,8-1-16,-9-2 0,1 0 56,0 0-24,-3-10-80,10 3 112,-8 7 16,0-8-8,1 2 8,0-1 32,0 0 24,-3-3-184,3 0 208,-1 0 72,0 0-16,0 0-24,0-1-16,1-2-56,-3 3-168,2-3 89,2-7 23,-2 6-16,1-5-16,0 4 40,1-8-72,-4 13-48,2-10 40,2-1 64,-2 0-16,1 0 32,-2-2 16,2 1-24,-3 12-112,3-11 72,1 0 40,-1-1-16,1 0-40,-1 0 56,0 0-40,-3 12-72,11-12 0,-10-1 56,10 1-56,-8-1 40,6 1-16,1-1-64,-10 13 40,8-14-40,4 2 0,-2 0 40,1-1 0,1 4 8,0 4-48,-12 5 40,11-11-80,3 8 24,-3-2-32,0 1-8,1 1-72,-4-1-160,-8 4 328,10-1-480,-7 0-129,7 1-111,-8 0-104,1 0-88,-1 2-104,-2-2 1016,2 2-1137,-2 2-135,0 0-264,-1 6-353,-2-7-391,-9 9-385,12-12 2665,-9 3-2672,-2 14 407,-2-6 745,-1 1-736,14-12 2256</inkml:trace>
  <inkml:trace contextRef="#ctx0" brushRef="#br0" timeOffset="4">1645 369 5465,'0'0'0,"-1"0"2880,1 0-2880,0 0 2137,0 4-801,0 0-264,2-1 24,8 1 49,-6-1-41,-4-3-1104,9 4 984,-5-2-184,8 1-176,-8 0-127,9 0-145,-3-1-24,-10-2-328,10 4 224,2-2-48,1 0-24,0 1-80,-1-3-8,2 2 0,-14-2-64,13 0 40,0 3-40,2-3 8,-2 0-16,2 0-48,-2 0-96,-13 0 152,14-2-360,0 1-312,0-2-321,1-1-327,-2 2-344,0-2-353,-13 4 2017,14-5-2360,-1 0-305,1 1 25,-2-6 423,0 8-967,-12 2 3184</inkml:trace>
  <inkml:trace contextRef="#ctx0" brushRef="#br0" timeOffset="5">2315 197 8905,'0'0'0,"-13"0"3937,0 0-2464,-2 2-681,4 1-224,11-3-568,-5 2 640,-6 0 8,8 2-56,-8 0-128,6 5-168,-7-6-64,12-3-232,-10 9 128,0-5 81,-1 8-1,2-9 48,-1 12 24,6-6 8,4-9-288,-13 12 304,9-2 8,-6 2 24,6-1-8,-1-1 128,-3 2-56,8-12-400,-1 12 344,-3 0-24,2-1-120,0 0 16,2 0-24,0-2-15,0-9-177,3 4 160,0 8-56,7-9 48,-9 9-24,10-8-104,-7 6 32,-4-10-56,12 2 0,-3 3-40,1-3 56,1 0-32,2 1 0,0-3 16,-13 0 0,11 0 16,3 0-32,1-1 32,-1-3-48,2-7-16,-3 8-40,-13 3 88,14-10-56,0 5-24,-2-5-24,-1 5-32,0-7-33,-1 2 33,-10 10 136,3-9-80,10-1 72,-11 1 8,2-1-16,-1 0 0,0 1 32,-3 9-16,0-10 56,0 5-8,0-7 24,-4 8-32,-1-8-24,-6 7 33,11 5-49,-5-13 56,-7 8 0,3-7 0,-1 7-56,-1-7 40,1 7-32,10 5-8,-10-12 0,-1 9 32,0-8-16,-1 9 8,3-2-24,-1 0 16,10 4-16,-2-3-72,-2 2-32,-5-1-65,7 1-71,0 0-72,-2 1-136,4 0 448,-2 0-592,1 0-184,1 0-176,0 0-80,0 2-121,2-2-159,-2 0 1312,4 4-1512,5-2-265,-5 1-239,7-1-169,0 1-39,0-1 168,-11-2 2056,11 2-1705,1-2 617,0 0-824,-12 0 1912</inkml:trace>
  <inkml:trace contextRef="#ctx0" brushRef="#br0" timeOffset="6">2510 229 4432,'0'0'0,"-1"0"2697,-1 0-280,-1 2-889,2 1-328,1-3-1200,-1 3 1144,0 1-47,1 0-89,0-1-168,0 7-176,0-8-144,0-2-520,0 4 408,0 8 0,2-9-72,-2 8-15,3-7-81,0 9-64,-3-13-176,4 4 168,4 9 0,-5-10-24,0 11 8,8-5-24,-9 1-16,-2-10-112,9 9 152,-5-5-40,6 8 80,-7-9-56,9 8 8,-2-8 8,-10-3-152,9 3 80,1 7 8,1-10-8,0 2-16,0 1-40,-1-3 40,-10 0-64,11 0 40,0 0 0,1-2 16,1-1-24,-1-1-16,-1-5-32,-11 9 16,12-5 40,0-6-24,-1 0-16,2 1-16,-3-1-48,1-1 0,-11 12 64,10-11-24,-7-1 8,10 0-24,-11 0 0,7-1-24,-9 0-104,0 13 168,2-14-64,0 1-8,-2 0 56,3 0 0,-3 1-120,0 0-112,0 12 248,-1-12-352,-2-1-24,-1 1-64,-5-2 0,5 0-105,-4 0-127,4 1-24,4 13 696,-10-13-864,8-1-200,-3 3-241,0 0-359,2 1-400,0 5-281,3 5 2345,-4-10-2376,2 7 287,0 0-1055,2 3 3144</inkml:trace>
  <inkml:trace contextRef="#ctx0" brushRef="#br0" timeOffset="7">2835 0 10482,'0'0'0,"0"0"2824,0 0-2824,0 3 945,0-3-393,0 3-8,3 1 56,-1 6 64,1-8-112,-3-2-552,3 11 368,1-8-80,7 11-152,-10-4-64,3 1 24,-1 2-32,-3-13-64,10 13 48,-10 3 32,8 0-40,-5-1-40,0 2 0,6-2-24,-9-15 24,2 15-16,2-1-16,6 2 40,-7-3-8,7 0-32,-8-1 56,-2-12-24,3 12 0,6-2 24,-6-7 24,-1 10-24,0-10 48,0 6-40,-2-9-32,0 0 40,2 3 16,-2-1-8,0-2 41,0 0 55,0 0 0,0 0-144,0 0 88,0 0-16,-1-2-24,-1-2-72,0 1 64,-1-2-8,3 5-32,-3-11 40,0 7 104,-1-5 16,1-1-32,0 5 80,-1-8 8,4 13-216,-2-9 240,0 5 72,0-10-56,1 4 32,0-1-48,1 2-32,0 9-208,0-10 248,0 1-24,2-1-40,2-2 16,0 1-40,7 1-56,-11 10-104,3-11 120,8 0-48,-1 1-16,-2 1 8,4-1-24,-1 5-16,-11 5-24,14-11-40,0 7 40,1-6-8,-2 8-48,0-3 120,0 2-72,-13 3 8,14-5-56,-2 1 72,-1 2-112,1-1 40,-2 1-48,1 0-176,-11 2 280,10-2-504,-2 0-312,-4 1-432,7 1-473,-9 0-631,1 0-769,-3 0 3121,3 0-3905,0 0 145,-3 0-801,0 0 4561</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32.535"/>
    </inkml:context>
    <inkml:brush xml:id="br0">
      <inkml:brushProperty name="width" value="0.05" units="cm"/>
      <inkml:brushProperty name="height" value="0.05" units="cm"/>
    </inkml:brush>
  </inkml:definitions>
  <inkml:trace contextRef="#ctx0" brushRef="#br0">193 7 5713,'0'0'0,"-1"0"2096,-2 0-648,1 0-279,2 0-1169,-1-1 1184,0 1 96,-1 0 17,0 0-89,0 0-208,-1 0-176,3 0-824,-3 0 632,-1 0-128,0 0-47,0 0-57,-1 3 16,-5-3-40,10 0-376,-2 2 352,-3 0-24,-4 1-8,5-3-8,-1 2-40,0 1-16,5-3-256,-10 0 208,7 3-8,-2 0 0,-4 0-32,5 1 24,-8 5 32,12-9-224,-3 3 200,-9 6-7,7-5-33,-6 7 8,7-8-32,-5 12 40,9-15-176,-3 10 192,-1 2-24,0 0 0,-6 2-48,9-1-32,-1 0 32,2-13-120,-4 14 0,3-2 128,1 1 16,0-1-80,0-1 96,4 1-136,-4-12-24,3 11 32,1-1 8,5-7-24,-6 10 0,8-9 8,-9 6-8,-2-10-16,12 2-32,-8 2 48,10-1 16,-3 1-104,-2-4 128,3 0-72,-12 0 16,12 0-24,2-1 80,0-3-72,1-6 16,0 6-16,-1-8-8,-14 12 24,16-11-64,-2 0 8,-1-1-24,1 0-16,-4 0-32,1-1 0,-11 13 128,10-11-184,-7-1 72,11 1 32,-11 1 24,1 0 96,-1-1-40,-3 11 0,3-11 0,-3 2-8,0-1-8,-2 5 16,-1-7 24,-2 9 8,5 3-32,-9-11 24,5 7 8,-8-6-64,7 6 72,-6-1 8,2-4-24,9 9-24,-10-3 88,-1 0-88,-1-1-48,2 1 40,-1-2-8,1 1 0,10 4 16,-9-3 16,4-1 0,-7 2-32,8-1-16,1 2-64,-2 0-112,5 1 208,-4-1-288,1-1-152,0 2-97,2-1-199,0 1-168,1 0-176,0 0 1080,0 0-1264,0 0-193,4 0-375,6 0-393,-6 0-567,9 0-345,-13 0 3137,10 0-2952,0 0-1249,-10 0 4201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35.174"/>
    </inkml:context>
    <inkml:brush xml:id="br0">
      <inkml:brushProperty name="width" value="0.05" units="cm"/>
      <inkml:brushProperty name="height" value="0.05" units="cm"/>
    </inkml:brush>
  </inkml:definitions>
  <inkml:trace contextRef="#ctx0" brushRef="#br0">200 381 9762,'0'0'0,"0"0"0,-3 0 3056,-1 0-1864,-1 0-575,0 0-89,2 0 72,0 0 64,3 0-664,-2 0 608,0 0-104,0 0-184,-2 0-128,0 0-48,-6 0-48,10 0-96,-3 0 96,-1 2 0,-6 0 8,6-2-8,0 4 41,-7-1 7,11-3-144,-4 4 160,-6-1 56,7 1 8,-8 6 24,6-8 56,-5 2 8,10-4-312,-4 3 320,-9 8 32,4-9-40,-1 8 0,6-7-40,-8 7-32,12-10-240,-3 2 208,-2 8-8,2-8-40,0 8-56,-1-8 8,2 2-56,2-4-56,-1 9 8,1-7 24,0 2-24,2-1-16,0 8 48,2-9-40,-4-2 0,4 4-40,4 0 64,-4 5-40,7-9 16,-2 4 16,-5-2-40,-4-2 24,13 3-16,-3 0 32,0 0-32,-1-1 16,1-2-16,-2 0-24,-8 0 40,12 0-24,-3 0 40,2-1-48,-1 0-8,0-1 16,0 1-16,-10 1 40,9-3-80,0-1 40,-5-1-32,8-4-48,-8 5 8,6-6-24,-10 10 136,3-3-224,7-2 56,-8-6 24,2 9 8,-1-8 104,0 6-40,-3 4 72,3-9-48,0 5 32,-3-5-24,0 5 40,2-6 16,-2 7-32,0 3 16,0-4 0,0-1 32,0-4 8,-1 7-16,0-2 56,-2 0-80,3 4 0,-3-4-16,1-1 40,1 0-32,-1 1 56,-1 1 16,1-1-40,2 4-24,-2-3 32,0 1-8,0 0-8,0 1 32,0-1 16,0 2-24,2 0-40,-1 0 32,1 0-24,0 0 8,0 0 8,0 0 40,0 3 8,0-3-72,0 3 112,0 0 40,0 1 16,0 6 8,1-7-32,1 9-8,-2-12-136,3 3 96,0 10-32,1-3 32,0 0-39,4 2 7,-6-2-24,-2-10-40,11 12 32,-7-1 8,7 1-40,-8 0 24,9 0-24,-9-1-16,-3-11 16,11 11-8,-8-1-24,7-7 48,-6 10 48,8-9 24,-9 8-40,-3-12-48,13 2 16,-10 7-80,9-9-64,-8 3-8,10 0-65,-11-3-151,-3 0 352,12 0-424,-9 0-72,7-1-128,-6-3-136,5-1-144,-6-3-193,-3 8 1097,3-4-1256,7-7-112,-7 8-168,0-9-201,7 7-199,-10-8-225,0 13 2161,4-10-2160,-1 1 87,0-2 433,-1 0-896,-2 11 2536</inkml:trace>
  <inkml:trace contextRef="#ctx0" brushRef="#br0" timeOffset="1">430 250 6313,'0'0'0,"-2"0"2800,0 0-855,2 0-1945,-4 3 1408,2-1-208,1 2-47,0-1-57,1 8-152,0-9-96,0-2-848,0 9 720,0-5-119,0 8-81,2-9-64,2 12-64,-1-6-48,-3-9-344,9 10 328,-9 1-112,9-1 32,-6 1-40,0 0-40,7 0 88,-10-11-256,3 12 152,6 1 104,-7-1-96,7 1 24,-6-1-8,6 0-96,-9-12-80,3 13 104,9-1-8,-9-1-23,8 1 7,-7 0-16,8-1-24,-12-11-40,8 10 56,-4-7-40,6 11-16,-7-11 16,6 7-48,-7-8 64,-2-2-32,11 4 8,-9-2-16,1 0 48,1 1-56,-1-3 56,1 0-24,-4 0-16,2 0-56,2 0-24,-2 0-16,0 0-56,-2 0-25,0-1-7,0 1 184,0-3-272,0 1 0,0-2 32,-1 1-8,-2-1 24,-1 1 104,4 3 120,-9-5-144,6 0 32,-1 0 48,0 0-16,-1-4 16,-5 5 64,10 4 0,-2-5-16,-2-4 32,-1 5 48,0-5-40,1 5-8,0-1-32,4 5 16,-3-10-24,0 7-120,2-8-32,-1 7-80,1-5-72,1 5-24,0 4 352,3-9-424,0 5-48,6-1-33,-6-4-23,8 6 16,-8 0-40,-3 3 552,14-4-624,-5-1-112,0 1-112,1 0-129,0-1-151,-1 2-112,-9 3 1240,4-4-1320,9 0-33,-9 3-23,8-1 56,-8 1 168,8-1 143,-12 2 1009,2-1-808,7 1 192,-7 0 128,2 0 144,-1 0 120,1 0 104,-4 0 120,2 0-56,0 0 48,0 0 48,2 3 72,-2-3 136,-2 2 208,0-2-456,2 2 704,-2 1 280,0-1 225,0 1 87,0-1 48,3 0-56,-3-2-1288,0 4 1217,0 0-73,0-1-128,0 7-152,0-8-152,2 2-127,-2-4-585,0 9 480,4-5-64,-2 5-56,0-5-80,0 10-8,0-4-40,-2-10-232,4 10 256,0-2-16,-1 3-56,6 0-24,-7 1-16,2-1 40,-4-11-184,9 10 144,-6 1 24,5-1-64,-5-1 8,0-5 16,7 9-32,-10-13-96,0 4 208,3 9-55,6-9 23,-6 5 40,0-6-64,1 0 32,-4-3-184,2 10 192,0-10-16,0 2-40,-2 1 8,2-3-48,1 0 8,-3 0-104,2 0 128,-2 0 8,2 0 16,-2 0 0,0 0-32,0-2-32,0 2-88,0-3 104,0-1-64,0 1 8,-1-1 8,-1-6-24,0 8 24,2 2-56,-3-5 24,1-4 0,-1 5-8,0-5-40,0 6 64,0-7 8,3 10-48,-4-3 40,2-9-16,0 7 40,0-7-96,1 2 0,1 1 64,0 9-32,-1-10-32,1 1 88,0-3-56,0 1-24,3-1-8,1-3-40,-4 15 72,11-13-32,-9 0 24,7 0 8,-6 1-56,8 0 8,-9 2 8,-2 10 40,14-5-128,-11-3 128,9 5-80,-8 0 56,7-1 88,-9 3-80,-2 1 16,9-1 104,-7 1-64,8 0 8,-8 0 56,7 3 0,-7 1-24,-2-4-80,10 10 104,-8-7 0,7 8 0,-7-7 48,8 10-24,-8-3 8,-2-11-136,3 11 104,6-1-16,-6 2-16,0 2 8,1-1 0,-2-1-56,-2-12-24,4 14 80,0 0-40,-1-1 16,1 0 64,4-2-96,-8 1-32,0-12 8,3 10 64,0 1-24,0-1 33,0-6 31,0 9-64,-1-10-24,1 8 8,-3-11-24,2 3 40,1 0 32,-1 1 40,0-2-16,-2 1 0,3-3-72,-3 0-24,2 2 16,1-2-56,-3 0 88,2-1-16,-2-2 24,0 3-56,0-3 80,0-1-64,0-1 24,0-4-72,0 5-16,0-7 56,0 11-8,-1-3-40,-2-8 80,0 7-24,-1-7-32,-1 7 48,2-8-48,3 12 16,-10-5 0,6-8-40,0 3-32,-5 1 16,5-1-8,-5 0 24,9 10 40,-3-10-88,1-1 40,-2 2-40,1-3-72,0 1 48,1 1-33,2 10 145,-1-12-176,0 2 40,-1-1-24,2 7 24,0-8 56,0 8-8,0 4 88,3-4-40,0 0-16,7 0 8,-8 1 8,8 0 40,-6-1 0,-4 4 0,13-2-32,-3 1 48,-1-1-40,2 2-16,0 0 48,0 0 32,-11 0-40,13 0 40,-1 3 80,2 0 16,1 1-72,0-1 16,-1 0 0,-14-3-80,14 11 24,-1-7 48,3 6-8,-3-6-48,0 8 64,2-9-40,-15-3-40,12 12-16,2-8 32,0 9-16,-1-9 64,0 8-32,1-9-24,-14-3-8,14 12-24,1-9-32,-2 7 96,0-8-80,-1 2 96,0 5-32,-12-9-24,13 0-40,-1 3 112,0-1-72,1 0 0,-2-2 24,-2 0 32,-9 0-56,11 0-16,0-1 56,-1 0 33,2-3-105,-1 1 104,-3-7-16,-8 10-56,11-2 0,-8-3 8,6-5-8,-5 7-40,6-7 32,-8 6 16,-2 4-8,3-12-8,0 9 32,1-9-24,-2 7-16,0-8 8,1 8-40,-3 5 48,2-13-8,-2 3 64,0 1-48,0-1 48,0 0 0,0 1-128,0 9 72,0-5 32,-1-8-72,0 8 8,-3-7 64,1 7-32,-1-7-16,4 12 16,-5-3-40,2-7 40,-2 8-40,-5-2 0,9 3 7,-3 0-7,4 1 40,-3-2 0,-1 2 16,-7 0-16,6 3-16,-6 0 16,7 7 16,4-10-16,-11 4 40,6 9-15,-8-10-50,9 13 25,-8-6 57,8 0 7,4-10-64,-8 11 120,4 1-48,-1-1 8,-4 2 0,7 1 16,1-3 16,1-11-112,-2 14 72,1-2-32,-1-2-56,2 2 72,0-1-32,3-1 24,-3-10-48,2 11 96,8-2-40,-10 1 40,9-6-56,-6 9-24,5-10 64,-8-3-80,10 10-24,-1-8 24,0 2-32,3 0-96,2-1 80,-1 0 32,-13-3 16,16 2-32,-2-2 8,1 0 40,0 0-64,0-1-56,1-2-64,-16 3 168,16-3-312,0-7-57,0 7-127,1-7-128,0 6-48,-1-8 8,-16 12 664,18-9-824,0 4 24,-3-7-81,1 2-95,-1 2 80,-1-2-32,-14 10 928,14-9-928,0-1-25,-1 5-31,1-8-40,-4 2-16,1 2 40,-11 9 1000,10-11-921,1 0 137,-3 0 88,3 0 128,-7 1 144,7-1 144,-11 11 280,2-12-168,1 0 144,-1 0 104,-2 0 168,0 2 216,0 1 216,0 9-680,-1-5 976,-3-5 161,-1 7 103,-6-1 0,8 0-128,-8 1-120,11 3-992,-5-1 865,-7-1-129,7 1-80,-8 1-56,3 0-16,1 0 16,9 0-600,-12 3 584,2 0-47,-1 1-9,1 5-40,-1-6-80,3 6 8,8-9-416,-10 4 320,1 8-56,5-8 32,-8 9-72,8-4 0,-6 1 40,10-10-264,-3 4 176,-1 10-56,1-10 0,0 9-24,2-10-96,1 11 80,0-14-80,0 9 40,0 1 8,2-6 48,2 10-55,0-11-25,5 11-32,-9-14 16,4 3-25,8 9-39,-8-8 48,7 5 16,-8-6 24,8 6 32,-11-9-56,11 3 17,-1 0-34,-1-1-7,2 0 24,0 1-40,0-3-32,-11 0 72,10 0-40,-1 0-16,-5 0-24,7 0 32,-8-3-104,11 1 16,-14 2 136,2-4-104,11-1-40,-9-4 80,6 5-8,-8-1-56,2-6 112,-4 11 16,9-3 0,-9-8-8,3 7 72,-2-6-80,2 6 16,-3-8-64,0 12 64,2-3-16,-2-8 16,0 6-24,0-5 64,-1 5 0,-3-5 0,4 10-40,-2-5 24,-2-7-88,0 8 40,1-8-16,-2 7 24,1-5 80,4 10-64,-2-5 24,-8-7 48,9 8-32,-3-8-40,1 9-16,-1-7-8,4 10 24,-2-4 0,-1 0-32,1 0 48,1 0-32,-1 3 16,1 0 16,1 1-16,0 0 0,0 0 56,0 0-72,0 2 72,0 2 72,0 6-8,0-10-120,0 3 144,3 7 16,-1-7-88,2 11 8,-2-5-80,8 2 0,-10-11 0,3 11 0,7 1 24,-9 0 56,11-1-40,-8 1 56,7-1-80,-11-11-16,10 12 16,-7-2-32,9 1-40,-8 0 96,8-8-64,-2 12-48,-10-15 72,3 3-40,12 11-80,-6-11 112,0 7 8,1-8-32,0 7 8,-10-9 24,10 0-40,1 3 48,-1 1-8,-7-2-8,11-2 16,-5 0-72,-9 0 64,10 0-104,-1-1 32,1 0-56,-6-3 96,9-4-40,-3 4-24,-10 4 96,8-9-136,2-1-88,0 5 72,-1-9-48,-5 3 8,7 0-16,-11 11 208,4-12-240,8-1 48,-9 0 32,1 1 0,-2-1 56,2-1 32,-4 14 72,2-15-40,1-1 40,-3 1 48,0-2-24,0 1 8,0-1-8,0 17-24,0-18-16,-1 0 56,-1-2-56,0 0 32,1 0 24,0 0-32,1 20-8,-2-19-8,0 0 32,2-1 16,-3 4-16,1 1 64,0 1-40,2 14-48,-2-11 80,1 6-16,0-6 40,0 10 32,0 0 48,-2 0 72,3 1-256,-2 0 192,1 0 88,-1 2-56,1 8 16,0-7 48,1 9-72,0-12-216,-1 10 256,-1-1-79,2 2-41,0 3 24,3 1-48,-2 1-48,-1-16-64,4 17 96,-1-1-40,7 2-80,-8 0 80,1 3-48,7-2-8,-10-19 0,2 18 72,8-1-104,-9 0 88,10-2-40,-9 0-16,2-1-40,-4-14 40,9 13-80,-6 0 32,6-2 8,-6 0 40,5-1-80,-5-1-56,-3-9 136,3 4-288,7 7-185,-8-9-135,1 2-296,-1-1-304,1 0-465,-3-3 1673,2 0-2432,-2 0-889,3 0-792,-3 0 33,0-1-209,0 1 4289</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46.510"/>
    </inkml:context>
    <inkml:brush xml:id="br0">
      <inkml:brushProperty name="width" value="0.05" units="cm"/>
      <inkml:brushProperty name="height" value="0.05" units="cm"/>
    </inkml:brush>
  </inkml:definitions>
  <inkml:trace contextRef="#ctx0" brushRef="#br0">20 67 2088,'0'0'0,"-1"0"192,0 0 64,0 0 80,0 0 56,0 0 16,-1 0 32,1 0 40,1 0-480,-1 0 497,0 0-1,-1-1 32,1 0 0,0 0 0,0 0 88,-1-1 8,2 1-40,-1-1 1,0-1-73,1 2-88,0 0-24,0 1-400,0-2 376,0 0-24,0 0 80,0 0 56,2-1-24,-2 2 48,0 1-512,2-2 464,-2 0-95,2 1 15,-1 0-8,2 1-64,-2 0 16,1 0 16,-2 0-64,2 0 24,0 4 24,0-1-64,0 8 16,1-7-8,-1 9-40,1-1 80,-1 0-48,1 0-31,-1 1 7,-2-13-240,3 13 184,0 1-32,-1 1-8,1-2 32,-1 0-48,1 0-16,0 1 0,0 0-80,-1-2 24,1 1-8,-1-1-8,6-1-8,-8 0 8,3-1-24,0 0-8,0 0 24,-1-7-24,1 8 40,5-9-8,-8 2 16,2 0 16,-2-1-24,1 1 32,2-2-32,-3 1-16,1-3 16,2 2-8,-3-2 32,0 0 56,0 0-24,0 0 0,0 0 16,0-1-56,0 0-24,-2-2 8,1 1-8,0-2-24,-2 1 48,2-1-40,-2 0-24,0-5 24,0 5-32,1-1 8,-6-5 8,6 6 32,-1-7 16,0 8-16,0-8-40,0 6 128,1-7 16,-1 7 696,1 0-840,0-7-2328,-1 8 496,0-8 71,-1-1-471,2 8 2704,-1-8-448,3 2-8,-1 1-24,0 1 0,1-2-40,0 1 8,0-1-16,2 1 24,2 0-32,4-1-24,-7 2 32,8-2 16,-7 1-8,8 6 24,-7-8 24,9 7-16,-4-5 16,1 7-48,0-2 32,1 0-8,-1 1 32,1 1 8,-10 3-16,10-3 16,0 1 8,0 0-48,0-1 48,-1 1-16,0 1-24,-9 1 16,11-2 16,-2 1-48,1 1 16,-1 0 16,0 3-48,-1 0 80,-8-3-32,2 11 16,8-9-8,-7 9 24,-1-1-64,2-1 24,-1 2 16,-3-11-8,2 12 0,1 1 8,-1-1 24,-2 0-32,2-1-16,-2 1 32,0-12-16,0 11-16,0 0 24,-2-2 24,-1-5 0,0 9 24,-5-9-24,8-4-32,-2 10 72,-6-7 0,4 6 0,-6-6 8,0 0-24,1 1-40,9-4-16,-11 3 48,1 0-8,0-1-16,0-2-16,1 0 16,-2 0-32,11 0 8,-11 0 0,1 0 0,0 0-16,1-1 16,-1-1 16,3-2-8,7 4-8,-8-3-40,4-1-16,-5-1 8,6 0-72,-4 2-24,3-1-80,4 4 224,-2-5-376,-1 2-137,0-2-135,1 1-120,1 1-152,0-2-120,1 5 1040,0-4-1248,0 1-217,3-1-207,6 1-89,-6 0-7,6 1-744,-9 2 2512</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48.895"/>
    </inkml:context>
    <inkml:brush xml:id="br0">
      <inkml:brushProperty name="width" value="0.05" units="cm"/>
      <inkml:brushProperty name="height" value="0.05" units="cm"/>
    </inkml:brush>
  </inkml:definitions>
  <inkml:trace contextRef="#ctx0" brushRef="#br0">260 3 792,'0'0'0,"0"0"64,0 0-16,0 0-48,0 0 72,3-1 48,-3 1 56,2 0 64,-2 0 88,0 0 64,0 0-392,2 0 432,-2-2 24,0 2-40,0 0-8,0 0-16,0 0-23,0 0-369,0 0 368,0 0-64,0 0-8,0 0-32,0 0-8,0 0 8,0 0-2016,0 0 3736,0 3-1736,0-3-8,0 0 32,0 0 0,0 0 32,0 0-304,0 0 352,0 0 24,3 0 40,-3 0 17,0 0 15,0 0-24,0 0-424,0 0 424,0 0-24,0 0-8,0 0 8,0 0-40,0 0 8,0 0-2712,0 0 5056,0 0-2360,0 0 48,0 0-31,0 0-33,0 0-24,0 0-4793,0 0 9242,0 0-4497,0 0 48,0 0-32,0 0 0,0 0 16,0 0-6489,0 0 12658,0 0-6153,-1 0-88,-1 0-56,-1 0-16,-1 0-56,4 0-96,-2 0 176,-2-1 16,1 1-24,-1-2 56,-1 2-55,-4 0 55,9 0-224,-3 0 264,-1 0-112,-6 0 48,6 0-40,-6 0-64,6 3 80,4-3-176,-12 0 72,7 2 16,-7 1 56,7-1-16,-7 2 48,8 5-48,4-9-128,-12 3 152,7 6-72,-8-6 16,8 8 0,-7-7-88,8 8 56,4-12-64,-12 4 32,8 10-32,-8-10 32,8 10 8,-7-10 0,8 9 0,3-13-40,-5 3 40,-5 11-40,8-11 8,-2 12 32,1-6-8,-1 1-32,4-10 0,-4 9 0,1-5 8,-1 9-16,1-9 32,0 6 0,1-6-40,2-4 16,-1 11 32,-1-8-48,2 8 16,-1-7 0,1 5 0,0-6-16,0-3 16,0 3-24,0 7 48,0-10-56,4 4 32,-1-1 24,1 1-40,-4-4 16,10 2 16,-8-2-8,2 3 8,9-3-16,-10 0 0,12 0 0,-15 0 0,9 0 0,2-2 24,2 0-48,1-2-16,-1-5 32,1 5-32,-14 4 40,12-3-32,1-8 48,-1 7-40,0-7-16,1 7 40,1-6-56,-14 10 56,12-4-48,-2-6 64,1 6-56,-7-7 40,9 8 8,-9-7-16,-4 10 8,3-5-24,7-4-8,-10 5-8,2-1 40,-2-4-8,0 6-16,0 3 24,0-4 8,0-1 8,-1 1 32,-3-1-16,1 2 0,-2-1-16,5 4-16,-5-3 0,-6-1 40,8 0 0,-8 1 0,7 0-32,-8 0-8,12 3 0,-4-3 0,-8 1 16,7-2 8,-7 2 0,8 0 16,-8-1-24,12 3-16,-3-1 8,-2-1 8,-5 0-56,7 1 32,-2 0-8,0 0 0,5 1 16,-5 0-72,0-1 56,2 1 16,-1 0 0,1 0 48,1 0-112,2 0 64,-1-2-64,0 2-80,1-1-8,0 1-64,0 0-168,2 0-72,-2 0 456,3-1-744,6 0-113,-6 0-199,6-1-216,-5 0-56,8-2-137,-12 4 1465,4-4-1440,11-6 8,-3 8-49,0-2-15,0-1-128,0-4-49,-12 9 1673,12-3-1432,-1 0 448,1-7-760,-12 10 1744</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50.679"/>
    </inkml:context>
    <inkml:brush xml:id="br0">
      <inkml:brushProperty name="width" value="0.05" units="cm"/>
      <inkml:brushProperty name="height" value="0.05" units="cm"/>
    </inkml:brush>
  </inkml:definitions>
  <inkml:trace contextRef="#ctx0" brushRef="#br0">34 4 3888,'0'0'0,"0"0"0,-1 0 2145,0-1-385,0-1-728,-2 1-311,2 1-33,-1 0 24,2 0-712,-2 0 792,1 3 40,-1-1-32,-1 0-55,1 2-89,-2 0-88,4-4-568,-2 10 472,0-6-48,0 8-24,0-1-24,0 1-16,1 2 0,1-14-360,0 14 336,0 2-40,0 0-8,0-1-31,3 1 39,0 1-8,0 0 64,-3-17-352,3 18 320,7-1-16,-9-1-32,3 1-72,5-2-48,-9 1-8,0-16-144,3 15 104,1 1-56,4-2 48,-5-1-88,-1 2 24,2-2-8,-4-13-24,3 13-24,0 0 24,-1 1 8,2-4-8,-2 0 0,1-6-8,-3-4 8,0 12-32,2-9-40,0 1-64,-2-1-128,0 1-200,2-2-200,-2-2 664,0 3-824,2-3-121,1 0-71,-1 0-64,1 0-112,-2 0-89,-1 0 1281,2-1-1384,2-3-128,0 0-113,-1 0-47,6-6-16,-7 6 111,-2 4 1577,10-12-1328,-6 3 368,6-2 392,0-1-664,-10 12 1232</inkml:trace>
  <inkml:trace contextRef="#ctx0" brushRef="#br0" timeOffset="1">330 219 2192,'0'0'0,"0"0"0,0 0 1224,3-1 169,1-2-177,-1 0-232,-1 2-32,0 0 48,-2 1-1000,0-1 1049,3 1 95,-3 0 24,0 0-88,0 0-103,0 0-153,0 0-824,0 0 664,-2 0-80,0 0-80,-1 0-96,0 2-24,-1-2-16,4 0-368,-3 2 312,-1 1 49,0-1-33,-1-2-48,1 3 32,-6-1-64,10-2-248,-3 2 200,0 1 16,-7-1-32,8 1 0,-2-1 32,-6 0 0,10-2-216,-3 3 152,-1 0 56,-6 0-8,8 0-48,-9 1 72,8 0-64,3-4-160,-12 3 120,9 8 0,-9-7-8,8 5 8,-8-5 16,9 8-32,3-12-104,-11 3 48,8 11 16,-7-5 0,8 1-8,-1-7 24,1 10-48,2-13-32,-2 4 40,1 10-32,0-4 8,1 0-16,0 0 25,2 0-25,-2-10 0,9 10-65,-7-7 65,8 9 0,-7-9 24,9 6 57,-3-9-89,-9 0 8,10 4-16,0-2-8,2 1-17,-1-3 49,0 0-16,1 0 16,-12 0-8,12-2-8,-1-1-48,1-1 56,0-5-40,1 4 8,-1-7-16,-12 12 48,13-5-96,-3-9 16,1 9-32,-3-10 48,2 6 0,0-1-8,-10 10 72,3-5-24,10-7-16,-10 8 16,7-7-8,-8 7 32,1-5-24,-3 9 24,3-4 16,-1-1 24,0 1-56,-2-1 72,0 1-16,0 1-40,0 3 0,0-4 48,-1 0-16,0 3-64,-2 0 104,-1 0-32,1 0-40,3 1 0,-4-2 88,2 1-72,-1 1 40,0 0 0,-1 0-8,1 0-48,3 0 0,-3 3 16,-1 0 0,1 1-48,0 7 64,2-8-24,0 8-8,1-11 0,-1 4 16,1 8 8,0-9-24,0 9 0,2-8 32,2 10-48,-4-14 16,3 4-16,6 10 16,-5-10-8,6 10-8,-6-4 16,7-7 0,-11-3 0,10 12 0,-8-9-24,12 6 24,-4-9-16,0 4 40,0-2-88,-10-2 64,11 3 0,-3-1 16,1-2-32,2 0 72,-1 0-48,-2-1 32,-8 1-40,10-3 32,-2 0-48,-4-2 40,7 0-48,-8-4 24,7 5 40,-10 4-40,4-11 16,6 8-16,-8-8 40,2 7-24,4-1 8,-5-4 16,-3 9-40,2-4-56,2 1 32,-2-2-8,-1 1 24,-1 1 88,0 1-80,0 2 0,0-2 24,0 1-32,0 0 32,0-1 89,0 1-33,0 1 24,0 0-104,-1 0 56,-1 0-72,-1 3-8,1-1 8,-2 2-24,3-1 24,1-3 16,-1 10 0,1-8 16,0 2 0,0 8-16,0-9 0,0 11-56,0-14 56,2 3-24,2 12-56,-2-12 24,2 9 24,-2-8-33,2 5 105,-4-9-40,10 3 0,-10 0 0,2 1 65,2 0-65,-1-1 16,1 0-16,-4-3 0,9 2-24,-9-2 48,2 0-8,2 0 24,-3 0-16,-1 0 8,0 0-32,2-2 0,-2-1-16,3 0 56,-3-2-56,0-5 56,2 7 8,-2 3-48,0-5 0,0-6 24,3 6-8,-3-7-8,2 7 8,-2-7-16,0 12 0,2-4 40,-2-8-56,2 7 16,0-7 0,1 8-24,-1-8 24,-2 12 0,2-3 0,7-9 16,-7 8-8,2-8-56,6 9 32,-8-9-40,-2 12 56,4-4-56,7-6 16,-9 7-96,8-7-25,-8 8-55,7-2-48,-9 4 264,2-3-336,8-1-56,-8 0-80,8 1-80,-8 0-112,7 2-64,-9 1 728,2-1-816,8 0-25,-7 1 17,0 0 0,7 0 56,-8 0 32,-2 0 736,4 0-632,-1 0 55,6 0 121,-9 2 96,3-2 128,-1 3 104,-2-3 128,2 0-80,-2 2 72,3-2-24,-3 0 16,2 2 24,-2-2 40,0 0-48,0 3 96,0-3 96,0 0 48,0 2 40,0-2 48,0 0 32,0 0-360,0 0 409,0 0 23,0 0 8,0 0 0,-1 0-24,0 3 16,1-3-432,-1 0 384,-1 0 0,1 2-72,1-2-32,0 0-32,0 2-16,0-2-232,0 3 240,0-1-64,0 1 41,0-1 7,3 0-16,-3 2 40,0-4-248,2 11 208,0-9 8,1 8-48,-1-7-24,8 9-48,-8-8-32,-2-4-64,3 14 80,7-10-56,-7 10 24,6-3-24,-6 0-24,8 1 0,-11-12 0,4 12 56,8-1-56,-8-1 8,6 1-8,-8-7-72,7 10 56,-9-14 16,2 4-48,8 7 32,-8-9-8,7 8-64,-7-10-104,2 3-152,-4-3 344,3 4-608,1-2-169,4-2-191,-5 0-192,0 0-128,6 0-185,-9 0 1473,2-1-1592,8-3-224,-6 1-225,6-7-111,-7 7 47,11-8 449,-14 11 1656,8-5-2192,-8 5 2192</inkml:trace>
  <inkml:trace contextRef="#ctx0" brushRef="#br0" timeOffset="2">1285 170 1280,'0'0'0,"0"0"0,0-9 2488,0-2-375,0-2-329,0 3-400,2 7-151,-2-7-41,0 10-1192,0-4 1248,2 1-56,-2-1-71,0 2-65,0 1-80,0-1-88,0 2-888,-1-1 833,-1 1-137,0 0-200,-1 0-40,-1 0-120,0 0-40,4 0-296,-9 4 312,7-1-136,-2 7 8,-1-8-64,1 8 24,-5-8-80,9-2-64,-3 11 56,1-7 8,-2 8-24,1-9 8,0 11 32,2-5-48,1-9-32,-1 10 8,1-7 32,0 12-48,0-12 32,0 9-8,2-8-16,2 7 8,-4-11-8,10 2-8,-7 2-8,9-1 40,-2 1-32,-1-1-24,0 0 32,-9-3 0,11 2-24,0 1 0,0-1 24,0-2 8,2 2-8,-2-2 40,-11 0-40,12 3 72,-1-3-48,0 2 24,1 1-56,-1 0-32,-1 1 40,-10-4 0,10 11 8,1-9 24,-3 2 8,-4 6-32,6-6-16,-8 6 32,-2-10-24,9 2 0,-9 9 56,2-9 64,0 8 8,-2-7 24,0 8 48,0-11-200,-1 4 209,-2 5 15,0-5-32,-7 5 0,6-6-24,-7 8-16,11-11-152,-4 2 176,-9 8-48,4-8-16,-1 0-56,0 2 56,-1-2-88,11-2-24,-11 4-24,0-2 24,0 1-72,-3-3 32,3 2 64,0-2 24,11 0-48,-8 0 40,-3 0 0,2 0-8,0 0-120,-1-1 32,6 0-128,4 1 184,-12-1-288,10-2-72,-8 2-200,8-3-193,-2 2-143,-1-2-232,5 4 1128,-5-3-1424,-3 0-273,7 0-367,-2-1-457,0 1-391,1 1-401,2 2 3313,-1-2-3057,1 1-455,0 1 3512</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52.300"/>
    </inkml:context>
    <inkml:brush xml:id="br0">
      <inkml:brushProperty name="width" value="0.05" units="cm"/>
      <inkml:brushProperty name="height" value="0.05" units="cm"/>
    </inkml:brush>
  </inkml:definitions>
  <inkml:trace contextRef="#ctx0" brushRef="#br0">0 148 2776,'0'0'0,"0"0"1440,0 0-143,0 0-433,0 0-864,0 0 552,0 0-104,2 0 48,1 0 96,-1 3 80,1-1 1,-3-2-673,2 2 640,2 2-120,-2 0-80,2-1-88,-1 8-128,1-9-72,-4-2-152,3 11 128,1-7-56,6 8 8,-8-1 16,8-1-24,-8 0-8,-2-10-64,4 9 48,6 1 16,-7-6-8,6 11 8,-6-5-16,0-7-8,-3-3-40,11 14 64,-9-12 32,2 8 56,0-8 8,-1 2-40,1 5 16,-4-9-136,3 3 120,1 0 40,0 0-15,-2 0 55,0 0 8,1-1-8,-3-2-200,2 0 192,1 2-8,-3-2-8,2 0-16,-2 0 72,0 0-32,0 0-200,0 0 224,0-1 24,0 0-40,0-1 16,0-2-80,0 0 0,0 4-144,0-9 144,0 5-16,0-1 0,-1-5-24,0 5 0,-2-8-24,3 13-80,-3-11 112,0-1-24,0 1 8,-1-1-24,0 0-24,1 0-24,3 12-24,-3-11 16,1-1 40,0 0 8,0 2-16,0-2 24,0-2-40,2 14-32,-3-12-8,2 0 64,0 0-40,0 0-16,1 0 0,0 0-16,0 12 16,0-9 24,0-2 0,0 2 0,2 4-8,0-7-56,1 8 40,-3 4 0,3-9 16,1 6-32,7 0 16,-9-1 24,8 0-32,-8 3 64,-2 1-56,10-1 48,-7 0 25,9 1 39,-8 0-64,10 0 40,-10 0-40,-4 0-48,14 2-16,-3 1 88,-1 0-48,-1 7-8,-5-8 8,10 8-64,-14-10 40,11 3 24,-1 7 8,-7-6 0,10 5 16,-10-5-32,6 6 16,-9-10-32,3 4 80,0 8 16,1-8-56,0 8-40,-2-10 24,-2 9-40,0-11 16,0 2 104,0 8 32,-1-8-16,-2 2-8,0-1 24,-1 1-48,4-4-88,-9 4 64,6 5 88,-2-9-88,-4 3 48,5 0-16,-5 0-72,9-3-24,-4 0 88,-1 2-72,0-2 16,1 0 8,-1 0 0,1 0-24,4 0-16,-3 0 8,-1 0 16,2 0-48,1 0 48,-1 0 16,1-1-64,1 1 24,-1-1-40,1-1 0,0 1 16,2-1 0,2 1 88,0-2-64,-4 3 0,9-1-40,-6 0 16,7 0-40,-6 1 0,9-2 16,-9 2 32,-4 0 16,13 0-48,-4 0 48,-5 0 24,13 3-40,-5 0 32,0 1-56,-12-4 40,13 10-40,-1-8 56,0 2-40,0 5-16,0-6 16,-1 6-16,-11-9 40,12 4-16,-2 7 8,1-8-8,-7 9-8,8-10 48,-9 9-32,-3-11 8,4 4 48,6 7-88,-10-8 32,2 8 32,0-7-40,-2 8 72,0-12-56,0 3 8,0 8 32,-1-9 0,-4 8-16,-7-8 24,9 8 8,3-10-56,-13 2 32,3 8 48,-2-8-16,0 8-16,0-8-32,-1 2 24,13-4-40,-13 10 24,0-8 40,-1 0-16,1 2-32,-1-2 0,1 1 8,13-3-24,-14 2 40,2-2-16,0 0 0,0 0-8,-1 0 32,1 0-48,12 0 0,-10-1-8,0 0-24,5-3-40,-7 1-24,9-2-56,-2 0-104,5 5 256,-5-4-328,0 0-128,2-1-136,1 1-161,0-1-215,1 1-200,1 4 1168,0-5-1352,0-5-225,0 8-175,2-2-224,8-1-257,-8-4-135,-2 9 2368,10-5-2121,-7-7-767,-3 12 2888</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54.847"/>
    </inkml:context>
    <inkml:brush xml:id="br0">
      <inkml:brushProperty name="width" value="0.05" units="cm"/>
      <inkml:brushProperty name="height" value="0.05" units="cm"/>
    </inkml:brush>
  </inkml:definitions>
  <inkml:trace contextRef="#ctx0" brushRef="#br0">7 133 6417,'0'0'0,"-1"0"3969,0 0-1801,0 0-1528,1 0-640,-3 0 232,2 0 16,1 0 217,0 0 279,0 0 152,0 2 24,0-2-920,0 3 816,2-1-184,1 2-136,-1 6-143,1-6-97,-1 9-64,-2-13-192,1 11 112,2 1 0,0 1-48,1 2 24,0-2-24,5 2-40,-9-15-24,2 15 56,7 0-56,-6 0 16,6 0 0,-6 0-16,6-2 0,-5 0-16,-4-13 16,11 13-24,-3 0-80,-4-1-80,9-1-120,-10-1-248,10-7-241,-13-3 793,9 11-1088,0-9-256,1 2-152,-2-2-81,3 1-71,-1-3 95,-10 0 1553,9 0-1512,1 0 80,0-3 128,1 0 103,-2-1 137,1-1 192,-10 5 872,11-9-616,-1 5 240,0-7-552,-10 11 928</inkml:trace>
  <inkml:trace contextRef="#ctx0" brushRef="#br0" timeOffset="1">373 309 832,'0'0'0,"0"-4"424,4 0 208,0-7 328,-4 11-960,2-4 1168,-2-1 97,0-4-33,0 6-72,0-1-64,0-1-31,0 5-1065,0-4 1080,0 1-32,-1 0-8,0 1-88,-2-1-55,0 1-89,3 2-808,-4-2 712,0 0-56,1 1-128,-1 0-56,-1 0-40,0 1-55,5 0-377,-4 0 352,-1 0-32,1 0-8,-6 3-56,7 0 24,-7-1-48,10-2-232,-2 4 184,-8-1 40,6 7-88,-5-8 16,4 8 8,-7-6-32,12-4-128,-4 9 144,-4-5 24,4 7-32,-1-8-48,0 8 16,2-7-40,3-4-64,-4 10 16,2-6 40,0 8-56,1-8 0,0 8 24,1-9-40,0-3 16,0 12-8,0-10 16,4 2-8,-2 6-8,2-8 32,-1 0-8,-3-2-16,10 3-40,-8-1 48,7 1-56,-5-3-48,6 0 56,-6 0-40,-4 0 80,12 0-88,-8 0-8,9-3 8,-9 0-72,11-2 32,-6-5-40,-9 10 168,11-3-208,-2-8 72,1 6-8,1-7 16,-3 7 64,2-5-8,-10 10 72,10-5-104,-7-6 56,7 7-40,-8-6 48,2 6 48,6-7-32,-10 11 24,2-3-8,2-7-8,-1 6 8,1 0 32,-2-6-24,1 6 0,-3 4 0,0-3-16,2-1 32,-2-1-8,0 2 32,3-1 0,-3 1-56,0 3 16,0-3 0,0 2 16,0 0 8,0 1 0,0 0 16,0 0-40,0 0-24,0 2 8,0 1 16,-2 0 24,2 7 16,0-8-24,0-2-16,0 10 24,0-7-16,0 11-40,3-11 56,-2 12-24,2-12-16,-3-3 16,2 13 16,0-9-32,2 7-8,7-8 40,-9 9-48,9-8-24,-11-4 56,4 11-120,8-9-120,-8 2-120,9 5-128,-5-6-137,2 0-151,-10-3 776,9 4-872,1-2-168,2-2-216,0 0-217,0 0-143,1-2-192,-13 2 1808,13-5-1993,-1-4-63,2 5 31,0-7 433,0 6-448,-14 5 2040</inkml:trace>
  <inkml:trace contextRef="#ctx0" brushRef="#br0" timeOffset="2">866 150 2080,'0'0'0,"-2"-2"1424,2 2-1424,-4-2 1585,0-2-129,1 1-192,-2 2-136,-4-1-95,6 2-89,3 0-944,-5 0 888,-4 0-96,5 0-104,1 0-88,-7 4-47,6 0-65,4-4-488,-10 3 448,7 8-64,-2-9-56,-5 9-24,7-7-56,-1 8-56,4-12-192,-4 9 264,-1 1-32,1 1 0,0 1 8,0 1-88,2 0-32,2-13-120,-1 14 104,0 1 8,1-2-80,0 1 32,0 0-32,0-2 32,0-12-64,3 13 56,1 0-16,7-1 16,-9-1-32,7-1 24,-6 0-7,-3-10-41,11 4 32,-2 5 32,-6-6-40,12-1 0,-7 2-24,2-2 8,-10-2-8,9 2 16,1-2-8,1 0 32,-1-1-48,3-1-48,-1-2 56,-12 4 0,13-9-56,-1 5 16,3-7-8,-3 2-57,0-1-7,0-1-64,-12 11 176,12-10-160,-1 0-8,0-1 16,-2 0 24,-6 2 32,9-1 24,-12 10 72,4-11-56,6 7 48,-8-11-8,0 4 40,2 1 8,-1-1-8,-3 11-24,4-10 40,-2-1 8,1 2-16,-3-1 16,2 6 24,-2-8-16,0 12-56,0-5 80,0-7 16,0 7-32,0-6-8,0 8-8,0-2-8,0 5-40,0-4 56,-1 1 8,0 0 80,-2 2 8,2 1-7,0 0 55,1 0-200,-1 0 120,0 4 0,-2 5-8,2-5-40,0 8 32,-2-3-8,3-9-96,-1 11 96,0 1 56,0 3-88,1-1 0,0 0 8,0 1-56,0-15-16,2 14 72,1 2-56,0-2-16,1-1 24,5 0-40,-7 1 32,-2-14-16,3 12 0,7 0-16,-8-2 16,8 1 0,-7-1 40,9-7-40,-12-3 0,2 10 64,2-8-16,5 1-24,-9-3 32,10 2-32,-8-2 64,-2 0-88,4 0 112,-1 0-24,6 0 16,-7-2-16,2-2 16,0-1-16,-4 5-88,8-9 56,-8 5 16,4-9-8,-1 3-8,1 0 32,6-2-24,-10 12-64,0-11 16,2 0 48,1 1-24,-1 0-64,0-1 56,1 0-16,-3 11-16,2-11-16,2 0 72,-2-1-96,1 2 40,0-2 40,-1 1-64,-2 11 24,3-11 72,1 0-56,5 2-40,-6-1 48,0-1-48,8 7 0,-11 4 24,3-14-40,10 10-40,-11-7 16,12 7 72,-5-1-40,-6 1-48,-3 4 80,13-5-104,-3 0-152,-2 1-80,2 1-16,-7-1-152,8 2-136,-11 2 640,4-1-721,6-2-191,-7 2-144,0 1-8,8 0-56,-11 0-33,0 0 1153,3 0-1152,1 0 80,-4 0 120,2 0 151,-2 2 177,0 1 112,0-3 512,-1 3-408,-3 1-24,-5 0-88,5 6-104,-4-7-96,4 8-81,4-11 801,-12 3-848,8 9 56,-9-8 48,3 9 136,1-9 128,-1 10 144,10-14 336,-9 10-208,0-7 104,5 10 56,-8-9 48,3 10 0,4-10 8,5-4-8,-12 14 16,7-10 8,-6 8 32,6-9 40,-3 9 80,4-8 104,4-4-280,-10 12 416,7-8 152,0 6 120,0-7 104,-1 6 72,2-6 25,2-3-889,-2 9 880,1-6 0,1 0-56,0 8 16,0-8-31,0 0-49,0-3-760,4 4 768,-1-1-120,6 1-24,-7-2-56,9 1-32,-7 0-16,-4-3-520,11 3 481,-2-1-41,0 0-96,3-2-8,0 0-104,0 0-24,-12 0-208,12 0 184,1 0-56,2-1-104,-2-1 72,2-2 0,-1 1-80,-14 3-16,14-4 112,-1 1-120,1-1-88,1-1 56,-1 0-120,2 1-88,-16 4 248,16-5-296,-3-5-144,1 7-136,-1-1-56,-1-6-89,0 8-31,-12 2 752,11-5-720,1-4-8,0 5-48,-1-1-32,-1-4 15,1 5-71,-1-1 48,-10 5 816,10-9-776,-1 5-16,3-6 48,-1 7 15,1-7 49,0 7 88,-12 3 592,11-11-472,0 7 96,-2-5 144,0 5 88,-5-5 56,9 5 80,-13 4 8,4-10 8,8 7 56,-10-2 88,8 0 128,-10 0 216,4 2 208,-4 3-704,2-4 912,0 1 161,1 0 63,-3 2 24,0-1-24,0 0-31,0 2-1105,-1-1 1000,-2 0-80,0 0-80,-1 1-104,-1 0 0,-3 0-63,8 0-673,-4 0 616,-1 0-48,-6 0-40,9 0-48,-9 2 0,8 1-64,3-3-416,-11 2 344,6 0-8,-7 2-47,1 6 7,1-8-56,1 2 32,9-4-272,-9 10 184,4-6 8,-6 6-8,8-7-32,-8 8 88,8-7-8,3-4-232,-3 15 216,-1-5-24,3-1-40,0 2 32,0-1-96,1-1 32,0-9-120,0 11 112,0-1-32,0-1 56,3-5-24,1 8 24,7-9-56,-11-3-80,2 11 64,8-7 16,-7 5-56,11-6 32,-6 6 8,3-9-88,-11 0 24,10 4-16,1-2-8,-2 1 24,1-3-64,1 0 64,0 0 24,-11 0-24,10 0-64,1-3 48,0 0-48,-1-2-88,0-5 48,0 7-24,-10 3 128,4-5-200,9-6 56,-9 8-8,8-8 24,-9 7-16,0-8-96,-3 12 240,11-5-224,-9-7 24,2 3 32,0 4 8,-3-7 56,-1 2 32,0 10 72,0-3-48,0-8 96,0 6-40,0-4-56,0 5 48,-1-1-24,1 5 24,-2-4-24,0-6 8,1 8 16,-2-2-32,1-1 56,0 0-40,2 5 16,-3-3-72,1-1 8,-1 1-48,1 1-72,1 1 40,-1 1-80,2 0 224,-1 0-296,1 0 127,-1 3-23,1 0 72,0 1 96,0 5-56,0-9 80,0 3-40,0 0 8,0 8-8,0-8 16,3 7 40,0-6-56,-3-4 40,4 12-8,7-9 64,-9 12-80,8-6 24,-7 1-8,8 1-56,-11-11 64,4 9 40,5 2 16,-5-1-16,7-1-40,-9-5 0,12 9-16,-14-13 16,3 4 40,11 9 32,-11-9-136,12 9 56,-4-11-8,-1 9 16,-10-11 0,10 2 96,1 2-72,0-1 88,0 0-40,-1-1-24,0-2 24,-10 0-72,11 0 8,-1 0 32,2-1 17,-2-1 7,0-2 16,1-1-16,-11 5-64,10-9 40,0 5 16,-1-8 8,0 9-8,-6-9 48,10 7-48,-13 5-56,3-12 40,1 2-16,5 1 64,-6-1 0,-1-1-40,0 0 112,-2 11-160,2-10 96,-2-1-40,0 0 0,0 1-56,-2 0 80,-1-1 32,3 11-112,-4-10 152,-1 1-24,-4-1-104,6 1 64,-6-1-80,5 0 24,4 10-32,-11-9 72,8 4-88,-8-7 8,7 8-8,-4-5-16,4 6 88,4 3-56,-10-3 0,7-1-88,-1 2 40,2-1-80,-1 1 40,2 1-40,1 1 128,-2-1-256,0-1-192,1 1-264,1 1-241,0 0-311,0 0-184,0 0 1448,0 0-1729,0 0-135,0 0-160,3 0-201,0 0 57,7 0 175,-10 0 1993,2 0-1488,8 0-96,-10 0 1584</inkml:trace>
  <inkml:trace contextRef="#ctx0" brushRef="#br0" timeOffset="3">2281 1 3024,'0'0'0,"-3"0"2497,3 0-2497,-2 0 2280,0 0-711,-1 0-465,3 0-136,-1 0-56,0 2 8,1-2-920,0 3 865,0-1-121,0 2-104,0 5-192,0-5-104,0 8-80,0-12-264,0 10 224,0 2 0,0-1-104,2 4 0,-1-1-136,2 1 16,-3-15 0,2 16 40,2 0 16,-1 0 16,1-2-64,6 0-8,-8 2-32,-2-16 32,4 13 0,-1 1-48,1 0 40,7-2-32,-11 0 40,2 0 16,-2-12-16,4 9-16,-1-5 16,1 8-32,-2-10 64,1 2-56,-3-1 64,0-3-40,0 4 48,2-2-112,-2-2 56,0 0-8,0 0-8,0 0 72,0 0-48,0 0 48,0-1-56,0-2-32,-1-1 32,0 0-48,-2 1 56,3 3 0,-3-5 16,-1 0-32,1-4 56,0 5 8,2-7 0,0 8 8,1 3-56,0-12 88,0 8-32,0-8 16,0 7-24,1-8-16,1 4 16,-2 9-48,4-10 8,7 0 40,-9 6-8,8-10-56,-6 5 56,10-1-56,-14 10 16,9-11 0,1 2-8,1-1-56,0 1 32,3-1-40,-2 5-24,-12 5 96,10-12-152,4 7-112,-3-5-200,1 6-256,0-1-304,-1-4-361,-11 9 1385,10-3-1752,0 0-352,-6-2-273,10 1-103,-11 1 199,8-1-239,-11 4 2520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59:58.520"/>
    </inkml:context>
    <inkml:brush xml:id="br0">
      <inkml:brushProperty name="width" value="0.05" units="cm"/>
      <inkml:brushProperty name="height" value="0.05" units="cm"/>
    </inkml:brush>
  </inkml:definitions>
  <inkml:trace contextRef="#ctx0" brushRef="#br0">91 93 648,'0'0'0,"3"-1"48,8-2 0,-1 0 40,-10 3-88,3-4 136,8 1 64,-8 0 80,6 1 64,-7-2 72,2 2 96,-4 2-512,11-2 536,-9-2 48,1 3 40,0-2 17,0 1 47,-1 0 64,-2 2-752,2-3 792,-2 1 72,0 1 8,0-2-7,0 1 55,0-1-40,0 3-880,0-1 864,-1-1-40,0-1-55,0 1-33,-2 0-8,1-2-40,2 4-688,-2-2 656,-2-2-32,0 2-32,1-1-15,-2 2-41,1-1-64,4 2-472,-9-2 400,7 0-56,-2 1 8,0 0-16,-5-1-16,6 1-40,3 1-280,-3-1 288,-7 0-56,8 1-16,-3 0-8,-5 0-88,7 0 56,3 0-176,-5 0 120,1 0-8,0 2 25,-1 1-41,0-1 24,0-2 16,5 0-136,-9 4 64,5-2 24,0 2 32,0-2-64,-1 2 40,1-1 0,4-3-96,-5 4-40,2-1 104,-1 1-16,3 0 16,-1-1 32,0 7-40,2-10-56,-1 0 48,0 3-48,0 7 40,1-8-56,0 8 40,0-7-8,0-3-16,0 11 88,0-7-24,0 9-72,0-9 16,0 10-48,2-4 24,-2-10 16,0 10 0,3 0-8,0 1-8,1 0 32,-2-1-16,8 2 0,-10-12 0,0 14 24,3-2-24,8-2 16,-11 1 8,10 0-64,-8-2 40,-2-9 0,11 10-136,-7-6 144,6 9-16,-6-10-8,9 8 144,-9-8-176,-4-3 48,12 9 16,-9-6-32,9-1 8,-8 2 8,7-2 8,-8 0-8,-3-2 0,13 3-80,-9-3 80,10 0-24,-10 0 8,12 0 112,-4-1-112,-12 1 16,10-3-40,1 0 0,0-1-56,-1-6 48,2 7-16,1-2-48,-13 5 112,12-11-80,2 6-16,-1-7-40,0 8 64,1-8 32,-4 7-32,-10 5 72,12-12-24,-1 7-48,-1-7-24,1 3 72,-1 4 8,0-8-48,-10 13 64,11-10-16,-8 0 16,11 6 0,-11-8 32,1 7 8,5-6-56,-9 11 16,0-5-16,3-6 32,-1 8-40,0-8 64,-2 7 0,0-5-32,0 9-8,0-4 88,0-5-88,0 5 8,0-6 8,0 8 0,0-1 24,0-1-16,0 4-24,-1-4 32,1 3-32,0 0 8,-1 1-16,1 0 16,0 0-8,0 0 16,0 0 24,0 2 0,0 2-8,0 5-16,0-9-16,0 3 40,0 8 0,2-8 0,1 10 16,0-2-56,7 0 24,-6 2 8,-4-13-32,12 12 24,-9 3 32,10-2-128,-3 1 32,-6 2-16,10-3-8,-14-13 64,10 14 16,-1-1-16,1 2-32,-1-3 48,-5 1 48,10-2-64,-14-11 0,10 12 56,-7-3-64,11 1-40,-11-6 48,8 8 32,-9-9-8,-2-3-24,4 4 16,6 5 56,-10-9-48,2 3 0,0-1 64,-2-2-8,0 0-80,0 0 88,0 0 32,0 0-8,0 0-24,0 0 32,-1-1-88,1 1-32,-1-2 24,-3-2 32,1 0-40,-1 1 0,-1-7 24,1 8-24,4 2-16,-5-5 24,0-6 48,0 8-72,0-9-16,1 8 48,0-8-48,4 12 16,-4-5 32,1-6 48,0 2-80,1 5 16,1-8 24,1 7-56,0 5 16,0-12-40,0 8 40,0-8-24,2 2-24,2 1 48,-1-1 16,-3 10-16,11-5-40,-7-7 56,7 7-32,-8-4-24,9 5 40,-2 1-48,-10 3 48,3-4-8,13 0-8,-12 1 0,10 0-24,-10 2 8,10 0 32,-14 1 0,10 0-40,-1 0 72,2 0-24,-1 2-48,0 2 72,0 0-88,-10-4 56,11 9-32,-1-6 64,1 7-64,-1-6 64,1 9-8,-1-9-64,-10-4 40,11 14-40,-1-3 24,-1-2-24,-6 1 48,8-6 40,-9 10-64,-2-14 16,4 4-56,6 10 72,-7-10-88,0 9 40,1-10 64,-1 8-104,-3-11 72,4 4-112,-2 5-64,2-6-104,0 0-160,-2 1-105,2 0-199,-4-4 744,2 2-920,2-2-144,-1 2-200,1-2-201,-1 0-207,1-1-168,-4 1 1840,10-1-2033,-8-3-143,9 1-81,-8-7 17,8 7 327,-7-7 417,-4 10 1496,13-4-960,-9-8-216,-4 12 1176</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00.680"/>
    </inkml:context>
    <inkml:brush xml:id="br0">
      <inkml:brushProperty name="width" value="0.05" units="cm"/>
      <inkml:brushProperty name="height" value="0.05" units="cm"/>
    </inkml:brush>
  </inkml:definitions>
  <inkml:trace contextRef="#ctx0" brushRef="#br0">160 350 2256,'0'0'0,"0"-2"1712,0-3 201,2-5-153,-2 9-336,0 1-1424,0-3 1217,0-1-73,0 1-40,-1 1-48,0 1-95,-2-2-129,3 3-832,-2-1 744,-2 0-96,2 0-24,-2-1-96,0 0-72,1 1-47,3 1-409,-3 0 304,-6 0 40,6 0-48,-5 3 16,4-1-40,-5 1-32,9-3-240,-4 9 232,-7-7 40,6 8 48,-6-8-48,7 9-16,-8-7-56,12-4-200,-5 13 144,-6-9 80,8 8-8,-6-9-32,6 10-24,-1-2-8,4-11-152,-5 9 88,1 2 65,1-2-33,0 1-48,2-7 24,-1 9-32,2-12-64,-2 4 56,2 7 0,0-8 0,3 7 0,0-8-32,0 2 0,-3-4-24,10 3 48,-8 1-48,8-2-32,-7 0 16,10-2-8,-5 0-88,-8 0 112,9 0-8,1 0-40,0-1 24,-1-2 24,3-2-80,-2 0-48,-10 5 128,9-9-184,2 5-25,-1-7-71,0 7-16,1-8-8,0 2 32,-11 10 272,9-5-264,1-8 32,0 2 88,-1 3-24,-5-2 64,8 1 40,-12 9 64,3-10-64,-1 5 16,2-6-16,-1 7 88,1-7-16,0 7 32,-4 4-40,1-11 64,-1 8-112,0-6 72,0 6-40,0-2 8,0 0 80,0 5-72,0-3 0,-1-1 80,1 0-16,-2 1-16,-1 0-32,2 1-32,1 2 16,-2-1 16,0 0-32,0 1 72,0 0-40,1 0 16,0 0 32,1 0-64,-1 2 72,-1 2-24,0-1-24,0 1 16,0 7 0,1-9 24,1-2-64,-1 10 80,1-7-16,0 9-24,0-8 0,0 10-64,2-10 88,-2-4-64,4 14 16,0-4-32,5-7 96,-6 12-120,7-12 80,-7 8-32,-3-11-8,11 4-24,-2 7 88,-6-9-24,10 8 24,-4-8-64,0 2-8,-9-4 8,9 2 24,-6 1-72,10-1 112,-3-2-56,-2 0 32,2 0 40,-10 0-80,10 0-8,-7 0 48,11-1-72,-12-3 8,12 1 24,-5-1-16,-9 4 16,4-5 0,6 2 40,-8-2-40,1 1-8,6 1 32,-9-1-48,0 4 24,4-4 80,-1 2-32,-1 1-32,0-1 24,-2 1-56,3 0 16,-3 1 0,0 0-24,2 0 0,-2 2 24,3 1-32,-3-1 32,0 8-8,0-10 8,1 2-32,-1 9 32,0-7-40,2 9 56,-2-4 0,3 1-32,-3-10 16,0 10 0,2-1 16,1 1-48,-1-7 32,0 10 16,0-10-16,-2-3 0,3 10 40,0-8-40,-1 8 16,1-10-32,-1 2 16,0 1 24,-2-3-24,3 0 0,0 2 64,0-2-32,-1 0 88,0-1 8,0-3-48,-2 4-80,2-3 72,2-7-48,-2 6-8,1-6 0,-2 5 32,2-9-8,-3 14-40,2-9 72,0-2 32,-2-1-24,0 1-7,0-1-17,0 2 8,0 10-64,0-12 40,0 2 0,0-2 32,-1 1-72,-1 1 64,1 6-32,1 4-32,-3-12 0,2 2-16,0 6 0,-1-8 32,2 8 0,0-8-8,0 12-8,0-4 0,0-8 16,0 7-16,3-7 0,-2 7 0,3-4-40,-4 9 40,3-4-40,7-5-16,-6 5-16,4-1 24,-4-4-24,9 6 32,-13 3 40,10-3-161,1-1 65,-1 2-48,1 0-32,1 0 64,-1-1-232,-11 3 344,12-1-352,-2 0-240,-1 0-240,3 1-160,-3 0-217,1 0-79,-10 0 1288,9 0-1400,0 0-112,1 0-137,-1 2-119,1 1-49,-1-1-47,-9-2 1864,9 1-1824,1 2 199,0-1 225,-1-2 376,1 3 448,0-3-128,-10 0 704</inkml:trace>
  <inkml:trace contextRef="#ctx0" brushRef="#br0" timeOffset="1">964 210 1240,'0'0'0,"0"0"1128,0 0 392,0-2 33,-1 1-113,0 0-136,1 1-1304,-4-1 1201,0 1-25,2-1-112,-3 1-48,0 0-96,1 0-111,4 0-809,-10 0 800,5 0-96,-6 2-40,2 0-72,5 2-56,-10 0-64,14-4-472,-8 3 456,-3 1-7,1 6-49,1-7 48,-1 8-56,0-7 0,0 10 0,10-14-392,-10 10 336,-1 0 24,3 2-16,-2 0-24,7 0 32,-7-1-64,10-11-288,-4 12 240,1 0-95,-1 0-57,3-1-24,0 1 32,1-1-32,0-11-64,0 12 48,0-4-8,2 2-16,2-6-24,-1 9 16,8-10 8,-11-3-24,4 11 16,7-7-40,-3 5-32,2-6 0,1-1-96,0 0-121,-11-2 273,12 3-320,1-3-216,1 0-80,0 0-32,3-1-144,-1-3-72,-16 4 864,18-4-1041,-2 0-167,0-6-208,1 7-264,-1-8-225,1 7-127,-17 4 2032,17-12-2073,0 3 129,-1 0 223,-2-1 313,1 0 344,-2 0 296,-13 10 768,15-10-504,-1 0 184,-2 0 152,-1 0 80,-1 0 56,-6 5 24,-4 5 8,11-12 0,-8 7 0,7-7 24,-9 7 48,3-7 112,-2 7 168,-2 5-352,3-10 592,-3 6 272,0-6 208,0 7 152,0-1 65,-4-1-49,4 5-1240,-3-4 1120,-1 0-56,-1 0-71,-4 2-65,6-1-48,-7 2-104,10 1-776,-2-1 680,-10 1-23,8 0-17,-7 0-80,0 4 48,1-1-64,10-3-544,-10 9 512,0-7 64,0 8-128,0-7-16,0 12 25,2-6-65,8-9-392,-5 10 432,-6 2 8,6-1-72,-3-2-8,5 2-40,0 1-88,3-12-232,-3 11 184,0 1-80,1-1 40,1 0-16,1-1 32,0 1 0,0-11-160,3 9 64,-1 0 80,2 1-40,4-6 16,-4 6-8,4-6-72,-8-4-40,4 4 16,7 5 24,-3-7-16,3 1 0,0-3 48,0 2-152,-11-2 80,12 0-32,2 0 8,-2-1-32,2 0 128,-1-3-88,-1-1 0,-12 5 16,12-9-64,0 5-16,-1-5 64,1 5-48,-2-7 104,-2 8-96,-8 3 56,10-10 0,-7 5 40,6-6-56,-6 7 72,-2-7-72,3 7 8,-4 4 8,2-9 24,0 5 32,-2-6-16,0 7 40,0-7-24,-1 7 8,1 3-64,-2-11 80,-2 7-40,0-4 97,0 4-65,-1-5-32,-4 5 8,9 4-48,-3-11-40,-2 8 32,-6-2 8,7-5 0,0 8 40,-5-2 8,9 4-48,-2-3 48,-1 0-24,-2 1-48,0 1 24,3-1 0,-2 1-48,4 1 48,-3-1-24,0 1-128,2 0 152,-1 0-81,1 0-55,0 0 8,1 0 128,0 2-368,0 1-40,0-1-104,0-2-160,0 3-160,2-1-152,-2-2 984,3 0-1137,8 2-135,-8-2-160,8 3-105,-8-1-215,10-2-240,-13 0 1992,10 0-2225,-1 0-127,2 0 223,1 0 377,-3 0 8,-9 0 1744</inkml:trace>
  <inkml:trace contextRef="#ctx0" brushRef="#br0" timeOffset="2">1557 182 680,'0'0'0,"0"0"704,0 0 288,-1-1 112,0 1 16,1 0-1120,-2-1 1033,0 1 31,0 0-8,-2 0-16,2 0 57,-2 0-81,4 0-1016,-1 0 984,-3 0 0,-1 0-144,1 0-47,-5 0-25,6 2-112,3-2-656,-3 2 656,-1-2-24,-1 3-80,0-3-40,-4 0-23,5 2-57,4-2-432,-4 0 376,-5 3-24,6-3-32,0 2 24,-7-2-40,7 2 16,3-2-320,-9 3 288,6-3-56,-6 2 72,5 1-96,-5-1 48,6 0-72,3-2-184,-9 3 120,6-1 48,-7 1 24,6-1-56,-6 2 65,7-1-65,3-3-136,-9 4 72,6 4 144,-7-8-104,6 10-8,-5-6 24,6 6-32,3-10-96,-9 4 96,5 9 32,1-3 24,0-1-88,-1-5 80,3 10-16,1-14-128,-1 9 0,1 0 112,0 2-56,2-7 0,1 11 8,5-5-88,-8-10 24,3 10-32,0-7-8,8 12 56,-8-12 8,5 9 8,-4-8-16,-4-4-16,11 11-32,-9-9 32,9 2-16,-7-1-48,10 0 64,-3-1 0,-11-2 0,10 0 0,-7 0 0,11 0-32,-6-1-8,2-1-88,1-3 56,-11 5 72,9-5-64,-1-5-96,2 7 104,-2-7-40,2 5-16,-6-7 72,-4 12 40,12-5-64,-9-7 8,8 9-32,-8-9 64,0 7-16,1-6 24,-4 11 16,3-3 128,-1-8-144,0 7 56,1-6 0,-3 7-104,2-7 48,-2 10 16,0-3-40,0-8 24,0 9 0,0-3 88,0-5-48,0 9-80,0 1 56,-1-4 48,0 0-40,0 0 24,-1 0 32,1 1-120,0-1 16,1 4 40,-1-1 128,0 0-144,-1 0 96,1-1-88,0 2-176,-2 0 184,3 0 0,-1 0-40,0 4 56,0 0 40,1 5-48,-1-6-8,1 7 0,0-10 0,0 4 48,0 9-48,0-2 152,0-1-88,2-1-64,2 1 48,-4-10-48,2 9-128,1 2 88,0 0 40,7 0-32,-9-2 32,3 2 56,-4-11-56,9 11-16,-7-1 32,1-2-32,8 2-64,-8-7 64,7 8 8,-10-11 8,3 3 24,8 0 16,-8 1 16,8-1-80,-8 0-8,10-1 8,-13-2 24,10 0-40,-6 0 40,9-1-48,-10 0-32,10-3 24,-2-5 0,-11 9 56,10-4-48,-1-6 0,2 6 48,-1-10-104,-6 3-64,9 1 16,-13 10 152,3-14-200,7 2 95,-6 0 33,6 0 32,-8 0-24,1-1 8,-3 13 56,9-14 24,-9-2-48,4 2 80,-3-2-16,2 2-80,-3-2 48,2 0-16,-2 16 8,0-18 0,0 2 64,0-1-64,0 0 40,-1 3-56,0-3-8,1 17 24,-2-16 16,1 1-8,0 0 32,-2 3-8,1 1-48,0 0-8,2 11 24,-3-9 24,0 4-8,1-4 24,0 5 25,-1 0-33,2 2 32,1 2-64,-1-1 32,0 1 48,0 2 0,-1 2 0,0 6 16,-1-6 72,3-4-168,-3 14 152,1-3 24,-2 1-40,3 3-80,0 0-24,0 3 72,1-18-104,0 20 88,0-1 64,0 2 48,2 1-80,0 1 24,1-3-48,-3-20-96,2 22 56,0-2 32,1 0-120,-2-2 48,3-3 0,-1 0 0,-3-15-16,9 14 24,-7-1-24,1-1-40,5-1-56,-5-1 8,0 0-24,-3-10 112,9 4-224,-9 6-200,3-8-136,7 2-409,-10-2-319,3-2-400,-3 0 1688,3 0-2473,1 0-975,4-1-1193,-8-3-184,3-8 336,-3 12 4489</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30.860"/>
    </inkml:context>
    <inkml:brush xml:id="br0">
      <inkml:brushProperty name="width" value="0.05" units="cm"/>
      <inkml:brushProperty name="height" value="0.05" units="cm"/>
    </inkml:brush>
  </inkml:definitions>
  <inkml:trace contextRef="#ctx0" brushRef="#br0">4 34 1648,'0'0'0,"0"0"248,-1 0 64,1 0 96,-1 0 24,1-3 8,0 3-440,0 0 432,0-2-48,-1-1-7,1 3-17,0-2 0,0 2 32,0 0-392,0-2 352,0-1 32,0 3-48,0-2-32,0-1 0,0 1-48,0 2-256,2 0 272,-2-2-8,0 2 24,3-3 8,-3 1 16,0 2 25,0 0-337,2-3 304,-2 3 32,0 0 32,2-2 8,-2 2 8,0 0 16,0 0-400,0 0 376,0 0-24,0 0 16,0 0-48,0 0 24,0 0 16,0 0-2480,0 0 4545,0 0-2097,0 0-8,0 0 8,0 0 32,0 0 0,0 0-4481,0 0 8546,3 0-4121,-3 0 0,0 0 32,0 0-32,0 0-16,0 0-288,0 0 272,0 1-48,0 0-8,0 1-8,0-1-31,0 1-17,0-2-160,0 1 144,0 3-48,0-2 40,0 2 24,0 0-24,0-1-48,0-3-88,0 5 112,0 0-72,0 4 48,0-5 48,0 6-104,0-7 72,0-3-104,0 15 72,0-11-8,0 9 24,2-1 0,-2-2 16,0 2-16,0-12-88,0 12 104,3 0-56,-3 1-8,2 2 8,-2-1-8,2 2 16,1-1 16,-3-15-72,2 15 64,1-1 0,-3 1 56,2 2 8,0 1-16,-2-18-112,3 18 184,-1 0-120,1 0 16,-3 0-16,2 0-8,0 1 24,-2 2-16,0-21-64,0 20 64,3 0 0,-3 1 8,2 2-8,-2-4-24,3 1 40,-3-20-80,0 20 40,2-2-16,-2 2 56,2-2-24,1 1 8,-3-19-64,0 19 104,2-1-48,1 0 16,-1 0-24,0 0 48,1 1 56,-3-19-152,2 17 40,2 1 25,-1-1-25,0-1-56,0 2 48,0 0 8,0 0 40,-3-18-80,3 18 24,-1 0 72,0-2-24,1 1-72,-1-2 40,1 1 16,-3-16-56,2 17 40,0-2 40,-2 2-40,3-2-24,-3 2-16,2-1-16,-2-16 16,0 15 16,0 1 16,3-2 48,-3 1-40,0-2-40,0 1 16,0-14-16,0 13-16,0 1 16,0-1 16,0 0 8,-2 0-24,1 2 32,1-15-32,-1 13 8,-1 0-8,-1 0 16,2-1-16,-3 0 16,2-1 24,2-11-40,-2 11 16,-1-2 24,1 1 16,0-1-48,-2-4 48,2 7-24,2-12-32,-3 10 0,1-5 72,-1 7-48,2-9 0,-1 8 24,1-7-40,1-4-8,-2 9 16,1-5 24,0 1-8,0 4-32,0-5 24,1-1-48,0-3 24,0 5 16,0 0 8,0-2 16,0 1-8,0 1 24,0-2-32,0-3-24,2 4 0,-2 1 16,2-2-40,1 1 8,-1 0 32,-2-1 8,0-3-24,3 4 0,-1-2 32,0 2-32,1-1-128,-1 1 152,1 0-32,-3-4 8,2 3-16,-2 1 144,2-1-128,1 1 0,-1 0 8,0-1-8,-2-3 0,0 4-24,3-1 48,-1 2-8,-2-1-144,3 1 184,-1-1-40,-2-4-16,0 5-16,2 0 128,-2 0-112,3 0 48,-3-1-40,2 0 8,-2-4-16,0 4-24,0-1-32,3 1 40,-3-1 16,0 1 40,0-3-24,0-1-16,0 2-40,0 0 48,0 0-16,0-1 72,0 0-8,0 1-24,0-2-32,0 0-32,0 0-24,0 0 16,0 0-40,0 0-48,0 0-168,0 0 928,0-3-1728,0 1 424,0-1-257,0 0-351,0-1-488,-2-6-673,2 10 2441,-1-4-3217,0-7-871,-3 8 335,1-11-1368,3 14 5121</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05.702"/>
    </inkml:context>
    <inkml:brush xml:id="br0">
      <inkml:brushProperty name="width" value="0.05" units="cm"/>
      <inkml:brushProperty name="height" value="0.05" units="cm"/>
    </inkml:brush>
  </inkml:definitions>
  <inkml:trace contextRef="#ctx0" brushRef="#br0">11 1 1272,'0'0'0,"-1"0"632,0 0 56,-2-1 0,2 1 0,0 0-24,1 0-664,-1 0 697,0 0 15,1 0-24,0 0-32,-2 0 8,2 0-24,0 0-640,0 0 616,0 3 9,0-1-33,0 0-16,0 1 0,0-1 0,0-2-576,0 4 632,0-1-64,3 8 33,-1-7-41,1 7-88,-1-8 24,-2-3-496,3 16 408,1-5-8,6 2-40,-8 1 0,2 2-24,5 1-8,-9-17-328,3 17 296,6 1-24,-5 0-8,7 2-7,-8 1-49,7 0 0,-10-21-208,3 20 184,8 0-16,-7 1 24,7-2-56,-8 1-24,8 1-24,-11-21-88,2 19 64,9 0-16,-8-1-8,0-2-8,8 0 24,-9-1-16,-2-15-40,4 13 56,5 1 8,-9-3 0,4 0-40,0-2 32,-2-5-56,-2-4 0,2 10 8,1-8 136,-1 2-32,-2-1 48,0 0-48,0-3-24,0 0-88,0 0 128,0 0 48,0-2 0,0-1-96,0-1 24,-1-5-152,1 9 48,-4-4 0,1-7 24,-1 2-64,-1-2 56,1 0-32,0-2 80,4 13-64,-5-13 56,1-3-48,0 2 64,-1-2-128,2 1 40,-1-1 56,4 16-40,-2-16 16,-1 0 0,2 0 8,0-1 0,0 2-32,-1-2-32,2 17 40,-2-16 0,1 0-40,0-1 24,-1 0 32,1 0-32,1 2 16,0 15 0,0-16-16,0 0 32,0 2-16,0 0 16,0-1 8,4 2-24,-4 13 0,2-13 0,2 1-24,-1 1 24,1 2 0,0-1-16,5 5 0,-9 5 16,3-11-32,7 8 56,-6-2-24,7 0 88,-8 2-16,8-1-64,-11 4-8,4-1 104,9 0-144,-10 1 80,11 0 32,-11 2-48,12 9 72,-15-11-96,9 3 88,-5 12 8,10-6-56,-4 2 8,-7 0-72,12 2 40,-15-13-16,3 12 40,1 1-32,7 2 48,-11-3-72,3 1 56,1-1-8,-4-12-32,3 12 96,0-1-48,-3 1-32,0-2 48,0 0-48,-3 0 64,3-10-80,-3 3 153,-9 10 31,7-9-48,-9 6 32,4-8-104,1 2-8,9-4-56,-11 3 72,0 1-16,0-2 8,0 1-48,2-1 24,-2 0-8,11-2-32,-11 0 24,2 0 32,-1-1-32,-1 0-32,1-3 16,-1 1-16,11 3 8,-5-4 24,-8-5 8,8 5 16,-6-6-32,8 7-32,-1-7-8,4 10 24,-5-5-80,2-5 8,-1 5-64,0-6-72,3 7-48,1-6-113,0 10 369,0-4-456,0-7-128,4 6-128,-1-5-120,7 5-216,-6-5-137,-4 10 1185,12-3-1384,-3-7-128,2 7-153,1-2-143,0-5-72,0 8-113,-12 2 1993,14-4-2008,-1-1 191,-1 2 201,2-1 448,-2 2 512,0-1-360,-12 3 1016</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07.088"/>
    </inkml:context>
    <inkml:brush xml:id="br0">
      <inkml:brushProperty name="width" value="0.05" units="cm"/>
      <inkml:brushProperty name="height" value="0.05" units="cm"/>
    </inkml:brush>
  </inkml:definitions>
  <inkml:trace contextRef="#ctx0" brushRef="#br0">1 176 1136,'0'0'0,"0"0"0,0 8 560,2 2 160,1 3-16,-1-1-40,2-1-24,-1 1 33,-3-12-673,3 11 704,-1 0 24,1 1 40,-1 0-56,2 0 0,0 0-39,-4-12-673,2 12 608,7 1-32,-7 0-32,2 0-16,4 1-56,-5-1-40,-3-13-432,2 11 416,8 0-104,-8-1 0,8 2-32,-6-2-79,4 1-1,-8-11-200,4 3 168,-1 8 16,6-7-24,-6 5 24,-1-6 0,1 0 32,-3-3-216,3 4 240,1-2 16,-1-2 16,-1 3-16,0-3 40,1 0 48,-3 0-344,2 0 344,-2-1 24,2-3-88,-2 0-40,2-5 0,-2 5-72,0 4-168,0-9 209,0 5 7,-1-9-104,-2 3 72,1-1-88,-1 1-8,3 10-88,-3-11 136,0 0-80,0 1 56,-1-1-40,1 1 16,0-1 0,3 11-88,-3-10 72,1-1-32,-1 2 0,2 0-8,0 0 24,0 4-32,1 5-24,0-13-16,0 3 40,0 1-24,0-1 0,2 0-8,1 2-32,-3 8 40,1-5-128,3-7-8,-1 7-88,6-6-88,-7 9-32,1-3-128,-3 5 472,10-3-625,-7-1-127,7 0-168,-6 1-112,5 0-88,-6 1-57,-3 2 1177,10-2-1256,-7 0 96,7 2 80,-7-1 87,5 1 153,-7 0 72,-1 0 768,10 0-648,-9 0 112,8 0 104,-7 1 152,2-1 104,-1 3 88,-3-3 88,3 0 8,1 2 0,-2 1 40,0-3 32,0 2 56,-2 0 72,0-2-208,2 3 328,-2-1 136,0 1 120,3-1 208,-3 0 80,0 1 56,0-3-928,0 2 953,0 1-73,0 0 0,0 1-72,0-1-56,0 7-79,0-10-673,0 0 568,0 4-32,1 5-32,2-6-24,-1 6 0,0-5-16,-2-4-464,3 11 376,-1-8-40,2 9-56,6-8-56,-8 9-32,7-9-31,-7 10-17,-2-14-144,11 9 96,-7 0-32,7-5-24,-8 9-40,9-9 32,-9 8-64,-3-12 32,10 3-40,-7 7 0,6-8-152,-7 2-24,1-2-305,6 1-255,-9-3 776,2 0-1024,1 0-288,0 0-313,6 0-383,-9-1-425,4-2-319,-4 3 2752,2-2-2561,1-3 737,-1-6-40,-2 11 1864</inkml:trace>
  <inkml:trace contextRef="#ctx0" brushRef="#br0" timeOffset="1">334 93 4056,'0'0'0,"-4"-4"1993,-7-8-777,6 2-576,-5 5-248,10 5-392,-1-5 328,-1-5 8,0 9-16,1-2-63,0 0-73,1 2-104,0 1-80,0-1-56,0 1-32,0 0-40,0 0-40,4 2-17,-2 1-31,-2-3 216,4 2-368,4 2-208,-5-2-280,5 2-304,-4-2-160,6 0-25,-10-2 1345,9 4-1224,-6-2 368,12 1-392,-15-3 1248</inkml:trace>
  <inkml:trace contextRef="#ctx0" brushRef="#br0" timeOffset="2">569 43 1912,'0'0'0,"0"-2"1472,0-1 281,1-1-273,-1 4-1480,2-10 1208,1 8-16,-1-2 17,0 1-25,-2-1-80,0 2-136,0 2-968,0-3 873,0 2-65,0-1-40,-1 1-8,0-1-48,0 2-40,1 0-672,-4 0 624,2 0-39,-1 0-49,0 4-64,-1 6-56,-4-7-40,8-3-376,-3 12 424,-6-2-8,6 1-48,-2 2 56,-5 1-112,8 3-32,2-17-280,-4 17 321,0 1-97,1 1 88,0 2-88,2-3-8,0 2 8,1-20-224,-1 21 112,1-1 72,0-2-88,2 1-40,2-1 32,-1-1-80,-3-17-8,9 15 32,-7 0 24,8 0 16,-6-2-16,7-1-32,-9-4-8,-2-8-16,15 4-16,-4 7 16,1-9 16,1 1-56,0-1 40,0-2-16,-13 0 16,16 0-24,-1-1 24,1-4-48,0-6-48,-1 6 24,2-8 48,-17 13 24,13-12-88,3-1 64,-1 0-48,-1-1 16,0 1 16,-1-1-8,-13 14 48,11-15-40,2 0 0,-2-1 8,-3 3-32,-4-4 64,7 3 96,-11 14-96,1-15 0,3 2 56,-1 1-72,-1 0-80,0 0 120,-2 0-32,0 12 8,0-12 40,0 1-24,0 1-16,-1 0 8,0 0 8,-3 5 112,4 5-128,-4-11 40,-4 8-64,5-2 64,-7 1-80,7 1 40,-6 2 80,9 1-80,-3 0 32,-7 0-32,6 0 56,-7 3-32,2 8-24,5-9 40,4-2-40,-13 12 0,5-2 72,4 1-32,-7-1-24,8 2 24,-6 0-8,9-12-32,-4 10 56,-4 3-40,6-1 8,-1 1-24,-1-1-24,3 1 96,1-13-72,-1 13-56,1 0 64,0-1 8,0-1-40,0 0 88,0 0-72,0-11 8,2 3-32,2 10-24,-1-10 40,7 6 16,-8-6-24,7 0 80,-9-3-56,3 4-40,8-1 8,-3 0 48,2 0-32,1-3-16,0 0-8,-11 0 40,11 0-96,1 0-16,1-2-40,0 0-128,-1-2-80,1 2-168,-13 2 528,13-10-665,-2 7-55,0-2-176,1-6-208,-1 8-216,0-8-297,-11 11 1617,11-5-2008,0-7-361,-1 7-479,0-7-441,0 7 184,-8-7-247,-2 12 3352,0 0 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40.539"/>
    </inkml:context>
    <inkml:brush xml:id="br0">
      <inkml:brushProperty name="width" value="0.05" units="cm"/>
      <inkml:brushProperty name="height" value="0.05" units="cm"/>
    </inkml:brush>
  </inkml:definitions>
  <inkml:trace contextRef="#ctx0" brushRef="#br0">22 354 1064,'0'0'0,"-1"0"680,0-4 144,-3 0-24,1-6-136,-1 10-152,4 0-512,-2-4 433,-1 0-9,2-5 0,0 6-8,0 0 72,1-7 24,0 10 40,0 0-552,0-3 600,0-1-24,0 0 57,0-5 15,2 6 16,1 1 80,-3 2-744,2-2 648,-2-1-32,2 1 16,-2-1-135,0 1 47,3 2-40,-3 0-504,0-2 416,2-1 40,-2 3-40,3 0-40,-1 0-72,-2 0-8,0 0-296,2 0 240,2 0-48,-2 1 104,2 2-8,-2 0 32,2 2 33,-4-5-353,4 5 296,-2 5-40,2-7 8,-1 8 8,1-1 24,-1 0-24,-3-10-272,4 12 232,0 4-40,-2 0-8,2 0-8,-1 2-32,1 0 16,-4-18-160,3 18 104,1 1 24,0-1 8,-2 4-32,1 1-40,0 0 72,-3-23-136,2 26 64,1-1 16,-3 0 40,2 0-72,0-1 8,1 2 24,-3-26-80,0 22 40,2 1-56,1 0 88,-3-2-88,2 0 56,0 0 40,-2-21-80,3 22 0,-3-1 80,2 0-24,1-1-16,-1-2 32,0 0-64,-2-18-8,0 18-8,3-1 32,-3 1 33,0-2-57,2-1 96,-2-1-72,0-14-24,0 15 16,0-2 128,0-2-112,0-2 8,0 2-16,0-6-32,0-5 8,0 13 0,0-3 80,0-7-80,0 2 16,0-1-32,0-1-24,0-3 40,0 4 24,0-2 88,0 1-16,0-2 0,3 0-40,-1-1-56,-2 0 0,2 0-32,-2 0 104,3 0-48,-1 0 48,-2 0 64,4-2-152,-4 2 16,2-3 128,1 1-72,0 0-80,0-1 88,-1 3-104,2-2 56,-4 2-16,3 0-32,1-4-8,5 1 40,-5-1 56,9 0-32,-3 1-8,-10 3-16,3-3-16,11 1-80,-11 2 40,9 0 16,-8 0 96,10 1-80,-14-1 24,11 3 0,0 0 8,1 1-72,0-1 88,3 1 8,1 0-64,-16-4 32,18 3-40,1 1-32,1-1 8,2 1 48,1 1 40,2-2-24,-25-3 0,26 4 32,3 0-72,0-1-72,1-1 72,1 2-32,1-2 64,-32-2 8,33 4-16,-2 0-80,-1-1 80,0 1-40,0-2 48,-2 1 88,-28-3-80,28 2-16,-3 0-40,-1 1 16,-2-1 16,0-1-8,0 1 72,-22-2-40,20 0-24,1 0 8,-1 0-40,-1 0 16,-1 0 80,-1-3-24,-17 3-16,14-3 56,1-1-80,-2 2 8,-1-2-96,-1 2 56,-2-2 88,-9 4-32,4-4 0,7 2 64,-8-2-72,7 2 8,-8-2-16,1 1 40,-3 3-24,2-2 88,0-2 32,-2 0-48,0 2-32,0 0-16,0-2-104,0 4 80,-1-4 80,-1 1-80,-2-1 96,1 1-56,-1-8-80,-1 8 56,5 3-16,-3-10 24,-2 6 88,0-7-56,0 8-32,-4-9-32,6 8-48,3 4 56,-3-16-32,-2 13 24,0-14-48,0 5 64,2-1 40,-1-1-24,4 14-24,-3-15 56,-1 1-88,0-2 64,1-2-32,0 0-72,2 0 88,1 18-16,-1-18 0,1-1 24,0 0-24,0 0 0,0-2-48,2 3-8,-2 18 56,3-20 24,-1-2-88,1 2 64,-1-2 0,2 2-88,-2-1 64,-2 21 24,4-23 0,-1-4-40,1 2 64,-2 0 16,1 0-80,0 5 0,-3 20 40,3-21-16,-1 1-40,2 1 16,-2-1 80,2 2-80,-2-2 16,-2 20 24,2-18 0,-2-2-80,3 3 80,-3 1-16,0 2-24,0 2 48,0 12-8,0-12 32,0 1-88,0-1 32,0-1-32,0 2 0,2 1 40,-2 10 16,0-10 16,2-1-40,-2 0-16,3-1 0,-3 0 8,0 2 64,0 10-32,2-11 24,1 1 32,-3-1-48,2-1 32,-2 0-88,2 2-8,-2 10 56,3-10-24,-3 1-8,2-1 72,-2 0-24,3 7 24,-1-12-104,-2 15 64,0-3 8,0-7 8,2 7-72,-2-7 88,0 8-64,0-2 64,0 4-32,0-4 48,0 2-32,0 2-56,-1-2 40,0 2-40,0-3-40,1 3 80,-1 0 40,1 0-113,-2 0 33,1 0 0,0 0 0,0 0 24,1 0 16,-1 0 0,-1 0-48,1 1 8,0 1 80,0-1 8,1-1-48,-1 1 16,-1-1 8,1 0-72,-1 0 32,1 0 80,-1 1-64,2-1 0,-2 0 32,0 0-48,-1 1 16,1-1-16,-2 0 16,1 0 0,3 0 0,-4 2-48,1-2 56,-2 1-8,0 0 32,-6 0-24,8 0-32,3-1 24,-10 3 24,6-1-48,-8 2 40,9-2-8,-9 2-16,7-1 8,5-3 0,-13 3 8,1-1 24,-1 2 24,-1-1-48,-1 0-16,-1 0 8,16-3 0,-15 2-32,-1 0 24,-2 2 72,0-3 49,-1 1-105,-1-1 48,20-1-56,-22 0 0,-1 0-64,-2 0 104,-1 2 24,-1-2-40,-1 0-8,28 0-16,-29 0 80,-1 0-48,-1 0-8,-2 0 16,1 0-64,-1-3 40,33 3-16,-33-2 48,2-1 8,1 1-16,1 0 32,3-1-48,1 1 8,25 2-32,-24-4 112,3 1-104,3-1 32,3 0 48,2 1-80,1-1 64,12 4-72,-5-3-16,-7-7-8,8 10-8,1-2 24,2-2 64,-1 2-112,2 2 56,0-3-88,0 1-200,10-1-184,-7 1-393,12 2-351,-3 0-504,-12 0 1720,13 0-2409,0 0-912,2 0-1135,-1 2-49,2 0-56,-16-2 4561</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43.131"/>
    </inkml:context>
    <inkml:brush xml:id="br0">
      <inkml:brushProperty name="width" value="0.05" units="cm"/>
      <inkml:brushProperty name="height" value="0.05" units="cm"/>
    </inkml:brush>
  </inkml:definitions>
  <inkml:trace contextRef="#ctx0" brushRef="#br0">1 147 784,'0'0'0,"2"-3"216,2 0 56,-4 3-272,12-11 280,-10 9-8,7-2 8,-6 0 0,6-5 32,-6 9 8,-3 0-320,3-4 360,8 1 16,-8-1 32,6 0 32,-5 2 65,5-2 55,-9 4-560,4-2 600,6 0 48,-7-1 16,8 3 40,-9-2-8,9-1-39,-11 3-657,3 0 648,7-2-128,-6 2 0,7 0-8,-8-2-32,11 2 48,-14 0-528,9-3 504,1 1 24,-1 2-23,2-3-25,0 3-48,0-2-64,-11 2-368,10-2 352,1-1-56,1 0 0,0 0-16,0 0-80,0-1-16,-12 4-184,13-10 128,-1 10 8,1-2 24,-1-2-8,2 1 24,-1-1-72,-13 4-104,13-3 120,1 0 16,1 0 16,-1 0 16,1 3 41,-2-2 7,-13 2-216,14 0 160,0 0 64,3 0-88,0 0-24,0 0 40,0 1-96,-17-1-56,16 3 80,1-1 32,0 2-128,0-2 72,-2 1-48,1 1-8,-16-4 0,15 2 48,1 2-48,0 0 64,-1-2-40,1 2-24,-1-2 16,-15-2-16,16 1-40,0 2 64,-3-1-24,0-1 16,-2 0 32,-1-1-72,-10 0 24,10 0 16,-6 2-56,9-2-8,-11 0 32,8 0 8,-8-3 40,-2 3-32,3-3-8,0 0-8,0 1-96,-3-1-184,0 0-240,0-1-289,0 4 825,0-3-1208,-3-8-480,0 9-673,-7-2-1103,6-8-769,-6 10-688,10 2 4921</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54.819"/>
    </inkml:context>
    <inkml:brush xml:id="br0">
      <inkml:brushProperty name="width" value="0.05" units="cm"/>
      <inkml:brushProperty name="height" value="0.05" units="cm"/>
    </inkml:brush>
  </inkml:definitions>
  <inkml:trace contextRef="#ctx0" brushRef="#br0">1 95 392,'0'0'0,"0"0"408,0-3 160,0-6 24,0 6 8,0 0 0,0 3-600,2-4 632,1-7 0,0 9 25,8-8-49,-9 8-16,2-8-32,-4 10-560,11-2 520,-8-2 16,9-6-32,-8 7-8,7 0 41,-9-1-1,-2 4-536,4-4 608,5 1 24,-9 0 0,3 1-8,-3 2-96,2 0-40,-2 0-488,0 0 424,0 0-23,0 0-9,0 1-40,0 2 24,0 6-56,0-9-320,0 4 296,-1 10-24,0-1-56,-3 1 16,1 1-64,-1 2 16,4-17-184,-4 19 200,0 2-16,-1 1 24,1 2 8,1 0-16,-1 1 32,4-25-232,-4 24 152,1 2 8,-1-2-15,2-1-89,-1 1 48,2-1-24,1-23-80,-1 22 72,1 1-24,0-2 8,0 1 16,0-3 0,0 0 0,0-19-72,0 17 64,0-2 0,0 1-40,2-2 8,-2 0-16,3-4 48,-3-10-64,2 11 0,-2-7-24,3 8-16,-1-9-96,-2 2-24,2 0-144,-2-5 304,4 3-537,-2 0-151,2-2-192,0-1-88,-1 0-120,1 0-209,-4 0 1297,3-4-1552,1-8-216,0 9-353,5-10-263,-6 3-81,0-1 633,-3 11 1832,4-13-1456,-4 13 1456</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0:56.338"/>
    </inkml:context>
    <inkml:brush xml:id="br0">
      <inkml:brushProperty name="width" value="0.05" units="cm"/>
      <inkml:brushProperty name="height" value="0.05" units="cm"/>
    </inkml:brush>
  </inkml:definitions>
  <inkml:trace contextRef="#ctx0" brushRef="#br0">25 83 2432,'0'0'0,"-1"-2"2208,-4-2-383,-5-6-513,7 10-352,3 0-960,-3-3 769,2-1-89,0 1-48,1-1-48,0 2-40,0-2-40,0 4-504,0-2 432,2-1-48,2 1 24,-1 2-7,8 0-25,-8 0 32,-3 0-408,9 0 416,-6 1-56,6 3 16,-5 5-48,5-4-80,-6 9 40,-3-14-288,3 14 240,8-1-8,-9 1 0,2-1-40,0 1-48,-1 0 32,-3-14-176,3 14 200,-1 1 32,-2-1 41,2 0-49,-2 1-8,0-1 8,0-14-224,0 12 200,0 1-32,0-1-16,0 0 0,0 2-16,0-2 64,0-12-200,0 10 144,0 1-48,0-1 0,0-5-32,0 7 32,0-9 8,0-3-104,0 11 104,0-8-24,0 2-32,0-1 8,3 1-32,-3-2-24,0-3 0,2 5 0,1-1 8,-1-2 32,0-1-40,2 0 80,6 1-32,-10-2-48,2 0 56,2 0 32,9 0-32,-10 0-56,11-3 40,-11 1-56,-3 2 16,13-3-24,-3 1 32,0-2-72,0 1 40,1-1-56,0-5 8,-11 9 72,9 0-40,2-4-16,-1 0 72,-1 1-120,1-7-64,-6 8-40,-4 2 208,13-2-304,-4-8-64,-5 8-80,10-2-88,-10-6-145,9 8-79,-13 2 760,4-4-776,9-6-112,-9 7 32,9-9-24,-4 9-1,-5-9-15,-4 12 896,13-4-920,-9-8-16,9 8-80,-4-6-65,-5 6-63,8-9-64,-12 13 1208,4-4-1240,5-9 7,-6 3 25,6 1 104,-6-1 248,0 0 392,-3 10 464,4-10-272,-4 10 272</inkml:trace>
  <inkml:trace contextRef="#ctx0" brushRef="#br0" timeOffset="1">453 73 160,'0'0'0,"-4"0"280,-7 0 232,2 0 208,9 0-720,-5 0 816,-6 0 32,7 0 8,-6 2 41,6-1-33,-7 2-16,11-3-848,-3 4 816,-8 1-72,6 4-16,-6-5-55,8 6-41,-9-7-56,12-3-576,-5 11 560,-6-1-8,6 0-16,-5 2-48,6 3-40,-1 0-120,5-15-328,-5 16 289,1 1-17,0-3-24,2 0-56,-1 1-40,2-2-48,1-13-104,-1 14 64,0 0 40,1-1-40,0-1-24,0 0-8,0 0-8,0-12-24,2 9-24,0 2 48,1-1-88,0-1-32,7-5-104,-8 7-176,-2-11 376,4 2-512,7 2-241,-8-2-207,9-1-256,-2 0-216,2-1-201,-12 0 1633,12 0-1912,0-3-217,1-8 17,-1 7 56,-12 4 2056</inkml:trace>
  <inkml:trace contextRef="#ctx0" brushRef="#br0" timeOffset="2">735 23 3704,'0'0'0,"-13"0"2305,-2 3-705,-6 6-496,2 1-255,19-10-849,-18 11 736,0 4-56,-1 2-16,1 1-16,1 1-40,2-1-48,15-18-560,-15 18 520,1 0-87,3 0-49,2-1-48,4-2-24,0 1 16,1-1-64,4-15-264,-2 16 232,1-2 24,1 2-32,0-4-40,3 1 24,7 0-48,-10-13-160,4 12 104,10 0 40,-3-1-72,2-6-24,0 7 8,1-9-24,-14-3-32,15 10 64,0-9-32,2 3-8,-1-3-48,1 0 64,-1-1-88,-16 0 48,17 0-40,1-2 40,-1-2-136,0-5 48,-1 5 0,1-9-40,-17 13 128,16-11-96,-2 2 16,-2-2 32,-1 0-8,-8 0 40,9 0 64,-12 11-48,3-12-8,0 0 48,0 0-24,-1 0-72,-2 0 80,-1 0-16,1 12-8,-4-10 8,-6-2 56,5 1-24,-8-1-16,1 0 16,-1 0 8,13 12-48,-15-11 0,1 8 88,-2-11 16,1 11-64,-1-12 32,2 12-48,14 3-24,-14-13 0,2 10 88,2-6-24,0 6-16,1 0-24,5-7-64,4 10 40,-11 0-32,9-4 16,-2 2 16,3 0-8,0-1-56,1 1 0,0 2 64,0 0-120,2 0 0,2 0 32,7 0-56,-2 0-16,-5 0-160,-4 0 320,17 0-472,-4 0-152,1 0-216,2-3-113,2 1-143,0 2-144,-18 0 1240,19-2-1384,1-1-89,1 1-159,-1-2-40,3 2 39,-2 0 145,-21 2 1488,23-3-1152,-1 1 520,-2-2 192,-20 4 440</inkml:trace>
  <inkml:trace contextRef="#ctx0" brushRef="#br0" timeOffset="3">1149 3 944,'0'0'0,"0"0"0,0 0 1104,-1 0 560,-2 0 145,0-3-49,-2 3-240,-5 0-231,7 0-177,3 0-1112,-12 0 976,7 0-112,-8 0-120,2 0-87,0 3-65,0 0-104,11-3-488,-12 4 448,0 8-72,0-8-8,0 6-40,0 1-8,2 0-32,10-11-288,-11 12 264,1 2-16,6 1-32,-7-1 8,7-1-15,1 2 7,3-15-216,-5 14 224,1 0 16,2 2-16,1 0 16,-1-2-80,2 0-72,0-14-88,0 13 168,4-1-16,6 0-16,-7-1-32,8 0-40,-7-1-24,-4-10-40,15 10 64,-4-5 32,2 7-32,0-8-24,0 7 24,2-8-88,-15-3 24,14 4 64,1-1 0,1 1-8,1-3 56,0-1-152,0 0 104,-17 0-64,15-3 0,-2-1 40,1 0 16,-2-6-96,-2 7 80,1-9 8,-11 12-48,10-9 80,-7-1-16,8-2-48,-8-1-8,-1 1 8,0-1 24,-2 13-40,0-14 64,0 0 16,-2-1-80,-3 0 16,-6 1-48,8-2-8,3 16 40,-12-14 32,2 1-48,-2-1 40,0 4 8,0-2-72,-1 0-56,13 12 96,-14-11-40,-1 0-88,0 9 64,0-1 72,2 0-72,1 0 16,12 3 48,-11-2-192,7 2-104,-8 0-128,8 1-184,-6 2-208,9 0-329,1-3 1145,-2 4-1448,1 5-344,-1-4-417,2 7-655,0-2-561,4 0 136,-4-10 3289,11 10-2960,-11-10 2960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05.040"/>
    </inkml:context>
    <inkml:brush xml:id="br0">
      <inkml:brushProperty name="width" value="0.05" units="cm"/>
      <inkml:brushProperty name="height" value="0.05" units="cm"/>
    </inkml:brush>
  </inkml:definitions>
  <inkml:trace contextRef="#ctx0" brushRef="#br0">83 1 3440,'0'0'0,"0"0"0,-5 0 2313,-7 0-529,0 0-496,2 0-231,7 0-121,-7 0-64,10 0-872,-3 0 856,-2 1 40,0 0 1,0 3-65,2-1-24,-1 1-120,4-4-688,-2 4 600,0-2-96,1 0-88,0 2-8,1 0-31,0 0-1,0-4-376,0 10 392,2-6-24,1 6-8,0-5-40,1 7-40,6-2-8,-10-10-272,2 11 216,2-7-32,6 11-40,-6-5-24,7 1 0,-8 1 8,-3-12-128,11 12 104,-7 1 32,5 2-16,-6-2-72,6 0 32,-6 0-24,-3-13-56,9 14 16,-6 0 128,-1 0-128,2 1-8,-1-2 104,0 0-168,-3-13 56,2 14 32,1-2-24,-1 3-56,0-2 56,1-1-8,-3 0-8,0-12 8,2 10 0,-2-7 40,2 9-176,-2-8-80,3 0-168,-3 0-208,0-4 592,2 4-696,2-3-232,-1 1-144,1-1-217,8-1-103,-10 0-216,-2 0 1608,11-2-1985,-7-2-311,9-6-297,-2 6-159,0-10 503,-1 4 841,-10 10 1408,12-13-1464,-12 13 1464</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06.544"/>
    </inkml:context>
    <inkml:brush xml:id="br0">
      <inkml:brushProperty name="width" value="0.05" units="cm"/>
      <inkml:brushProperty name="height" value="0.05" units="cm"/>
    </inkml:brush>
  </inkml:definitions>
  <inkml:trace contextRef="#ctx0" brushRef="#br0">153 260 2184,'0'0'0,"0"-10"1736,0 10-1736,-1-3 1865,-1-11-145,-1 10-176,-1-6-127,1 8-49,-1 0-88,4 2-1280,-4-4 1169,0 2-105,-1-1-120,-5 1-144,7 2-48,-7-3-48,10 3-704,-4 0 641,-6 0-57,6 3-88,-5 0-128,5 7 0,-7-6-32,11-4-336,-5 12 312,-5-2 40,6 2-48,-7 1-56,8 2-24,-7 0-24,10-15-200,-2 16 136,-2-2 16,0 3 9,2 1-49,1-2 64,0 0-40,1-16-136,0 16 120,0-2 16,3 1 16,7-2 0,-7 0-24,9-2-32,-12-11-96,10 12 80,0 0-24,0-1 40,2-2-8,0-4-32,3 7 24,-15-12-80,14 3 16,2 0 0,-1 2 8,1-2-32,-1 0 32,1-3-24,-16 0 0,14 0 40,3-3-104,-1 0 72,-1-1-48,0-5-40,-3 6 80,-12 3 0,12-9-56,1 6 8,-2-9 8,-1 9-32,-6-9-8,9 2 48,-13 10 32,3-9-40,0-1 16,1-1-8,-2-1-32,-2 1 32,0 1 8,0 10 24,-1-11-40,-3-1 8,0 0-24,-7 1 0,1 0 16,5 2 24,5 9 16,-14-4-8,4-11-32,0 11 8,-1-10 16,0 4-64,1 6 56,10 4 24,-10-14-56,-1 4-24,0 1 8,2-1-64,5 7 16,-6-7-56,10 10 176,-1-2-97,-1-1-79,-1 0-96,2-1-80,1 1-136,0 0-144,0 3 632,0-2-680,3-1-88,0 1-128,10 0-73,-3 2-247,2-3-208,-12 3 1424,12-2-1705,2 2-431,2-3-265,-1 0-279,3-1 103,2 1 729,-20 3 1848,19-4-1064,2 0 48,-21 4 1016</inkml:trace>
  <inkml:trace contextRef="#ctx0" brushRef="#br0" timeOffset="1">700 113 3520,'0'0'0,"0"-3"1873,-1 1-257,1 2-1616,-1-3 1432,-1 1-135,0 2-97,1-2-112,0-2-144,1 0-24,0 4-920,0-9 801,0 7-81,2-1 24,2 0-128,6-1-48,-7 0-80,9-5-128,-12 9-360,4-3 344,11-6-87,-4 6-73,0 0-80,1-7-8,-1 10-56,-11 0-40,11-3 40,-1-1 16,0 0-64,1 1 16,-8 0-64,10 0 32,-13 3 24,4-3-16,6 0 32,-8 0 56,0 3-48,1-2 16,-1 2-56,-2 0 16,0 0-16,-1 0 16,-3 0 16,0 0 48,4 0-64,-10 1 24,1 2 32,-1 0 8,-1 0-40,-2 0 16,1 2-16,12-5-24,-13 10 24,0-7-24,-1 7 128,0-7-16,1 9 32,0-8 32,13-4-176,-12 13 112,-1-9 8,-1 8 8,2-3 24,2-5 40,-1 7-40,11-11-152,-5 3 168,-6 2-16,9-1-24,-2 5 40,3-6-64,0 0 40,1-3-144,0 10 96,0-8 8,2 3-40,8 6 40,-8-8-24,10 7-8,-12-10-72,4 4 48,11 5-48,-4-6 16,1 0-56,0 7 80,-1-7-40,-11-3 0,13 10-16,0-6 32,-1-1-40,0 2 72,0 0-32,0 4-16,-12-9 0,13 4 0,1 1-32,-2 4 0,0-5-8,-3 5 80,1-5-72,-10-4 32,3 5 32,9 4 56,-8-5-112,5 6 48,-6-7 0,0 2-32,-3-5 8,4 5 0,0 4 0,-1-6 24,0 0-24,-1 2 24,-2 0-8,0-5-16,0 10-40,0-7 64,0 8-8,-1-7 8,-3 0 72,1 1-96,3-5 0,-5 11 56,-5-8 48,7 8-32,-7-7 16,5 1-16,-6-2-72,11-3 0,-4 5 40,-9 0 8,3-2-16,-2 2-8,1-1-32,0-1 16,11-3-8,-10 4 0,0-2 56,0 0 25,6-1-97,-7 0 8,7 0-49,4-1 57,-9 1-40,5 1 16,-1-2-72,0 0-120,1 0-136,0 0-72,4 0 424,-4 0-504,1 0-96,0 0-160,2 0-144,1-3-113,0 1-143,0 2 1160,0-3-1280,4 1-224,5 0-249,-5-1-279,8 0-273,-1-7-287,-11 10 2592,12-2-2385,2-2 713,1-7-88,-15 11 1760</inkml:trace>
  <inkml:trace contextRef="#ctx0" brushRef="#br0" timeOffset="2">1224 146 4681,'0'0'0,"-12"0"2176,0-3-472,-3 0-247,15 3-1457,-16-2 1304,2 2-152,-1 0-184,1 0-103,-2 1-105,2 0 8,14-1-768,-16 4 704,3 1 0,0 4-24,0-4-80,1 6-71,0-6-25,12-5-504,-11 12 520,7-2-40,-5 1 8,8 2-8,-2 0-64,2 3 0,1-16-416,0 17 400,0 0-48,3-1-47,7 0-41,-6-3-120,10 3 8,-14-16-152,12 14 112,0 1-88,1-2 64,2-1-104,-1-3 56,3 2 40,-17-11-80,17 10-24,2-1 104,1-4-40,-1 6 8,2-8-24,-2 1-24,-19-4 0,20 4-16,0-3 16,0 0 32,0-1-48,-2 0 0,0-2-48,-18 2 64,17-4 0,-3-6 0,-2 8 24,-2-8 48,-6 7-112,5-8 88,-9 11-48,0-11 0,3-1 16,-3 0 40,-2 0-24,-2-2-8,-7 0-40,11 14 16,-12-16 0,-1 0-24,-2 3 64,-2-1 40,1-1-8,-1-1-16,17 16-56,-18-17 0,0 4 32,0 0-24,1 3 24,0 0-8,2 7-48,15 3 24,-16-15 0,1 6 0,0 6 24,3-9-8,0 10-32,8-2-64,4 4 80,-10-10-152,9 7-128,-2 1-80,2-1-184,1 3-209,0 0-95,0 0 848,4 0-1104,8 2-256,-1 0-313,1 2-583,3 0-809,1 6-904,-16-10 3969,16 4-4017,2 5-119,-18-9 4136</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49.324"/>
    </inkml:context>
    <inkml:brush xml:id="br0">
      <inkml:brushProperty name="width" value="0.05" units="cm"/>
      <inkml:brushProperty name="height" value="0.05" units="cm"/>
    </inkml:brush>
  </inkml:definitions>
  <inkml:trace contextRef="#ctx0" brushRef="#br0">15 66 384,'0'0'0,"0"0"152,0 0 80,0 0-232,0-4 360,0 2 104,0 0 112,0 2 16,0-3 40,0 1 24,0 2-656,0 0 689,0-3 39,0 1 8,0 2 0,0 0 8,0-2-64,0 2-680,0 0 616,0 0-63,0 0-105,0 0 16,0 0-64,0 0-40,0 0-3201,0 0 6042,0 0-2921,0 0-24,-1 0-16,1 0-48,-1 0-40,1 0-152,0 1 136,-2 0-32,1 3-56,0-1 56,0 1-16,0 5-16,1-9-72,-2 4 120,1 8-24,0-2 16,0 3 0,0 0 24,1 1 56,0-14-192,0 16 169,0-1 39,2 2-16,0 1-40,1 0 8,-1 0-56,-2-18-104,3 18 112,0 0-40,1 0-8,5 0 64,-6 1-32,0 0-56,-3-19-40,11 18 160,-8-1-96,0-1 16,9-1 64,-10-2-112,2 2 24,-4-15-56,11 13 32,-9-1 24,2-1-32,-1 0 40,8-7-8,-8 7-40,-3-11-16,3 4 56,1 1-24,-1-1 0,1 6 64,0-9-32,-2 3-16,-2-4-48,2 3 88,1 0-72,-3-2-16,0 0 80,0-1 8,0 0 40,0 0-128,0 0 152,0 0-48,0 0-80,0-3 8,-1-8-16,-1 8-40,2 3 24,-1-10 32,-1 6-16,-2-9-8,1 3 16,-1-1-24,2-1 48,2 12-48,-3-13 0,0 0 8,-1 0 8,0 0-32,2 1 64,-2 0-16,4 12-32,-2-13 0,-2-1-16,1 0 16,-1 0-40,1-1 32,0 1 16,3 14-8,-3-13-8,-1-1-32,0 3-40,1-3-16,-1 0 8,1 0 40,3 14 48,-3-16-24,2 2 16,0 0-40,0 1 16,0 1-8,1 0 0,0 12 40,0-12-40,0 0 16,0 0-32,2 0 72,2 3-8,5-1-32,-9 10 24,2-9 16,2 5-72,8-8 32,-8 8-24,6-5 40,-6 6 8,-4 3 0,13-9 0,-3 5-16,-1 1 8,2-7-40,1 10-24,1-4 56,-13 4 16,14-2-64,-1 2 56,-1 0-48,0 1 0,0 3 24,-2 7-8,-10-11 40,10 4-8,-6 11 16,9-6 16,-10 3-64,9 0 0,-8 0 40,-4-12 0,11 16 0,-9-2 56,2 1-40,-1-3-32,1-2 0,0 0 56,-4-10-40,3 10 56,0-1-32,-3-4 0,0 7-24,-2-7 0,-1 7 32,3-12-32,-10 5 32,7 5-8,-9-6 16,1 6-24,0-7 0,-1 7 8,12-10-24,-12 2 32,0 8-8,-1-8 8,0 2 0,-2 0-32,2 0 16,13-4-16,-14 4 0,-1-1 0,2 1-24,1-3-24,3 0-16,-1 0-120,10-1 184,-5 2-336,-6-1-208,8-1-264,-2 0-209,0 0-207,2-3-216,3 3 1440,-4-2-1616,2-2-281,0 1-303,1-1 39,1 1 625,0-1-72,0 4 1608</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52.166"/>
    </inkml:context>
    <inkml:brush xml:id="br0">
      <inkml:brushProperty name="width" value="0.05" units="cm"/>
      <inkml:brushProperty name="height" value="0.05" units="cm"/>
    </inkml:brush>
  </inkml:definitions>
  <inkml:trace contextRef="#ctx0" brushRef="#br0">23 576 1384,'0'0'0,"0"3"808,0-2 96,0 1-40,0-2-864,3 1 881,-1 1-33,-2-2-72,2 1-80,-2-1 0,2 0-48,-2 0-648,0 0 624,0 0-23,2 0-41,-2-3 0,2 1 8,2-2 24,-4 4-592,4-3 552,-1-1-64,0 1-56,6-1-64,-6 1-71,0-1-25,-3 4-272,9-4 224,-7 1-40,9-1-8,-8 1-40,9-1 8,-9-7-24,-3 11-120,13-2 128,-10-2 0,9-5-64,-8 6-32,9 0 16,-3-7-32,-10 10-16,9-2 16,0-2-16,1 0-16,-2-5 40,-4 6-32,7 1 16,-11 2-8,3-4 16,7 1-56,-8-7 64,1 10-48,7-3 16,-8-7 16,-2 10-8,2 0-16,2-4 16,-2-6-16,-2 7 8,2 0 16,-2-8-48,0 11 40,0-2-16,-1-8-40,-1 8-16,-1-2 40,-7 0-48,6 1 48,4 3 32,-11-4-48,2 2 8,-1-1 8,-1 3 0,1 0 16,-2 0 0,12 0 16,-13 0 0,1 2-16,-1 1-16,-1 7 56,1-7-16,0 8-8,13-11 0,-16 10 56,3-6-48,0 10 8,0-10 40,4 8-56,-1-7 8,10-5-8,-4 13 56,-4-9 0,7 8-16,-1-7 48,1 6-64,1-7 0,0-4-24,0 12 80,3-7-40,0 7 48,8-8-16,-7 7-8,8-9-8,-12-2-56,9 5 80,1 0 72,2-2-16,0 1 16,2-1-40,0 1-40,-14-4-72,14 1 88,0-1-8,2 0-16,0 0-48,-1 0 24,1-2-64,-1-2 0,-15 4 24,15-4 8,0 1-40,-2-1 56,3-5-16,-3 6 8,-2 0-32,-11 3 16,12-11-8,-2 9 16,-1-2-48,-5-6 64,7 8-40,-9 0 16,-2 2 0,4-4 0,0 2-48,-3-1 72,-1 3 0,0-2 8,0 2 8,0 0-40,0 0 8,0 0 32,-1 0 0,-1 1 0,-1 3-8,3-4-32,-3 2 8,0 2-8,-1-1-32,2 7 0,-1-8 32,3 3-16,0-5 16,-1 11 16,0-8 16,1 2 0,0 6-16,0-8 8,2 8-40,-2-11 16,3 4 40,0 5-16,8-4 16,-8 6 8,6-6-8,-5 4 16,-4-9-56,10 4 0,-7 0 48,10-1-24,-10 1 8,10-2 8,-4 1-32,-9-3-8,4 2 16,6-1 16,-8-1-24,7 0 16,-6 0 0,0 0 16,-3 0-40,10-2 32,-7-2-8,0 1 24,7-7 8,-8 8 8,1-8-8,-3 10-56,2-4 48,-2-6-48,2 6 64,-2-8-40,0 8 32,0-8-8,0 12-48,0-3-24,-1-8 64,-1 8-88,-1-8 56,2 7 32,-1-8-32,2 12-8,-1-3 24,0-8-32,0 7-16,0-7-16,0 8 56,1-8-40,0 11 24,0-2-40,0-9 40,2 7-104,0-8 8,1 9-16,7-8-24,-10 11 136,2-4-144,7-8 0,-7 9-16,10-10-48,-9 10-16,8-6-56,-11 9 280,3-3-408,8 0-24,-7-1-112,10 0-64,-4 1-81,0 0-119,-10 3 808,12-2-856,-2 0-144,0 2-160,0 0-169,2 0-287,-1 0-184,-11 0 1800,10 1-1921,1-1 369,0 1 600,-1 0-24,-10-1 976</inkml:trace>
  <inkml:trace contextRef="#ctx0" brushRef="#br0" timeOffset="1">881 273 1120,'0'0'0,"0"0"0,0 0 1248,-3-3-16,-8-8-119,8 8-65,-1 1-120,-6 0-96,10 2-832,-3-3 760,-7 1-208,5 2-56,-6-2-119,1 2-81,2 0 32,8 0-328,-11 0 304,1 0-16,0 0 16,2 1-8,3 1-32,-7 1 24,12-3-288,-5 3 304,-8 1 16,9-1 88,-8 2 16,7 0 16,-4 4-31,9-9-409,-4 5 376,-7 6-48,7-6-32,-5 9-40,5-4 8,2 2-64,2-12-200,-5 14 192,1-2-32,1 4-32,-1-2-24,3 2-64,0-1 32,1-15-72,0 14 48,0 0-8,0-1 16,2 0-56,2 0 16,-1 0 32,-3-13-48,11 14 8,-10-1 24,10-1-8,-7 0-80,7 0 0,-8-2-16,-3-10 72,13 10-40,-10 1 24,11 0 16,-11-7 16,10 10-88,-9-10 0,-4-4 72,12 11-8,-10-7-40,8 1 16,-7-2-24,0 7-56,1-9 16,-4-1 96,3 2-80,0 1-32,-2-1 56,-1-1-32,0 2 8,0-2 72,0-1 8,0 1-24,0 0 16,-1-1 32,-2 0-8,0 0-16,-2-2 40,5 2-40,-9-2 0,6-1-48,-7 0 56,7-1 16,-7-6-8,6 7 40,4 3-56,-9-12 32,6 8-56,-8-8 56,8 9-16,-1-9-64,-6 8 72,10 4-24,-2-12 8,-2 8-16,1-8 40,0 9-40,0-9 16,0 8-16,3 4 8,-1-12-16,0 3 8,1 5 8,0-8-24,2 9-8,2-9 8,-4 12 24,3-4-80,7-7 0,-6 8-8,7-8-16,-8 8-32,12-6 24,-15 9 112,11-3-104,-1-6-56,1 6 24,0 0-56,3 0-64,-3 1-24,-11 2 280,12-2-329,-1-1 1,-2 1-24,1 2-48,-6 0-80,9 0-24,-13 0 504,4 0-544,8 1-16,-9 3 16,8-1-48,-7 1 55,7-1 73,-11-3 464,2 5-360,1 0 88,7 0 64,-10-2 56,4 2 48,0-1 48,-4-4 56,2 3-32,1 1 24,-1 0-8,0-2 24,1-1 8,-1 0 32,-2-1-48,3 2 40,-3-2 48,2 0 16,0 0 32,0 0 88,0 0 104,-2 0-328,3-3 448,-1 0 81,2-1 31,-1 2-32,1-2-40,-2 0-48,-2 4-440,4-3 368,6-1 0,-8-5-72,1 6-32,6-6 0,-6 6-48,-3 3-216,9-9 232,-6 6-40,8-6-48,-8 5-64,7-7-8,-6 8-8,-4 3-64,9-11 32,-5 7 25,7-6-49,-8 7 16,7-6 16,-8 6-32,-2 3-8,10-9 32,-7 6 0,0 0 0,1-1 24,-1-7-48,1 11 0,-4 0-8,2-3 56,-2-1 0,0 1 40,0-1-32,0 2 8,-1 2-16,1 0-56,-2-3 40,-2 3 48,-5 0-24,5 0-24,-8 0 8,3 0-32,9 0-16,-11 1 24,2 3 8,-2 0-32,0 0 40,-1 1-56,1 0 56,11-5-40,-12 12 48,1-10-16,0 8 56,3-5-24,-2 5 40,6-5 8,4-5-112,-12 13 104,9-8 40,-7 8-32,6-2 88,1-1-8,-1 0-72,4-10-120,-2 11 152,1-1-88,1-1-8,0 1 64,2 1-32,1-2-40,-3-9-48,4 10 80,7-5-32,-10 7-24,9-9 16,-7 7-16,8-6-56,-11-4 32,10 3-8,-1 1 16,0-1-32,1 1 56,2-2-32,-1-1 0,-11-1 0,13 2-8,-1-2-88,2 0-16,-1 0-80,-1 0-96,1-4-120,-13 4 408,15-3-528,-1-7-128,0 8-128,0-8-129,0 6-135,-2-6-240,-12 10 1288,12-4-1537,0-8-215,0 8-200,0-9 87,-2 10 337,-1-12 464,-9 15 1064,9-3-552,-7-11-16,-2 14 568</inkml:trace>
  <inkml:trace contextRef="#ctx0" brushRef="#br0" timeOffset="2">1361 227 648,'0'0'0,"-2"0"1256,-1 0-128,-1 0-80,4 0-1048,-5 0 1041,2 0-41,-2 0-96,0 0-80,-4 1-144,7 0-96,2-1-584,-5 1 505,-5 3-33,7-2 0,-8 2 0,8-1 16,-7 1-8,6 0 0,4-4-480,-12 4 512,8 1-24,-8 0 0,8 4-23,-7-5 23,6 6-40,5-10-448,-10 4 440,6 8 0,-6-7-88,7 7-24,-1-2-24,1-5-120,3-5-184,-4 13 200,3-9-24,0 8-24,1-2-32,0 1-40,0 0-40,0-11-40,3 10 8,7 0 64,-8-1-48,7-4-8,-5 6 32,7-7-24,-11-4-24,9 4-40,0 1 16,2 5-32,-2-9-56,3 3 32,-1-1-8,-11-3 88,14 1-200,-1 1-48,0-2-32,2 0-128,-2-3-64,0 1-8,-13 2 480,14-4-616,-1-5-56,-1 6-89,1-8-207,-2 8-192,2-10-272,-13 13 1432,12-10-1617,-1-2-191,0-1-24,0-1 103,0-2 297,0 2 504,-11 14 928,11-17-488,0 1 48,-11 16 440</inkml:trace>
  <inkml:trace contextRef="#ctx0" brushRef="#br0" timeOffset="3">1621 35 984,'0'0'0,"-1"-4"832,1 4-832,-4-11 1072,-1 8 40,-3-7 121,7 8 31,-3-1-8,0 1-96,4 2-1160,-3 0 969,0 0-185,1 0-88,0 0-24,0 0-112,1 1-24,1-1-536,-1 4 496,0 1-79,1 5 39,0 0-8,0 0-16,3 0 64,0 4-8,-3-14-488,11 13 336,-8 1 0,8 0-72,-7 1-112,9-1 64,-3 1-88,-10-15-128,8 15 24,3 1 24,-2-1-24,1 1-64,0-2-8,2 0-8,-12-14 56,11 13-48,2-1-32,0 0 56,-1 0 24,0 0-48,0-3 48,-12-9 0,12 10-24,-1 1-56,-1-8 8,-1 10-8,-5-9 40,8-1 0,-12-3 40,4 4-24,5 0-16,-7-3 8,0 0 0,0 0 16,1-1 8,-3 0 8,0 0-24,0 0-8,0 0-16,0 0-24,0-2-8,-1-1 24,1 3 56,-4-3-64,0-7 40,-1 7 8,-5-8-8,7 7 48,-7-9 0,10 13-24,-4-3 56,-6-11 24,6 11-56,-5-10-8,6 3-16,-2 6 8,5 4-8,-9-13 24,7 10 8,-1-12 0,0 6-8,1-2-24,1 0 0,1 11 0,-1-11-8,1 2-16,0-2-48,2 0 16,2 0-24,5 1 16,-9 10 64,4-10-120,8 6 24,-1-9-40,-1 10-16,0-10 40,3 9-72,-13 4 184,11-12-232,2 8-56,-2-5-216,2 6-112,-2-6-177,0 9-215,-11 0 1008,11-4-1176,-2 2-280,0-1-249,0 3-399,0 0-233,1-2 441,-10 2 1896,8 0-1360,-4 0 984,-4 0 376</inkml:trace>
  <inkml:trace contextRef="#ctx0" brushRef="#br0" timeOffset="4">408 899 1904,'0'0'0,"-4"-4"1352,-6-6-40,1 7-191,9 3-1121,-5-10 1008,-6 8-104,8-2-80,-8 1-144,6 0-87,-6 0-121,11 3-472,-5-3 400,-7 1-8,3 0-40,-1-1-8,0 3 24,0 0-32,10 0-336,-10 0 400,0 0 32,-1 3 0,1 0 17,-1 1-17,3-1 40,8-3-472,-11 10 424,2-7 8,-1 7-88,1-5-24,-1 6 32,2-7-16,8-4-336,-5 12 336,-7-2 8,8 1-88,-6 0-24,6 1 32,0 1-47,4-13-217,-5 14 216,2 1-56,-1 0-72,3 3 0,0-1-64,1 1 48,0-18-72,0 20 24,2-1-48,2 2 24,-1-2-24,7 0 48,-7 1 16,-3-20-40,10 18 0,-6 0-16,8-1 16,-8-3-16,9 1 16,-3-2-24,-10-13 24,8 12-8,2-1-32,-2-6 16,2 5 24,-1-5-32,0 0 32,-9-5 0,9 11-16,-6-8-32,11 0 8,-13 0 40,10-2-56,-9 2 24,-2-3 32,4 1 16,-1 0-80,0 0 16,-1-1 24,-2 0-56,0 0 64,0 0 16,0 0-24,0 0-72,-1 0-41,-1-2 9,-1 2-56,-6-2 16,9 2 168,-4-3-168,-5 1 32,5-1 48,-9 1-16,3 0 48,0-1-16,10 3 72,-10-2-80,0-1 64,0 0-16,0-7-8,1 10 32,0-3-32,9 3 40,-4-4-32,-8-5 8,9 9 16,-7-4-16,7-6 24,0 8 0,3 2 0,-4-4-24,1 1 8,1-7-24,2 8-24,0-8 8,0 8-24,0 2 80,9-10-128,-7 7 24,9-1-8,0-8 24,-1 8-16,2-6-24,-12 10 128,11-4-56,2-7-24,-1 8 40,1-8 8,3 7-48,-3-6-8,-13 10 88,16-3-96,-1-8 24,0 8-16,1-7 16,-1 7 40,-2-7-24,3 8 16,-16 2 40,13-4-48,0 0-8,2-5 16,-4 9 8,-1-3 0,-7 1 0,-3 2 32,13 0-16,-9-2-8,5 2 40,-7 0 8,0 0 16,1 0 24,-3 0-64,2 0 32,-2 0 40,0 0-8,0 2 16,0-1-16,0 3 48,0-4-112,0 3 144,0 1 24,0 0 40,0-1-24,0 7-48,-1-7 16,1-3-152,0 11 136,0-6-8,0 6 24,0-2-40,2-4-8,1 8 24,-3-13-128,3 10 120,7-5 0,-8 5 16,7 0-40,-5-6-8,7 8-16,-11-12-72,3 3 56,9 7 40,-8-7-32,8 2-16,-3 0-24,0 0-48,-9-5 24,10 5-16,1-2 8,-2 2 16,1-1-40,0-2-8,-8-1 16,-2-1 24,13 1-72,-9 1-32,7-2-104,-9 1-152,8-1-128,-7 1-176,-3-1 664,3 0-872,7 0-192,-9 0-241,3 0-287,-1 0-384,0 0-441,-3 0 2417,2 0-2769,1 0 505,-3 0 104,0 0 2160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33.201"/>
    </inkml:context>
    <inkml:brush xml:id="br0">
      <inkml:brushProperty name="width" value="0.05" units="cm"/>
      <inkml:brushProperty name="height" value="0.05" units="cm"/>
    </inkml:brush>
  </inkml:definitions>
  <inkml:trace contextRef="#ctx0" brushRef="#br0">50 217 1720,'0'0'0,"0"-2"32,0 2-16,-1-4-8,1 4-8,0-2 24,-2-1-16,2 3 0,0-2 0,0-2-8,0 1 8,0 3-8,0-3 0,0 1 0,0-1 8,0 1-8,0-1 0,0 0 8,0 3-8,0-3-8,0 0 8,3 1 0,-3-2 8,2 2 8,-2-2-8,0 4-8,3-2 32,-3-2-16,2 1 0,-2-1 16,2 0-8,-2 1 16,0 3-40,0-4 48,0 1 8,3 0 24,-3 1 16,0-2 32,0 2 24,0 2-152,0-3 176,2 1 40,-2 0 56,0-1 40,0 3 48,0-2 48,0 2-408,0 0 449,0-3 39,0 3 32,0-2 88,0 2 48,0-2 48,0 2-704,-1 0 768,0-3-8,0 1-7,-1-1-57,1 3-48,0-2-88,1 2-560,-1-2 496,0-1-80,-1 1-80,1-1 0,0 1-24,0 2-7,1 0-305,-1-2 336,-1-1-56,1 1-8,1-1 0,0 1-48,0 2 0,0 0-224,0-4 168,0 2-56,0-2-24,0 1-8,0 0-32,0 1-8,0 2-40,0-2 72,0-1-8,0 1 32,0 2 0,0-3-32,0 3 0,0 0-64,0-2 96,0 2 0,0 0 32,0 0 24,0 0-8,0 0-16,0 0-128,0 0 184,0 0 32,0 0-8,0 0 104,0 2-48,0 1 9,0 0-17,0-3-256,0 4 192,0 0 8,0 5-24,0-5 8,0 1-32,0 4-16,0-9-136,3 5 152,-3 6 0,2-2 24,0 1-48,1 0 0,-3 0-24,0-10-104,2 11 112,1 0 8,-1 1-16,0 1 0,2-1-16,-2 1-8,-2-13-80,3 12 104,-1 0 8,2 0 24,-1 3-32,1-2 16,0 1-16,-4-14-104,2 13 80,2 2 48,-2-1-32,0 0-32,1 3 56,-1 0-40,-2-17-80,2 17 72,2-2 48,-2 0-16,1 0-32,-1 1 65,1 0-41,-3-16-96,2 15 88,0-1 64,2 1-72,-2-2-24,1 3 56,-1-1-40,-2-15-72,0 15 48,3 0 80,-3 0-64,2-1-8,0 0 32,-2 1-64,0-15-24,3 15 40,-3-2 16,2 3 0,1-3-16,-1 0-8,-2-1 40,0-12-72,2 14 8,1-2 64,-1 0-32,1-2-40,-1 2 56,-2-1 0,0-11-56,2 12 16,1-1 72,-1 0-48,-2-2-24,3 1 48,-3-1-32,0-9-32,2 4 56,-2 9 24,0-8 8,2 7-48,-2-7 16,0 7 0,0-12-56,3 5 0,-3 5 48,2-6 8,-2 6-72,0-7 56,3 2-24,-3-5-16,0 5-40,0 5 96,2-6-72,-2 1 88,0 0-32,2 4-40,-2-9 0,0 3 0,3 1-24,-3 1-8,2 6 32,-2-9 48,3 3-64,-3-5 16,2 10 16,-2-8-8,2 3-8,-2 0 32,3 4 8,-1-7-64,-2-2 24,0 3 0,3 2 0,-1-1-56,0 0 40,1 0 0,-1 0-24,-2-4 40,0 3 0,3 0 40,-3 0-24,2 1-16,0-1 72,1 1-72,-3-4 0,0 4 24,2-2 8,1 1-104,-3 1 72,2 0-16,-2 0 16,0-4 0,2 4 112,-2 1-48,3 0-24,-3 4-24,2-5-72,-2 5 24,0-9 32,0 3-32,0 2 32,3-1-8,-3 1 16,2 5-8,-2-8 32,0-2-32,2 5 0,-2 0-32,0 0 8,3 4 40,-1-5-8,-2-1-16,0-3 8,2 10 24,-2-8-24,0 2 16,0 0-16,3-1 16,-3 2-16,0-5 0,2 4-48,-2-1 48,0 1 16,0-3 0,3 1 24,-3 0-8,0-2-32,0 0 24,0 1-8,2 0 32,-2-1-24,0 1-40,0-1 32,0 0-16,0 0 16,2 0 0,-2 0 56,0 0-16,0 0 0,0 0 48,0 0-104,0-2 96,0 2-24,3 0-8,-3-3-40,0 1-40,0 2 16,0 0 32,0 0-64,2-2 32,-2-1 32,0 3-16,0 0 40,0 0-56,0-2-16,0 2-8,0 0 40,3 0-16,-3 0 8,0 0 24,0 0-32,2 0-32,-2 0-24,0 0 72,0 0-48,2 0 80,-2 0-8,0 0-40,3 0 32,-1 0 8,-2 1-64,3 0 8,-1 0-16,2-1 16,-4 0 16,2 2 16,0-2-16,1 0 0,0 0-16,0 0-8,0 0 40,-3 0-16,4 0-16,0 0 0,-1 0 32,1 0-16,5 0 24,-6 0-32,-3 0 8,3 0-32,8 0 32,-8 0-32,0 0 64,9 0-64,-8 0 8,-4 0 24,11 0 24,-8 0-8,8 0 16,-8 0-16,12 0-96,-6 1 24,-9-1 56,10 0 16,1 1-48,0-1 96,-1 0-80,1 0-32,0 0 48,-11 0 0,12 1-24,0-1 40,0 0-32,0 0 16,-1 0-88,1-2 104,-12 2-16,10 0 16,0 0-8,1 0 40,-8 0-64,12 0-16,-12 0 48,-3 0-16,12-3-16,-8 3 8,9 0 48,-9 0-40,8 0-16,-10 0 32,-2 0-16,10 2-16,-8 0 0,8-1-24,-7 2 56,7-1-72,-8 1 40,-2-3 16,10 4 40,-8-2-40,2 1 56,-1-1-96,7-1 8,-8 3 8,-2-4 24,4 2-32,0 0 48,-1 0-56,1-1 64,-1 0-64,1 1 24,-4-2 16,4 0 40,-2 0-80,0 0 96,1 0-72,-1 0-24,-2 0 96,0 0-56,3 0-24,-1-3 24,-2 1 56,2-1-72,-2 1 56,3 0-24,-3 2-16,2-3 16,-2 0-32,3-1-40,-3 0 88,0 1-48,0-1 40,0 4-24,0-9 32,0 6-32,0 0-32,0-1 24,0 1-8,0-7 0,0 10 16,0-2 0,0-2-16,0-6 48,0 8-32,0-2 16,0 1-16,0 3 0,-2-4 0,1-5-16,0 6 16,1 0 0,-1-1-16,0-8 0,1 12 16,-2-2 0,1-8-24,-1 6-8,1-8 64,-1 9-24,0-10 24,2 13-32,-1-4 16,-2-8-16,1 3 16,0-2-64,-2 1 48,2-1-24,2 11 24,-4-10-72,0-2 72,1 0-32,-1 1 32,2-2 32,-2-1-8,4 14-24,-2-13-16,-2-1 32,2-2-40,-2 1-8,2-3 48,-2 1-16,4 17 0,-3-18 16,0 1 8,0 2-80,0-2 40,0-1 0,-1 1-24,4 17 40,-3-18-56,0 0 40,1 0-16,-1 1-8,1-1 72,1 2-64,1 16 32,-1-17-16,-1 0 16,1-1-16,0 1 8,0 1-8,-2 0-24,3 16 40,-1-16-32,0 0-40,-1 1 32,0 1 8,1 1 8,0 1-24,1 12 48,-1-13-112,0-1 72,-2 0 24,2 2 0,0 0 72,-2 0-64,3 12 8,-1-11-32,-1 0 48,-1-2-64,1 1 48,1-1 0,-2 1-24,3 12 24,-1-13-88,-1 2 88,-1 2-56,1-1 56,0 0 72,-1 0-72,3 10 0,-1-10 0,-1 0 32,-1 7-32,1-10-48,1 9 48,-1-9-72,2 13 72,-1-4-24,0-7-16,0 8-16,0-8 40,-1 7-16,1-8 32,1 12 0,-1-3 16,0-9-32,0 8 16,-1-8-8,1 9-24,1-10-8,0 13 40,0-4-16,0-9-40,0 9 72,0-8-16,0 9-16,0-7 16,0 10 0,0-4-24,0-5-8,0 6 16,0 0-8,0-1 40,3 1-72,-3 3 56,0-4-16,0-6 32,0 10-48,0-3 48,0 0-32,0 1 56,0 2-40,0-2-56,0-2 56,0 2-96,0-1-32,0 1 128,0-1-24,0 3 24,0-2 40,0 0 0,0-1-64,0 1 24,0 0 0,0 2-88,0-3 120,0 3-32,0-2-16,0 2-8,-2-3 88,2 3-104,-1-2 56,0 2-48,1 0 32,0-2 0,-1-1 32,0 3-48,1 0 48,-2-2-24,1 2-48,1 0 40,0-3 16,-1 3 0,0-2-32,0 2 56,-1 0-64,1-2 48,1 2-24,-1 0 0,0 0 16,0-3 40,-2 3-72,2 0 56,-1 0 8,2 0-48,-3 0 8,1 0 80,-2 0-48,2 0-8,-2 0-32,2 0-88,2 0 88,-3 0 0,0 0-72,0 0 88,1 0 0,0 0-48,-2 0 64,4 0-32,-3 0-16,-1 0 56,0 0-48,2 0-24,-2 0 16,2 0-8,2 0 24,-2 1 0,-2 1 24,0-1 32,1 0-24,-1 0-32,1 0-16,3-1 16,-5 2-40,0-1 40,0 0 0,0 0 24,-4 0-24,5 2 16,4-3-16,-5 1 16,-5 3-56,6-3 104,-8 1-144,8 1 120,-8-2 0,12-1-40,-9 2-24,4 2 64,-8-3-40,3 1-40,1-1 64,-1 1 8,10-2-32,-9 1-16,-2 1 56,-1-1-40,1 1-56,-2-1 56,1 0 0,12-1 0,-13 1-8,-2 0 72,2 1-32,-1-2-32,-2 1 24,1-1-32,15 0 8,-16 1 0,-2 0 56,2-1-48,0 0 40,0 0 8,2 0-32,14 0-24,-15 0 32,2 0 8,1 0 0,0 0-56,1 0 72,2 0-8,9 0-48,-5 0-16,-7 0 88,8-2-88,-5 2-8,5-3 64,1 3-40,3 0 0,-4-2-40,0 0 64,3 2-80,-1-3-16,1 1 72,1-1-96,0 3 96,0-2-112,0 2-32,2-2-80,0-1-200,2 1-168,0 0-345,-4 2 937,10-3-1264,-7 1-336,8-2-497,-8 2-543,10-1-601,-9 1-344,-4 2 3585,14-2-3112,-10-1-1465,-4 3 4577</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53.381"/>
    </inkml:context>
    <inkml:brush xml:id="br0">
      <inkml:brushProperty name="width" value="0.05" units="cm"/>
      <inkml:brushProperty name="height" value="0.05" units="cm"/>
    </inkml:brush>
  </inkml:definitions>
  <inkml:trace contextRef="#ctx0" brushRef="#br0">317 115 408,'0'0'0,"0"0"0,-1-3 408,0-9 200,-2 8 192,1-8 136,0 10 72,-1-8 57,1 8 63,2 2-1128,-3-10 1152,1 8-88,1-2-55,-2-5-65,1 6-80,0 0-32,2 3-832,-4-4 848,3-6-88,-2 10-55,2-3-89,0-1-104,1 1-64,0 3-448,0-3 440,0 1-32,0-1-48,0 3-56,2 0-64,1-2 8,-3 2-248,2 0 240,2 0 0,7 0-23,-8 4 39,10-1-72,-3 8 0,-10-11-184,11 10 192,1-1-104,0 4-8,0 0-8,0 2 40,0-1-16,-12-14-96,14 16 88,0-1-32,1 2-72,0-1-32,1 1 32,-3-2 32,-13-15-16,13 16-40,1-2 40,-2-1-24,0-1 0,1 1 8,-1 1-16,-12-14 32,10 12-24,1 0-16,0-2-24,-1 0 56,-7 0-56,10-6 16,-13-4 48,4 12-112,0-8-88,5 5-56,-6-5-176,-1 0-97,2-1-119,-4-3 648,3 3-720,0-2-72,-3 1-128,0 1-136,0-2-153,0 1-95,0-2 1304,0 1-1512,0 1-89,-3-2-199,0 0-112,-2 0 63,-6 0 433,11 0 1416,-4 0-816,-5 0 136,9 0 680</inkml:trace>
  <inkml:trace contextRef="#ctx0" brushRef="#br0" timeOffset="1">389 283 1336,'0'0'0,"0"-4"1032,0-8 168,3 3-47,-1 5-17,-2 4-1136,4-13 1144,5 9-56,-5-10-24,8 10-111,-9-10-145,13 3-56,-16 11-752,12-10 672,0-2-56,0 1-48,2-1-39,-1 0-33,3 0-152,-16 12-344,16-13 240,-1 1-112,1 0-72,-2 1-8,2 7-8,-3-9-32,-13 13-8,13-4-16,0-6-40,-1 6-56,0-5-112,1 6-176,-2-6-225,-11 9 625,12-3-872,-2 0-200,-1 0-248,-5 1-281,5-1-319,-6 1-256,-3 2 2176,2-2-2257,1-1 769,-3 3 224,0 0 1264</inkml:trace>
  <inkml:trace contextRef="#ctx0" brushRef="#br0" timeOffset="2">8 134 7561,'0'0'0,"-1"-3"4065,-3-8-2377,2 9-727,2-2-337,0 4-624,0-4 384,2 2-112,2 0-200,-1-1-56,9 3-104,-8-2-64,-4 2 152,13 0-184,-3 0-208,-1-3-184,-5 3-345,9-2-367,-3 2-440,-10 0 1728,11 0-2377,0 0-687,0 0 455,0 0 361,-11 0 2248</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55.456"/>
    </inkml:context>
    <inkml:brush xml:id="br0">
      <inkml:brushProperty name="width" value="0.05" units="cm"/>
      <inkml:brushProperty name="height" value="0.05" units="cm"/>
    </inkml:brush>
  </inkml:definitions>
  <inkml:trace contextRef="#ctx0" brushRef="#br0">66 129 832,'0'0'0,"-2"0"384,-2 0 72,-5 0-16,9 0-440,-1-3 424,-2 3 24,1 0 24,-1 0 56,2 0 80,-1 0 81,2 0-689,-3 0 728,2 0-8,0 0-48,0 0-168,1 0-72,0 0-40,0 0-392,0 2 368,0 0 41,0 2-9,3-1-8,1 7-16,6-7-16,-10-3-360,2 11 368,2-1-56,6-1-40,-6 1 0,6 1-80,-7 0-8,-3-11-184,11 12 160,-7 1-40,6-1-24,-6 1-16,7-2-24,-9 2-32,-2-13-24,11 12 24,-9 1 8,2-1 0,6 1-32,-8-1 24,1-1-8,-3-11-16,4 12-24,0-2 88,-1 0-56,0 0 24,-1-7 32,0 9-48,-2-12-16,0 4 32,0 1 8,0 4-8,0-6 0,0 0 8,0 1 0,0-4-40,0 4 72,-1-1-16,0 1-8,0-2 16,-3-1-8,1 2-40,3-3-16,-3 1 24,0-1-8,-1 0 1,1 0-9,-7 0 24,8-2-8,2 2-24,-5-4 16,-5-8 56,7 10-40,-8-10-8,7 2 0,-7 0-8,11 10-16,-4-11 24,-7 0-16,6 0 40,-7-1-16,8 1-24,-6-1 24,10 12-32,-4-13 24,-1 0-16,-4-2 16,5 2-16,-1 0 0,0 0 16,5 13-24,-4-13 0,0-3 24,0 2 16,1-3 0,2 3-8,0-1-8,1 15-24,0-15-8,0 0-8,2 1 40,1 2-32,7-1 40,-6 0-16,-4 13-16,14-14-8,-4 4 16,0-1-24,2 0 16,0 7 0,3-10 8,-15 14-8,13-4 0,3-8-8,-2 10 8,2-2-16,-2 2 32,0 0-16,-14 2 0,15 0-16,-2 0 0,0 1-8,-1 1 0,1 2-16,-1 7 32,-12-11 8,11 3-24,0 9-16,-8-2 8,11 1 8,-11 1 0,8 0 24,-11-12 0,2 12 0,2 1-16,-1-1 0,1-2 40,-2 2-24,-2 0-24,0-12 24,0 11 0,0 1-40,-1-2 8,-4 1 56,-5-2-24,0 1 8,10-10-8,-12 11 40,-1-7-24,-1 8-8,-2-7 16,0 6-16,1-8-16,15-3 8,-17 4-16,0 1-24,0-2 0,1-1-16,-1-1-40,1-1-48,16 0 144,-14 0-225,0 0-71,0-4-112,2-5-104,2 9-136,0-4-152,10 4 800,-10-4-920,7 1-153,-8-8-167,7 9-184,1-2-104,-1 1-89,4 3 1617,-2-4-1400,2-6 488,0 8-152,0 2 1064</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1:57.711"/>
    </inkml:context>
    <inkml:brush xml:id="br0">
      <inkml:brushProperty name="width" value="0.05" units="cm"/>
      <inkml:brushProperty name="height" value="0.05" units="cm"/>
    </inkml:brush>
  </inkml:definitions>
  <inkml:trace contextRef="#ctx0" brushRef="#br0">85 439 2192,'0'0'0,"-4"0"1216,0 0-336,-5-4-31,6 2-1,1-1-24,2 3-824,-1 0 728,-2-2-88,2-1-112,0 3-64,1-2-71,0 0-33,0 2-360,0-3 320,0 1-24,1-1 16,3 1-8,7-2 0,-8 1-24,8-2-56,-11 5-224,11-9 208,-1 6 0,2-7-56,-1 7 32,2-8-56,0 8-8,-13 3-120,15-12 120,-2 8-16,2-11 8,-1 11-80,-1-8 8,1 9-32,-14 3-8,13-12-8,-2 9 48,1-8-24,-2 9-16,-1-2-8,-5-7 8,-4 11 0,11-3-32,-9 0 24,2-7 8,0 10-32,-2-4 40,0 2-16,-2 2 8,0-4-40,0 1 16,-1-1-24,-2 2-24,-2 0 32,-5 2-40,10 0 80,-10 0-72,0 0 32,-1 0 8,-2 0 24,-2 1 16,0 2 8,15-3-16,-17 4-16,-1 5 16,1-5 0,2 8-16,-2-7 48,0 8-16,17-13-16,-17 11 8,0-2 24,0 3-24,-1 0 24,3 0 0,2 2 0,13-14-32,-11 12 32,2 2-16,6-3 24,-7 0-8,9 1-8,1-1 24,0-11-48,0 9 16,3-4 16,0 7 32,9-8-24,-2 8 96,1-9 0,-11-3-136,13 11 152,3-9-24,2 2-15,1-2-1,2 1-32,1-2 0,-22-1-80,20 1 32,2-1 0,1 0-8,-1-3-16,-1-1 24,1-7-32,-22 11 0,22-3 0,-1-10 24,-1 9-32,-1-8 8,1 8-16,-1-8 0,-19 12 16,18-3 0,-2-10-16,-1 2 32,-2 1-16,-2 7 0,-1-10-24,-10 13 24,10-4 0,-7-8 0,6 9 8,-6-7 24,-1 8-8,2-3 16,-4 5-40,2-4 32,-2 2 32,0 0 16,0-1-40,-1 1 16,-3-1-40,4 3-16,-3-2 0,-1 2 32,0 0 0,1 0 0,-1 0 8,-6 1-24,10-1-16,-1 1 16,-3 3 24,0 0-8,1 5-8,0-4-8,0 0-32,3-5 16,-1 10 0,1-6 32,0 8-32,3-2 0,0-1-16,6 2 0,-9-11 16,2 9-32,9-4-24,-9 7 48,12-8-16,-6 6 32,2-5 24,-10-5-32,9 12-8,0-7 32,-5 0-16,10-2 56,-11 1 0,10-2-8,-13-2-56,3 4 80,8-3-16,-7-1 8,0 0 56,-1 0 0,1 0 8,-4 0-136,2-2 112,2-1-56,-2 1 8,-2-2 40,0 1-8,0-8 8,0 11-104,0-2 104,-1-8-72,-1 6 0,-2-8 16,-4 10-24,4-9 32,4 11-56,-11-3 56,9-9-16,-10 1-32,8 7 16,-6-9-16,7 10 8,3 3-16,-4-12 24,-1 2-24,0 7 8,3-10 16,-2 10 0,2-9-24,2 12 0,-1-3 24,-1-9-40,1 8 8,1-9-32,0 2 0,3 2 16,-3 9 24,2-4-56,7-10 32,-7 10-8,9-8-8,-3 9 0,3-11-40,-11 14 80,11-4-128,4-8-88,-2 9-40,3-6-80,-3 6-120,3 0-72,-16 3 528,15-10-633,-1 10-111,0-2-32,1-1-80,-2 1-48,3 2-40,-16 0 944,13-2-1033,2 2-71,0 0-96,-2 0-160,1 0-1,1 1 73,-15-1 1288,14 1-1024,0 1 400,-3 0-120,-11-2 744</inkml:trace>
  <inkml:trace contextRef="#ctx0" brushRef="#br0" timeOffset="1">956 100 1352,'0'0'0,"-2"-2"904,-7-10-56,5 9-96,-7-1-72,8-5-31,3 9-649,-5 0 576,-4-4-96,7 0-88,-3 1-104,-4 0-24,6 1-32,3 2-232,-10-2 248,7-1 32,-1 3 32,-6 0 72,6 0 48,-5 1 17,9-1-449,-5 4 448,-6 0-24,8-1 0,-7 7-32,6-7 24,-5 8-16,9-11-400,-2 5 328,-2 9-32,0-4-56,0 0-24,0 1-24,1 0-32,3-11-160,-2 13 152,1-2-16,0 1-32,1 0-32,0 1-8,0 1-40,0-14-24,0 13 41,2 0-1,0 1 8,1-1-8,1 2-24,7-3-16,-11-12 0,2 13 16,1-2-32,8 0 16,-8 1 0,7-1 0,-6-1 24,-4-10-24,14 10 0,-11-1 32,11-5-8,-10 8-24,8-9-32,-9 7 16,-3-10 16,12 2-16,-9 2 24,8 0 32,-9-1-72,7 0 48,-7-1-32,-2-2 16,4 2-16,-1 0 24,1 0-32,-2-1 16,1 0 8,-3-1 8,0 0-8,0 0 16,2 0 0,-2 0 8,0 0-16,0 0-8,-1-2 16,0 0-40,-2-1 16,0 1-8,0-1 0,0 1 16,3 2 0,-4-4 8,1 1-32,1-1 24,-2 1-8,2-1 0,0-6 16,2 10-8,-4-3 0,3-1 24,-1 1-16,-1-7-8,2 8 0,0-2-24,1 4 24,-1-9-8,1 6 0,0 0-32,0-7 48,0 8 0,0-2-24,0 4 16,2-3-24,2-2-8,-2-5 0,2 10-1,-1-2 33,6 0-32,-9 2 32,2-4-32,2 0 24,6 2-16,-6-2-8,6 2 32,-7 0-16,-3 2 16,11-3-24,-8 1 48,9-1-32,-9 3 8,11-2 8,-5 0-16,-9 2 8,10-3 8,2 1 0,-1-1 16,4 0-8,-2 0-16,0-1 16,-13 4-16,13-3 16,2 1-16,-2 0 0,2-1-8,-2 1-24,3-2 8,-16 4 24,14-3 16,2 0-40,0 0 24,-3 0-8,1 0-32,0 0 24,-14 3 16,13-3-16,0-1 0,-2 1 32,0-1 0,-1 0-24,0 1 8,0-2 24,-10 5-24,9-11-16,-5 11 40,7-3-16,-8-1 8,1 1 0,-1-1 16,-3 4-32,4-4 64,-1 2-16,0-2 17,-3 1-9,0-1 8,0 4-64,0-3 40,0 3-40,-1-3 24,-3 1 16,0 2-32,-5-3 16,5 1-16,-8 0-8,12 2 0,-10 0 16,-2 0 0,3 0 0,-3 0 0,1 0-16,-1 1 0,12-1 0,-13 3 56,0 1-56,1 0 24,-1 5 16,1-6-16,-1 0 40,13-3-64,-13 11 48,0-7 0,1 6-8,1 1 16,0-7-40,2 7 16,9-11-32,-3 5 48,-7 7-32,9-2 32,-1-1-16,1 2 0,-1-7-40,2-4 8,0 12 8,3-8-8,0 8-24,7-7 48,-6 6 8,10-7 8,-14-4-40,9 3 40,2 8-8,0-9-16,2 1-16,-1 0 0,3 0-8,-15-3 8,15 1-32,2 0 24,0 0-16,0-1 0,1 0-32,-1 0-24,-17 0 80,18 0-136,1-2-64,-2-1-192,0 0-193,-1 0-95,1 0-128,-17 3 808,14-4-904,0 1-64,1-8-137,0 9-71,-1-1-96,1-6-32,-15 9 1304,13 0-1305,2-10-7,-3 8 240,1-2 248,0-6 360,0 8 8,-13 2 456,0 0 0</inkml:trace>
  <inkml:trace contextRef="#ctx0" brushRef="#br0" timeOffset="2">1654 178 616,'0'0'0,"-1"0"480,1 0-480,-5-2 616,-5-2 48,5 2-24,-5 2-24,6 0-16,-7 0 49,11 0-649,-10 0 632,-1 0-24,-1 1 0,1 3-64,2 5-24,-1-5 8,10-4-528,-5 5 488,-7 5-40,9-6-15,-7 7-49,6-8-8,-5 7 8,7-7-8,2-3-376,-3 12 336,-1-8-24,1 8 0,0-9-16,2 8-8,1-6-48,0-5-240,0 5 208,2 5-24,2-6-48,0 6-48,-1-7-8,0 1-40,-3-4-40,9 5 32,-6-1-24,6 0-8,-7 7-8,8-10 16,-6 2 8,-4-3-16,12 3 48,-2-2-40,1 0 0,2 0-16,-1 1-24,3-2 0,-15 0 32,13 0-40,0 0-24,3 0-24,-2 0-48,2 0 0,0 0-48,-16 0 184,14-3-200,2 1-8,-3-1-24,1 0 40,0-2 16,0 2 56,-14 3 120,13-10-88,-1 8 16,0-8 0,0 6 24,-1-5-8,1 5 8,-12 4 48,11-9-56,0 5 8,0-9-16,-2 9-16,1-11 0,-6 5-64,-4 10 144,11-10-120,-8-1 16,1-1 40,-1 1 64,0 0 0,-1 2 0,-2 9 0,0-12 0,0 0-8,0 0 8,0 1 16,-2-1 8,-1 0 0,3 12-24,-3-12 24,-2 0 16,-5 1 16,7 0-24,-6 1 16,6 1-24,3 9-24,-11-4 32,8-10 0,-8 10 16,8-7 0,-7 9-24,6 0 8,4 2-32,-9-3 48,5 3-8,0 0 32,0 3 40,-1 1 16,0 7 56,5-11-184,-4 5 192,1 9 40,3-3 16,-2 1 16,2 1 8,2 3-16,-2-16-256,3 15 264,8-1-16,-7 1 33,8 0 7,-2 0-8,-1-2 40,-9-13-320,11 14 264,0 1 0,2 0-8,0 0-88,0 0-24,-1 0-32,-12-15-112,14 16 104,0-2 8,0 1-32,2-3 16,0 0-64,-2-1 32,-14-11-64,16 10 40,-4 1-32,1 0 40,-2-2-48,-1-5 32,-2 5-8,-8-9-24,4 2 8,5 0 32,-6 0-32,-1-1 32,1 0-32,-1 1-16,-2-2 8,0 0 56,0 0-48,0 0 40,0 0 24,0 0-88,-1-3 32,1 3-16,-4-2 0,-4-3-16,4-6 32,-7 9 8,2-9-48,-2 9 24,11 2 0,-10-10 0,-1 7-24,2-7 24,-2 7-16,1-9 16,-1 8-8,11 4 8,-10-11 0,0 2-16,0 5 8,6-8 0,-7 9-16,8-11 8,3 14 16,-5-10 0,2-1-8,0 1 8,0 1-48,2 5 0,1-10-16,0 14 64,0-12-72,3 3 40,0 5-40,7-9 8,0 9 24,-1-9 0,-9 13 40,14-4-16,0-7-8,0 7-40,2-6-40,0 8-88,1-2 0,-17 4 192,19-3-256,-2-7-72,1 10-32,-1-3-112,0-1-72,0 0-105,-17 4 649,15-3-800,-1 0-152,-2 3-304,-1 0-225,0 0-303,-7 0-232,-4 0 2016,12 2-2097,-10 0 481,2 0 224,-4-2 1392</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00.381"/>
    </inkml:context>
    <inkml:brush xml:id="br0">
      <inkml:brushProperty name="width" value="0.05" units="cm"/>
      <inkml:brushProperty name="height" value="0.05" units="cm"/>
    </inkml:brush>
  </inkml:definitions>
  <inkml:trace contextRef="#ctx0" brushRef="#br0">460 212 552,'0'0'0,"0"0"344,0-2 144,0 2-488,-1-4 520,1 0 72,-1-5 48,1 5 72,-1-8 72,1 3 17,0 9-801,0-11 808,0 1-8,-1 1-40,1-2-32,0 0-72,-2 0-47,2 11-609,-1-9 576,-2-1-40,-1 0-24,0 1-40,1-1-48,-1 7-16,4 3-408,-3-12 384,-2 8-40,1-5-32,-1 6-72,-4 0-55,6-1-1,3 4-184,-4-4 160,-6 1-16,6-1-16,-5 2 16,5-1-40,-8 1 16,12 2-120,-3 0 112,-10 0-32,3 0-16,-1 0-8,-1 1-8,-1 4 24,13-5-72,-16 5 56,2 4 32,-3-5-48,2 8 32,-2-2-16,1 0 8,16-10-64,-16 12 104,-1-1 8,1 2-24,1-1 24,-1 3 0,2-2-40,14-13-72,-14 17 80,2-1 8,-1 1-32,1 1 0,1-2-16,2-2 16,9-14-56,-5 14 56,-7 1 16,9-1-8,-7 2-16,6-3-32,1 0 8,3-13-24,-1 11-16,-1 1 8,1 0 16,1-1-16,0-1 16,0 0 24,0-10-32,4 10 16,5-1 16,-5-4-8,7 7 32,-2-7 8,1 7-80,-10-12 16,12 5 64,0 4-112,1-5 48,0 1 0,2-1-16,0 1 8,-15-5 8,15 4 0,0-1 32,0 1-40,-2 0 40,0-1-40,-2 1-16,-11-4 24,10 2-16,-6 1-16,8-2 8,-8 0 0,5 0 0,-9 0-8,0-1 32,4 0-72,-2 2 24,1-2-32,-3 0-8,0 0 24,0 0-24,0 0 88,0 0-112,-3 0-40,0 0-8,-8-3 0,7 1 40,-9-1 32,13 3 88,-10-2-56,1 0 24,-1-1-24,0 0 8,-1-1-16,1 2-48,10 2 112,-11-3-136,7 0-72,-10-1-72,10 0-56,-6 1-80,6 0-33,4 3 449,-9-2-496,6-2 0,0 1 8,-1-1 80,1 1 72,-1 0 32,4 3 304,-1-3-248,0 0 48,-1 1 16,2-2 56,0 2 48,0-1 16,0 3 64,3-2-64,-1 0 24,1 2-8,-1-3 8,0 3 24,2 0-24,0-2 24,-4 2 16,3 0 0,1 0-8,-1 0 24,1 0-16,6-3 8,-8 3-16,-2 0 8,4 0-16,5-2 8,-5 0-8,5-1 0,-5 3 16,6-2-24,-10 2 24,3-3-16,8 1 16,-9 0 24,10-1 16,-8 0-48,7-1 32,-11 4-24,3-4-16,8 1 0,-7-7 40,5 10-24,-5-3 0,5-1 16,-9 4-16,3-3 0,6-1 16,-5 0 8,6 1-24,-8-1 24,8-5 8,-10 9-32,2-3 40,8 1 56,-8-2 32,2 1 16,-1-1 72,1 2 24,-4 2-240,9-3 272,-9 1 40,4-1-40,0 1-32,-2 0-16,2 2-16,-4 0-208,3 0 216,1 0 32,-1 0 0,7 1-32,-8 1 0,8 2-48,-10-4-168,3 3 113,8 1-17,-7 0-48,7 5-48,-8-5 24,9 1-16,-12-5-8,4 4 24,7 1 32,-8-1-40,9 1 0,-8-1-8,9 6-8,-13-10 0,4 2 0,6 2 0,-6-1-8,8 1-16,-8 0 24,6-2 8,-10-2-8,4 2 0,8 1 0,-9-2-40,8 0-48,-8 0 0,6 1-105,-9-2 193,3 1-288,0 1-88,1-1-128,5 1-104,-9-1-88,4 0-184,-4-1 880,4 1-1112,5 0-193,-9 1-199,3-1 16,0 0 215,1 0 265,-4-1 1008,2 3-744,1-1 232,-3 2 120,2-2 72,-2 2 96,2-2 48,-2-2 176,0 2-112,3 1 40,-3-1-272,0-2 344</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00.907"/>
    </inkml:context>
    <inkml:brush xml:id="br0">
      <inkml:brushProperty name="width" value="0.05" units="cm"/>
      <inkml:brushProperty name="height" value="0.05" units="cm"/>
    </inkml:brush>
  </inkml:definitions>
  <inkml:trace contextRef="#ctx0" brushRef="#br0">18 3 3152,'0'0'0,"-2"0"2233,-2-3-777,-5 3-232,7 0-304,1 2-151,1-2-769,0 3 760,0 9-32,0-2-40,0 1-32,4-1-80,5 2-64,-9-12-512,3 10 585,10 2-57,-3 0-24,2-1-8,1 2-112,1 0-72,-14-13-312,15 14 280,-2-2-104,0 2-24,1-2-24,1 0-56,-1-2 8,-14-10-80,16 11 48,-1 1 0,1-1-24,-2 0-16,1-2 24,-2 2-40,-13-11 8,13 11 8,0-2-24,0 1-48,-2-5 40,1 7 16,-2-9-40,-10-3 48,9 11-104,-5-7-136,8 1-128,-10 4-80,2-6-32,-1 0-56,-3-3 536,4 4-584,-2 1-9,1-2-71,-3 1-16,0-1-32,0 1-56,0-4 768,-1 2-752,-3 1 0,0-1 39,-6-1 89,6 0 80,-8-1 120,12 0 424,-10 0-328,0 0 88,-2 0 88,0 0 24,-1-3 56,1 0 24,12 3 48,-14-3-40,1-1 40,0 1-16,1-7 32,0 8-8,0-2 8,12 4-16,-11-12 56,0 9 0,1-9 48,0 8 32,7-9 64,-7 9 104,10 4-304,-2-12 360,-2 9 48,0-12 24,3 12-72,0-11-32,1 5-71,0 9-257,0-4 192,0-9-40,10 9-64,-8-6-16,9 6 0,-2-8 16,-9 12-88,10-9 72,1 5-32,1-10-16,0 10-24,0-10 8,1 4 16,-13 10-24,14-10 16,1 7-8,0-10-32,2 9 8,0-9-16,1 3 24,-18 10 8,19-3 24,-1-9-24,0 8-24,-1-6-8,-2 8-40,0 0-32,-15 2 104,13-3-208,-1 0-257,-3 0-343,1 1-544,-7 2-536,8 0-193,-11 0 2081,3 0-1616,0 0 72,-3 0 1544</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01.413"/>
    </inkml:context>
    <inkml:brush xml:id="br0">
      <inkml:brushProperty name="width" value="0.05" units="cm"/>
      <inkml:brushProperty name="height" value="0.05" units="cm"/>
    </inkml:brush>
  </inkml:definitions>
  <inkml:trace contextRef="#ctx0" brushRef="#br0">9 108 5121,'0'0'0,"-1"-12"3680,-2 9-2159,-1-14-321,4 13-296,0-7-288,0 11-616,4-3 368,10-9-152,-3 8-168,1-9-24,1 10-24,0-7-64,-13 10 64,14-2-96,1-2-208,-1 0-360,-1 1-520,1 0-736,-2 3-929,-12 0 2849,12 0-3057,0 0-303,-12 0 3360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29.637"/>
    </inkml:context>
    <inkml:brush xml:id="br0">
      <inkml:brushProperty name="width" value="0.05" units="cm"/>
      <inkml:brushProperty name="height" value="0.05" units="cm"/>
    </inkml:brush>
  </inkml:definitions>
  <inkml:trace contextRef="#ctx0" brushRef="#br0">0 1 1376</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0.170"/>
    </inkml:context>
    <inkml:brush xml:id="br0">
      <inkml:brushProperty name="width" value="0.05" units="cm"/>
      <inkml:brushProperty name="height" value="0.05" units="cm"/>
    </inkml:brush>
  </inkml:definitions>
  <inkml:trace contextRef="#ctx0" brushRef="#br0">1 1 3416</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1.169"/>
    </inkml:context>
    <inkml:brush xml:id="br0">
      <inkml:brushProperty name="width" value="0.05" units="cm"/>
      <inkml:brushProperty name="height" value="0.05" units="cm"/>
    </inkml:brush>
  </inkml:definitions>
  <inkml:trace contextRef="#ctx0" brushRef="#br0">23 24 352,'0'0'0,"0"0"0,0 0 344,0 0 168,0-2 64,0-2 8,0 2-8,0-1 8,0 3-584,0-3 592,3 0 33,-3 1-1,2 0-32,0 2-32,-2-3-56,0 3-504,3 0 472,-1 0-80,-2 0-8,0 0-88,3 0-16,-3 0-88,0 0-192,2 0 152,0 1 17,-2 1-1,3 1 56,-3 1 24,2-1 0,-2-3-248,3 4 272,-1-1 32,-2 2-40,0 5 16,2-7-32,-2 8-72,0-11-176,0 5 192,0 9-16,0-3-32,0 1-8,-1 1-56,0 1-48,1-14-32,-2 14 16,-1 2-16,2-1 24,-1 1-16,0-1 8,0-2 16,2-13-32,-2 16 32,-1-2 0,1-2-88,-2 2-48,1-4-88,0 1-112,3-11 304,-2 12-360,-1-7-40,0 9-128,-1-9-96,1 6-128,0-6-153,3-5 905,-2 3-1008,1 2-96,-1-1-152,2-3-129,0 0 49,0-1 224,0 0 1112,0 0-680,0 0 344,4-2 72,-4 2 264</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1.715"/>
    </inkml:context>
    <inkml:brush xml:id="br0">
      <inkml:brushProperty name="width" value="0.05" units="cm"/>
      <inkml:brushProperty name="height" value="0.05" units="cm"/>
    </inkml:brush>
  </inkml:definitions>
  <inkml:trace contextRef="#ctx0" brushRef="#br0">82 10 960,'0'0'0,"0"0"1008,-2-2 192,1-1-200,1 3-1000,-2-2 729,1 0-121,-1 2-80,2 0-48,0 0 16,0 0-24,0 0-472,-1 0 488,1 1-24,0 0-40,-1 0-16,0 3-47,1 0 7,-1 6-8,1-10-360,0 5 312,-2 8-16,2-2-32,-1 2-72,0 0 32,0 0-32,1-13-192,-1 16 128,1 0 8,0 2-64,-2-1-16,2-1-8,-1 1-16,1-17-32,-1 18 16,0-1 48,-2-1-8,1 0-8,0-2-8,-2 2-40,4-16 0,-2 14-16,-2-1-8,1 1-32,-1-2-120,0 1-80,0-2-192,4-11 448,-4 9-648,0 1-176,1-7-265,-1 8-247,1-7-304,-1-1-345,4-3 1985,-2 3-1912,0-2 696,1 0 320,1-1 896</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2:33.944"/>
    </inkml:context>
    <inkml:brush xml:id="br0">
      <inkml:brushProperty name="width" value="0.05" units="cm"/>
      <inkml:brushProperty name="height" value="0.05" units="cm"/>
    </inkml:brush>
  </inkml:definitions>
  <inkml:trace contextRef="#ctx0" brushRef="#br0">17 53 2080,'0'0'0,"-1"1"256,-1 0 56,-2 0 0,1 1-16,3-2-296,-2 1 288,1 0 8,0-1 8,0 0 0,0 0 17,1 0 7,0 0-328,0 0 344,0 0 56,0 0 32,0 0 16,0 0 48,0 0 0,0 0-3112,0 0 5736,0 0-2568,0 0 32,2 0 1,-2 0 47,2 0-24,-2 0-608,3 0 608,-3 0-8,2 0-88,1 0 16,-1 0-32,0 0 1,-2 0-497,3 0 512,-1 0-8,1-2-16,-3-1 16,2 3 8,0 0-24,-2 0-488,3-2 472,-1 2-40,1 0-47,-1-3-1,2 1-24,-2 2-16,-2 0-344,4-2 328,-2-1-40,0 3-24,2-2-8,0 2-40,-1-3-32,-3 3-184,10-2 192,-8 2-48,2 0 40,5-2-96,-6-1 48,0 1 8,-3 2-144,10-3 80,-8 3 104,9-2-64,-9 0 0,9-1 8,-7 3-56,-4 0-72,11 0 8,-8-2 32,12 2 32,-6 0 8,1 0 64,-1-3-56,-9 3-88,11 0 65,-1-2-25,1 2 16,1 0-16,-2-2 24,2 2-32,-12 0-32,12-3-40,1 1 96,-1 2-48,0 0 8,-1-3 64,1 3-48,-12 0-32,11 0 24,0-2 0,0 2-8,-1 0 0,1 0-16,0 0 16,-11 0-16,4 0 8,9 0 24,-10 0-24,10 0 40,-9 0-8,7 0-16,-11 0-24,2 1 80,2 0-64,5-1-16,-6 2-16,-1-2-32,2 1 48,-4-1 0,3 1 24,1 0-8,0 0-16,-2-1 8,0 0-32,1 2 0,-3-2 24,2 0 8,-2 1 8,3 0 8,-3-1-8,0 0-80,0 0-48,0 0 112,0 0-208,0 0-72,0 0-185,0 1-159,-2-1-216,0 1-272,2-1 1112,-4 2-1456,2-1-361,0 1-439,-2-1-641,2 2-496,-2-2 201,4-1 3192,-2 1-3081,-1 2 769,3-3 2312</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2.277"/>
    </inkml:context>
    <inkml:brush xml:id="br0">
      <inkml:brushProperty name="width" value="0.05" units="cm"/>
      <inkml:brushProperty name="height" value="0.05" units="cm"/>
    </inkml:brush>
  </inkml:definitions>
  <inkml:trace contextRef="#ctx0" brushRef="#br0">104 17 3688,'0'0'0,"-2"-2"2209,-1-2-753,3 4-1456,-4-3 864,1 0-272,1 1-144,1 0-47,1 2-57,0 0 24,0 0-368,0 0 392,0 0-8,0 0 40,0 0-56,0 0 0,0 0 0,0 0-2672,0 3 4984,0 1-2280,0 7 16,0-7-103,0 10-81,0-4-40,0-10-192,0 12 184,-1 0-40,0 2-32,-2 1 0,0 1-80,0-1 8,3-15-40,-3 16 56,-1-1-24,1 1 80,-1 1-40,0 0 8,0-1 0,4-16-80,-5 16-16,1 0 32,-1-1-32,2 1-16,-2-2-80,0 0-40,5-14 152,-3 14-240,-2-1-112,1-1-128,1-1-185,-1-2-103,2-4-184,2-5 952,-3 11-1104,1-9-216,1 2-217,0-1-287,1 1-201,0-3 265,0-1 1760,0 0-1208,0 0 592,2 0 128,-2 0 488</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2.800"/>
    </inkml:context>
    <inkml:brush xml:id="br0">
      <inkml:brushProperty name="width" value="0.05" units="cm"/>
      <inkml:brushProperty name="height" value="0.05" units="cm"/>
    </inkml:brush>
  </inkml:definitions>
  <inkml:trace contextRef="#ctx0" brushRef="#br0">123 1 5617,'0'0'0,"-3"0"3296,-7 0-1679,5 0-849,-4 1-232,7 3-96,2-4-440,-3 5 416,-1 4 16,1-5 56,-1 6 57,0-5-33,1 8-40,3-13-472,-4 11 384,1 1-104,-2 0-48,1 3-56,1-2-64,-1 1-8,0 1-32,4-15-72,-3 14 40,-1 0 32,1 3 0,0-3-56,1 2 0,-1 0-32,3-16 16,-2 15-80,0 0 40,-1-1-200,1-2-296,-2 0-296,2 0-441,2-12 1273,-2 11-1664,-1 1-384,1-2-457,1 0-344,-2-6 521,2 6 56,1-10 2272,0 0 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5.603"/>
    </inkml:context>
    <inkml:brush xml:id="br0">
      <inkml:brushProperty name="width" value="0.05" units="cm"/>
      <inkml:brushProperty name="height" value="0.05" units="cm"/>
    </inkml:brush>
  </inkml:definitions>
  <inkml:trace contextRef="#ctx0" brushRef="#br0">1 100 472,'0'0'0,"0"0"64,0 0-24,0 0 16,0-2-8,0 2 16,0 0-64,0-3 80,0 1-8,0 2 24,0-2 0,0 2 0,2-3 0,-2 3-96,2 0 80,1-2-16,-1 2-8,1-3-16,-1 3 8,0-2 24,-2 2-72,3 0 88,-1-2 32,1 2 24,-1-3 40,2 1 48,-2 2 48,-2 0-280,2 0 328,1-3 24,-1 3 24,1 0-8,-1-2-16,-2 2 1,0 0-353,2 0 336,-2 0-24,3 0-32,-3 0-48,0 0-48,2 0-32,-2 0-152,0 0 128,2 0 0,-2 0 24,3 1-8,-3 0 56,2-1 0,-2 0-200,0 2 240,0-1 32,3 0-24,-3 3 48,2-3 8,-2 1 24,0-2-328,0 1 352,2 2 1,-2 0-33,0 0 0,3 0 16,-3 1-24,0-4-312,0 5 320,0 0-16,0-1-8,0 1 0,0 5 8,0-7-40,0-3-264,0 10 248,0-6-32,0 5-32,0-5-24,0 1-72,0 5 64,0-10-152,0 5 112,0 6 0,2-6 33,-2 5-73,3-6 32,-3 7-8,0-11-96,2 3 64,-2 8 0,2-7-40,1 8 40,-1-9 32,1 9-24,-3-12-72,2 5 112,0 8-24,1-2-8,-1-1 24,1-1 0,-1 1 8,-2-10-112,2 11 80,1-1 16,-3 2-8,2 0 32,1 2 16,-1-2 32,-2-12-168,0 13 144,2 0 8,-2 1-8,3 1-40,-3 0 24,2 2-96,-2-17-32,3 18 32,-1-2 24,-2 0-32,2 0 32,1-2 8,-3 3-24,0-17-40,2 16 48,-2-1 24,3 0-16,-3 0 0,2 1-16,0-1 16,-2-15-56,0 17 24,3 0 32,-3 0 16,0-2 8,0 0 0,0-2-16,0-13-64,0 12 56,0 0 16,0 0-16,0-1 16,2-2-24,-2 2 0,0-11-48,3 10 0,-3-1 40,2 1-16,-2-1-24,0-4 32,2 7 8,-2-12-40,3 4 56,-3 7-32,2-2-32,1-4 16,-3 8-8,2-8 40,-2-5-40,2 12 24,1-7-40,-3 7 16,2-3-8,1-5 32,-3 8-16,0-12-8,2 3-32,-2 9 16,2-2 8,-2 0 8,0-6 32,0 7 16,0-11-48,3 4 0,-3 8 0,0-7 0,0 5-24,0-5 72,0 6 16,0-11-64,0 3 8,0 2 16,2 0-24,-2-1-24,0-1 64,0 1-8,0-4-32,0 5 24,0-2 48,0 1-55,0-1 15,0 1-8,0 0-56,0-4 32,0 3 24,0 1-16,0-1 8,0 2 8,0 5-40,0-9 8,0-1 8,0 4 0,0-1-16,0 2 80,0 0-40,-1 0 0,1-1 0,0-4-24,0 4-40,0 0 64,0-1-8,-1 1 8,1-1 24,0 1-8,0-4-40,0 4 32,0-1 8,0 0-16,0-1-16,-1 0 8,1 0 8,0-2-24,0 1 48,0 0-72,0 3 48,0-2-24,0 0-24,0 1 88,0-3-64,0 1-16,0 0 40,0 0 24,0 0-72,0 1 64,0-1-80,0-1 40,2 1 0,-2 0 0,0 0-24,0 1 72,0 0-24,0-1 32,0-1-56,2 1 32,-2 1 8,0-1-80,0 0 16,0 0 24,0 0 16,0 1-16,0-2 0,0 1 0,0-1-16,0 1 8,0 0 56,0 0-40,0 1-16,0-2 8,0 0 24,0 1-64,0-1 56,0 0 16,0 1-40,0 0 32,0-1-24,0 1 0,0 1-24,0-1 8,0-1 32,0 0-16,0 1 0,0 0-16,0 0 8,0-1 32,0 0-40,0 0 16,0 0 16,0 2-32,0-2 40,0 0 16,0 0-64,0 0 24,0 0-16,0 0 8,0 1-8,3 0 8,-3 0 32,0-1-24,0 1-24,0-1 48,2 0 0,-2 0 16,3 0-16,-3 0-40,0 0 16,0 0-40,2 0-8,-2 2 40,2-2-8,1 0-8,-3 0 16,0 0 8,2 0 0,0 0 24,1 0 24,-1 0-88,1 0 56,-1 0-40,-2 0 24,4 0-24,-1 0 48,7 0-24,-8 0-16,8 0 16,-7-3 0,-3 3 0,11 0-32,-7-2 16,8 2 0,-9 0-32,11 0 48,-11-3-32,-3 3 32,15 0-40,-5 0 16,0-2-16,1 2 56,-2 0-40,2 0 48,-11 0-24,11 0-24,1 0 0,-1 0-16,-1 0 8,2 0 32,2 0-48,-14 0 48,13 0-16,0 0-32,1 0 8,0 0-16,-1 0 40,1 0 16,-14 0 0,13 0-32,2 0 16,-1 0 8,0 1-57,1-1 41,-2 0-8,-13 0 32,13 0-88,2 0 56,-2 0 32,0 0-64,1 0 56,-2 0-16,-12 0 24,13 0-48,-2 1 56,0-1 8,0 2-8,-8-2 8,12 0-8,-15 0-8,3 0-24,9 0 24,-8 0-8,9 0-16,-9 0 32,7 0-16,-11 0 8,3 0-48,1-3 48,7 3-40,-9 0 40,2 0 40,-1 0-32,-3 0-8,4-2 40,-1 2-40,1 0 8,-2-3 8,1 3-56,-1-2 16,-2 2 24,0 0-8,0 0 16,2 0 88,-2-2-48,0 2 16,0-3-16,0 3-48,0-2-16,0-1 32,0 1 8,0 0 8,0-2-32,0 0 40,0 4-40,-1-3 25,0-7-1,0 8 32,0-2-56,-1-5-8,1 6-16,1 3 24,-1-9 8,0 6 32,0-7-32,-2 6 56,1-9-32,-1 9-40,3 4 8,-3-17 64,1 7-40,-1-2 0,0-2 48,0 2-40,0-3-16,3 15-16,-3-16 48,1-2-24,-1 2-48,1-2 40,-2-2-32,2 0 16,2 20 0,-2-23 48,-1 0-8,2 1-16,0-2-24,0 1-16,-1-1-16,2 24 32,-1-25 0,0 1 0,0-2 8,0-1-8,-1-2 0,1-1 0,1 30 0,-2-28-8,-1 1 32,1 2 0,0 1-48,-2 0 32,0 1 32,4 23-40,-2-21-40,-2-2 80,2 2 0,0-1-56,-1 3 0,1 0 8,2 19 8,-1-18-40,-2 1 16,2 1 24,0 2 24,0-1-56,-1 2 32,2 13 0,-1-14 48,1 2-64,0-1 56,0 2-40,0 0-16,0 2 72,0 9-56,0-4 0,0-9 8,0 10-8,0-7-40,0 7 16,3-6 24,-3 9 0,0-3-48,2 0 24,-2-8 24,2 8-48,-2 0 88,3-1-16,-3 4-24,0-9-40,2 6 40,-2 1-40,3-2 16,-1 2-32,0-2 56,-2 4 0,3-3-16,-1-1 16,-2 1 40,3-1-40,-1 2 8,-2-1-56,0 3 48,2-2 0,-2-1-8,0 1-16,3 0 48,-1-1-24,-2 3-40,0 0 40,3-2 0,-1-1-8,-2 0-16,0 0 56,2 1-32,-2 0-32,0 2 32,0 0 8,0-3-32,3 3 24,-3-2 40,0-1 8,0 1-16,0 2-32,0-2-8,0-1-32,0 1 8,0 2 8,0-4 56,0 2-16,0 2-16,0-3 0,0 0 0,0-1-24,-1 1 56,1 0-16,-2 1-16,2 2 0,-1-4 8,1 2-32,-1-2 16,0-5 8,0 9 0,-1-4-16,2 4 16,0-4 40,0 1-40,-1-1 0,1 1 0,-1-1-24,1 2 24,0 2 0,-1-3 8,1 0 16,-1 0-24,1 1 0,-2 2 0,2-2-24,0 2 24,-1-3 24,0 3-32,-1-2-32,-1 2 16,2 0-48,-1 0 8,2 0 64,-3 0-24,2 0-8,0 0-8,0 0 32,-2 0-32,2 0 40,1 0 0,-2 0-25,0 0 17,1 1-32,0-1-8,-1 1 16,0 0 16,2-1 16,-2 0-8,1 0-8,-2 0 40,2 0-48,0 0 40,-1 0-32,2 0 16,-2 0-24,0 0 40,0 0-32,-1 2 16,1-2-8,-1 0-16,3 0 24,-2 0 32,0 0-16,-2 0-8,0 0-8,2 0-48,-2 0 48,4 0 0,-3 0-24,-7 0 40,7 0-40,-7 0 8,7 1 32,-8-1-32,11 0 16,-5 0 16,-6 1 16,6 0-40,-7 0 8,2 0-40,-1 1-8,11-2 48,-12 1 24,-1 1-24,-1-1 16,0 2 40,0-1-64,-1-1 56,15-1-48,-15 3 24,-1-1-24,1-1 72,-2 2-88,1-2 64,2 0-56,14-1 8,-13 1 8,-1 1 8,1-1-8,-1 0 57,1-1-17,0 1-16,13-1-32,-14 1 40,1-1-56,-1 0 40,-1 0 40,2 0-40,-1 0 24,14 0-48,-13 0 0,1 0 24,0-2-8,0 0 8,1 2-16,0 0-16,11 0 8,-5-3 32,-9 3-56,9 0 0,-8-2-32,8-1-32,-6 3 16,11 0 72,-3-2-137,-7 0-39,8 2-128,-2 0-136,1-3-128,0 3-168,3 0 736,-2 0-928,1 0-208,-1 0-169,2 0-239,0 0-136,0 0-425,0 0 2105,3 0-2528,-1 1 255,1 2-559,-3-3 2832</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7.287"/>
    </inkml:context>
    <inkml:brush xml:id="br0">
      <inkml:brushProperty name="width" value="0.05" units="cm"/>
      <inkml:brushProperty name="height" value="0.05" units="cm"/>
    </inkml:brush>
  </inkml:definitions>
  <inkml:trace contextRef="#ctx0" brushRef="#br0">25 213 640,'0'0'0,"0"0"0,-1 0 488,-1-3 272,0 1 184,1-2 64,-2 2-23,1-1-65,1 1-104,1 2-816,-3-2 752,2 2-88,0-3-88,0 3-24,0-2-95,-1 2-49,2 0-408,-1 0 328,1 0-96,0 0-32,0 0-64,0 2 8,-1 1 0,1-3-144,0 3 160,-1 1 40,1 1-16,0 5 8,0-6 0,0 6-48,0-10-144,0 9 168,0-4 0,2 8-48,1-2 40,-1 0-32,0 0 16,-2-11-144,3 12 112,-1 1-8,2-1-56,-2 0 24,2 1 32,-2 0 0,-2-13-104,4 14 160,-2 2 32,2 0 9,-2-1-9,1 2 8,-1 1-16,-2-18-184,4 18 112,-1 1-24,1 1 0,-1 1-56,0 0 56,0 0 0,-3-21-88,4 20 88,0 1-16,-1-1-16,7 1 0,-10 2-32,3 0 24,-3-23-48,4 22 32,5-1 0,-6 0-8,-1-2-24,2 1 8,5-2 56,-9-18-64,3 18 24,0-1 0,7-2 16,-8 2-56,1-1 48,0-1 0,-3-15-32,4 16 48,0-1-16,-1 0-8,0 0-8,0-1 24,0 0 32,-3-14-72,2 13 96,0 0 40,-2 1-64,0-2-8,0 1 24,0 0-32,0-13-56,0 11 104,0-1-16,0 0-8,0 1-16,-1-2 0,0 1 16,1-10-80,-1 5 72,0 7 56,-1-9-72,1 2 40,1 5-24,-1-9-40,1-1-32,0 4 96,0-1-144,-1 1 104,1-3 16,0 1-32,0 0 40,0-2-80,0 2 16,0-1-32,0 0 40,0-1 0,0 0 8,0 0 32,0 0-64,0 0 8,0 0 56,0 0-16,0 0 0,0 0-24,0 0-16,0 0-208,0 0 424,0 0-248,0 0-32,0 0 88,0 0-208,0 0 392,0 2-240,0-2 80,0 1-88,0 0 80,0-1-48,0 1 32,2 0-32,-2 2-8,0-2-16,0 1 0,3 0 32,-3-2-8,0 2 24,2-1 0,0 0 0,-2 1-48,3-1 40,-3 1-16,0-2 0,2 1-16,-2 1 64,3 0-80,-3-1 16,2 2 8,-2-2-8,0-1 16,2 1 48,-2 0-8,0 0-40,3 0-40,-1 1 40,1-2-8,-3 0 8,0 1 32,2-1-16,-2 1-40,2-1 0,-2 1-16,3-1 40,-3 0 0,0 0 24,2 1-8,1 1 8,-3 0-24,2-1 8,0 0 16,-2-1-24,0 2 0,3-2 40,-3 1-88,2 0 48,-2-1-16,0 1-8,0-1 24,0 1 40,0 2-40,0 0 32,0 1 32,0-2-40,0 2-16,0-4-8,0 4 0,0-1 0,-1 2-32,0-1 16,1-1 56,0 1-64,0-4 24,0 3 32,0 0-40,0-1 8,0-1 0,0 2 8,0-2-8,0-1 0,0 1-24,0 0 48,2 1-32,1-1 64,-1 0-88,0-1 8,-2 0 24,4 0-16,0 0-40,5 0 112,-6 0-88,0 0 40,8 0-8,-11 0 0,2 0-56,9 0 40,-7-2 8,10 2-32,-4-3 32,0 1-16,-10 2 24,11 0-40,1-3 16,0 3 24,1-2 40,-1 2-64,2 0 24,-14 0 0,13 0-24,2 0-64,0 0 56,0 1-16,0 0 24,0 1-16,-15-2 40,15 1 16,0 0-40,1 0 48,-1 0-24,1 1-16,-2-1 40,-14-1-24,16 0-24,-3 1 16,1-1-40,0 1 24,-2-1 8,0 0-24,-12 0 40,12 0-24,0 0 0,-2-2 24,0 2 24,-6-4-16,8 2 40,-12 2-48,3-3 0,8 1 0,-8 0 0,1-1-8,7 1 24,-9-1 24,-2 3-40,4-2 80,5 0-88,-6-1 16,-1 1 32,2-1-56,-2 1 56,-2 2-40,3-2 24,-3-1 8,2 3-32,0-2 16,-2-1 16,0 3-40,0 0 8,3-2 8,-3 0 16,2 2-32,-2-3 56,0 1-40,0-1 32,0 3-40,0-2 0,0 0-16,0-1 8,0 1 32,0-1 8,0 1-32,0 2 0,0-4 16,-1 1-32,0-1-16,-2 1 40,1-7 16,-2 8 16,4 2-40,-3-10 48,-1 8-40,-1-9-80,2 7 16,-1-6 8,-1 0 24,5 10 24,-3-11 48,-1 2-48,1-3 8,-1 0-32,0 0 16,1-2-56,3 14 64,-2-13-48,-1-1 16,2-2-32,-1 1 16,-1-2-24,2 0 40,-1-2-24,2 19 56,-2-18-24,0-1 8,0-3-40,0 2 32,0-3-48,0 0-24,2 23 96,-3-24-48,1-1 8,-1-1-24,1 0 56,0-2-8,-1 0 16,3 28 0,-3-27 16,-1-1-32,0 3-24,1 1 0,-1 0 16,1-1 24,3 25 0,-4-25 16,0-2 16,1 2-8,-1 0-48,1 1-32,0 0-48,3 24 104,-2-24-104,-1 3 48,1-1 32,0 3-24,-1-1 48,0-1 8,3 21-8,-4-19 0,0 1 40,2 1-40,-2 2-40,2-1 56,-2 2-40,4 14 24,-2-12-16,0 1 0,-1 0 0,1 2-16,1 5 16,-2-9-16,3 13 32,-1-4-48,0-7 16,0 9 8,-1-2-32,1-5 48,0 6-72,1 3 80,-1-3-128,1-1 72,-1 1-72,1-1 16,0 0 48,0 2-72,0 2 136,0-2-80,0-1 48,0 0-24,0 0 16,0 1-16,0-1 8,0 3 48,0-2-56,0 0 48,0-1-16,0 3-8,0-2 32,0-1-32,0 3 32,0 0-24,0-2 56,0 0-32,0-1 0,0 3-8,0-2-40,0 2 48,0-3-48,0 3 32,0-2 16,0 2 56,0-2-32,0-1-40,0 3 16,0 0-16,0-2-16,0-1 8,0 1 32,0 0-24,0 2 16,0 0-40,0-3 80,-2 1-32,1 0-8,0 2 32,0-3-40,1 3 8,-1 0-24,-1 0 32,1-2 16,0 2 8,0 0-32,0-3 0,1 3 0,-3 0-40,1-2 40,0 2 16,-1-2 8,0 2-32,-1 0-16,4 0 24,-4 0-24,1 1-32,-1 0 80,1 0-56,-7 2 8,8-1 56,2-2-32,-5 4-32,-5-2 80,7 0-24,-2 1-40,-5 0 40,7 1-24,3-4 0,-11 3 8,1 1 8,1 0-16,-2-1-16,-1 2 32,-1 0 0,13-5-16,-13 3 0,-2 7 0,1-8 0,-1 2-8,0 1 64,-2-2 8,17-3-64,-17 4 56,2 1-8,-2-2-40,1 1-16,2 0 8,0-1-24,14-3 24,-15 4 8,2-2-64,0 2-16,1-2-120,1 2-88,1-1-56,10-3 336,-4 3-448,-8-1-81,7 1-87,-6-1-88,6 2-48,-4-2-24,9-2 776,-4 4-840,0-3-161,1 1-415,1-1-480,0 1-329,2-1 497,0-1 1728,0 1-1736,0-1 1736</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38.900"/>
    </inkml:context>
    <inkml:brush xml:id="br0">
      <inkml:brushProperty name="width" value="0.05" units="cm"/>
      <inkml:brushProperty name="height" value="0.05" units="cm"/>
    </inkml:brush>
  </inkml:definitions>
  <inkml:trace contextRef="#ctx0" brushRef="#br0">1 303 176,'0'0'0,"0"0"328,0 0 24,0-3-112,0 3-112,0 0-128,0 0 104,0 0 8,3 2 48,0 0 40,0 2 32,1 0-8,-4-4-224,3 10 200,7-6-24,-8 5-48,2-4-24,0 7-32,6-1-24,-10-11-48,3 12 24,0-2 0,7 2-16,-8 0-8,8-2-8,-8 1-16,-2-11 24,10 11 0,-8-2-16,2-4 24,5 6 8,-6-2-40,-1-5 16,-2-4 8,3 13-24,-1-9 24,0-1 32,1 1 8,-3-3 40,2 0 32,-2-1-112,0 0 168,0 0 40,0 0 32,0-2-8,0-2-40,0-9-8,0 13-184,0-11 136,0-2 9,0-2 15,0-1 32,0-3 72,0 0 64,0 19-328,-1-21 376,-3 1 16,1 1 16,-1-2 24,1 3 0,-1-1 24,4 19-456,-5-18 440,2 0-40,-1 0-15,0 1-41,1 2-32,-1 1-40,4 14-272,-2-16 208,-1 3-40,2 0-40,-1 1-40,1 0-16,-1 2-16,2 10-56,0-11 56,0 2-32,0-1-16,0 6 16,3-9-24,-1 11 24,-2 2-24,4-10 0,-1 7-32,1-7-16,7 8-24,-8-2-8,9 1-64,-12 3 144,10-4-256,0 0-192,0 2-256,2 0-233,2-1-215,-1 3-192,-13 0 1344,12 0-1425,0-2-23,0 2 32,-3 0 368,3 0 536,-1 1 408,-11-1 104</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40.727"/>
    </inkml:context>
    <inkml:brush xml:id="br0">
      <inkml:brushProperty name="width" value="0.05" units="cm"/>
      <inkml:brushProperty name="height" value="0.05" units="cm"/>
    </inkml:brush>
  </inkml:definitions>
  <inkml:trace contextRef="#ctx0" brushRef="#br0">130 274 408,'0'0'0,"0"0"0,-4 0 768,-8-3-72,2-1-296,5 2-128,-6 2-32,7 0 8,4 0-248,-4 0 304,-6 0 88,6 0 40,1 0 16,-7 0-39,7 0-57,3 0-352,-5 0 288,0 1-24,0 1-48,1 2-8,-1-1 40,1 7-16,4-10-232,-3 5 208,-2 7-16,1-1-64,1 2-48,0 1-8,2 2-56,1-16-16,-1 15 0,0 1-16,1-1-24,0 2 16,0-1-32,0-1 8,0-15 48,0 16-56,2-2-24,0-2 16,1 1-16,0 1 32,1-4 8,-4-10 40,4 14-64,-1-5 40,1-4-32,-1 5 32,1-7 0,6 1-8,-10-4 32,0 3-8,2 1 0,2-2 16,-1 0 32,1-1-40,-1-1-8,-3 0 8,4 0-24,5-3 8,-6 0-8,6-7-24,-5 7 8,8-11-16,-12 14 56,4-10-40,9-1 40,-10-1 24,11 0-8,-11 0 32,8-4 8,-11 16-56,2-14 56,2-2 16,0 1 0,-1-1 0,0 2-16,-1-1 0,-2 15-56,2-14 56,-2 0 16,0 0 24,0 4 16,0-1 8,0 1-24,0 10-96,0-3 104,0-10-24,-2 9 0,-2-6 0,1 8-8,-2 0-24,5 2-48,-10-4 48,7 2-32,-7-1-32,7 3 32,-8 0-40,6 0-32,5 0 56,-11 0-32,6 0-56,-7 1-8,8 2-64,-7-2-96,6 3-64,5-4 320,-9 1-480,5 1-80,-1 2-128,2-2-81,-2 1-31,1-1-40,4-2 840,-3 4-856,0-1 24,2 0 104,0-2 296,0 0 328,1 0 104,0-1 0</inkml:trace>
  <inkml:trace contextRef="#ctx0" brushRef="#br0" timeOffset="1">239 122 696,'0'0'0,"-4"-2"1040,-8-8-288,12 10-752,-10-2 544,6-2-152,-1 0-64,1 2 16,0 0 0,0 2 33,4 0-377,-2-3 392,1 1-8,0-1-48,-1 3-88,1 0-80,1 0-64,0 0-40,0 0-64,0 0 48,0 0 32,0 2 24,3 0 0,-1 0 72,0 2-16,-2-4-160,4 4 160,0-1 40,-1 2-48,1 5 16,6-7 16,-7 7-16,-3-10-168,9 3 208,-6 7 24,8-5-56,-9 7-24,9-3-48,-8 1-40,-3-10-64,11 11 40,-7-1 8,7 4-56,-8-2-40,8 0 0,-7 0 0,-4-12 48,10 12-56,-6 0 8,8 1 8,-8-1-56,9 1 56,-10 0 16,-3-13 24,14 13-64,-11 0 32,9 1-40,-8-2-8,6 0 48,-6 0-32,-4-12 64,10 12-32,-8 0 8,2-8-32,5 8 40,-6-7 0,0 6-40,-3-11 56,4 4-120,5 5-152,-9-8-224,4 3-248,-2-1-224,2 1-177,-4-4 1145,4 2-1176,-2 0 88,2-1 128,-2-1 208,-2 0 328,2 0 336,-2 0 88,0-4 0,0 4 0</inkml:trace>
  <inkml:trace contextRef="#ctx0" brushRef="#br0" timeOffset="2">437 121 8,'0'0'0,"-1"-13"0,-3-3 40,-1-2 160,0 5 144,2 2 96,-1 7 40,1-8 64,0 10 40,3 2-584,-2-10 584,-1 8-40,2-2-40,-1 1-47,1-1-33,-1 1-32,2 3-392,0-3 304,0 1-80,0 2-56,0 0-56,0 0 8,3 0 0,-3 0-120,3 0 112,1 1 24,0 2-8,6 0 16,-6 7 24,8-7 24,-12-3-192,4 12 208,10-1 8,-2 1-24,0 0-8,1 1 32,2 3-48,-15-16-168,13 14 152,1 2-8,0-1-128,2 1 80,0 1-72,0-1-24,-16-16 0,16 17 24,-2 1-72,2-1 48,0 0-40,-2-2 24,0 1 0,-14-16 16,15 16-48,-1-1 24,-1 2-8,-1-3 56,0-1 8,-1 1-32,-11-14 0,11 10 16,-2 4-48,-5-1 8,9-4 32,-9-4-24,7 7 8,-11-12 8,3 3 32,7 0 16,-8 1 0,2-1 24,5 0-16,-6-2-16,-3-1-40,3 0 88,1 0-8,5 0 9,-6 0 15,-1 0-24,2-2 24,-4 2-104,3-4 88,1 0 8,0-5 0,-1 6-32,1-6-16,-1 5-24,-3 4-24,4-11 40,-2 8 32,2-10 0,0 9-8,-1-8-32,1 8 8,-4 4-40,9-14 16,-9 10 24,3-10 24,0 4-24,1 7-8,0-11 8,-4 14-40,3-4 16,1-9 72,-1 9-32,1-9 8,0 9 0,-1-11-32,-3 15-32,4-11 48,-2 7-32,1-9 24,-1 10 16,-2-9-32,0 2 56,0 10-80,0-10 64,0 1-72,0-1 56,-1 7-48,-3-10 0,1 9 40,3 4-40,-4-10 48,0 8-48,1-2-32,-2-6 0,-5 7-32,8 0 64,2 3 0,-10-10 40,7 10-24,-7-2-32,7-1 16,-7 3-24,6-2 48,4 2-24,-10 0 16,5 0 8,-6 1 0,6 0-48,-6 2 40,8 0 16,3-3-32,-11 10 48,7-7 88,0 2-8,-7 6-24,7-7-8,1 8-24,3-12-72,-5 4 56,1 9-40,1-3-8,2 1-16,-1 1 0,1 0 24,1-12-16,0 12 32,0 0 8,4 0-24,5-1-8,-5-2 8,7 1-32,-11-10 16,3 9 24,13 2-8,-7 0-16,3-2 40,2 2 0,-2-7 24,-12-4-64,15 12 48,1-7-24,-2 5 32,2-6-32,-2 0 56,0-1 0,-14-3-80,15 4 40,-1-3 32,2-1-16,-2 0 8,-1 0 16,1-4 8,-14 4-88,12-3 96,-2-9-16,1 8-8,-1-7-8,-7 8-8,9-10 8,-12 13-64,3-10 48,7 0 0,-7 7-32,0-9 48,8 8-16,-8-10 40,-3 14-88,2-4 80,2-8-16,-2 9 9,0-7-41,1 8 16,-1-9-24,-2 11-24,0-2 16,0-2-8,0-7 24,3 11-32,-3-3 32,0-1-8,0 4-24,0-2 0,2-1 16,-2 3-24,2 0-24,-2 0 8,3 0 8,-3 0 16,0 0-24,2 1 16,1 3-24,-1 1-8,0 0 24,2 4 0,-4-9 16,4 4 8,-1 8-16,1-7-16,5 8-49,-6-2 49,0-1 8,-3-10 16,11 12-16,-8 0 40,6 0-80,-5-1 40,5 1-16,-5 0 8,-4-12 24,11 10 32,-9 0-48,2-6 32,5 6-8,-6-7 8,-1 1-16,-2-4 0,4 5-32,-2-1 40,0-1 24,-2-2-32,0-1 56,0 0 33,0 0-89,0-4 24,0-5 112,0 5-8,-1-5-64,0 5 32,-3-8-24,4 12-72,-3-4 64,-1-11 16,1 4-8,-2-1-32,0 0 16,0 0 8,5 12-64,-4-13 0,0 2 48,-1-2-8,2 1 16,-1 1-16,0 2-8,4 9-32,-3-12 32,2 1-8,-1-2 64,1 1-80,1 0 8,0-2 40,0 14-56,0-11 0,4-3 40,8 2-16,-9 0-80,13 0 24,-4 0 8,-12 12 24,12-12 16,1 0 32,0 0-48,2 9-48,0-10-120,1 10-136,-16 3 304,15-3-384,-1-8-113,-1 11-167,0-3-264,-1 1-176,0 2-248,-12 0 1352,12 0-1521,-1 0-215,-2 1-313,-5 4-207,5 5 776,-6-7 568,-3-3 912</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41.174"/>
    </inkml:context>
    <inkml:brush xml:id="br0">
      <inkml:brushProperty name="width" value="0.05" units="cm"/>
      <inkml:brushProperty name="height" value="0.05" units="cm"/>
    </inkml:brush>
  </inkml:definitions>
  <inkml:trace contextRef="#ctx0" brushRef="#br0">66 224 1704,'0'0'0,"-5"-3"2000,-9 0-431,2-1-705,12 4-864,-5-3 648,-4 3-104,6 0-64,0 0 0,-1 0-8,2 0 32,2 0-504,-3 1 497,1 0-33,1 1-80,-1 1-96,1-1-112,1 2-48,0-1-64,0-3-64,0 4 48,3 6-8,-1-7-8,2 2 0,5 6 0,-9-11-32,3 3 48,-3-3-48,10 11 16,-6-7-8,9 8-8,-9-9-16,10 8 8,-4-7 24,-10-4-16,9 9 8,1-5 24,-6 5-8,7-5-32,-7 6 16,6-7 64,-10-3-72,3 5 40,9-1 24,-8 0-24,8 1-40,-9-1 24,9-2 16,-12-2-40,3 3 32,6-2 16,-6 0-8,-1 0-24,2 0 32,-1-1-32,-3 0-16,10 0 56,-10 0-24,2 0 32,2 0-8,-2 0 16,1 0-16,-3 0-56,3-2 112,0 0 16,-1-1-48,1 1 8,-3-2-16,2 2-8,-2 2-64,0-4 88,0 2 8,0-2-16,0 1-24,0-1 24,0-7-32,0 11-48,-1 0 56,0-9 0,-2 6 8,0-8-32,-1 8-16,-1-9 8,5 12-24,-9-4 40,6-11 32,0 5-32,-7-1-56,8 2-16,-3 5-40,5 4 72,-10-14-40,7 10 40,-1-10-24,-6 3 16,7 1-24,-1 1 32,4 9 0,-3-4-48,-1-10-48,0 4 16,1 1-24,0-1 32,1 0 0,2 10 72,-1-3-96,1-8-40,0 7 8,0-6-40,2 7-8,2-7-48,-4 10 224,3-3-272,7 0-152,-6-8-200,6 8-232,0-6-209,0 6-55,-10 3 1120,9-9-1120,3 5 48,-1-5 7,2 6 1,0 0 16,2-1 0,-15 4 1048,15-10-808,2 8 344,0-2 360,-2 1 104,-15 3 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2:43.024"/>
    </inkml:context>
    <inkml:brush xml:id="br0">
      <inkml:brushProperty name="width" value="0.05" units="cm"/>
      <inkml:brushProperty name="height" value="0.05" units="cm"/>
    </inkml:brush>
  </inkml:definitions>
  <inkml:trace contextRef="#ctx0" brushRef="#br0">142 396 112,'0'0'0,"-2"0"472,-2 0 280,-1 0-104,1 0-112,4 0-536,-4 0 456,0 0 0,0 0 0,0 1-24,-1-1 9,0 0-49,5 0-392,-9 1 368,6-1-32,0 1-40,-2 0-16,1 1-16,0 0 0,4-2-264,-4 4 280,-1-1-8,2 1-32,-2 1 0,0-2-16,0 7 24,5-10-248,-3 3 264,-2 2-16,0 7 0,0-8-23,1 8 23,0-3 0,4-9-248,-4 10 240,1 1-24,-1-1-48,2 2-24,1 0-8,-2-1-16,3-11-120,-1 10 144,0-1-16,1 1-48,0-5-8,0 8 0,0-4-32,0-9-40,2 10 88,1-5 8,-3 8-48,2-9 16,0 8-16,2-9-32,-4-3-16,2 10 24,2-7-24,-2 7-32,2-8 16,-2 2 8,2 0-8,-4-4 16,2 3-48,2 0-8,-2-2-80,1 0-16,-1 0 8,1 0-16,-3-1 160,2 0-152,-2 0-24,2 0 8,1 0-16,-3 0 24,2-2 0,-2 2 160,0-2-176,3-2 32,-1 0 24,0 1 16,1-8 32,-1 9-24,-2 2 96,3-10-129,-1 8 17,0-9 8,1 8 16,-3-7 8,2 6 0,-2 4 80,0-12-48,0 8 0,0-5 24,0 5-16,0 1-8,0-8 40,0 11 8,-1-2-24,0-2 0,-2-7 16,1 11 0,-2-3-8,1-1 0,3 4 16,-4-4 0,1 1-48,-1-1-32,0 1-24,1 0-96,-1 1-32,4 2 232,-2-3-304,-1 3-56,1-2-64,0 2-56,0 0-72,1 0-80,1 0 632,-1 0-729,0 1-79,1 0-64,0 1-56,0-1 96,0 0 240,0-1 592,2 1-280,1 0 240,0 1 40,1-2 0,-4 0 0</inkml:trace>
  <inkml:trace contextRef="#ctx0" brushRef="#br0" timeOffset="1">227 266 296,'0'0'0,"-1"0"664,-1 0-24,2 0-640,-4-3 456,3 0-72,0 3-32,1 0 0,0 0 0,0 0 56,0 0-408,0 0 432,0 0 57,2 1 47,2 3-16,-2 1 0,2 6-80,5-8-56,-9-3-384,3 14 320,0-4-40,8 3-24,-7-1-32,8 3-8,-9-1-24,-3-14-192,13 14 176,-9 2 8,9 1-64,-9-2 0,9 2 1,-9-3-17,-4-14-104,13 16 112,-10-2 0,8 1-48,-7-2-16,-1 0 40,7 0-48,-10-13-40,2 11 64,2 1 16,5-1-64,-6-1-24,0 0-48,1-5-112,-4-5 168,4 13-296,-1-8-73,1 6-119,-2-8-72,1 2-32,-3 0-56,0-5 648,2 4-704,-2-1-40,0 1-48,0-1-33,0 1-71,0-2-24,0-2 920,0 2-888,0-1 208,0-1 288,0 0 264,-1 0 128,1 0 0,0 0 0</inkml:trace>
  <inkml:trace contextRef="#ctx0" brushRef="#br0" timeOffset="2">376 286 176,'0'0'0,"0"-2"672,-4 0 280,4 2-952,-3-4 712,-1 1-104,2 0-72,1 3 56,-1 0-15,2-2 31,0 2-608,0 0 544,0 0-72,0 0-8,0 1-64,0 1 72,3 3 24,-3-5-496,2 10 512,2-7-48,5 2-55,-6 6-33,6-2-104,-5 2-8,9 0-56,-13-11-208,4 12 184,9 0 40,-10 1-64,11 0 40,-5 1-40,2-2-40,-11-12-120,10 13 144,-1-4-48,1 2 16,1-1 8,-2 0-40,2-5 24,-11-5-104,11 13 72,-2-3-24,1-6 32,-1 8-16,-5-9-8,9 8 24,-13-11-80,4 4 40,7 0-8,-8 0 32,7 0-48,-7-1 24,9 0-8,-12-3-32,4 2 8,8-1 16,-8 0 0,9 1 48,-10-1-48,11-1 40,-14 0-64,3 0 40,10 0-64,-3 0 48,-1 0-8,-5-3 8,12 0 16,-16 3-40,9-4 48,2 1-48,1-1 24,-2-6-16,-1 8-8,2-8 8,-11 10-8,4-3-8,10-8 16,-4 7-8,-7-8-16,12 9-16,-12-10 0,-3 13 32,14-10-16,-10 6 0,9-11 8,-9 5-56,7 0 8,-9-2 0,-2 12 56,11-12-40,-9 1 32,2-1 0,-1 0-32,1 1 16,-2 1 48,-2 10-24,3-9-56,-3 5 40,0-10-16,0 10-40,0-9 40,-3 9 24,3 4 8,-3-9-16,-2 7-8,0-2 8,-6 0-24,8 1-16,-7 0 8,10 3 48,-3-2-48,-8 2 8,6 0 16,-7 0-40,7 0 24,-7 0-24,12 0 64,-9 1-64,4 2 56,-7 0-16,8 8 8,-8-8 0,9 8-8,3-11 24,-11 4 16,7 5-16,0-4 24,-6 6 24,6-1-32,0-1 24,4-9-40,-10 11 40,9 1-32,-3 0 88,2 1-32,1 0 0,1 1 24,0-14-88,0 12 48,2-1 16,2 0 24,6 0 0,-6-1-24,9 0 40,-13-10-104,4 10 72,10-5 0,-4 7-16,-1-9 0,2 8 0,1-8 8,-12-3-64,12 3 64,1 1 8,0-1 0,1-1-24,0-1-24,-1-1 8,-13 0-32,13 0 32,1 0 0,-1-3 33,1-6-17,-1 6-24,1-7 16,-14 10-40,13-4 40,-1-8 16,0 2 0,0 7-24,-2-12 0,1 6-48,-11 9 16,10-4 0,-1-10-16,-5 10 48,8-9 40,-8 10-80,5-12 72,-9 15-64,3-3 40,0-9-32,1 8 56,5-7-40,-9 9 0,4-8-8,-4 10-16,4 0 64,-2-3-40,0-1-24,1 2 8,-1-1-16,1 3 16,-3 0-8,2 0 24,-2 0-16,2 0 8,1 0-8,-3 1-32,2 2 56,-2-3-32,2 3 24,1 1-16,-1 7 48,1-8-64,-1 2 40,0 7-8,-2-12-24,3 4 32,0 8 8,1-3-32,-2-5 8,2 7 16,-2-8 0,-2-3-32,3 5 32,-3 5 0,0-8-40,2 3 16,-2-2 0,0 1 48,0-4-56,0 4 48,0-3-8,0 0 16,0 0-8,0-1 48,0 0 0,0 0-96,-1 0 96,0 0 8,0 0-24,-2-2 8,0-2-16,-1 1 8,4 3-80,-4-11 56,1 8-40,-1-7 40,1 6 48,-1-9-24,0 2-8,4 11-72,-3-11 80,-1-1-80,2-1-16,1 1 64,0 0-56,-1-1 8,2 13 0,0-13-16,0 0 16,0-2-24,3 0-8,-1 0 64,8 1-88,-10 14 56,2-16-8,10 0 32,-2-1-88,0 0 104,2-1-56,-1 1 32,-11 17-16,13-17 32,1 1-56,-1 1 16,0 2-40,1-1-24,2 2 16,-16 12 56,15-12-112,1 0-96,0 2-160,-3 1-128,1 5-256,-1-8-345,-13 12 1097,14-2-1528,-2-2-512,0 0-513,-3 2-440,1 2 513,-7 0 712,-3 0 1768</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3:17.340"/>
    </inkml:context>
    <inkml:brush xml:id="br0">
      <inkml:brushProperty name="width" value="0.05" units="cm"/>
      <inkml:brushProperty name="height" value="0.05" units="cm"/>
    </inkml:brush>
  </inkml:definitions>
  <inkml:trace contextRef="#ctx0" brushRef="#br0">37 18 2368,'0'0'0,"-1"-2"1576,-3-1-471,4 3-1105,-3-3 840,-1 0-136,2 1-40,1 2 24,0-2 80,-1 2 153,2 0-921,0 0 952,-1-3 40,0 3-80,0 0-184,-2 0-80,2 0-191,1 0-457,-1 0 432,0 1-32,0 3-40,-1 0 16,1 0-32,0 7 0,1-11-344,-1 4 360,0 10-24,-1-3-40,2 0-48,-1 0-48,1 1 72,0-12-272,0 10 240,0 2-31,0 0-1,0 1-88,0 2-24,0-2 24,0-13-120,3 14 64,-3 0-24,2-2 16,-2 1-16,2 0 32,1-1 0,-3-12-72,2 12 64,-2 0 40,3 0-16,-3 0-16,2-1-24,-2 1-8,0-12-40,2 12 24,-2-2 40,0 1-32,3 0-32,-1 0 16,-2 0-40,2-2 8,-2-9 16,0 5 56,3 7-56,-1-8 0,1 6 32,0-6-40,-3-4 8,4 3 24,-1 1 0,1 0 24,0-1-8,6 0 40,-7-2-24,-3-1-56,9 1 96,-5 0-8,7-1-56,-8 0 64,11 0-88,-5 0 32,-9 0-40,10-3 64,-1-1-64,-5 2 48,12-2-72,-7 0 40,1-5-16,-10 9 0,10-3 40,0 0-8,1-1 8,1-6 0,-1 7-56,1-8 56,-12 11-40,12-3-40,1-8-8,-1 7-16,1-9-88,0 10 32,2-9-56,-15 12 176,14-4-192,0-8-40,1 8-56,-3-5-8,0 6-112,-2-6-65,1 6-79,-11 3 552,11-3-664,-1-8 0,0 9-88,0-1-192,0 1-361,-7-2-311,-3 4 1616,13-2-1880,-10-2-289,6 2-87,-9 0-1,3-1 449,-3 1 40,0 2 1768,0 0 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3:19.983"/>
    </inkml:context>
    <inkml:brush xml:id="br0">
      <inkml:brushProperty name="width" value="0.05" units="cm"/>
      <inkml:brushProperty name="height" value="0.05" units="cm"/>
    </inkml:brush>
  </inkml:definitions>
  <inkml:trace contextRef="#ctx0" brushRef="#br0">31 119 2984,'0'0'0,"-2"0"2225,2 0-2225,-5 1 1120,0 0-552,0 3-184,2 1-24,0 6 16,1-7 72,2-4-448,-1 14 544,-1-5 33,1 2 79,0 0-16,1 1-96,0 0 8,0-12-552,2 12 456,1 0-120,0 0-32,7 1-152,-8-1-80,2 1-24,8 1-56,-12-14 8,4 14-24,7 0 24,-1-1 0,-6-2-8,9 1 0,-4-1-8,-9-11 16,4 9-64,8 2-32,-8-1-112,9-6-256,-10 7-296,12-7-400,-15-4 1160,9 5-1513,1 4-303,1-8-192,0 1 23,-1-1 337,1-1 736,-11 0 912,12 0-640,-12 0 640</inkml:trace>
  <inkml:trace contextRef="#ctx0" brushRef="#br0" timeOffset="1">500 145 4488,'0'0'0,"-2"0"2017,-2 0-857,4 0-1160,-12 0 800,7 0-112,-6 2 49,7 0 63,-8 3 64,3 4 72,-1-5-24,10-4-912,-11 12 825,1-1-65,-2-2-80,1 3-64,1-2-72,5 2-80,5-12-464,-10 12 360,6 0-64,1 1-72,-1 0-56,2 2-32,0-1-16,2-14-120,0 13 104,0 2-31,0-5-25,4 2-24,8 0 16,-9 0 8,-3-12-48,16 11 24,-3 0 24,0-2-32,3-4 40,0 5-16,-1-7-8,-15-3-32,18 3 56,1-2-32,-1-1 0,3 0 32,-2-2-40,0-2 8,-19 4-24,19-11 48,0 9-8,2-10 16,-3 8-16,0-8-16,-3 1-32,-15 11 8,15-9-80,-2-1 72,-1-2-16,-3-1 8,-5-1 40,7-1-56,-11 15 32,2-14 24,1 0-16,-1 0-8,-2 1 40,0 1-40,-1 0 8,1 12-8,-4-11-8,-7 0-8,2 0-16,-1 7 8,-2-10 0,0 10 0,12 4 24,-13-11-32,-1 8 24,-1-8-16,0 7 8,-1 1-16,2-8 8,14 11 24,-13-2-56,1-2-16,2 0-8,5 1-120,-6-1-49,9 2-111,2 2 360,-4-3-432,1 1-136,2 2-144,-1 0-152,2 0-64,0 0-49,0 0 977,3 0-968,0 1-32,9 2-64,-2-2-8,1 1-201,2-1-151,-13-1 1424,14 2-1592,3-1-25,0 1 225,1-1 352,2 1 464,2-2 272,-22 0 304,23 1-400,-23-1 400</inkml:trace>
  <inkml:trace contextRef="#ctx0" brushRef="#br0" timeOffset="2">955 112 2600,'0'0'0,"0"0"1848,0 0-1848,0 0 1881,-1 0-249,-3-3-215,-1 3-153,-7 0-136,8 0-64,4 0-1064,-14 0 936,2 3-127,0-1-65,-1 2-40,-2 5 8,-1-5-88,16-4-624,-16 11 560,1-6-48,-1 7-127,2-2-1,0 1-64,-1 1-40,15-12-280,-12 12 248,0 4-48,1-2 8,7 2-48,-6-1-8,8 2 16,2-17-168,-4 19 120,2 0-24,0 3-16,2 0-32,0-2-8,0 0 16,0-20-56,4 19 0,8-1 0,-8-1 40,11 0-16,-4-3 16,2 1-16,-13-15-24,12 13-16,3-1 16,-1-1 32,3-8 0,1 9 48,1-9-16,-19-3-64,20 2 40,1-1 24,1-1-24,2 0 0,0-3 40,0-7-40,-24 10-40,22-4 24,-1-8 0,-1 9-24,-1-11 40,-2 3-40,-3-2 16,-14 13-16,13-12 16,-2-3-32,0 0 32,-2-1-32,-6 0 16,0 0 0,-3 16 0,4-16 0,-2-1 16,-2 1 24,-3-1-80,-7-2 24,-1 1 16,11 18 0,-11-18-56,-2 1 112,-2 1-40,-2 2-16,-1-1 40,0 2-72,18 13 32,-19-13 0,1 2-40,0 1-8,0-1 8,1 1 24,3 7-24,14 3 40,-13-14 0,2 12-8,1-8-32,1 8-16,5-2 16,-1 2 0,5 2 40,-5-2-72,2 2-32,2 0-128,1 0-128,0 0-80,0 1-24,0-1 464,3 1-544,7 3-72,-7-1-121,12 1-143,-3-1-88,2 2-264,-14-5 1232,17 4-1529,1 5-239,1-6-424,1 0-313,2 1-80,1 0 457,-23-4 2128,23 3-2344,-23-3 2344</inkml:trace>
  <inkml:trace contextRef="#ctx0" brushRef="#br0" timeOffset="3">1965 137 6681,'0'0'0,"-1"-2"3097,-3-1-1217,4 3-1880,-4 0 1368,-1 0-215,1 0-161,1 0-80,-1 1 16,-6 3-16,10-4-912,-3 5 841,-2 4-113,-6-5-112,9 8-128,-2-2-88,1-1-40,1 2-80,2-11-280,0 12 224,0 1-56,3 1-48,-1 2-56,8 1-8,-7 2-16,-3-19-40,11 19 40,-7 0 0,8 2-16,-9-2-8,8 1-8,-7-1 32,-4-19-40,11 21 32,-8-2-24,8-1 32,-9 0-56,8-1 56,-6 0-40,-4-17 0,9 15-24,-6 1 0,0-3-40,1-1 32,-1 0-16,0 0-88,-3-12 136,2 11-232,0-7-152,1 6-168,-3-6-216,2 0-136,-2 0-201,0-4 1105,0 5-1344,0-2-256,0-1-305,0-1-415,0 0-329,-1-1-135,1 0 2784,0 0-2449,-1 0-591,1 0 3040</inkml:trace>
  <inkml:trace contextRef="#ctx0" brushRef="#br0" timeOffset="4">1986 366 2928,'0'0'0,"0"-2"1264,2-2-351,-2-7-185,4 9-40,-4 2-688,3-10 704,1 8 0,5-9 16,-6 7 17,0-6-33,8 7 40,-11 3-744,4-11 720,6 9-8,-6-9-8,9 8-32,-3-8-31,1 7-89,1-7-48,-12 11-504,12-3 408,2-9-32,-1 8-48,2-8 16,-1 9-48,0-8-24,-14 11-272,15-4 216,-1-5-24,2 6-32,-2-6 0,2 6 8,-1-7-40,-15 10-128,15-3 136,-1-6-80,-2 6 8,0 0 9,-1-1-25,-1 0 0,-10 4-48,10-3 56,0-1-32,-7 1 40,9-1 8,-8 2-24,7-1 0,-11 3-48,2 0 88,2-2-40,-2 2 0,2 0 32,-2 0-32,0 0 40,-2 0-88,3 1 120,-3 1 40,2 2-8,-2 0 8,0 5 8,0-5-72,0-4-96,0 11 128,0-7 8,0 10-72,0-4 80,0 1-32,-1 0 16,1-11-128,-1 14 224,-2 1-88,2-1 24,0 2-72,-1-2-8,0-1 8,2-13-88,-1 18 32,1-1 16,0 0 24,0 1-8,0-3 0,0 1-8,0-16-56,0 15 48,0 0-8,0-1 0,0 1 0,0-1 16,0 0 8,0-14-64,0 14 0,0-1 24,3-1-64,-1 1 0,0-2 72,1-2-8,-3-9-24,3 10 24,1-5-48,0 5 0,-1-6-96,1 0-80,-1-1-48,-3-3 248,4 5-376,6-1-144,-8-3-88,2 0-128,8-1-225,-9 0-135,-3 0 1096,11 0-1376,-7-2-280,6-1-113,-6-6-247,8 6-153,-9-8-95,-3 11 2264,12-3-2241,-8-12 497,9 5-536,-13 10 2280</inkml:trace>
  <inkml:trace contextRef="#ctx0" brushRef="#br0" timeOffset="5">2718 127 1136,'0'0'0,"0"-3"1592,0-8-464,0 7-95,0 4-1033,0-13 992,0 11 16,2-8-24,2 8-80,-1-2-47,1-7-49,-4 11-808,10-2 744,-7-1-24,9-7-56,-8 8-32,11-8-56,-4 8-103,-11 2-473,12-4 384,-1-7-104,0 11-56,1-3-48,-3-1-8,1 2-8,-10 2-160,9-3 160,1 0-8,-6 0-8,8 1-48,-9-1 0,1 3-16,-4 0-80,9 0 72,-9 0 24,3 0 32,-3 0 48,0 0 48,0 2 32,0-2-256,-4 2 256,-1 2-56,-7-1-56,2 7 0,-1-7-88,-2 2 56,13-5-112,-14 11 120,0-6-48,-3 8 56,1-8-64,-1 7 33,1-3 7,16-9-104,-15 10 72,0-1 56,2-4-56,-1 10 8,0-11 0,2 10-8,12-14-72,-10 4 40,0 8-8,5-7 16,-5 7-8,6-8-16,0 7-24,4-11 0,-3 3 0,-1 7 24,3-7-8,0 1-16,1 5 0,0-6 8,0-3-8,0 3 16,2 7 8,1-8 8,6 2-32,-6 1 56,6-2-24,-9-3-32,4 4 16,8-3 56,-2 0-24,1 2 40,2-2-32,1 0-8,-14-1-48,12 3 32,0-2-32,0 0 64,0 0-72,0 0 16,1 2-16,-13-3 8,13 1 24,0 1 16,-1 1-8,0-1-32,-1 1-8,0-1 16,-11-2-8,10 4 16,0-1 24,0 2-32,-7 6 72,8-6-8,-7 8 8,-4-13-80,10 11 136,-7-1-48,0 1 56,1 0-8,0 0-8,-2 1-48,-2-12-80,2 12 40,-2 0 8,0 1 16,0-1 40,-1 0-40,0 0-32,1-12-32,-4 12 0,1-1 0,-1-1 48,1 2-32,-2-2 8,-6-1 32,11-9-56,-4 10 24,-6-6 56,5 8-32,-7-9 8,2 7 32,1-7-64,9-3-24,-10 4 40,0 1-8,0-2-32,-1 0 8,0-1 24,0-1-72,11-1 40,-12 2-16,0-1-8,2 0-72,-2-1-8,1 0-104,0 0-80,11 0 288,-10 0-384,1 0-48,-1-2-112,7-1-96,-7 0-81,8-1-215,2 4 936,-3-4-1128,2-6-360,1 7-313,0 0-415,10-9-321,-7 9-95,-3 3 2632,15-12-2497,-3 9-7,-12 3 2504</inkml:trace>
  <inkml:trace contextRef="#ctx0" brushRef="#br0" timeOffset="6">3268 149 6321,'0'0'0,"-12"0"4001,12 0-4001,-12-2 1904,-5-1-536,4 1-167,2 2-81,-1 0-128,-1 0-72,13 0-920,-12 0 800,-2 1-39,-1 1-129,1 2-64,-1 0 0,2 5-112,1-5 24,12-4-480,-10 11 424,5-1-80,-8 2-8,9 0-87,-1 3-17,2-1-56,3-14-176,-4 14 160,3 2-24,1 1-40,0 0 0,2 2-24,2-1-56,-4-18-16,12 17 40,-9-2-24,11-1-16,-4 1 24,1-2-48,2-1 24,-13-12 0,15 11-16,0-2 72,2 1-40,0-6-32,2 5 88,1-6-160,-20-3 88,22 2-16,-1 0 32,0 0-96,-1-2 80,-2 0 0,0 0-56,-18 0 56,17-4-16,0-7-40,-2 8-8,0-9 8,-2 8 24,-2-10-16,-11 14 48,10-11-88,-6-1 8,8-1 0,-10-1-8,1 0 48,-3 1 40,0 13 0,0-16-8,0 0 16,-4-1-16,-5 0-32,-1 1 8,0 3 16,10 13 16,-10-14-24,-2-1-16,-1 2-16,-1-1-129,1 1-47,0 1-128,13 12 360,-12-12-440,0 0 32,1 0-72,-1 1-120,1 0-48,1 2-176,10 9 824,-10-4-969,-1-8-119,2 10-312,-2-2-416,1 0-545,1 2-888,9 2 3249,-10 0-3712,1 0-561,9 0 4273</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5:55.731"/>
    </inkml:context>
    <inkml:brush xml:id="br0">
      <inkml:brushProperty name="width" value="0.05" units="cm"/>
      <inkml:brushProperty name="height" value="0.05" units="cm"/>
    </inkml:brush>
  </inkml:definitions>
  <inkml:trace contextRef="#ctx0" brushRef="#br0">0 308 1344,'0'0'0,"0"0"288,0-3 128,0-9 136,0 9 72,0 0 64,0 3-688,2-10 704,1 8 57,-1-2 23,1-8-8,-1 10-32,0-8-64,-2 10-680,4-2 600,0-9-127,-1 8-65,1-7-64,-1 6-32,1-7 24,-4 11-336,10-3 296,-8-9 0,2 9 24,5-6-8,-9 6 96,4 0 48,-4 3-456,3-11 520,1 9 24,0-2 33,-1-6-25,1 8 0,-2-2-16,-2 4-536,3-3 496,-1-7 16,0 8-80,1-2-48,-1 1-32,-2-1-56,0 4-296,3-2 281,-3-1-73,0 1 64,0-1-24,0 3 8,0-2 48,0 2-304,0 0 240,0 0-48,0 0-40,0 0-48,0 0-96,0 0 32,0 0-776,0 1 1488,0 3-704,2-1 32,-2 8-16,0-7-16,0 7 32,0-11-80,2 12 128,-2-2 0,3 1 16,-3 2 8,2 2-120,1-1 72,-3-14-104,2 16 120,0-1-16,1 1 120,-1-1-80,1 2-8,-1 0 64,-2-17-200,4 17 200,-1 0-56,0-2 81,0 2-81,1 1-32,-1 0 144,-3-18-256,3 18 184,0 1 64,1-1 24,-2 2-72,2 2 80,-2 0-128,-2-22-152,3 22 152,-1 1-8,2 1-88,-1 0 32,1 0 24,-1-1 16,-3-23-128,4 22 128,0 1 16,-1 0-16,1 1-72,-1-1 32,1-2-48,-4-21-40,2 22 64,2 1 32,-2-2-112,1 1 64,0-1-32,0 2-16,-3-23 0,2 22 24,1-1-40,-1 2 96,-2-3-40,2 2 48,-2-3 16,0-19-104,0 19 8,0 1 56,3-2-64,-3-2 16,0 1-8,0 1-8,0-18 0,2 16 0,-2 0 16,0 1 32,3-2-40,-3 1 72,2 0-56,-2-16-24,0 13 32,2 3 0,1-3-24,-3 0 24,2 1-32,1 1 48,-3-15-48,2 12 24,0 0-24,1 0 32,-1-1-88,-2 1 56,3-2-16,-3-10 16,2 10-48,0 1 64,1-8-32,-1 7-40,1-7 72,-3 2-32,0-5 16,2 11-48,-2-7 152,2-1-120,1 2 32,-1-1 0,-2-2 16,0-2-32,3 4 0,-3-2 24,2 0 40,0 1-112,1-2 80,-3 0-16,0-1-16,2 1 24,0 1 64,1-1-40,-1 0-64,-2-1 32,3 0-16,-3 0 0,2 0-32,0 0 112,1 0-56,-1-2-8,2-1 0,-2 1-16,-2 2 0,3 0-16,-1-3 72,0 1-8,2 0-96,0-1 48,-1 1 0,-3 2 0,4-4 0,5 2 80,-9-2-23,4 1-57,6-1 48,-8 0-96,-2 4 48,4-3-33,5 0 49,-6 1-88,0 0 56,8-1-40,-7 3 40,-4 0 16,9-2 56,-5 2-80,7-2 32,-8 2-32,8-3 8,-7 3 56,-4 0-40,14 0-88,-3 0 88,-1 0-40,1 0 56,0 0 128,0 1-128,-11-1-16,12 2 89,1-2-122,1 1-7,1-1 8,0 0-40,1 0 72,-16 0 0,15 1-32,1 0 16,0-1 8,0 1-40,1-1 48,0 1 0,-17-1 0,18 2-48,-1-2 80,0 1 32,-1 0-56,2-1-16,0 0-56,-18 0 64,21 0-120,-2 0 136,0 0-16,0 0 32,0 0 0,0 0-112,-19 0 80,20 0-56,-2-2 24,0 2 8,1 0 48,0 0 64,0 0-88,-19 0 0,19-3-40,-1 3-16,-1 0 8,-1 0 32,-1 0-24,1 0 56,-16 0-16,15 0-32,1 0 32,0 1 32,-1 1-80,0-1 48,0 0-16,-15-1 16,14 1 0,1 0 0,-2-1 64,0 2-80,-2-2 32,0 0 40,-11 0-56,9 0-72,1 0 40,0 0 0,-7 0-8,9-3 96,-8 1-56,-4 2 0,9 0-16,-6-3 48,0 3-48,1 0 64,5-2-48,-9 0 0,0 2 0,4 0-64,0-3 40,-1 3 24,1-2 0,-2 0 24,2-1 64,-2 1-128,-2 2 40,3 0-48,0-3 40,0 1-40,-1 2 136,0-2-120,-2-1 32,0 3 0,3-2-8,-3-2-24,2 1 72,1-1-24,-1 0-16,-2 2-40,0 2 40,2-4 0,-2 1-64,0-7 112,0 8-64,3-2 48,-3-7-32,0 11 0,0-2-32,0-9 48,0 8-16,0-9 32,0 2-32,0 0 0,0 10 0,0-10-16,0-1 16,0-1 16,-1-1-32,-1-2 0,1 1 16,1 14 0,-1-14-48,0-2 40,0-1 32,-1-1-48,1 0 8,0-2-32,1 20 48,0-20-96,-1-2 32,1-2-8,-1-2 16,-1-1 40,1-3-56,1 30 72,-1-30-40,0 0-8,0-2-8,-2 2-16,1-1 16,-1 0 24,3 31 32,-3-33-40,0 1 64,0 2 24,0-2-96,0 2 64,-1 2 16,4 28-32,-3-27 0,-1 0 24,0 2 24,1 0 64,-1 1-96,1 1 16,3 23-32,-4-19-48,1-1-96,-1 2 160,-1 1-56,2 0 40,-2 4 8,5 13-8,-5-14-40,1 2 72,1 0-24,-1 1-48,2-1 72,-2 2-32,4 10 0,-2-9-48,-1 5 64,2-7 24,-1 8-64,-1-1 24,2-8-48,1 12 48,-1-2-112,0-2 112,0 0 40,-1 1-8,1-1-16,0 1-32,1 3 16,0-4-112,-1 0 112,0 1 24,1-7-8,0 10 0,0-2-16,0 2 0,0-2-56,0-1 8,-2 1 96,2-1-48,-1 1 0,1 0 8,0 2-8,0 0-80,0-3 64,-1 0 0,1 0 72,-1 3-8,1 0-48,-1-2-16,1 2 0,0-3 0,0 1 0,-2 2 32,2-2-16,0 2 0,0 0-16,0-3 16,-1 1-8,1-1 64,0 3-72,0 0 16,0-2-16,0 0 16,0-1-24,-1 1-8,1-1 48,-1 1 24,1 2-40,0-2-16,0-1 32,-1 1 56,1-2-88,-2 2 64,1-1-48,1 3 0,-1-2-88,0 0 56,0-1-64,-1 1 80,1-1 48,0 0-8,1 3-24,-1-4 72,0 2-96,-2-1 24,2 1-16,0 0-16,-2-1 64,3 3-32,-1 0-56,0-2 64,0 2 40,-2-3-64,2 1 48,-1 2-32,2 0 0,-3-2-32,2-1 48,0 3-32,0-2 0,0-2 32,-1 2-120,2 2 104,-1-3-40,0 0 80,0-1-40,0 1 72,-1-7-40,1 10-72,1 0 40,-1-3 24,0-1-24,0 2-72,-1-2 104,1 0-32,0 1-72,1 3 72,-2-10 88,0 8-120,0-1 0,0 0 104,-1 0-40,1 0-48,2 3 16,-3-3 32,0 0-64,1-1-8,0 2 64,0-1-24,0 1 0,2 2 0,-3-2 0,1-1 16,1 3-56,-1-2 64,1-1-24,0 3-80,1 0 80,-1-2 0,1 2-56,0-2-8,0 2 128,0 0-112,0 0 96,0 0-48,0 0-16,0 0-32,0 0 40,0-3-40,0 3 40,0 0-8,0 0 16,0 0-16,0 0-24,0 0 24,0 0 32,0 0-8,0 0 8,0 0 16,0 0-8,0 0-64,0 0 8,0 0-64,0 0 80,0 0 176,0 0-304,0 0 112,0 0 80,0 0-32,0 0-64,0 0 24,0 0 208,0 0-424,0 0 224,-1 1-40,-2 3 0,0 0 24,3-4 32,-3 2-40,0 0 64,-1 2-24,-6 0-80,7-1 80,-8 1-56,11-4 56,-5 3-72,-7 2 16,7 0-32,-8 6 32,4-9 32,-2 2 8,11-4 16,-11 5-24,0-1 80,-2 1-56,0 5-32,-3-9 64,0 2-88,16-3 56,-18 5 0,0 0-16,0-1-72,-2 0 88,0 1-24,-1-1-8,21-4 32,-23 5 16,-1 4-56,-1-6-16,-2 0 40,2 2-56,-1-1 8,26-4 64,-28 3-16,1 2-8,0-1 32,0 5 8,0-6-16,1 0 16,26-3-16,-28 5-32,1-1 64,-2 0-48,1 1 56,1 0-24,1-1 8,26-4-24,-23 3 0,0 2 0,3-1 32,0-2-32,4 0 0,-1 1 24,17-3-24,-17 3 16,2 0-16,-1-2 16,2 0-16,0 0-32,2 1 48,12-2-16,-10 1 16,5-1-56,-7 0-48,8 0-48,-1 0-168,2 0-152,3 0 456,-4 0-529,3 0-151,-1 0-128,0 0-96,1 0-128,1 0-209,0 0 1241,0 0-1456,0 0-272,0-3-417,0 3-479,3-2-473,0 0 241,-3 2 2856,4 0-1913,-1-3-711,-3 3 2624</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3:20.461"/>
    </inkml:context>
    <inkml:brush xml:id="br0">
      <inkml:brushProperty name="width" value="0.05" units="cm"/>
      <inkml:brushProperty name="height" value="0.05" units="cm"/>
    </inkml:brush>
  </inkml:definitions>
  <inkml:trace contextRef="#ctx0" brushRef="#br0">2 21 2160,'0'0'0,"0"0"1768,0 0-1768,0-2 1417,-1-1-297,0 1-128,1 0-48,0-1 8,0 3-952,0-2 1025,0-2 23,0 2 0,0 2-40,0 0-111,0 0-193,0 0-112,0 0-592,0 0 480,0 1-56,0 1-16,0 3 8,2 6 0,1-7-24,-3-4-392,2 12 416,1 0-47,-1 1-17,2 1-32,-1 2-56,0-1 24,-3-15-288,2 17 272,2-1 0,-2 0-56,0 0 16,1 1-64,0 0 8,-3-17-176,3 16 248,-1 2-112,2-1 56,-2 0-88,2-3-64,-1-1 40,-3-13-80,4 12 56,0 0 48,-1-2 56,1 1-56,-1-8 48,1 8-152,-4-11 0,4 4 48,-1 5-48,1-5-8,5 0 112,-9-1-104,3 0 40,-3-3-40,3 2 16,0-1-16,0 0 24,1 1-8,-1-1 0,7-1-8,-10 0-8,2 0 16,2 0 8,7 0-24,-9 0 16,9 0-32,-7-3 48,-4 3-32,12-2-16,-3-2-24,2 1 40,0-7-56,0 8 56,1-1 0,-12 3 0,13-3-120,0-9 64,1 9-32,2-6-72,-3 5 48,1-7-120,-14 11 232,15-3-336,-1-9-128,3 8-96,0-9-72,-2 9-160,1-7-16,-16 11 808,14-10-905,-1 6-159,2-10-72,-2 10-216,0-10-233,0 10-215,-13 4 1800,14-13-2193,-2 4-247,0 5-9,-2-8 481,0 2 72,-10 10 1896</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03:23.102"/>
    </inkml:context>
    <inkml:brush xml:id="br0">
      <inkml:brushProperty name="width" value="0.05" units="cm"/>
      <inkml:brushProperty name="height" value="0.05" units="cm"/>
    </inkml:brush>
  </inkml:definitions>
  <inkml:trace contextRef="#ctx0" brushRef="#br0">24 148 1648,'0'0'0,"-3"0"1456,0 0-72,-1-2-183,1 2-153,3 0-1048,-2 0 1016,1-3 8,0 3 17,0 0 47,0 0-96,-1 0-80,2 0-912,-1 3 776,1 0-55,-1 2-57,1 5-56,0-5-8,0 9-80,0-14-520,0 12 496,2 1 0,1 1-96,-3 1-40,2-1-47,1 1-129,-3-15-184,2 15 192,2 1-8,-1-1-88,1 0 56,-1-1-16,1-2-40,-4-12-96,10 12 88,-8 0-48,2 0-16,-1 0 0,7 1 40,-8-2-40,-2-11-24,3 11-64,0-6-8,1 7-168,-2-9 8,2 8-88,-2-7-121,-2-4 441,2 4-576,1 1-184,0-1-160,1-1-248,0 1-241,-1 0-231,-3-4 1640,10 2-1720,-8 0-169,2-1-15,7-1 48,-9 0 55,9 0 385,-11 0 1416,3-2-1632,-3 2 1632</inkml:trace>
  <inkml:trace contextRef="#ctx0" brushRef="#br0" timeOffset="1">460 122 5065,'0'0'0,"-1"-3"2192,-4 1-624,-6-2-327,6 2-105,-5 2-72,10 0-1064,-5 0 1000,-10 1-23,5 3-81,-2 5-64,0-5-136,1 9-40,11-13-656,-12 11 480,0 1-72,1 0 0,0 0-111,1 2 47,5 1-24,-8 0-56,13-15-264,-4 17 264,-7 0 8,9 1 8,-2-3-40,3 2-16,0-1-48,1-16-176,0 14 80,0 0 32,3-2-48,1-2-48,8 1 48,-8-2-48,-4-9-16,13 5 8,-2 7 48,1-8-32,0 5-8,2-6 8,-1 0 0,-13-3-24,14 2-24,2-2 0,0 0-16,0-3-48,1 1 32,0-8-32,-17 10 88,14-2-160,2-9 48,-2 7-72,1-8-16,-2 9 16,1-12-56,-14 15 240,13-3-240,-1-13 8,-1 4-8,-1 2 16,-7-4 16,7 2 88,-10 12 120,2-10-88,1-1 64,-1 0 40,1-1-40,-3 1 32,0 0-8,0 11 0,0-12-56,-3 2 40,0-1-32,-2 0-16,0 1 64,-5 1-32,10 9 32,-4-10 8,-7 7 16,6-12-24,-8 12 40,9-10-56,-8 9-40,12 4 56,-3-13-88,-7 9-65,8-7 9,-2 9-40,-1-2-64,2-5-144,3 9 392,-4 0-496,3-4-128,0 1-144,1 0-120,0 1-73,0 2-95,0 0 1056,3 0-1136,7 0-24,-8 0-209,8 0-199,-7 0-184,11 0-113,-14 0 1865,10 0-1680,1 0 568,0 0-48,-11 0 1160</inkml:trace>
  <inkml:trace contextRef="#ctx0" brushRef="#br0" timeOffset="2">817 25 3096,'0'0'0,"0"0"0,0 0 1889,0 0-97,0 0-160,0 0-159,0 0-153,-1 0-96,1 0-1224,-4 0 1072,1 1-127,-2 1-161,-5 2-120,7 1-104,-8 4-80,11-9-480,-5 10 472,-8 1-24,2 1-40,2 1 24,-2 1-31,1 2-57,1-1 24,9-15-368,-10 16 304,0 0-32,7-1 32,-8 2-32,8 0-8,-2-2-40,5-15-224,-4 17 168,1-1 0,1 0-24,1 0-16,1 1 24,0-2-80,0-15-72,0 15 112,4-2-32,5-2-72,-6-2 96,9 1-32,-3-5-32,-9-5-40,4 10 64,11-6-104,-4 1 80,2-2-24,2 1 24,0-4 0,-15 0-40,17 0-32,1-2 64,0-2-24,0-6 32,0 7-8,0-8-88,-18 11 56,18-10-96,0 1 56,0-1-80,0-2 40,0-1-48,0 0-120,-18 13 248,15-14-176,-1-2-48,-2 0 48,-3 2 40,-5 0 0,7-1 40,-11 15 96,0-13-64,2 0 0,-2 0 40,0 2 0,-1-1-16,-3 0 16,4 12 24,-12-12 40,3-1-56,-2 1 32,-2 1 8,-2 0-72,0 0 16,15 11 32,-16-9-48,1-2 32,0 1 8,1 7-48,2-8 56,-1 7-24,13 4 24,-11-3-8,0-7-24,6 8 0,-6-2-8,8 2-40,-1 0-48,4 2 128,-3-3-264,0 3-192,2-2-192,1 2-185,0-3-159,4 3-80,-4 0 1072,10 0-1296,-6 0-225,12 0-327,-4 0-553,1 0-487,2 2 79,-15-2 2809,16 1-3248,-16-1 3248</inkml:trace>
  <inkml:trace contextRef="#ctx0" brushRef="#br0" timeOffset="3">1942 101 7753,'0'0'0,"0"0"3513,0 0-3513,0-2 1952,-1 0-503,1-1-281,0 1-152,0 2-96,0 0-920,-1 0 824,1 0-824,0 0 817,-1 0-161,0 0-136,-1 3-48,0 7-152,0-5 0,2-5-320,-3 14 328,0 1-48,-1 0-56,0 2-64,1 1-40,-1 1-16,4-19-104,-3 20 96,0 1-32,1 0 32,1 1-96,-1 1 0,2-2 56,0-21-56,0 22-32,0-1 48,0-1-32,0-1-88,3 0 88,-1-2-64,-2-17 80,4 15-120,-2 1 16,2-3-112,-1 1-136,0-3-136,0-1-224,-3-10 712,3 9-912,0-5-200,1 7-273,0-8-351,5 1-273,-6-2-343,-3-2 2352,3 2-2577,7-1-159,-8-1 247,8 0-863,-10 0 3352</inkml:trace>
  <inkml:trace contextRef="#ctx0" brushRef="#br0" timeOffset="4">2126 198 3520,'0'0'0,"-3"-2"1729,0-2-265,-1-5-168,2 7-48,2 2-1248,-3-3 1257,2 1-25,0-1-24,0 0-103,1 0-65,0 0-112,0 3-928,0-3 832,0 1-48,2-2-96,1 1-103,0-1-105,8 1-32,-11 3-448,4-4 352,6 0 8,0-5 24,1 9-128,1-10-88,2 8-48,-14 2-120,14-4 88,0-5 0,0 6 72,-1 0 8,0-7-88,3 8 24,-16 2-104,14-4 64,0 0 8,0 1 8,-1-7-32,0 8 8,-1-1 8,-1 0-88,-11 3 24,10-4 24,-1 1-24,-5-1-16,7 2 48,-8-1-88,8 3 72,-11 0-16,2 0 8,1-2 32,0 2 0,0-2-8,-1 2-32,1 0 24,-3 0-24,0 0 104,0 1-24,0 0 72,0 1-32,0 2-64,0 1 64,0-5-120,0 12 121,0-3-1,-2 2 48,0 5-64,-2-1-8,1 2-8,3-17-88,-4 18 48,1-1-16,-2 1-16,1-2-8,1 4-8,0-2 32,3-18-32,-2 18 56,-1 1-8,2-1 8,0 2-16,0-1-24,0 0-56,1-19 40,-2 17 16,1-2 8,1 0-40,-1-2 16,1 1-40,0-4-40,0-10 80,0 11-56,0-1-8,0-5-88,0 5-120,0-6-113,2 0-151,-2-4 536,3 3-728,-1 1-128,2-1-264,-1-1-192,7-1-265,-6-1-359,-4 0 1936,10 0-2217,-6 0-335,9-3-305,-3 0 97,1-1 671,-2-5-535,-9 9 2624,0 0 0</inkml:trace>
  <inkml:trace contextRef="#ctx0" brushRef="#br0" timeOffset="5">2759 74 4488,'0'0'0,"-2"0"1881,1 0-705,-1-3-296,1 1-112,1 2 25,0 0-793,0-2 800,2 2 40,0-3 0,1 1-48,0-2-104,1 1-103,-4 3-585,11-4 456,-8 0-104,8-5-80,-1 7-72,-1-2-80,1 0-24,1 1-40,-11 3-56,3-4 32,10 1 24,-9 0 40,9 1-40,-9-1 48,7 1-56,-11 2-48,2-2 8,2-1 72,5 3-32,-9-2 32,0 2 32,0 0 40,0 0-152,0 0 184,0 0 48,0 0 24,-3 0-40,-2 1 8,-6 1-24,11-2-200,-5 3 192,-8 0-32,2 1 17,0 1-25,-1 0 0,0 5 0,12-10-152,-13 4 136,-1 8 8,1-7 32,-2 7 24,1-8-32,2 8-48,12-12-120,-11 5 88,0 7-32,2-7-24,-1 7 56,5-2-64,-5-7 24,10-3-48,-4 5 24,0 6-24,1-8 16,-1 1-16,1 6 48,1-8-80,2-2 32,-1 4 24,1 0 0,0 6-48,0-9 56,3 3-32,0-1 16,-3-3-16,11 5 0,-7 0-24,6-2 32,-6 2-40,9-1 16,-9-1 32,-4-3-16,14 4 0,-4 0-64,1-1 24,-1 1 40,2 1-16,-1-1 8,-11-4 8,11 4 0,0 1 0,-2 0-24,2-1 48,-1 1-48,-1 5 24,-9-10 0,10 3 0,-7 7 8,11-6 32,-11 6-24,9-5 16,-8 8-16,-4-13-16,9 11 16,-6 0 32,0-2 16,7 1 8,-10 0 24,0-6 40,0-4-136,0 14 152,0-5 32,0-4 64,0 8-96,-2-8-24,-2 7-8,4-12-120,-5 5 104,-4 6 32,5-8-8,-7 7-48,6-7-8,-8 2-24,13-5-48,-9 10 56,-1-8 48,0 2-64,1-1 0,-2 1 16,2-2-72,9-2 16,-10 4 24,0-2-8,6-1-40,-10 1 8,10-1-8,-8-1-48,12 0 72,-5 0-40,-5 0 0,7 0-48,-2 0-56,0-3-112,1 1-136,4 2 392,-3-2-496,2-1-88,-1 0-136,2-7-136,0 7-81,3-7-215,-3 10 1152,3-4-1360,9-6-104,-2 6-257,0-9-199,2 3-297,1 1-231,-13 9 2448,14-11-2377,2 0 777,0-1-304,-16 12 1904</inkml:trace>
  <inkml:trace contextRef="#ctx0" brushRef="#br0" timeOffset="6">3148 44 2520,'0'0'0,"-1"0"1792,-3 0 65,-8 0-377,7 0-192,-5 0-87,10 0-1201,-4 0 1152,-8 0-48,3 0-32,-1 1-87,-1 3-73,-1 0-136,12-4-776,-12 11 712,0-6-48,0 7-64,1-1-24,-1 0-15,3 1-41,9-12-520,-5 13 480,-7 0 40,7 1-96,-6 1 8,8 0-112,-2 1-96,5-16-224,-3 15 224,1 2-64,2-2-64,0-1 8,3 0 0,0 1-72,-3-15-32,11 14 104,-7-1-8,8 1-32,-9-5 48,12 1-112,-5-7-56,-10-3 56,12 11-40,3-7 0,0-1 24,1 2 32,2-3 0,0 1-16,-18-3 0,18 1-40,-1-1-16,1 0 40,-2-4-40,1-5 16,0 6 16,-17 3 24,16-9-80,-3 5 40,0-9 40,-1 4 40,0-2-16,-3-1-72,-9 12 48,4-11-32,0-2-72,-2-2 80,-2 0 8,0 0-8,-4 1 48,4 14-24,-10-14-64,0-1 32,-1 0 48,-1 0-16,-2 2 24,0 0 8,14 13-32,-16-13 8,-1 1-8,2-1 16,0-1-72,1 4-16,1-1-8,13 11 80,-12-11-80,2 1-120,1 1-88,5 5-232,-1-6-288,2 7-280,3 3 1088,-3-3-1665,3 0-623,0 1-681,3 2-872,0 0-135,10 0-313,-13 0 4289</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48.293"/>
    </inkml:context>
    <inkml:brush xml:id="br0">
      <inkml:brushProperty name="width" value="0.05" units="cm"/>
      <inkml:brushProperty name="height" value="0.05" units="cm"/>
    </inkml:brush>
  </inkml:definitions>
  <inkml:trace contextRef="#ctx0" brushRef="#br0">4 392 1880,'0'0'0,"0"-3"856,-1-8-48,-1 7-80,1-5 65,1 9-793,0 0 864,0-3-24,0 3 16,3 0-48,-1 0-24,2 0 41,-4 0-825,3 1 744,1 2-56,5 0-72,-5 2-136,7 5-48,-8-7-64,-3-3-368,14 11 336,-5-7-24,2 5-23,1-5-25,-1 1-8,1-1 48,-12-4-304,12 10 264,1-6-32,0-1 16,1 1-24,1-2 40,-1-1 56,-14-1-320,15 2 256,0-2-8,1 0-40,-2-4-56,3-6-8,-2 8-8,-15 2-136,16-12 104,-2 8-32,1-11-24,-1 3-48,1-1 40,-1-2-56,-14 15 16,14-15-24,1-1 16,-3 1-40,-2-1 48,0-2 8,0 1-16,-10 17 8,3-16 8,10-2 40,-10 0-48,6 1-8,-9-1-8,3 1 8,-3 17 8,2-16 24,-2 1 8,0 0 8,0 1-40,0 0 24,-2-1-16,2 15-8,-3-14 64,-1 2 8,-1 2-24,-5 1 8,7 5-32,-8-7-8,11 11-16,-4-2 24,-8-2 48,7 1-40,-7-1 8,3 4-32,-1 0-56,10 0 48,-9 0 16,-2 0-32,0 4 56,0 1-16,2 7-96,-2-3 56,11-9 16,-10 5-32,1 11 32,-1-4 56,5 1-64,-5 1 8,6 2 0,4-16 0,-4 15 8,0 3-8,0 0-24,2 1 40,0 1-40,1 0 56,1-20-32,0 23 40,0 1-16,0 2 8,3 4 16,0 0-23,1 2 23,-4-32-48,9 35 40,-6 0-16,6 1 8,-5 1 8,7 0 0,-8 3-8,-3-40-32,12 37 40,-9-1-40,6 0 32,-6-3 8,0-2-32,7 2 16,-10-33-24,0 29 16,4-1-8,-2 0 16,0-3 40,-2 0-16,0-2 16,0-23-64,0 22 96,0-2-56,0-2 24,-1-1 16,-1-4 0,1-2 40,1-11-120,-3 9 128,1-5-32,-1 1 72,0-2-16,-1 1-16,1-1 16,3-3-152,-4 2 112,-1-1 8,-4 0-16,6-1-16,-2 0 16,-4-2-32,9 2-72,-3-10 80,-1 8 24,-1-9-56,0 7 32,1-10 0,1 3-40,3 11-40,-4-12 48,2 1-32,1-2-40,1 1 8,0-1 16,2 0-24,-2 13 24,4-13-16,6-1 0,-6 0-8,9 1 48,-3 0-48,-1 2-24,-9 11 48,11-10-56,-1 7-8,1-8 80,1 7-16,0 1 0,1-7-32,-13 10 32,13 0-72,0-3 8,1 0-16,1 1 64,-1 2-16,2 0-32,-16 0 64,15 0-64,0 0-80,0 1-32,-2 0-104,-1 2-136,-1-2-184,-11-1 600,10 2-777,-7-1-191,11 2-168,-11-1-168,9-1-249,-9 2-215,-3-3 1768,9 1-2024,-9 0-257,4 0-71,-2 0 127,-2 1 793,0-1-184,0-1 1616</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49.637"/>
    </inkml:context>
    <inkml:brush xml:id="br0">
      <inkml:brushProperty name="width" value="0.05" units="cm"/>
      <inkml:brushProperty name="height" value="0.05" units="cm"/>
    </inkml:brush>
  </inkml:definitions>
  <inkml:trace contextRef="#ctx0" brushRef="#br0">26 911 3096,'0'0'0,"-5"-3"3497,-7-1-2257,8-8-688,1 12-208,2-2-168,1-2-104,0 4-72,0-3 56,2-8 24,2 7-16,5-5 0,-6 5-40,6-7-32,-9 11 8,4-3-24,9-10-24,-4 9-16,2-10-48,0 4-104,1-1-128,-12 11 344,12-11-560,0 2-328,0-1-376,0-1-241,1 2-111,2-1 496,-15 10 1120,12-9-1488,-12 9 1488</inkml:trace>
  <inkml:trace contextRef="#ctx0" brushRef="#br0" timeOffset="1">297 553 1136,'0'0'0,"-3"-2"568,0-8 56,-1 6-80,3-5 40,0 7 32,1 2-616,0-4 673,0-6 79,0 8 80,2-2 64,2-5 48,-1 5 16,-3 4-960,4-11 897,7 9-33,-9-9-64,9 8-72,-8-8-64,12 7-48,-12-9-87,-3 13-529,16-4 480,-7-6-56,2 6-40,1-8-64,0 8-32,1-10-48,-13 14-240,14-4 192,0-10-24,-1 11-32,0-12-32,2 12 40,-1-11-32,-14 14-112,14-3 96,0-12 40,-1 12-40,-1-12-16,-1 6 40,-1 5-48,-10 4-72,12-14 56,-1 10 0,0-9-56,0 9 24,-2-8 16,1 9-16,-10 3-24,3-10 32,8 8 8,-8-2 8,6-5-24,-6 9 24,0-3-24,-3 3-24,10-2 24,-10 0 8,2 2-8,1 0 16,-1 0-16,-2 0 24,0 0-48,0 0 32,2 2 32,-2 2-8,0 0-16,0 8 40,0-1 9,0-11-89,0 12 56,-1 2 48,0 2-8,1 1-24,-1 2 40,1 0-8,0-19-104,0 22 64,0-1 32,0 1-32,0 1 8,2-1-8,1 1-40,-3-23-24,2 23 40,0 0 0,1-1 16,0 0-56,0 0 64,0-2-40,-3-20-24,4 19 16,-2-1 48,2 0-40,-2-2-24,1-1 32,-1 1-16,-2-16-16,3 14 0,-1 1 48,0-5-32,1 0 8,-3-6-8,0 5 16,0-9-32,2 1-8,-2 3-8,0 0-32,0-3-152,3 0-184,-3-1-296,0 0 680,0 0-1041,2-2-439,-2-1-472,2 0-617,1-9-560,-1 8-111,-2 4 3240,4-14-2681,-1 3 889,1-2 792,-4 13 1000</inkml:trace>
  <inkml:trace contextRef="#ctx0" brushRef="#br0" timeOffset="2">847 318 5281,'0'0'0,"-4"-2"2552,0-2-1088,0-5-375,1 9-193,2 0-184,1 0-712,0-3 608,0 1-16,0-1 48,2 0 1,2-1-17,0-7-80,-4 11-544,9-2 424,-6-9-64,7 8-72,-6-9-16,9 8-48,-3-8-64,-10 12-160,3-10 176,12 1-48,-6-1-32,2 1 32,0-1-56,0-2 80,-11 12-152,10-11 160,1-1-56,0 0 32,1 2-88,-1-1 48,0-1-23,-11 12-73,12-11 48,-2 0 8,1 0-16,0 8 8,0-11-8,0 4-8,-11 10-32,10-4 16,1-9 8,-1 10-16,-7-9-32,9 9 16,-8 0 32,-4 3-24,13-4 32,-9 2 16,8 2 0,-10 1 40,9 2 24,-9 8 40,-2-11-152,11 5 168,-7 11-40,5-3 16,-6 1-32,0 3 56,7 1 8,-10-18-176,2 20 192,2 2-56,-1 2 8,1 0 8,0 1-40,-2 0 32,-2-25-144,2 26 80,1 1-32,-1-1 48,0-1-24,-2 2-56,3-3 48,-3-24-64,0 24 56,0-3 48,0 0 40,0-2-80,0-4 0,-1 1-88,1-16 24,-2 14 8,1-1-32,0-2 48,0 0-8,0-1-176,1-7-96,0-3 256,-1 11-600,1-7-336,0-1-336,0 2-497,0-1-583,0-1-737,0-3 3089,2 3-3833,-2 0 8,2 0 73,-2-3 3752</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0.584"/>
    </inkml:context>
    <inkml:brush xml:id="br0">
      <inkml:brushProperty name="width" value="0.05" units="cm"/>
      <inkml:brushProperty name="height" value="0.05" units="cm"/>
    </inkml:brush>
  </inkml:definitions>
  <inkml:trace contextRef="#ctx0" brushRef="#br0">8 471 3280,'0'0'0,"-1"1"1376,0 2-319,-3 0-193,4-3-864,-1 4 784,1 1-48,0-1-24,0 6-79,2-6 23,1-1 0,-3-3-656,2 5 640,1 0 24,-1 0-64,0-2 8,1 1-24,-1-1-31,-2-3-553,4 4 600,-1-2-72,1 0-16,0-1 0,-1-1-112,8 0-56,-11 0-344,2 0 328,8 0-40,-7 0-32,9-3 8,-8 0-80,10-7-15,-3 7-41,-11 3-128,11-16 104,1 4 0,0-1 8,1 0-40,0-2-32,2 0-24,-15 15-16,14-18-16,0 1 0,0 0 32,-2 0-16,-2 1-24,2 0 0,-12 16 24,11-17 0,0 0-48,-1-1 48,-1 0-24,-5 2 0,8-2 24,-12 18 0,3-17-32,7-1 32,-10 0-8,4 0 8,-2 0 24,-2 1-8,0 17-16,2-17 8,-2 1 8,0-1-16,0 1 8,-2 2 40,-2 2-32,4 12-16,-3-10 32,-2 7 32,-5-9-40,7 9 24,-8 1 8,6-2-8,5 4-48,-11-2 24,2 2 8,4 0 0,-7 2-32,7 3 24,-7 6 24,12-11-48,-5 10 72,-7 3 32,8 0-8,-8 4-24,7 1 32,-7 1-16,12-19-88,-4 20 72,-6 1 32,6 0-24,0 0-8,0-1 8,0 0 16,4-20-96,-4 21 80,2 0 8,2 2 32,0 0-48,0 0-8,2 1-40,-2-24-24,4 24 16,0 1 32,5 0-8,-6 2-8,6 1 32,-6 0-32,-3-28-32,9 27 56,-6-1 8,0 1 0,7-3 16,-8-1 0,2-2-16,-1-2-64,0 0-16,-1-1 32,0 0-8,-2-2 72,0 1 0,0-17-80,0 14 56,-1-1 24,-2 2-16,-1-2 16,0-1 0,0-2 8,4-10-88,-4 4 40,-1 7 40,1-7-16,-1 0 56,-5 1-48,8-1-24,2-4-48,-4 3 72,-1 0-72,-4-2 40,8 0 56,-3 0-88,0 1 72,4-2-80,-3 0 56,0 0-56,1 0 40,1 0-24,0-3 24,-1 1-16,2 2-24,0-3 16,0 0-16,0-1 41,3 1-57,-1-7 48,8 8-24,-10 2-8,3-4-40,9-7 56,-2 9-32,2-8 32,0 8 56,2 0-48,-14 2-24,15-4 64,1 2-8,2-1-40,3 3-16,-1 0 0,2 0 0,-22 0 0,20 0 0,0 0 16,1 0-48,0 0 8,1 1 32,-3 1-32,-19-2 24,21 0 0,-1 0-16,-2 0-64,-1 0 80,-1-3-24,-2 1-16,-14 2 40,13-3 24,-2 0-88,-1-1-73,0 1-63,0-1-168,-7 0-120,-3 4 488,11-9-664,-9 6-184,2 1-256,0-2-137,-2 1-287,-2-1-192,0 4 1720,0-3-2033,-1-1-479,-3 2-161,-1-2 81,-7 2 559,8-1 793,4 3 1240,-15 0-1936,15 0 1936</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1.138"/>
    </inkml:context>
    <inkml:brush xml:id="br0">
      <inkml:brushProperty name="width" value="0.05" units="cm"/>
      <inkml:brushProperty name="height" value="0.05" units="cm"/>
    </inkml:brush>
  </inkml:definitions>
  <inkml:trace contextRef="#ctx0" brushRef="#br0">22 344 4208,'0'0'0,"-4"-4"1633,4 4-1633,-11-13 1152,8 4-256,0-1-232,2 7-120,1-13 1,3 5 63,-3 11-608,3-12 672,8 0 48,-7-1-40,9 0-64,-2 0-104,-1-2-72,-10 15-440,11-13 337,1 0-81,3-2-64,-1 2-96,2 0-16,-1-1-48,-15 14-32,17-13-24,-2-1-16,3 1-48,0 1-104,2 0-232,0 0-377,-20 12 801,19-11-1328,-1 8-576,-1-10-489,0 9-239,-2-5 639,1 6-847,-16 3 2840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2.543"/>
    </inkml:context>
    <inkml:brush xml:id="br0">
      <inkml:brushProperty name="width" value="0.05" units="cm"/>
      <inkml:brushProperty name="height" value="0.05" units="cm"/>
    </inkml:brush>
  </inkml:definitions>
  <inkml:trace contextRef="#ctx0" brushRef="#br0">32 30 1320,'0'0'0,"-3"0"472,0-2 128,-2-2 64,0 2 112,5 2-776,-3-2 857,0 2 119,2-3 80,-1 1 8,0-1-8,1 1-39,1 2-1017,-1-2 992,0-1-56,0 3-80,1-2-112,0 2-120,0-3-39,0 3-585,0 0 568,2 0-8,0 0 40,1 0-48,-1 0-8,1 2-8,-3-2-536,2 3 576,2 7-7,-1-1-41,1 2-40,5 2-80,-6 2-16,-3-15-392,9 17 336,-6 1-40,0 1 24,8 1-56,-8 0-8,6 2-72,-9-22-184,3 20 120,6 1 0,-6-1 8,6 2-16,-6-2 8,0 2-24,-3-22-96,4 21 120,-1-2-23,1-1-17,6-1-40,-10-1-64,2-2 64,-2-14-40,3 12 80,1 0-16,-2-7 64,2 7-16,-2-9-48,2 7-8,-4-10-56,2 2 56,1 2-16,-1 0 16,1-3 8,-1 0 24,2 0-32,-4-1-56,2 0 40,0 0 16,1 0-32,-1 0-8,2 0 16,-1-2-24,-3 2-8,4-4 0,6 1 16,-8-7 8,2 8 24,6-2-40,-7-6 8,-3 10-16,9-2-56,-6-2 16,6-6 16,-6 7-8,6-6 32,-5 6-40,-4 3 40,11-10-16,-8 6 48,9-7-32,-8 8-16,9-9-24,-9 8-72,-4 4 112,13-12-112,-10 10 0,11-9 8,-5 7 56,-5-7-32,10 8-16,-14 3 96,11-11-232,0 7-65,0-9-39,-1 10-104,0-8-64,0 8-136,-10 3 640,9-9-752,-5 7-128,9-8-128,-10 8-209,8-2-207,-8 0-304,-3 4 1728,3-3-2057,7-1-303,-8 1-289,1 0 65,-1 1 511,0 2 841,-2 0 1232,0-3-1456,0 3 1456</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3.179"/>
    </inkml:context>
    <inkml:brush xml:id="br0">
      <inkml:brushProperty name="width" value="0.05" units="cm"/>
      <inkml:brushProperty name="height" value="0.05" units="cm"/>
    </inkml:brush>
  </inkml:definitions>
  <inkml:trace contextRef="#ctx0" brushRef="#br0">21 1 4785,'0'0'0,"-2"1"2512,-2 1-1128,4-2-1384,-10 4 913,9 0-225,0 0-56,0 6 72,0-6 32,1 9 72,0-13-808,0 11 881,0 1-105,0 0-72,2 3-72,0 1-144,1-1-24,-3-15-464,2 15 408,2 0-48,-1 1-96,7-1 0,-8 2-48,2 0-95,-4-17-121,11 16 192,-9-1-120,8 1 88,-8-1-88,8 2 0,-8 0 8,-2-17-80,4 18-40,-1-1 64,7-2-8,-10 1-40,3-2 32,1-1-56,-4-13 48,4 13-120,-1-1-136,1-1-169,-1-1-223,1-1-216,0-4-224,-1 5-240,-3-10 1328,4 3-1601,-1 2-327,0 0-361,0-1-207,1-2 127,0-1 745,-4-1 1624,3 0-2192,-3 0 2192</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3.952"/>
    </inkml:context>
    <inkml:brush xml:id="br0">
      <inkml:brushProperty name="width" value="0.05" units="cm"/>
      <inkml:brushProperty name="height" value="0.05" units="cm"/>
    </inkml:brush>
  </inkml:definitions>
  <inkml:trace contextRef="#ctx0" brushRef="#br0">221 58 1408,'0'0'0,"0"0"856,-1 0 24,-1-4-120,2 4-760,-1-2 704,0-1-31,1 0 7,0-1 8,0 2 24,0-2 56,0 4-768,0-2 696,-1-1-7,0 1-65,-1 0-56,1-1-16,0 1-24,1 2-528,-1 0 480,0 0-48,-1-3 16,1 3 0,0-2 1,-1 0 15,2 2-464,-2-3 464,0 1-56,0 2-40,-1-3-16,1 1-56,-2 2 24,4 0-320,-2-2 320,-1 2-80,1 0 0,0 0-80,-2 0-8,0-3-24,4 3-128,-3 0 144,-1 0-56,1 0 32,-1 0-24,-1 0-64,2 1 104,3-1-136,-5 2 56,0 0 33,0 0 15,-4 2-64,8 0 8,-3-1 0,4-3-48,-5 4 24,0-1 16,-4 7 16,6-6 32,-1 5-16,-1-5 24,5-4-96,-10 12 80,7-3-24,-1 2 72,-6 1-8,7 1 48,-2 3-32,5-16-136,-10 16 176,7 1-32,-2 1 0,-5 0 56,7 2-72,-1-1 0,4-19-128,-5 20 144,1 2-40,0-1 8,2 2-8,0 0 0,1 1-56,1-24-48,0 23 80,0-1 24,0 1-48,3-1 56,0-1 0,7 1-80,-10-22-32,2 19 112,9-1-40,-7 0-16,6-1 8,-6-3-24,9 1-8,-13-15-32,10 13 48,-1-3 56,2 2-72,-1-2 8,2 0-40,-1-1-32,-11-9 32,10 4 32,2 7-24,0-9 24,0 2-48,1-2 16,-1-1 16,-12-1-16,14 0-32,-1 0 24,1-2-8,-1-2-24,2-8 24,-2 10 16,-13 2 0,12-13-24,1 3 0,-1 0-16,0 0-16,0-1 16,-1-1-8,-11 12 48,11-11-56,-1-2 16,-6 1 24,9 0-56,-9 0-8,5 1-16,-9 11 96,3-9-120,0-2 88,0 0 32,-1-1 8,-2 1-16,0 2 56,0 9-48,0-11-16,0 7 32,-1-8 0,-3 9-48,1-7 72,-7 8 0,10 2-40,-3-4 0,-8 2 16,1-1 0,5 1-32,-8 2 72,4 0-72,9 0 16,-11 1 0,1 3 40,-1 1-56,1 5 72,-2-5-16,1 8 8,11-13-48,-11 11 32,-1 2 32,1 0-40,-1 2 72,2-1 24,-1-1-16,11-13-104,-10 15 120,5-1-80,-5-1 24,6 1-120,-7-1 112,8-3-40,3-10-16,-4 12-16,-1-2 120,2 0-104,-1 0 0,3-5 56,-2 7-24,3-12-32,-1 5-32,1 0 16,0 4-32,0-6-72,0 0-40,0 1-224,0-4 384,3 4-672,0-3-280,1 0-368,5 0-361,-6-1-471,8 0-737,-11 0 2889,3 0-3681,7-2-87,-7-2 1207,9-7 33,-12 11 2528</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5.172"/>
    </inkml:context>
    <inkml:brush xml:id="br0">
      <inkml:brushProperty name="width" value="0.05" units="cm"/>
      <inkml:brushProperty name="height" value="0.05" units="cm"/>
    </inkml:brush>
  </inkml:definitions>
  <inkml:trace contextRef="#ctx0" brushRef="#br0">15 180 4873,'0'0'0,"-2"0"2232,-2 0-968,-1 0-552,3 1-247,2-1-465,-1 2 312,1 0-88,0 2-16,0-1 48,0 1 160,2 1 112,-2-5-528,3 4 592,-1 6 64,2-6-48,5 6-40,-6-5-7,7 10-65,-10-15-496,4 9 456,11 3-24,-3 0-64,0-1-40,2 1-40,0 0-72,-14-12-216,14 5 216,1 7 32,-1-9 0,-1 1 32,3 1 8,1-2 0,-17-3-288,14 4 281,2-3-17,-1-1-40,0 0-40,-1 0-8,2-4-24,-16 4-152,16-3 120,0-8-16,0 7-8,-3-8-72,-1 3 96,1-1-8,-13 10-112,11-12 88,-1 0 24,1-1-56,-1 0-72,1 0 32,-2 0 16,-9 13-32,10-15 16,-1 1 24,-5 1-40,7-2 40,-9 2-16,2 1-24,-4 12 0,9-13-24,-9 1-16,0 0 16,0 1-8,0 0 64,-1 1-8,1 10-24,-3-11 0,-2 7 40,-5-10-40,7 10 0,-8-9 48,6 9-24,5 4-24,-13-9 88,3 6-48,1 0-16,-1-1-32,0 2-8,1-1 32,9 3-16,-10 0-16,1 0 40,4 2-32,-8-1 8,8 2 0,-6 7 8,11-10-8,-5 4-24,-4 6 24,5 0 24,-5 0 40,6 0 56,0 2-40,3-12-80,-10 14 72,8-1-16,-2 0-8,0 0 48,2 1-24,1 2 24,1-16-96,-1 16 64,1 0-16,0 2 48,0 0-32,2 2 32,2-1-8,-4-19-88,10 21 104,-6 1-48,8 1 0,-8-1-16,10 0 24,-4 2 56,-10-24-120,9 25 88,-5 0 8,10 3-40,-10-2 8,8-1 48,-9 1-48,-3-26-64,11 23 120,-9 3-48,8-4-64,-10 5 89,4-3-65,-1 0 16,-3-24-48,4 24 96,-2-3-40,1-2 0,-3 1 8,0-4-8,0-1 16,0-15-72,0 14 104,0-2 8,-2-1 16,0 0-24,0-6-48,-1 5 0,3-10-56,-3 4 72,0 1-32,1-1-24,-1 0 64,1 1-64,0-2 24,-1 1 56,3-4-96,-2 4 48,-1-3-8,0 0 0,0-1 32,1 0-56,0 0 8,2 0-24,-2 0 72,0 0-48,1-2-24,0-1 32,-1 0-64,2-8 8,0 11 24,0-3 24,0 0-24,0-8-8,0 8 8,3-9-32,-3 12 32,3-4-24,1-7 24,6 8-32,-8-7 32,8 6 0,-7-9-24,10 10 8,-13 3 16,10-14-16,1 11-8,1-12 8,1 12 16,1-10 16,1 9-16,-15 4 0,16-12 0,1 8-16,0-6-24,-1 6 8,-1-6-40,1 7 8,-16 3 64,15-4-88,-1-5-24,-1 9-8,0-4-72,-1 1-144,0-1-32,-12 4 368,11-10-473,-1 10-103,1-2-64,0 0-128,-1-1-80,-7 3-184,-3 0 1032,13-2-1201,-10 2-167,6-3-232,-6 3-201,-1-2-199,1 0-153,-3 2 2153,0 0-2152,0 0 144,0 0 391,0 0 585,-3 0-1112,3 0 2144</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4:45:56.414"/>
    </inkml:context>
    <inkml:brush xml:id="br0">
      <inkml:brushProperty name="width" value="0.05" units="cm"/>
      <inkml:brushProperty name="height" value="0.05" units="cm"/>
    </inkml:brush>
  </inkml:definitions>
  <inkml:trace contextRef="#ctx0" brushRef="#br0">21 138 1440,'0'0'0,"0"2"248,-1-1 80,-3 0 72,2 0 0,-1 0-8,3-1-392,-2 2 400,1-1 0,-2 0 16,2-1 17,0 0-17,0 0-24,1 0-392,-1 0 432,1 0 8,0 0 48,0 0 88,0 0 0,0 0 40,0 0 25,0 0-641,2-2 640,0-1 40,1 1-8,-1 2-8,1-4-24,-1 2-24,-2 2-616,4-3 624,-1 0 1,1 0 31,-1 0-32,7-1-48,-10 2-24,0 2-552,4-3 496,-1 1-40,1-2 24,-1 2-55,1 0-25,6-2-40,-10 4-360,0-4 320,3 1-8,1-1-8,-1 2 8,1-1-48,-2 1-40,-2 2-224,4-2 216,-2 2-24,2-3 8,-1 1-32,1-1 8,0 1 8,-4 2-184,9-2 128,-6 2 64,0-3-32,7 3-16,-7 0 32,8-2-23,-11 2-153,10 0 144,-1-3-16,3 1-24,2 2 24,0 0 8,3 0 24,-17 0-160,18 0 144,2 0-40,2 0 0,0 0 0,0 0-32,1 0-32,-23 0-40,23 0 32,1 0-72,-1 0 64,4 0-64,-1 0 56,2 0-8,-28 0-8,27 0 32,2 0 80,-1 0-40,-1 0-48,0 0-80,-1 0 16,-26 0 40,26 0-88,-1 0 104,2-2 72,-2 2 8,0-3-24,-1 1-16,-24 2-56,23-3-16,-3 1 16,-1 2 0,-2-2-16,0-1 72,-1 1-40,-16 2-16,15-3 16,0 0 8,-1 0 8,-2 0-32,0 0 40,0 1 16,-12 2-56,9-2 0,-5-1 24,9 3 8,-9-2-64,5-1 80,-6 3-48,-3 0 0,3 0 8,1-2 40,0 2-48,-2-2 0,0-1 16,1 3-32,-3 0 16,2 0 16,1 0-16,-3-2 24,0 2-40,0 0 16,0 0-56,0 0 0,0 0 16,0-2-16,0 2 72,0 0-72,0 0 56,0 0-168,0 0 40,0 0-152,0 0-120,0 0-120,0 0-217,0 0 2970,0 0-5306,0 0 2121,0 0-128,0 0-144,0 0-225,0 1-223,0-1 1672,0 2-1913,0 0-415,2 1-369,0-1-95,1-1 415,-1 2 873,-2-3 1504,4 2-2144,-4-2 2144</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8:55.704"/>
    </inkml:context>
    <inkml:brush xml:id="br0">
      <inkml:brushProperty name="width" value="0.05" units="cm"/>
      <inkml:brushProperty name="height" value="0.05" units="cm"/>
    </inkml:brush>
  </inkml:definitions>
  <inkml:trace contextRef="#ctx0" brushRef="#br0">29 311 7377,'0'0'0,"-5"-2"2945,-6-2-1353,7-5-536,0 6-224,4 3-832,-4-2 577,3-2-169,1-5-32,0 6-48,0-6 40,0 5 0,0 4-368,4-13 352,-1 3-104,7 1-48,-6-2-32,6 1-24,-6-2 16,10 1-32,-14 11-128,10-12 72,1 0-16,-1-2-16,4 1-16,-2 0-24,1 0 0,-13 13 0,14-13-120,1-1-136,0 2-176,1 0-296,1 3-400,-2-1-473,-15 10 1601,14-3-2168,1-10-425,-2 9-143,0-7 519,0 8 809,-2-1-872,-11 4 2280,0 0 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0.477"/>
    </inkml:context>
    <inkml:brush xml:id="br0">
      <inkml:brushProperty name="width" value="0.05" units="cm"/>
      <inkml:brushProperty name="height" value="0.05" units="cm"/>
    </inkml:brush>
  </inkml:definitions>
  <inkml:trace contextRef="#ctx0" brushRef="#br0">167 1 1832,'0'0'0,"0"1"648,0-1-648,0 1 696,0 1-88,0 0-56,0-1-39,0-1-17,0 1 40,0-1-536,0 0 560,0 0 56,0 0 48,0 1 16,-2-1 32,1 0-15,1 0-697,-1 0 696,0 1-48,0 0-16,-3 1-32,1-1 16,-1 0 80,4-1-696,-4 1 745,1 0 39,-1 2 0,1-1-32,-7 2-16,6-2-72,4-2-664,-4 3 625,-1-1-65,-5 2-128,8-1-8,-3 1-80,-5-1 48,10-3-392,-3 5 384,-2 0 8,-5 0 16,7 0-80,-8 4-64,7-6 0,4-3-264,-4 4 232,-6 1-39,6 5 47,1-7-48,-2 9 40,0-7 0,5-5-232,-3 13 192,-1-2 16,0 1-8,1 0-16,1 2 24,0 1-24,2-15-184,-1 17 192,1-1-16,0 2-24,0 0-32,0-1-56,3 1 24,-3-18-88,2 18 72,1 0 16,1 0 0,7 2-64,-9-2 64,9 2-32,-11-20-56,2 18 0,9 0 64,-7-2-56,8 1 40,-9-1-24,9-2 8,-12-14-32,4 14 32,9 0-32,-9-2 40,10-2-8,-4 1-16,-1-6 40,-9-5-56,10 12 16,0-8-16,-7 6 8,10-6-88,-9 0 120,10-1-40,-14-3 0,4 4-16,9-3 72,-9 0-64,9-1 32,-10 0 8,12-3-16,-15 3-16,9-11-48,1 7 24,-6-8-8,8 9-24,-9-11 40,9 11-16,-12 3 32,4-13-40,7 9-8,-9-9 24,2 3-64,5 1 72,-7-1-24,-2 10 40,3-10-48,0 7 80,0-10-48,-1 10 0,-2-8 32,0 9 0,0 2-16,0-9 40,0 6-40,0-6 16,-2 6 0,-2 0-72,1-1 96,3 4-40,-5-10-72,-5 10 72,7-2 16,-7 0-16,7-1 72,-8 3-56,11 0-16,-4 0 40,-7 0-64,7 0 8,-8 0 32,7 3-64,-7 0 64,12-3-16,-4 4 32,-8 5-48,9-5 16,-7 7-48,6-8 48,-5 10 0,9-13 0,-4 4 48,-7 9-8,8-3-40,-2-5 0,-4 8-24,5-4 32,4-9-8,-5 5 72,0 7-80,2-7-96,-1 5 72,1-7-40,-1 2 88,4-5-16,-4 10 104,2-8-136,1 2-8,0-1-64,1 0-64,0-2-120,0-1 288,0 1-456,0 0-176,0-1-296,3 0-217,1-3-199,7-1-320,-11 4 1664,2-10-1841,9 7-295,-8-10-337,12 2-143,-6-2-73,2-1 1,-11 14 2688,11-14-2033,-8 1-1079,-3 13 3112</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1.502"/>
    </inkml:context>
    <inkml:brush xml:id="br0">
      <inkml:brushProperty name="width" value="0.05" units="cm"/>
      <inkml:brushProperty name="height" value="0.05" units="cm"/>
    </inkml:brush>
  </inkml:definitions>
  <inkml:trace contextRef="#ctx0" brushRef="#br0">54 165 3368,'0'0'0,"-2"-2"1577,2 2-1577,-2-3 1392,0 0-504,0 0-216,2 0-168,0 0-64,0 1-8,0 2-432,3-4 385,0 1-33,1-1 16,0-5-16,-1 6-8,8 0-48,-11 3-296,2-10 256,2 8-48,7-8-32,-8 6-24,7-6-40,-6 7-8,8-9-48,-12 12-56,3-3 40,7-8-8,-7 7-8,8-5-8,-9 6 24,9 0-24,-11 3-16,3-11 16,7 9 48,-7-2-32,6 0-8,-6 1 0,0 0-24,-3 3 0,10-3-8,-10 0 8,2 1 8,1 2-8,-1 0 16,-2 0 0,0 0-16,0 0-24,0 0 8,0 1 16,-1 3-32,1-4 32,-4 3-48,1 1 16,-2 0-16,0 0 24,-4 1-16,5-1-8,4-4 48,-4 9-88,-5-6 0,5 6-16,-1-5-40,-4 8 48,5-7 0,4-5 96,-4 12-72,-6-9 48,6 9-8,0-8-32,-6 8 40,6-7 0,4-5 24,-4 12-16,-6-2 32,6 0 16,-6 1-24,6 0 0,-6 1 16,10-12-24,-3 9 8,-2 3 8,-5-1 16,7 1-24,-2 0 24,0-1-16,5-11-16,-5 12 32,1-2 16,0 1-8,0-1 24,1 1 24,0-1-24,3-10-64,-2 10 104,0 0-40,0-1 16,1 1 16,0-1 16,0-4-16,1-5-96,0 12 136,0-8 0,0 8 16,0-9 24,0 8 8,2-7 0,-2-4-184,3 3 176,-1 1 41,0-1 7,2 0 64,0-2 32,-1 0-24,-3-1-296,11 0 304,-9 0-64,10 0-72,-8 0 24,8-2-48,-2-2-32,-10 4-112,9-3 128,2-1-96,0 0 16,1-5-24,0 9-24,0-4 24,-12 4-24,13-2-24,-1 2 24,1 0 0,0 0 24,2 1 16,-2 1-16,-13-2-24,14 4 80,-1 1 16,1 4 24,-1-5 24,0 9-64,0-8 0,-13-5-80,12 13 48,-1-3 16,0-1 56,-1 2-24,-6 0 32,8 0 64,-12-11-192,2 10 136,8 1 56,-10 1 0,4-1-24,-2 1 49,-2 1-41,0-13-176,0 12 152,0 1 8,0 1 24,-4-2-8,0 1 0,-7 0 24,11-13-200,-5 12 136,-7-1 40,1-1-40,2 0-8,-2 0 24,1 0-24,10-10-128,-10 5 144,-2 8-40,1-8 0,-1 6 0,0-7-8,1 0-24,11-4-72,-13 5 32,1 5 24,-1-8-32,-1 2 0,1-1 8,0 1 32,13-4-64,-12 4 24,0-2-40,0 0 56,0 0-88,0-1 56,1-1-8,11 0 0,-4 0-48,-10 0 8,11 0 0,-7 0-40,8 0-48,-2-3-128,4 3 256,-3-2-512,0 0-240,2-1-408,0-6-441,1 6-327,0 0-409,0 3 2337,2-12-2736,2 8-473,8-8 504,-9 8-1071,-3 4 3776</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2.268"/>
    </inkml:context>
    <inkml:brush xml:id="br0">
      <inkml:brushProperty name="width" value="0.05" units="cm"/>
      <inkml:brushProperty name="height" value="0.05" units="cm"/>
    </inkml:brush>
  </inkml:definitions>
  <inkml:trace contextRef="#ctx0" brushRef="#br0">42 209 2656,'0'0'0,"-3"0"1064,-1-3 9,-7 1-193,8 0-216,-1 2-136,4 0-528,-3-3 496,-1 3-16,2-2 8,-1 2 56,2-3 33,0 3 47,1 0-624,-1-2 648,-1 2-16,2 0-48,0 0-40,0 0-88,0 0-80,0 1 24,0-1-400,3 1 361,0 3 15,1 0 0,7-1-40,-9 1-16,9 5-24,-11-9-296,4 3 264,8 0 8,-9 8 0,12-8-56,-5 0 16,1 2-32,-11-5-200,12 4 168,0 0 32,-1 0-32,0 1-8,-1-2 32,0-1 16,-10-2-208,11 1 216,0 0 9,-2 0-49,3 0-32,-1 1-24,0-2-8,-11 0-112,11 0 96,-2 0-8,1 0 8,-7-4-56,11 0 24,-14 4-64,3-3 64,-3 3-64,13-4 72,-9-7 0,8 9-8,-9-9 0,9 8-16,-8-9-24,-4 12-24,11-4 16,-8-8 8,8 8-24,-7-9 0,5 4 8,-6-1-8,-3 10 0,9-12 16,-5 0 24,6 1-40,-8-1 0,2 2 8,-1-2-40,-3 12 32,4-11-16,-2 0 40,1 1-8,-1 1-16,-2 5 32,0-8 0,0 12-32,0-3 0,0-8 56,-1 9-80,-3-8 48,1 8 16,-1-2-40,4 4 0,-5-4 40,-4 1-24,5 0-32,-6 3-8,7 0 64,-9 0-40,12 0 0,-4 0 0,-9 2 48,8 1-64,-8 1 40,8 7 16,-7-8-16,12-3-24,-5 11 0,-6-6 16,7 7 0,-7-3-48,8 2 64,-8 0-32,11-11 0,-4 13-40,-5 0 80,5 2-40,0 0 24,0 2 8,0 1-16,4-18-16,-2 17-16,-1 2 32,2 1 8,1 1-24,0-1 16,0 0-40,0-20 24,0 21-40,2 0 40,2 2 8,0-1 24,-1 0 0,1 1-16,-4-23-16,9 22 40,-6 3 8,6-3-48,-6 0 56,8 0-48,-9-1 16,-2-21-24,10 22 32,-8 0-48,7-2 32,-6 2-8,0-2 32,8 0 0,-11-20-40,3 18 8,-1-1 48,2-1-32,-2-2 24,0 0-32,1 1-16,-3-15 0,2 14 16,-2-1-8,0-2 16,0-1 8,0-1 16,0-4-8,0-5-40,0 12 48,-1-7-16,0 6-8,-2-8 0,1 2 0,-2 0 16,4-5-40,-2 3 56,-2 1-16,1 0-8,-1-1 24,1-2-40,-1 2-16,4-3 0,-4 2 8,0-1-16,-1 1 72,1-2-24,0 0-8,-1 0 24,5 0-56,-10 0-24,8 0 32,-2-3 8,-1 1-16,-4 2 40,6-3-16,3 3-24,-3-2 16,-1 0-32,1-2 32,-1 0 0,-1 1-16,2-1 48,3 4-48,-4-3-16,0-1 16,3 0 32,0 1-32,0-1 24,1 1-48,0 3 24,0-4-32,0 0 48,3 1-56,1-7 64,7 10-8,-8-3-16,-3 3 0,12-4 56,-8-6-32,10 8 16,-3-2-24,0-6-8,1 7 48,-12 3-56,12-3-32,2-8 64,2 9-24,-1-2-56,1-6 48,0 10-16,-16 0 16,15-3-24,2-1 40,1-5-8,-1 9 8,-1-3-8,0 1-16,-16 2 8,14 0-56,2-3 8,-3 3 8,2 0-16,-2 0-8,0 0-16,-13 0 80,12-2-104,0 2-24,-1 0-32,-2 0-8,-5 0-32,9 0-24,-13 0 224,4 0-312,-1 1-120,7 0-104,-10-1-112,2 2-105,1-2-47,-3 0 800,0 1-888,0 0-112,0 1-120,0 1-209,-3-1-143,0 2-144,3-4 1616,-5 2-1577,0 2 33,-5-1 56,7 1 71,-7 1 193,5-2-712,5-3 1936,0 0 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2.861"/>
    </inkml:context>
    <inkml:brush xml:id="br0">
      <inkml:brushProperty name="width" value="0.05" units="cm"/>
      <inkml:brushProperty name="height" value="0.05" units="cm"/>
    </inkml:brush>
  </inkml:definitions>
  <inkml:trace contextRef="#ctx0" brushRef="#br0">10 292 6409,'0'0'0,"-3"-2"2304,3 2-2304,-3-4 1337,-1-7-521,4 9-224,0-10-104,2 8-40,2-11 32,-4 15-480,11-12 552,-9 0 65,9-3-1,-7 2-80,10 0-120,-10-1-104,-4 14-312,14-12 192,-4-3-80,0 2-32,1 0-72,0 1 16,1 1-40,-12 11 16,12-11-16,0 2-8,1-2-48,-2 0-40,1 8-88,0-12-96,-12 15 296,11-3-448,-1-8-232,1 8-313,-1 0-351,-7-1-472,7 2-361,-10 2 2177,2 0-2424,2 0 359,-1 0-1183,-3 0 3248</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4.552"/>
    </inkml:context>
    <inkml:brush xml:id="br0">
      <inkml:brushProperty name="width" value="0.05" units="cm"/>
      <inkml:brushProperty name="height" value="0.05" units="cm"/>
    </inkml:brush>
  </inkml:definitions>
  <inkml:trace contextRef="#ctx0" brushRef="#br0">70 221 1248,'0'0'0,"-2"0"176,-3 1 40,-5 0 32,8-1 24,2 0-272,-5 1 288,1 0 48,0-1 56,-1 2 64,0-2 64,1 0 57,4 0-577,-3 0 584,-1 0 8,2 0-8,-2 0 24,2-3 0,1 0 0,1 3-608,-3-4 608,2-6 33,0 10 39,0-9 0,-1 5 40,2-5-88,0 9-632,0-4 576,0-9-48,3 9-64,-1-11 1,2 4-9,-1 0-32,-3 11-424,10-11 424,-8 2-48,9-3-24,-7 0 0,7 0-40,-8 1-16,-3 11-296,13-11 248,-9 0-64,9 2-40,-9 5-48,10-9-16,-4 11-16,-10 2-64,9-4 48,1 0 8,0 2 16,-7 2-24,11 0-24,-10 0-8,-4 0-16,13 4 8,-9 6-16,9-5 8,-9 10 8,6-5 16,-6 1-8,-4-11-16,10 15 48,-7-1 8,1 4 8,5 0-8,-9 1-16,3-1-32,-3 2 17,0-20-25,0 20 48,0-1-8,-4-1 40,1 0 0,-8 0 0,7-2 32,4-16-112,-12 17 88,7-2-16,-7 1 0,8-1-8,-10-1-16,5 1 48,9-15-96,-10 12 64,1 0 48,-1-2 0,1 2-24,-1-2 8,0 1-56,10-11-40,-9 9 48,-1-4 16,7 6 0,-9-9 0,8 2-48,-7-1 8,11-3-24,-3 3 40,-7-2 16,8 0 8,-2 0-24,-1 1-40,2-1 24,3-1-24,-4 0 0,2 0 0,-1 0 0,2-3 0,0 1 0,0 0-8,1 2 8,0-3-16,0 1-8,0 2 0,3-3 24,1 1-40,-1 0 64,-3 2-24,11-3 16,-7 0 8,7 0 24,-8 3-32,12 0-8,-5 0-16,-10 0 8,12 0 0,3 3 8,-1 0-8,3 7-24,0-7 16,-1 2-32,-16-5 40,18 10-16,0-7 16,0 1-32,2 6-8,-2-7 16,-2 2 8,-16-5 16,17 5 16,-1 0 8,-1-2 0,1 0-48,-2-1 8,1-1-8,-15-1 24,14 0-40,-2 0 16,0 0-64,1 0-40,0-2-56,1-2-112,-14 4 296,10-3-384,1-8-120,-1 7-105,-7-7-159,12 8-40,-6-13-56,-9 16 864,10-12-848,-1-1 40,1-3-89,0 0-71,0-2-72,0 1-24,-10 17 1064,10-17-1009,-7 0 153,10 2 136,-9-1 160,7 2 160,-9-1 120,-2 15 280,11-14-208,-9 0 104,2-2 48,5 3 8,-6-1 56,0 2-8,-3 12 0,4-12 8,0 0 24,-2 2 16,0-2 40,1 2 64,-1 1 40,-2 9-192,0-10 256,0 7 104,0-9 64,0 9 48,-1-6 72,0 6 0,1 3-544,-4-3 569,1-7 7,-1 10 0,-1-3-8,0-1 32,-4 2-32,9 2-568,-3-3 504,-1 1 88,-1 2-15,-5 0 15,8 0 0,-3 0-96,5 0-496,-5 2 440,-4 3-40,6 5-32,-1-7-32,-1 10 0,-5-2 32,10-11-368,-2 11 336,-2 1 81,-1 1-9,1 1-32,0 1 40,0 0-80,4-15-336,-2 18 328,1-1-16,0 1-48,1 1-16,0-1-40,0-2-24,0-16-184,2 17 152,2-2-16,-1 0-32,7-1 0,-8-1-8,8-1-16,-10-12-80,3 12 80,8-1-32,-7-2-8,7-4 0,-8 6-8,9-7-8,-12-4-24,4 3 40,8 0-16,-9-2-8,8-1 0,-7 0-32,6-4-8,-10 4 24,4-9 0,8 5-40,-8-12 0,8 5 0,-9-4 0,9 1-16,-12 14 56,4-17-24,5 0-32,-5 0-48,0 1 48,5 0-24,-9 2 40,0 14 40,3-16-8,-3 1-8,0 0-40,0 2 32,0-1 24,0 3 16,0 11-16,-2-13 0,-1 2 0,-1 1 8,1 7-16,-7-11 16,8 11-8,2 3 0,-10-10 0,6 8-32,-5-2-8,4 1 48,-6-1-16,6 0 16,5 4-8,-12-3 32,9-1-8,-9 2-24,8 0-24,-8 2 8,9-3-64,3 3 80,-11 0-56,7 0-16,-5 0-48,5 0-24,1 1-40,-2 1-48,5-2 232,-4 2-256,1 0-64,-1 1-96,2-1-40,0-1-144,1 2-81,1-3 681,0 1-744,0-1-72,3 1-16,-1-1-8,2 0-96,6 0-113,-10 0 1049,3 0-1152,9 0-104,-9-4-64,13-5-25,-5 7-71,1-8 0,-12 10 1416,13-2-1353,1-9 153,1 7 384,-1-7 312,2 8-984,-16 3 1488</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5.347"/>
    </inkml:context>
    <inkml:brush xml:id="br0">
      <inkml:brushProperty name="width" value="0.05" units="cm"/>
      <inkml:brushProperty name="height" value="0.05" units="cm"/>
    </inkml:brush>
  </inkml:definitions>
  <inkml:trace contextRef="#ctx0" brushRef="#br0">148 68 2736,'0'0'0,"0"0"0,3-4 1264,7-9 161,-8 3-73,2 7-176,0-7-152,-2 8-87,-2 2-937,2-4 856,-2 1-80,0-1-16,0 0-72,0 2-88,0-2-39,0 4-561,-1-2 472,-1 0-24,-2 2-88,-1 0-64,-4 0-24,5 0-80,4 0-192,-9 1 200,5 1-32,-7 2-64,8 5 32,-8-5-40,1 7 40,10-11-136,-5 4 152,-8 10 8,4-4 72,4 2 16,-7 2 72,7-1 40,5-13-360,-12 15 361,7 1-17,-5 0-24,6 0-24,-6 1-32,8 1 40,2-18-304,-4 20 288,1 0-72,2-1 40,-1 0-112,2-2-40,0 0 48,0-17-152,3 16 80,6-1 0,-6-2-32,6-1-16,-5-3-32,8-4 8,-12-5-8,4 10 16,9-8 8,-4 1 0,1-2 8,-1-1-64,1 0 8,-10 0 24,10-3-24,0-6 8,-6 5 32,10-11-40,-4 3-32,0-3 32,-10 15 24,9-15-56,1-2 48,-7 0 16,9-1-40,-9 3-8,0-2 24,-3 17 16,10-16 16,-10 1-32,4-1 56,-1 3-40,0 0 16,-1 1-8,-2 12-8,0-11 24,0 0 8,0 0-24,0 8 24,0-8 0,0 9 8,0 2-40,0-3 56,0 1 8,0-1-8,0 3-16,0 0-16,0 0 40,0 0-64,0 0 64,0 3 40,0 0-24,0 8 0,0-1 16,2 2 64,-2-12-160,3 13 144,-1 3 48,1 2-8,-1 2-32,1 1 49,7 2-89,-10-23-112,4 23 136,5-1-32,-5-2-32,8 3-72,-9-2 16,12 2-32,-15-23 16,3 23-16,11 0 56,-5-1-24,-5 0 24,8-1-56,-9-1 32,-3-20-16,12 18 0,-8 1-24,8-1-8,-8-3-8,8 0 0,-10-2-16,-2-13 56,9 11-96,-6 0-56,0-7-169,1 7-295,0-9-360,-2 2-536,-2-4 1512,2 2-1865,-2 1-295,0-1-361,0-1-183,0-1-345,0 0-23,0 0 3072,0-2-4201,0 2 4201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7.890"/>
    </inkml:context>
    <inkml:brush xml:id="br0">
      <inkml:brushProperty name="width" value="0.05" units="cm"/>
      <inkml:brushProperty name="height" value="0.05" units="cm"/>
    </inkml:brush>
  </inkml:definitions>
  <inkml:trace contextRef="#ctx0" brushRef="#br0">3 312 4833,'0'0'0,"0"2"2296,-1-1-680,-1 1-631,2-2-985,0 3 656,0-1-104,4 2 32,9-1 24,-3 1 72,3 5 48,-13-9-728,13 4 657,0 7-129,4-6-136,0 7-48,1-3-112,2-4 56,-1 6-40,-19-11-248,19 9 168,2-4 24,-1 6-56,2-7 40,-1 5 16,-1-6 16,-20-3-208,19 3 192,-1-1-8,0 0 32,0-1 32,0-1 40,-2-4-16,-16 4-272,17-9 257,0-3-9,0 0-40,-3-3-24,0-3-88,-2 0-8,-12 18-88,11-19 40,-1-2-8,-1-1 24,-5 1-56,7-1 48,-9 2-24,-2 20-24,10-21 16,-8 2 40,2 0-16,-2 1-24,1 1 16,-3 0 8,0 17-40,0-15 16,0-1 16,0 3-32,0 0-32,-3 1 40,0 1-8,3 11 0,-10-10 104,6 7-32,-5-10-16,5 9 16,-8 0-88,3-5 48,9 9-32,-5 0 32,-10 0 0,5 0-32,-2 0 32,1 1-80,-1 3 48,12-4 0,-10 4 0,6 7 16,-8-6 16,8 8-8,-6-3 32,7 1-8,3-11-48,-5 10 0,0 4 16,-4 0-72,7 2 48,-1 0 8,-1 2-16,4-18 16,-3 18 40,0 0-64,1 3 48,1-1 16,1 0-40,0 2 0,0-22 0,0 20 0,0 3-16,2-1-8,2 0 0,-1 1 48,7 0-40,-10-23 16,0 23 16,3-1 8,1 2 32,-2-2-56,2 1 48,-2-3 0,-2-20-48,3 21 32,0-2 40,0 0-8,-1-2-24,1-1-24,-1 0 16,-2-16-32,2 16 16,-2-3 48,0 0-16,3-1 8,-3-1 8,0 1 40,0-12-104,0 9 64,0 1-48,-1 1 8,-2-7-80,0 10 56,0-5 16,3-9-16,-3 5 16,-1 6 8,0-6-24,1 4 80,-2-6-56,1 1 96,4-4-120,-4 4 0,-1 1 0,-5-2-16,8 1-88,-2-2 80,-1 0-8,5-2 32,-3 0 16,-1 0-16,1 0 64,1 0-8,0 0-56,1-3 40,1 3-40,0 0-16,0-2 56,0-1 0,2 3-72,1-2 32,0 2-88,-3 0 88,4 0-40,8-2 56,-9 2-8,11 0 32,-2 0-80,1 3 72,-13-3-32,15 10 8,3-7 24,2 2 56,0 5-112,-1-8 32,-1 9-16,-18-11 8,18 4-40,-1 5 120,1-5-72,-3 5-8,1-5-24,0 1-16,-16-5 40,13 4-16,0 6 16,-2-9 40,-1 3-8,1-2-72,-7 2 64,-4-4-24,13 2-24,-9 1 24,-1-1 24,1-1-64,-1 2 24,1-2-8,-4-1 24,2 1-24,-2-1-56,0 0-64,0 1-64,0-1-112,0 0-8,0 0 328,0 0-384,0 0-144,0 0-40,0 0-121,-1 0-159,-1-2-24,2 2 872,-4-3-1080,2 0-176,-1-1-209,0-5-271,0 9-144,0-4-225,3 4 2105,-5-4-2160,0-5 159,-4 7-367,9 2 2368</inkml:trace>
  <inkml:trace contextRef="#ctx0" brushRef="#br0" timeOffset="1">131 801 4512,'0'0'0,"-1"0"2545,-3 0-609,-5 0-863,9-2-449,0 2-216,0 0-408,0-4 368,2 1 72,2-1 56,6-8 112,-6 9 24,8-7-15,-12 10-617,10-4 576,-1-9-88,2 10-144,1-9-40,1 8-128,3-9-32,-16 13-144,15-4 112,2-6-40,-1 6-24,-1-7-16,1 8-32,-1-7-24,-15 10 24,17-2-24,-1-2-40,-1 0-32,1 1-80,-2-1-128,1 1-200,-15 3 504,14-4-720,0 2-209,1-1-279,-2 0-200,-1-1-96,0 2-137,-12 2 1641,11-4-1720,-1 0-41,0 1 161,0-8-1032,-10 11 2632</inkml:trace>
  <inkml:trace contextRef="#ctx0" brushRef="#br0" timeOffset="2">910 381 4160,'0'0'0,"0"0"0,-1 0 2313,-3-3-393,1 0-607,-1-1-425,2-5-312,0 6-48,2 3-528,0-11 448,0 8 16,0-10 88,0 3-56,3 6 1,-1-8 15,-2 12-512,3-9 416,0 5 48,1-8-40,7 9-56,-8-9-48,8 8-72,-8-7-16,-3 11-232,11-2 112,-7-2 0,9 1-32,-9 0-56,11 1 40,-4 2-24,-11 0-40,12 0 24,0 0-16,0 2 32,0 8-16,-1-5-24,1 8 0,-12-13 0,9 12-24,2-1 32,-1 2 8,-1 0 8,-5 1-16,7 2 0,-11-16-8,2 14-32,8 3 64,-10-2 56,2 0-88,0 1 32,-2-2-32,0-14 0,0 14-24,0 1 48,-1-1 16,-1 1-8,-2-1-8,-1 0 48,5-14-72,-9 15 48,6-2-24,-1-1 0,-7 0-48,7-1 32,-7 1 8,11-12-16,-3 10 24,-8 0 8,6-5-16,-5 7-16,6-9 8,-8 7-8,12-10 0,-5 4-24,-6-1 72,7 2-48,-8 0-8,7-2 32,-7 1-24,12-4 0,-5 2 0,0 0-16,-4-1 16,7 0 40,-1-1 8,-1 0-24,4 0-24,-3 0 0,0-4 8,2 2-40,0 0 32,0-2 0,1 0-40,0 4 40,0-3-48,0-7 64,2 8-16,2-2-40,-1-7 88,7 9-48,-10 2 0,2-2-32,10-2-16,-8 0 32,11 2 16,-4-2 48,0 1 16,-11 3-64,12-3-40,-1 1 56,1 2-8,1-2-32,0 2 40,1 0-16,-14 0 0,16-3-48,-2 3 8,2 0 40,0 0-80,0-2-16,2 0-56,-18 2 152,18 0-344,-1-3-128,1 3-184,-4-2-136,2 2-48,-2-3-177,-14 3 1017,14-2-1128,0 0-176,-1-1-152,-1 1-137,1-2-87,-1-5-56,-12 9 1736,12-3-1657,-1-6 497,0-1-392,-11 10 1552</inkml:trace>
  <inkml:trace contextRef="#ctx0" brushRef="#br0" timeOffset="3">1526 223 3264,'0'0'0,"-4"1"1905,-6 0-89,0 0-360,5 0-351,-4 3-273,5 6-152,-6-7-72,10-3-608,-2 11 648,-3-6 8,0 8 104,1-3 17,0 3-49,0 0-16,4-13-712,-3 14 656,2 3-40,-1 1-56,1 0 0,1 1-103,0-1-65,0-18-392,0 21 344,3-2-24,-1 0 32,2-1-48,-1-1 40,8-1-128,-11-16-216,2 16 216,9-3-16,-7 0-56,9-1 8,-9-2-32,10 0 8,-14-10-128,11 3 96,-2 2-48,3 0-8,0-2 0,0-2-16,-1 1-8,-11-2-16,11 0 0,0 0-16,1-10-24,0 6 112,0-7-104,0 0 64,-12 11-32,10-13 24,1-2-104,0 0 64,-2-1-56,1-1 16,-6 0 152,-4 17-96,13-16 24,-10 0 0,8-1-64,-8 2-40,6 0 96,-9 0-40,0 15 24,3-13 40,-1-1-112,0 2 8,-2 0 64,0 0 0,-1 3 80,1 9-80,-2-10 56,-2 7 88,-5-9-120,4 9 0,-6-6 32,0 6-80,11 3 24,-11-3 8,1 0-8,-3 1 0,-2 0 32,1-1 8,-2 3-32,16 0-8,-15 0 40,0 0-80,1 0 16,-1 0 40,0 0 8,-1 1-24,16-1 0,-13 2 40,0-1-56,3 1-24,1 2 72,4-2-48,-6 2-8,11-4 24,-2 3-56,-2 1-128,1-1-120,1 0-168,1-1-216,1 2-112,0-4 800,0 2-960,0-1-97,3 2-47,0-2-80,7 0-64,-7-1-89,-3 0 1337,12 0-1424,-2 0-72,1 0 79,1-2-15,2-1 24,-1 1 31,-13 2 1377,16-4-1376,-1-6 280,1 6 400,1-7-640,-17 11 1336</inkml:trace>
  <inkml:trace contextRef="#ctx0" brushRef="#br0" timeOffset="4">1992 68 3304,'0'0'0,"0"-2"1537,0-2-57,0 4-1480,0-10 1216,0 10-112,0-2-87,-1 0-41,0-1 16,-3 3-88,4 0-904,-5-2 816,1 2-79,-7 0-113,7 0-56,-8 1-40,7 3-40,5-4-488,-13 3 408,4 2-24,4 0-64,-8 4-48,3-4 32,0 7-16,10-12-288,-10 11 288,0 0 1,5 1-9,-7 0 16,7 1 88,-5 0-32,10-13-352,-4 14 368,-1 3-16,-4 0-40,5 2-16,1 2 24,-1-1-72,4-20-248,-2 23 224,0-3 8,2 2-104,0-2 48,0-1-88,4-2 40,-4-17-128,4 16 104,5-3-40,-6 0-8,6-1 24,-5-3-64,6-5 8,-10-4-24,4 10 16,9-9-72,-3 0 88,1-1-88,1 0 40,-2-4-40,-10 4 56,12-13-160,0 0 136,0-2-56,0-5-16,0-1 136,0-2-136,-12 23 96,12-24-120,-1-1 72,-1 0-8,-1 1-32,-5-1 96,9 2-56,-13 23 48,4-23-56,6 3 72,-6 0-32,0 3 72,5 0-32,-9 0-8,0 17-16,4-16-32,-2 2 32,1 1-48,-1 2 96,-2 0-16,2 2-8,-2 9-24,3-4 104,-3-7-48,2 9 8,-2-1-8,0 1-8,0 2-48,0 0 80,0 0-8,0 1 8,0 3 24,0 1-8,0 8 0,0-13-96,0 9 81,3 2 71,-1 4-112,2 0 112,-1 3-32,1 1-80,-4-19-40,11 20 168,-9 0-64,8 1 8,-7 1 0,7 0-88,-7 0-8,-3-22-16,11 22 32,-7 1-48,8-2 72,-9 0-112,10 0 80,-9 0-48,-4-21 24,12 20-40,-8-1 48,9-1-48,-10 0 72,9-2-120,-8-2-32,-4-14 120,12 14-208,-8-2-176,8-2-249,-9 0-271,8-7-416,-7 7-488,-4-10 1808,10 3-2297,-6 1-608,7-2-647,-9 0-465,2-2-1296,-4 0 5313</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09.671"/>
    </inkml:context>
    <inkml:brush xml:id="br0">
      <inkml:brushProperty name="width" value="0.05" units="cm"/>
      <inkml:brushProperty name="height" value="0.05" units="cm"/>
    </inkml:brush>
  </inkml:definitions>
  <inkml:trace contextRef="#ctx0" brushRef="#br0">19 1523 5537,'0'0'0,"-4"0"2472,-1-3-1264,-4 0-671,9 0-241,0 3-296,0 0 152,0 0-56,2 0 64,2 0 80,7 0 104,-9-2 88,-2 2-432,12-2 488,-9-1 40,12 1-16,-2-2-48,1 1 16,3-7-15,-17 10-465,19-4 472,2-6 48,3 0-48,1 0 0,2 0 24,3-2-40,3-3 64,-33 15-520,33-15 496,4-6-39,3 0-17,2-6-8,4-1-56,3-3-16,-49 31-360,51-34 344,4-2-88,4-1-64,1-3-80,1 0-96,3-2-56,-64 42 40,63-42-88,4-3-64,-1 1 64,1 1-40,-1 0 64,0 1 8,-66 42 56,68-40-72,0 1-8,-1 0-48,0 2 64,-3-1-8,1 1 0,-65 37 72,65-38 0,0 4-80,-2 1-8,1 1 24,-4 1-96,-3 0 96,-57 31 64,58-31-48,-2 2-16,-1 1 40,-3 2-48,-4 1 0,-4 0 0,-44 25 72,43-24-64,-3 1 72,-2 1-8,-3 3-24,-4 2 16,-4 3-80,-27 14 88,27-15-24,-6 4-16,-2 0-32,-3 1-8,-3 7-8,-2-8 64,-11 11 24,4-3 8,6 0 56,-7-1-40,-3 2-72,0 2 8,0 0-56,0 0 96,0 0-153,-4 1-103,-9 1-112,1 2-152,-4 1 0,0 4 16,16-9 504,-18 4-552,-3 8 56,2-8-112,0 6-128,1-6-177,0 1-271,18-5 1184,-18 9-1512,2-6-321,3 0-247,0 1-41,2-1 129,1 1 528,10-4 1464,-10 4-976,10-4 976</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9T15:19:12.914"/>
    </inkml:context>
    <inkml:brush xml:id="br0">
      <inkml:brushProperty name="width" value="0.05" units="cm"/>
      <inkml:brushProperty name="height" value="0.05" units="cm"/>
    </inkml:brush>
  </inkml:definitions>
  <inkml:trace contextRef="#ctx0" brushRef="#br0">97 48 1064,'0'0'0,"0"-2"296,0-2 88,3-6 56,-3 7 16,0 1 40,2-2 72,-2 1 56,2-1 65,-2 0 15,0 1-24,0-1-16,0 2-48,0 2-32,0-3-40,-1 3-32,0 0-31,-1 0-17,-1 0-40,0 0-40,-1 2-32,0-1-64,0 2 8,-1 1 0,0 6-32,1-7 24,0 8-16,-6-6-48,8 9 32,-2-2 8,-6 4-15,8-1 47,-2 3 16,0 1-40,-1 1 72,0 1 0,0 2 32,2 0 88,-1 1-56,1 2 16,1 0-56,2-26-368,-1 28 344,1-28-344,0 29 312,0-2-8,0 3-39,3-1-9,0-3-32,7 1-64,-10-27-160,2 24 136,8-2-24,-7 0 24,8-2 16,-7-2-40,9-2 0,-13-16-112,3 14 16,12-2 56,-6-1 8,1-6-48,0 7 120,-1-10-120,-9-2-32,10 3 72,-1-2 56,2-1-40,0 0 8,1-11 56,0 2-112,-12 9-40,13-14 8,0-1 56,2-3-96,-2-3 16,0 1-8,-1-3-72,-12 23 96,12-23-152,-2 2 40,-1-2 56,-5 2 24,7-1 96,-8 0-64,-3 22 0,4-19-32,-1 1-32,1 1-24,-2 2 16,-2 1 16,0 0 8,0 14 48,0-13 16,0 2 56,-1 2-32,-1 5 64,-2-7-72,1 9 0,3 2-32,-5-4 32,0 1-16,-5 0 8,7 3 16,-1 0-56,-7 0 56,11 0-40,-3 2 16,-8 0 8,6 8-64,-7-7 64,7 10 8,-8-2-32,13-11 0,-5 13 96,-7 1-56,3 0 64,4 0-64,-7-1 8,7 2-32,5-15-16,-10 13-64,6 0 128,-7 2-40,8-1 0,-2 0 48,-5 1-72,10-15 0,-3 12 24,-1-1 0,0-2-64,1 1 40,0-5 0,2 6-8,1-11 8,-1 5 8,0 5 16,0-7-48,1 2 24,0 0 16,0-1 8,0-4-24,2 3-24,0 1-32,2-1-80,0 0-128,6-1-64,-7-1-192,-3-1 520,11 2-688,-8-2-241,9 0-119,-2-3-216,-1 1-128,2-2-129,1-5-135,-12 9 1656,12-4-1704,1-8-177,0 2 33,1 0-105,-2 0 265,-12 10 1688,12-12-2496,-12 12 2496</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J54" totalsRowShown="0">
  <tableColumns count="10">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Antigua"/>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L11:L18" totalsRowShown="0">
  <autoFilter ref="L11:L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N11:N18" totalsRowShown="0">
  <autoFilter ref="N11:N18"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74AD772-659E-429C-9809-D5261F22B87F}" name="Table18" displayName="Table18" ref="V9:V12" totalsRowShown="0">
  <autoFilter ref="V9:V12" xr:uid="{ED332332-2A01-41B4-896C-01BBA7B71608}"/>
  <tableColumns count="1">
    <tableColumn id="1" xr3:uid="{11084892-7F1C-40C6-988B-E3EA0ADE1532}" name="Discount Reaso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S8:S13" totalsRowShown="0">
  <autoFilter ref="S8:S13" xr:uid="{AA1760FB-2A28-4D5B-99A9-142498CB11BA}"/>
  <tableColumns count="1">
    <tableColumn id="1" xr3:uid="{DBA4DEAC-EFF3-4F87-8252-03077585AA26}" name="Tframes"/>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Y8:Y16" totalsRowShown="0">
  <autoFilter ref="Y8:Y16" xr:uid="{C695E39D-118A-4D39-A50F-9D12D6A95394}"/>
  <sortState xmlns:xlrd2="http://schemas.microsoft.com/office/spreadsheetml/2017/richdata2" ref="Y9:Y16">
    <sortCondition ref="Y9:Y16"/>
  </sortState>
  <tableColumns count="1">
    <tableColumn id="1" xr3:uid="{876D70D5-35DA-4A55-BA7E-2ED1293DDFC8}" name="SalesTeam"/>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13">
      <calculatedColumnFormula>+-19</calculatedColumnFormula>
    </tableColumn>
    <tableColumn id="18" xr3:uid="{77D8A195-00FF-4439-9946-565479AD669D}" name="Silent Tilt Split"/>
    <tableColumn id="19" xr3:uid="{434ECBCB-B182-4CD0-A612-BFEBC500C705}" name="Max Louvre Split" dataDxfId="12"/>
    <tableColumn id="20" xr3:uid="{797A09EA-72BE-445D-AE6E-6F7D23F4FEF2}" name="Top Track Only" dataDxfId="11"/>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10"/>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9">
      <calculatedColumnFormula>+-19</calculatedColumnFormula>
    </tableColumn>
    <tableColumn id="18" xr3:uid="{B6652CEF-269B-4B11-96EC-520489589F1D}" name="Silent Tilt Split"/>
    <tableColumn id="19" xr3:uid="{AE644EB8-2141-45BA-8507-4D0F4F00C69F}" name="Max Louvre Split" dataDxfId="8"/>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7">
      <calculatedColumnFormula>+-19</calculatedColumnFormula>
    </tableColumn>
    <tableColumn id="18" xr3:uid="{6E75B330-76A4-49D5-807D-931DCC52F764}" name="Silent Tilt Split"/>
    <tableColumn id="19" xr3:uid="{52CDBA02-4224-4D4A-A75A-D418706D9372}" name="Max Louvre Split" dataDxfId="6"/>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5">
      <calculatedColumnFormula>+-19</calculatedColumnFormula>
    </tableColumn>
    <tableColumn id="18" xr3:uid="{C5A4B8A9-1B85-4727-BBD3-11F81EFF2709}" name="Silent Tilt Split"/>
    <tableColumn id="19" xr3:uid="{08A77E8A-32B6-49FD-803E-036213671E19}" name="Max Louvre Split" dataDxfId="4"/>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3">
      <calculatedColumnFormula>+-19</calculatedColumnFormula>
    </tableColumn>
    <tableColumn id="18" xr3:uid="{87259F97-BB51-47C4-BC96-06DAB0AA3548}" name="Silent Tilt Split"/>
    <tableColumn id="19" xr3:uid="{063804D8-8A5C-4C55-A85C-FE070ADF749C}" name="Max Louvre Split" dataDxfId="2"/>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L1:Q6" totalsRowShown="0">
  <autoFilter ref="L1:Q6" xr:uid="{66D3B7D7-DA00-475B-B6E6-34ED2AB3585B}"/>
  <tableColumns count="6">
    <tableColumn id="1" xr3:uid="{76B02660-3404-4888-9B67-29CD339250A4}" name="Antigua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Samo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1">
      <calculatedColumnFormula>+-19</calculatedColumnFormula>
    </tableColumn>
    <tableColumn id="18" xr3:uid="{1A61631B-2881-4E41-9EBB-64A5E93C27BE}" name="Silent Tilt Split"/>
    <tableColumn id="19" xr3:uid="{1410E43D-4546-4490-9778-57419BBAF771}" name="Max Louvre Split" dataDxfId="0"/>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S1:T6" totalsRowShown="0">
  <autoFilter ref="S1:T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U1:U4" totalsRowShown="0">
  <autoFilter ref="U1:U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W1:W6" totalsRowShown="0">
  <autoFilter ref="W1:W6"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Y1:Y3" totalsRowShown="0">
  <autoFilter ref="Y1:Y3"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A1:AF20" totalsRowShown="0" headerRowDxfId="25" headerRowBorderDxfId="24" tableBorderDxfId="23">
  <autoFilter ref="AA1:AF20" xr:uid="{5C034BEC-1C74-4981-9783-AA9F01AA5748}"/>
  <tableColumns count="6">
    <tableColumn id="1" xr3:uid="{592616F7-4514-497D-8254-F75CD0898F03}" name="Antigua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T21:U43" totalsRowShown="0">
  <autoFilter ref="T21:U43" xr:uid="{AD521D9C-F775-4022-B17B-8DCD6325528C}"/>
  <tableColumns count="2">
    <tableColumn id="1" xr3:uid="{16848E79-ACA8-49C8-8706-4F5C3682DB11}" name="Samoa_Config"/>
    <tableColumn id="2" xr3:uid="{89BE96FD-119F-4911-9515-D879E04E5148}" name="Samoa_Track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H1:AM2" totalsRowShown="0" dataDxfId="22">
  <autoFilter ref="AH1:AM2" xr:uid="{D363A0C6-96D8-432A-A567-5B0D20037B6C}"/>
  <tableColumns count="6">
    <tableColumn id="1" xr3:uid="{34072875-80BF-4DE5-ABF0-DD10E92EB9C8}" name="Samoa Hinged P" dataDxfId="21"/>
    <tableColumn id="2" xr3:uid="{8E9782AF-0DFF-40E9-8A76-43EC2E49F89E}" name="Fiji Hinged P" dataDxfId="20"/>
    <tableColumn id="3" xr3:uid="{20F09125-C153-49F2-B7E9-6AB19295E80D}" name="Java Hinged P" dataDxfId="19"/>
    <tableColumn id="4" xr3:uid="{1673213F-7DFE-490D-B228-E491AF11400D}" name="Cuba Hinged P" dataDxfId="18"/>
    <tableColumn id="5" xr3:uid="{D76FFBEB-DAA8-4343-B6A7-285F980323CD}" name="Bermuda Hinged P" dataDxfId="17"/>
    <tableColumn id="6" xr3:uid="{78F1A474-27EC-4F88-BB4C-9AE3D63B8B42}" name="Antigua Hinged P"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es@perfectshutters.co.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I92"/>
  <sheetViews>
    <sheetView showGridLines="0" showRowColHeaders="0" tabSelected="1" topLeftCell="F1" zoomScaleNormal="100" workbookViewId="0">
      <selection activeCell="J47" sqref="J47:J49"/>
    </sheetView>
  </sheetViews>
  <sheetFormatPr defaultColWidth="8.85546875" defaultRowHeight="15" x14ac:dyDescent="0.25"/>
  <cols>
    <col min="1" max="1" width="2.140625" style="8" customWidth="1"/>
    <col min="2" max="2" width="3.28515625" style="8" customWidth="1"/>
    <col min="3" max="3" width="11.85546875" style="8" bestFit="1" customWidth="1"/>
    <col min="4" max="4" width="10.28515625" style="8" bestFit="1" customWidth="1"/>
    <col min="5" max="5" width="8.85546875" style="8"/>
    <col min="6" max="6" width="6.7109375" style="8" customWidth="1"/>
    <col min="7" max="7" width="10" style="8" bestFit="1" customWidth="1"/>
    <col min="8" max="8" width="8.85546875" style="8"/>
    <col min="9" max="9" width="8.28515625" style="8" customWidth="1"/>
    <col min="10" max="10" width="8.85546875" style="8"/>
    <col min="11" max="11" width="18" style="8" customWidth="1"/>
    <col min="12" max="12" width="11.5703125" style="8" customWidth="1"/>
    <col min="13" max="13" width="11.5703125" style="8" bestFit="1" customWidth="1"/>
    <col min="14" max="14" width="11.5703125" style="8" customWidth="1"/>
    <col min="15" max="15" width="10.28515625" style="8" bestFit="1" customWidth="1"/>
    <col min="16" max="16" width="12.7109375" style="8" bestFit="1" customWidth="1"/>
    <col min="17" max="27" width="5.28515625" style="8" customWidth="1"/>
    <col min="28" max="28" width="6.7109375" style="8" customWidth="1"/>
    <col min="29" max="29" width="9.42578125" style="8" customWidth="1"/>
    <col min="30" max="30" width="9.7109375" style="8" customWidth="1"/>
    <col min="31" max="31" width="8.5703125" style="8" customWidth="1"/>
    <col min="32" max="32" width="3.28515625" style="8" customWidth="1"/>
    <col min="33" max="33" width="12.28515625" style="8" bestFit="1" customWidth="1"/>
    <col min="34" max="34" width="8.85546875" style="8"/>
    <col min="35" max="35" width="8.85546875" style="203" hidden="1" customWidth="1"/>
    <col min="36" max="16384" width="8.85546875" style="8"/>
  </cols>
  <sheetData>
    <row r="1" spans="1:35" x14ac:dyDescent="0.25">
      <c r="B1" s="9"/>
    </row>
    <row r="2" spans="1:35" x14ac:dyDescent="0.25">
      <c r="A2" s="9"/>
      <c r="B2" s="9"/>
      <c r="C2" s="9"/>
      <c r="D2" s="9"/>
      <c r="E2" s="9"/>
      <c r="F2" s="9"/>
      <c r="G2" s="9"/>
    </row>
    <row r="3" spans="1:35" x14ac:dyDescent="0.25">
      <c r="A3" s="9"/>
      <c r="B3" s="9"/>
      <c r="C3" s="9"/>
      <c r="D3" s="9"/>
      <c r="E3" s="9"/>
      <c r="F3" s="9"/>
      <c r="G3" s="9"/>
    </row>
    <row r="4" spans="1:35" x14ac:dyDescent="0.25">
      <c r="A4" s="9"/>
      <c r="B4" s="9"/>
      <c r="C4" s="9"/>
      <c r="D4" s="9"/>
      <c r="E4" s="9"/>
      <c r="F4" s="9"/>
      <c r="G4" s="9"/>
    </row>
    <row r="6" spans="1:35" ht="15.75" thickBot="1" x14ac:dyDescent="0.3"/>
    <row r="7" spans="1:35" ht="27.6" customHeight="1" thickTop="1" thickBot="1" x14ac:dyDescent="0.3">
      <c r="B7" s="267"/>
      <c r="C7" s="268" t="s">
        <v>0</v>
      </c>
      <c r="D7" s="268" t="s">
        <v>1</v>
      </c>
      <c r="E7" s="268" t="s">
        <v>2</v>
      </c>
      <c r="F7" s="375" t="s">
        <v>3</v>
      </c>
      <c r="G7" s="376"/>
      <c r="H7" s="269" t="s">
        <v>4</v>
      </c>
      <c r="I7" s="268" t="s">
        <v>5</v>
      </c>
      <c r="J7" s="268" t="s">
        <v>6</v>
      </c>
      <c r="K7" s="268" t="s">
        <v>7</v>
      </c>
      <c r="L7" s="268" t="s">
        <v>8</v>
      </c>
      <c r="M7" s="268" t="s">
        <v>9</v>
      </c>
      <c r="N7" s="268" t="s">
        <v>10</v>
      </c>
      <c r="O7" s="269"/>
      <c r="P7" s="375" t="s">
        <v>11</v>
      </c>
      <c r="Q7" s="377"/>
      <c r="R7" s="377"/>
      <c r="S7" s="377"/>
      <c r="T7" s="377"/>
      <c r="U7" s="377"/>
      <c r="V7" s="377"/>
      <c r="W7" s="377"/>
      <c r="X7" s="377"/>
      <c r="Y7" s="377"/>
      <c r="Z7" s="377"/>
      <c r="AA7" s="376"/>
      <c r="AB7" s="269" t="s">
        <v>12</v>
      </c>
      <c r="AC7" s="284" t="s">
        <v>13</v>
      </c>
      <c r="AD7" s="559" t="s">
        <v>14</v>
      </c>
      <c r="AE7" s="560"/>
      <c r="AI7" s="203" t="s">
        <v>15</v>
      </c>
    </row>
    <row r="8" spans="1:35" x14ac:dyDescent="0.25">
      <c r="B8" s="336">
        <v>1</v>
      </c>
      <c r="C8" s="304" t="s">
        <v>336</v>
      </c>
      <c r="D8" s="337" t="s">
        <v>358</v>
      </c>
      <c r="E8" s="340" t="s">
        <v>43</v>
      </c>
      <c r="F8" s="342" t="s">
        <v>349</v>
      </c>
      <c r="G8" s="343"/>
      <c r="H8" s="340" t="s">
        <v>360</v>
      </c>
      <c r="I8" s="337" t="s">
        <v>341</v>
      </c>
      <c r="J8" s="340" t="s">
        <v>354</v>
      </c>
      <c r="K8" s="340"/>
      <c r="L8" s="340">
        <v>430</v>
      </c>
      <c r="M8" s="340">
        <v>1540</v>
      </c>
      <c r="N8" s="337" t="s">
        <v>645</v>
      </c>
      <c r="O8" s="355" t="s">
        <v>17</v>
      </c>
      <c r="P8" s="356"/>
      <c r="Q8" s="305" t="s">
        <v>196</v>
      </c>
      <c r="R8" s="305"/>
      <c r="S8" s="305"/>
      <c r="T8" s="305"/>
      <c r="U8" s="305"/>
      <c r="V8" s="305"/>
      <c r="W8" s="305"/>
      <c r="X8" s="305"/>
      <c r="Y8" s="305"/>
      <c r="Z8" s="305"/>
      <c r="AA8" s="305"/>
      <c r="AB8" s="306"/>
      <c r="AC8" s="307"/>
      <c r="AD8" s="342" t="s">
        <v>18</v>
      </c>
      <c r="AE8" s="558"/>
      <c r="AI8" s="203" t="str">
        <f>IFERROR(IF(E8="","",IF(ISNUMBER(SEARCH("(",Matrix2!AD22))=FALSE,IF(AND(E8="Antigua",H8="47mm",(VALUE(L8)/LEN(Matrix2!AD22))&gt;600),"Max panel width of 600mm with 47mm Louvre Exceeded",IF(AND(E8="Antigua",H8&lt;&gt;"47mm",VALUE(L8)/LEN(Matrix2!AD22)&gt;750),"Max panel width of 750mm with 63 - 114mm Louvre exceeded",IF(AND(E8="Antigua",ISNUMBER(SEARCH("RRR",Matrix2!AD22)),Matrix2!AD19=3),"Invalid configuration",IF(AND(E8="Antigua",ISNUMBER(SEARCH("LLL",Matrix2!AD22)),Matrix2!AD19=3),"Invalid configuration",IF(VALUE(M8)&gt;3000,"Maximum panel height exceeded",IF(AND(VALUE(M8)&gt;1879,N8="Please Select"),"MID RAIL required",IF(AND(D8="S/Shade",I8&lt;&gt;"FFrame"),"FFrame Required with Shutter and Shade",IF(AND(I8="FFrame",D8&lt;&gt;"S/Shade"),"F/Frame to be used with Shutter and Shade",IF(AND(C8="Bathroom",E8&lt;&gt;"Java"),"Recommend JAVA for bathrooms",IF(VALUE(M8)&lt;=249,"Minimum panel height is 250mm",IF(L8/Matrix2!AD19&lt;152,"Panels will be less than the minimum 152mm",IF(AND(E8="Bermuda",H8="47mm",(VALUE(L8)/LEN(Matrix2!AD22))&gt;610,OR(Matrix2!AD22&lt;&gt;"LL",Matrix2!AD22&lt;&gt;"RR")),"Max panel width of 610mm with 47mm Louvre Exceeded",IF(AND(E8="Bermuda",H8&lt;&gt;"47mm",(VALUE(L8)/LEN(Matrix2!AD22))&gt;915,OR(Matrix2!AD22&lt;&gt;"LL",Matrix!AD22&lt;&gt;"RR")),"Max panel width of 915mm with 63 - 114mm Louvre exceeded",IF(AND(E8="Bermuda",ISNUMBER(SEARCH("RRR",Matrix2!AD22))),"Invalid configuration",IF(AND(E8="Bermuda",ISNUMBER(SEARCH("LLL",Matrix2!AD22))),"Invalid configuration",IF(AND(C8="Bathroom",E8&lt;&gt;"Java"),"Recommend JAVA for bathrooms(Warranty Issue)",IF(OR(AND(D8="Shape",E8&lt;&gt;"Fiji"),AND(D8="Shape",E8&lt;&gt;"Samoa")),"Fiji or Samoa required for SHAPE shutters",IF(OR(AND(D8="French Door Cutout",E8&lt;&gt;"Fiji"),AND(D8="French Door Cutout",E8&lt;&gt;"Samoa")),"Fiji or Samoa required for French Doors",IF(ISNUMBER(SEARCH("(",Matrix2!AD22))=FALSE,IF(AND((Pricing!L8/LEN(Matrix2!AD22)&gt;750),E8="Cuba",H8="47mm",Matrix2!AD19=1),"Max Panel Width of 750 with Cuba, 47mm Louvre exceeded",IF(ISNUMBER(SEARCH("(",Matrix2!AD22))=FALSE,IF(ISNUMBER(SEARCH("(",Matrix2!AD22))=FALSE,IF(ISNUMBER(SEARCH("(",Matrix2!AD22))=FALSE,IF(OR(AND(L8/Matrix2!AD19&gt;660,E8="Cuba",ISNUMBER(SEARCH("LL",Matrix2!AD22))),AND(L8/Matrix2!AD19&gt;660,E8="Cuba",ISNUMBER(SEARCH("RR",Matrix2!AD22)))),"Max Bifold Panel width of 660 exceeded for Cuba",IF(AND((Pricing!L8/LEN(Matrix2!AD22)&gt;750),E8="Cuba",H8="47mm",Matrix2!AD19=2),"Max Panel Width of 750 with Cuba, 47mm Louvre exceeded",IF(AND((Pricing!L8/LEN(Matrix2!AD22)&gt;750),E8="Cuba",H8&lt;&gt;"47mm",Matrix2!AD19=2),"Max Panel Width of 890 with Cuba, 63 - 89mm Louvre exceeded",IF(ISNUMBER(SEARCH("(",Matrix2!AD22))=FALSE,IF(AND((Pricing!L8/LEN(Matrix2!AD22)&gt;550),E8="JAVA",H8="47mm",Matrix2!AD22=1),"Max Panel Width of 500 with Java 47mm Louvre exceeded",IF(ISNUMBER(SEARCH("(",Matrix2!AD22))=FALSE,IF(OR(AND((Pricing!L8/LEN(Matrix2!AD22)&gt;800),E8="JAVA",H8="63mm",OR(Matrix2!AD22="L",Matrix2!AD22="R",Matrix2!AD22="LR")),AND((Pricing!L8/LEN(Matrix2!AD22)&gt;800),E8="JAVA",H8="76mm",OR(Matrix2!AD22="L",Matrix2!AD22="R",Matrix2!AD22="LR"))),"Max Panel Width of 800mm with Java 63/76mm Louvre exceeded",IF(ISNUMBER(SEARCH("(",Matrix2!AD22))=FALSE,IF(OR(AND((Pricing!L8/LEN(Matrix2!AD22)&gt;890),E8="JAVA",H8="89mm",OR(Matrix2!AD22="L",Matrix2!AD22="R",Matrix2!AD22="LR")),AND((Pricing!L8/LEN(Matrix2!AD22)&gt;890),E8="JAVA",H8="114mm",OR(Matrix2!AD22="L",Matrix2!AD22="R",Matrix2!AD22="LR"))),"Max Panel Width of 800mm with Java 89/114mm Louvre exceeded",IF(ISNUMBER(SEARCH("(",Matrix2!AD22))=FALSE,IF(AND(OR(ISNUMBER(SEARCH("LL",Matrix2!AD22)),ISNUMBER(SEARCH("RR",Matrix2!AD22))),(L8/Matrix2!AD19)&gt;550,E8="Java",H8="47mm"),"Max Bifold Panel width of 550 exceeded for Java 47mm",IF(ISNUMBER(SEARCH("(",Matrix2!AD22))=FALSE,IF(AND(OR(ISNUMBER(SEARCH("LL",Matrix2!AD22)),ISNUMBER(SEARCH("RR",Matrix2!AD22))),(L8/Matrix2!AD19)&gt;610,E8="Java",H8&lt;&gt;"47mm"),"Max Bifold Panel width of 610 exceeded for Java 63 - 114mm",IF(ISNUMBER(SEARCH("(",Matrix2!AD22))=FALSE,IF(AND(OR(ISNUMBER(SEARCH("LLL",Matrix2!AD22)),ISNUMBER(SEARCH("RRR",Matrix2!AD22))),D8&lt;&gt;"Tracked",E8="Java",H8&lt;&gt;"47mm"),"This Configuration requires a Track System",IF(OR(AND(M8&gt;=1276,N8="Please Select",E8="Java"),AND(M8&gt;=1276,N8="No",E8="Java")),"A Mid Rail is required for this height",IF(ISNUMBER(SEARCH("(",Matrix2!AD22))=FALSE,IF(AND(OR(ISNUMBER(SEARCH("LLLL",Matrix2!AD22)),ISNUMBER(SEARCH("RRRR",Matrix2!AD22))),D8&lt;&gt;"Tracked",E8="Antigua"),"This configuration needs to be Tracked","The End"))))))))))))))))))))))))))))))))))))))))))),)</f>
        <v>The End</v>
      </c>
    </row>
    <row r="9" spans="1:35" x14ac:dyDescent="0.25">
      <c r="B9" s="336"/>
      <c r="C9" s="308" t="s">
        <v>337</v>
      </c>
      <c r="D9" s="338"/>
      <c r="E9" s="341"/>
      <c r="F9" s="348"/>
      <c r="G9" s="349"/>
      <c r="H9" s="341"/>
      <c r="I9" s="338"/>
      <c r="J9" s="341"/>
      <c r="K9" s="341"/>
      <c r="L9" s="341"/>
      <c r="M9" s="341"/>
      <c r="N9" s="338"/>
      <c r="O9" s="373" t="s">
        <v>19</v>
      </c>
      <c r="P9" s="374"/>
      <c r="Q9" s="309"/>
      <c r="R9" s="309"/>
      <c r="S9" s="309"/>
      <c r="T9" s="309"/>
      <c r="U9" s="309"/>
      <c r="V9" s="309"/>
      <c r="W9" s="309"/>
      <c r="X9" s="309"/>
      <c r="Y9" s="309"/>
      <c r="Z9" s="309"/>
      <c r="AA9" s="309" t="s">
        <v>20</v>
      </c>
      <c r="AB9" s="310" t="s">
        <v>21</v>
      </c>
      <c r="AC9" s="311" t="s">
        <v>22</v>
      </c>
      <c r="AD9" s="535">
        <f>IF(AD8="Quoted",Matrix2!L51,Matrix2!L3)</f>
        <v>182.7672</v>
      </c>
      <c r="AE9" s="536"/>
      <c r="AF9" s="174"/>
    </row>
    <row r="10" spans="1:35" ht="15.75" thickBot="1" x14ac:dyDescent="0.3">
      <c r="B10" s="336"/>
      <c r="C10" s="322"/>
      <c r="D10" s="339"/>
      <c r="E10" s="341"/>
      <c r="F10" s="313" t="s">
        <v>713</v>
      </c>
      <c r="G10" s="314"/>
      <c r="H10" s="344"/>
      <c r="I10" s="339"/>
      <c r="J10" s="344"/>
      <c r="K10" s="344"/>
      <c r="L10" s="344"/>
      <c r="M10" s="344"/>
      <c r="N10" s="339"/>
      <c r="O10" s="350" t="s">
        <v>23</v>
      </c>
      <c r="P10" s="351"/>
      <c r="Q10" s="352"/>
      <c r="R10" s="353"/>
      <c r="S10" s="353"/>
      <c r="T10" s="353"/>
      <c r="U10" s="353"/>
      <c r="V10" s="353"/>
      <c r="W10" s="353"/>
      <c r="X10" s="353"/>
      <c r="Y10" s="353"/>
      <c r="Z10" s="353"/>
      <c r="AA10" s="354"/>
      <c r="AB10" s="315" t="s">
        <v>24</v>
      </c>
      <c r="AC10" s="316">
        <f>IF(AD8="Quoted",Matrix2!N60,Matrix2!N22)</f>
        <v>0.66220000000000001</v>
      </c>
      <c r="AD10" s="556">
        <f>IF(AD8="Quoted",Matrix2!L51,Matrix2!L13)</f>
        <v>137.0754</v>
      </c>
      <c r="AE10" s="557"/>
      <c r="AI10" s="203" t="s">
        <v>25</v>
      </c>
    </row>
    <row r="11" spans="1:35" ht="15.75" thickTop="1" x14ac:dyDescent="0.25">
      <c r="B11" s="336">
        <v>2</v>
      </c>
      <c r="C11" s="323" t="s">
        <v>336</v>
      </c>
      <c r="D11" s="360" t="s">
        <v>358</v>
      </c>
      <c r="E11" s="345" t="s">
        <v>43</v>
      </c>
      <c r="F11" s="369" t="s">
        <v>349</v>
      </c>
      <c r="G11" s="370"/>
      <c r="H11" s="345" t="s">
        <v>360</v>
      </c>
      <c r="I11" s="360" t="s">
        <v>341</v>
      </c>
      <c r="J11" s="345" t="s">
        <v>354</v>
      </c>
      <c r="K11" s="345"/>
      <c r="L11" s="345">
        <v>1180</v>
      </c>
      <c r="M11" s="345">
        <v>1540</v>
      </c>
      <c r="N11" s="360" t="s">
        <v>645</v>
      </c>
      <c r="O11" s="363" t="s">
        <v>17</v>
      </c>
      <c r="P11" s="364"/>
      <c r="Q11" s="293" t="s">
        <v>213</v>
      </c>
      <c r="R11" s="293" t="s">
        <v>216</v>
      </c>
      <c r="S11" s="293"/>
      <c r="T11" s="293"/>
      <c r="U11" s="293"/>
      <c r="V11" s="293"/>
      <c r="W11" s="293"/>
      <c r="X11" s="293"/>
      <c r="Y11" s="293"/>
      <c r="Z11" s="293"/>
      <c r="AA11" s="293"/>
      <c r="AB11" s="294"/>
      <c r="AC11" s="295"/>
      <c r="AD11" s="369" t="s">
        <v>18</v>
      </c>
      <c r="AE11" s="564"/>
      <c r="AI11" s="203" t="str">
        <f>IFERROR(IF(E8="","",IF(ISNUMBER(SEARCH("(",Matrix2!AD22))=FALSE,IF(AND(E8="Bermuda",H8="47mm",(VALUE(L8)/LEN(Matrix2!AD22))&gt;610,OR(Matrix2!AD22&lt;&gt;"LL",Matrix2!AD22&lt;&gt;"RR")),"Max panel width of 610mm with 47mm Louvre Exceeded",IF(AND(E8="Bermuda",H8&lt;&gt;"47mm",(VALUE(L8)/LEN(Matrix2!AD22))&gt;915,OR(Matrix2!AD22&lt;&gt;"LL",Matrix!AD22&lt;&gt;"RR")),"Max panel width of 915mm with 63 - 114mm Louvre exceeded",IF(AND(E8="Bermuda",ISNUMBER(SEARCH("RRR",Matrix2!AD22))),"Invalid configuration",IF(AND(E8="Bermuda",ISNUMBER(SEARCH("LLL",Matrix2!AD22))),"Invalid configuration",IF(VALUE(M8)&gt;3000,"Maximum panel height exceeded",IF(AND(VALUE(M8)&gt;1981,N8="Please Select"),"MID RAIL required",IF(AND(D8="S/Shade",I8&lt;&gt;"FFrame"),"FFrame Required with Shutter and Shade",IF(AND(C8="Bathroom",E8&lt;&gt;"Java"),"Recommend JAVA for bathrooms",IF(VALUE(M8)&lt;=249,"Minimum panel height is 250mm",IF(L8/Matrix2!AD19&lt;152,"Panels will be less than the minimum 152mm","The End")))))))))))),)</f>
        <v>The End</v>
      </c>
    </row>
    <row r="12" spans="1:35" x14ac:dyDescent="0.25">
      <c r="B12" s="336"/>
      <c r="C12" s="296" t="s">
        <v>347</v>
      </c>
      <c r="D12" s="361"/>
      <c r="E12" s="346"/>
      <c r="F12" s="367"/>
      <c r="G12" s="368"/>
      <c r="H12" s="346"/>
      <c r="I12" s="361"/>
      <c r="J12" s="346"/>
      <c r="K12" s="346"/>
      <c r="L12" s="346"/>
      <c r="M12" s="346"/>
      <c r="N12" s="361"/>
      <c r="O12" s="365" t="s">
        <v>19</v>
      </c>
      <c r="P12" s="366"/>
      <c r="Q12" s="297"/>
      <c r="R12" s="297"/>
      <c r="S12" s="297"/>
      <c r="T12" s="297"/>
      <c r="U12" s="297"/>
      <c r="V12" s="297"/>
      <c r="W12" s="297"/>
      <c r="X12" s="297"/>
      <c r="Y12" s="297"/>
      <c r="Z12" s="297"/>
      <c r="AA12" s="297" t="s">
        <v>20</v>
      </c>
      <c r="AB12" s="270" t="s">
        <v>21</v>
      </c>
      <c r="AC12" s="271" t="s">
        <v>22</v>
      </c>
      <c r="AD12" s="547">
        <f>IF(AD11="Quoted",Matrix2!M41,Matrix2!M3)</f>
        <v>501.54719999999998</v>
      </c>
      <c r="AE12" s="548"/>
    </row>
    <row r="13" spans="1:35" ht="15.75" thickBot="1" x14ac:dyDescent="0.3">
      <c r="B13" s="336"/>
      <c r="C13" s="324"/>
      <c r="D13" s="362"/>
      <c r="E13" s="346"/>
      <c r="F13" s="298" t="s">
        <v>713</v>
      </c>
      <c r="G13" s="299"/>
      <c r="H13" s="347"/>
      <c r="I13" s="362"/>
      <c r="J13" s="347"/>
      <c r="K13" s="347"/>
      <c r="L13" s="347"/>
      <c r="M13" s="347"/>
      <c r="N13" s="362"/>
      <c r="O13" s="371" t="s">
        <v>23</v>
      </c>
      <c r="P13" s="372"/>
      <c r="Q13" s="357"/>
      <c r="R13" s="358"/>
      <c r="S13" s="358"/>
      <c r="T13" s="358"/>
      <c r="U13" s="358"/>
      <c r="V13" s="358"/>
      <c r="W13" s="358"/>
      <c r="X13" s="358"/>
      <c r="Y13" s="358"/>
      <c r="Z13" s="358"/>
      <c r="AA13" s="359"/>
      <c r="AB13" s="300" t="s">
        <v>24</v>
      </c>
      <c r="AC13" s="301">
        <f>IF(AD11="Quoted",Matrix2!N61,Matrix2!N23)</f>
        <v>1.8171999999999999</v>
      </c>
      <c r="AD13" s="537">
        <f>IF(AD11="Quoted",Matrix2!M51,Matrix2!M13)</f>
        <v>376.16039999999998</v>
      </c>
      <c r="AE13" s="538"/>
      <c r="AI13" s="203" t="s">
        <v>26</v>
      </c>
    </row>
    <row r="14" spans="1:35" ht="15.75" thickTop="1" x14ac:dyDescent="0.25">
      <c r="B14" s="336">
        <v>3</v>
      </c>
      <c r="C14" s="306" t="s">
        <v>336</v>
      </c>
      <c r="D14" s="337" t="s">
        <v>358</v>
      </c>
      <c r="E14" s="340" t="s">
        <v>43</v>
      </c>
      <c r="F14" s="342" t="s">
        <v>339</v>
      </c>
      <c r="G14" s="343"/>
      <c r="H14" s="340" t="s">
        <v>360</v>
      </c>
      <c r="I14" s="337" t="s">
        <v>341</v>
      </c>
      <c r="J14" s="340" t="s">
        <v>354</v>
      </c>
      <c r="K14" s="340"/>
      <c r="L14" s="340">
        <v>430</v>
      </c>
      <c r="M14" s="340">
        <v>1540</v>
      </c>
      <c r="N14" s="337" t="s">
        <v>645</v>
      </c>
      <c r="O14" s="355" t="s">
        <v>17</v>
      </c>
      <c r="P14" s="356"/>
      <c r="Q14" s="305" t="s">
        <v>210</v>
      </c>
      <c r="R14" s="305"/>
      <c r="S14" s="305"/>
      <c r="T14" s="305"/>
      <c r="U14" s="305"/>
      <c r="V14" s="305"/>
      <c r="W14" s="305"/>
      <c r="X14" s="305"/>
      <c r="Y14" s="305"/>
      <c r="Z14" s="305"/>
      <c r="AA14" s="305"/>
      <c r="AB14" s="317"/>
      <c r="AC14" s="318"/>
      <c r="AD14" s="539" t="s">
        <v>18</v>
      </c>
      <c r="AE14" s="540"/>
      <c r="AI14" s="203" t="b">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Doors",IF(ISNUMBER(SEARCH("(",Matrix2!AD22))=FALSE,IF(AND((Pricing!L8/LEN(Matrix2!AD22)&gt;750),E8="Cuba",H8="47mm",Matrix2!AD19=1),"Max Panel Width of 750 with Cuba, 47mm Louvre exceeded",IF(ISNUMBER(SEARCH("(",Matrix2!AD22))=FALSE,IF(ISNUMBER(SEARCH("(",Matrix2!AD22))=FALSE,IF(ISNUMBER(SEARCH("(",Matrix2!AD22))=FALSE,IF(OR(AND(L8/Matrix2!AD19&gt;660,E8="Cuba",ISNUMBER(SEARCH("LL",Matrix2!AD22))),AND(L8/Matrix2!AD19&gt;660,E8="Cuba",ISNUMBER(SEARCH("RR",Matrix2!AD22)))),"Max Bifold Panel width of 660 exceeded for Cuba",IF(AND((Pricing!L8/LEN(Matrix2!AD22)&gt;750),E8="Cuba",H8="47mm",Matrix2!AD19=2),"Max Panel Width of 750 with Cuba, 47mm Louvre exceeded",IF(AND((Pricing!L8/LEN(Matrix2!AD22)&gt;750),E8="Cuba",H8&lt;&gt;"47mm",Matrix2!AD19=2),"Max Panel Width of 890 with Cuba, 63 - 89mm Louvre exceeded",IF(ISNUMBER(SEARCH("(",Matrix2!AD22))=FALSE,IF((L8/Matrix2!AD19)&lt;152,"Minimum panel width of 152mm exceeded",IF(OR(AND(M8&gt;1981,N8="Please Select"),AND(M8&gt;1981,N8="No")),"A Mid Rail is required for this height","The End"))))))))))))))))),"")</f>
        <v>0</v>
      </c>
    </row>
    <row r="15" spans="1:35" x14ac:dyDescent="0.25">
      <c r="B15" s="336"/>
      <c r="C15" s="308" t="s">
        <v>357</v>
      </c>
      <c r="D15" s="338"/>
      <c r="E15" s="341"/>
      <c r="F15" s="348"/>
      <c r="G15" s="349"/>
      <c r="H15" s="341"/>
      <c r="I15" s="338"/>
      <c r="J15" s="341"/>
      <c r="K15" s="341"/>
      <c r="L15" s="341"/>
      <c r="M15" s="341"/>
      <c r="N15" s="338"/>
      <c r="O15" s="373" t="s">
        <v>19</v>
      </c>
      <c r="P15" s="374"/>
      <c r="Q15" s="309"/>
      <c r="R15" s="309"/>
      <c r="S15" s="309"/>
      <c r="T15" s="309"/>
      <c r="U15" s="309"/>
      <c r="V15" s="309"/>
      <c r="W15" s="309"/>
      <c r="X15" s="309"/>
      <c r="Y15" s="309"/>
      <c r="Z15" s="309"/>
      <c r="AA15" s="309" t="s">
        <v>20</v>
      </c>
      <c r="AB15" s="310" t="s">
        <v>21</v>
      </c>
      <c r="AC15" s="311" t="s">
        <v>22</v>
      </c>
      <c r="AD15" s="535">
        <f>IF(AD14="Quoted",Matrix2!N41,Matrix2!N3)</f>
        <v>182.7672</v>
      </c>
      <c r="AE15" s="536"/>
    </row>
    <row r="16" spans="1:35" ht="15.75" thickBot="1" x14ac:dyDescent="0.3">
      <c r="B16" s="336"/>
      <c r="C16" s="322"/>
      <c r="D16" s="339"/>
      <c r="E16" s="341"/>
      <c r="F16" s="313" t="s">
        <v>713</v>
      </c>
      <c r="G16" s="314"/>
      <c r="H16" s="344"/>
      <c r="I16" s="339"/>
      <c r="J16" s="344"/>
      <c r="K16" s="344"/>
      <c r="L16" s="344"/>
      <c r="M16" s="344"/>
      <c r="N16" s="339"/>
      <c r="O16" s="350" t="s">
        <v>23</v>
      </c>
      <c r="P16" s="351"/>
      <c r="Q16" s="352"/>
      <c r="R16" s="353"/>
      <c r="S16" s="353"/>
      <c r="T16" s="353"/>
      <c r="U16" s="353"/>
      <c r="V16" s="353"/>
      <c r="W16" s="353"/>
      <c r="X16" s="353"/>
      <c r="Y16" s="353"/>
      <c r="Z16" s="353"/>
      <c r="AA16" s="354"/>
      <c r="AB16" s="315" t="s">
        <v>24</v>
      </c>
      <c r="AC16" s="319">
        <f>IF(AD14="Quoted",Matrix2!N62,Matrix2!N24)</f>
        <v>0.66220000000000001</v>
      </c>
      <c r="AD16" s="537">
        <f>IF(AD14="Quoted",Matrix2!N51,Matrix2!N13)</f>
        <v>137.0754</v>
      </c>
      <c r="AE16" s="538"/>
      <c r="AF16" s="175"/>
      <c r="AI16" s="203" t="s">
        <v>27</v>
      </c>
    </row>
    <row r="17" spans="2:35" ht="15.75" thickTop="1" x14ac:dyDescent="0.25">
      <c r="B17" s="336">
        <v>4</v>
      </c>
      <c r="C17" s="323" t="s">
        <v>346</v>
      </c>
      <c r="D17" s="337" t="s">
        <v>358</v>
      </c>
      <c r="E17" s="340" t="s">
        <v>43</v>
      </c>
      <c r="F17" s="342" t="s">
        <v>349</v>
      </c>
      <c r="G17" s="343"/>
      <c r="H17" s="340" t="s">
        <v>360</v>
      </c>
      <c r="I17" s="337" t="s">
        <v>341</v>
      </c>
      <c r="J17" s="340" t="s">
        <v>354</v>
      </c>
      <c r="K17" s="345"/>
      <c r="L17" s="345">
        <v>1040</v>
      </c>
      <c r="M17" s="345">
        <v>1690</v>
      </c>
      <c r="N17" s="360" t="s">
        <v>645</v>
      </c>
      <c r="O17" s="363" t="s">
        <v>17</v>
      </c>
      <c r="P17" s="364"/>
      <c r="Q17" s="293" t="s">
        <v>213</v>
      </c>
      <c r="R17" s="293" t="s">
        <v>216</v>
      </c>
      <c r="S17" s="293"/>
      <c r="T17" s="293"/>
      <c r="U17" s="293"/>
      <c r="V17" s="293"/>
      <c r="W17" s="293"/>
      <c r="X17" s="293"/>
      <c r="Y17" s="293"/>
      <c r="Z17" s="293"/>
      <c r="AA17" s="293"/>
      <c r="AB17" s="294"/>
      <c r="AC17" s="295"/>
      <c r="AD17" s="549" t="s">
        <v>18</v>
      </c>
      <c r="AE17" s="550"/>
      <c r="AI17" s="203" t="b">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Doors",IF(ISNUMBER(SEARCH("(",Matrix2!AD22))=FALSE,IF(AND((Pricing!L8/LEN(Matrix2!AD22)&gt;550),E8="JAVA",H8="47mm",Matrix2!AD22=1),"Max Panel Width of 500 with Java 47mm Louvre exceeded",IF(ISNUMBER(SEARCH("(",Matrix2!AD22))=FALSE,IF(ISNUMBER(SEARCH("(",Matrix2!AD22))=FALSE,IF(OR(AND((Pricing!L8/LEN(Matrix2!AD22)&gt;800),E8="JAVA",H8="63mm",OR(Matrix2!AD22="L",Matrix2!AD22="R",Matrix2!AD22="LR")),AND((Pricing!L8/LEN(Matrix2!AD22)&gt;800),E8="JAVA",H8="76mm",OR(Matrix2!AD22="L",Matrix2!AD22="R",Matrix2!AD22="LR"))),"Max Panel Width of 800mm with Java 63/76mm Louvre exceeded",IF(ISNUMBER(SEARCH("(",Matrix2!AD22))=FALSE,IF(OR(AND((Pricing!L8/LEN(Matrix2!AD22)&gt;890),E8="JAVA",H8="89mm",OR(Matrix2!AD22="L",Matrix2!AD22="R",Matrix2!AD22="LR")),AND((Pricing!L8/LEN(Matrix2!AD22)&gt;890),E8="JAVA",H8="114mm",OR(Matrix2!AD22="L",Matrix2!AD22="R",Matrix2!AD22="LR"))),"Max Panel Width of 800mm with Java 89/114mm Louvre exceeded",IF(ISNUMBER(SEARCH("(",Matrix2!AD22))=FALSE,IF(AND(OR(ISNUMBER(SEARCH("LL",Matrix2!AD22)),ISNUMBER(SEARCH("RR",Matrix2!AD22))),(L8/Matrix2!AD19)&gt;550,E8="Java",H8="47mm"),"Max Bifold Panel width of 550 exceeded for Java 47mm",IF(ISNUMBER(SEARCH("(",Matrix2!AD22))=FALSE,IF(AND(OR(ISNUMBER(SEARCH("LL",Matrix2!AD22)),ISNUMBER(SEARCH("RR",Matrix2!AD22))),(L8/Matrix2!AD19)&gt;610,E8="Java",H8&lt;&gt;"47mm"),"Max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System",IF(ISNUMBER(SEARCH("(",Matrix2!AD22))=FALSE,IF((L8/Matrix2!AD19)&lt;152,"Minimum panel width of 152mm exceeded",IF(OR(AND(M8&gt;=1276,N8="Please Select",E8="Java"),AND(M8&gt;=1276,N8="No",E8="Java")),"A Mid Rail is required for this height","At The END")))))))))))))))))))))),"")</f>
        <v>0</v>
      </c>
    </row>
    <row r="18" spans="2:35" x14ac:dyDescent="0.25">
      <c r="B18" s="336"/>
      <c r="C18" s="296"/>
      <c r="D18" s="338"/>
      <c r="E18" s="341"/>
      <c r="F18" s="348"/>
      <c r="G18" s="349"/>
      <c r="H18" s="341"/>
      <c r="I18" s="338"/>
      <c r="J18" s="341"/>
      <c r="K18" s="346"/>
      <c r="L18" s="346"/>
      <c r="M18" s="346"/>
      <c r="N18" s="361"/>
      <c r="O18" s="365" t="s">
        <v>19</v>
      </c>
      <c r="P18" s="366"/>
      <c r="Q18" s="297"/>
      <c r="R18" s="297"/>
      <c r="S18" s="297"/>
      <c r="T18" s="297"/>
      <c r="U18" s="297"/>
      <c r="V18" s="297"/>
      <c r="W18" s="297"/>
      <c r="X18" s="297"/>
      <c r="Y18" s="297"/>
      <c r="Z18" s="297"/>
      <c r="AA18" s="297" t="s">
        <v>20</v>
      </c>
      <c r="AB18" s="270" t="s">
        <v>21</v>
      </c>
      <c r="AC18" s="271" t="s">
        <v>22</v>
      </c>
      <c r="AD18" s="547">
        <f>IF(AD17="Quoted",Matrix2!O41,Matrix2!O3)</f>
        <v>485.0976</v>
      </c>
      <c r="AE18" s="548"/>
    </row>
    <row r="19" spans="2:35" ht="15.75" thickBot="1" x14ac:dyDescent="0.3">
      <c r="B19" s="336"/>
      <c r="C19" s="324"/>
      <c r="D19" s="339"/>
      <c r="E19" s="341"/>
      <c r="F19" s="313" t="s">
        <v>713</v>
      </c>
      <c r="G19" s="314"/>
      <c r="H19" s="344"/>
      <c r="I19" s="339"/>
      <c r="J19" s="344"/>
      <c r="K19" s="347"/>
      <c r="L19" s="347"/>
      <c r="M19" s="347"/>
      <c r="N19" s="362"/>
      <c r="O19" s="371" t="s">
        <v>23</v>
      </c>
      <c r="P19" s="372"/>
      <c r="Q19" s="357"/>
      <c r="R19" s="358"/>
      <c r="S19" s="358"/>
      <c r="T19" s="358"/>
      <c r="U19" s="358"/>
      <c r="V19" s="358"/>
      <c r="W19" s="358"/>
      <c r="X19" s="358"/>
      <c r="Y19" s="358"/>
      <c r="Z19" s="358"/>
      <c r="AA19" s="359"/>
      <c r="AB19" s="300" t="s">
        <v>24</v>
      </c>
      <c r="AC19" s="301">
        <f>IF(AD17="Quoted",Matrix2!N63,Matrix2!N25)</f>
        <v>1.7576000000000001</v>
      </c>
      <c r="AD19" s="537">
        <f>IF(AD17="Quoted",Matrix2!O51,Matrix2!O13)</f>
        <v>363.82319999999999</v>
      </c>
      <c r="AE19" s="538"/>
      <c r="AI19" s="203" t="s">
        <v>29</v>
      </c>
    </row>
    <row r="20" spans="2:35" ht="15.75" thickTop="1" x14ac:dyDescent="0.25">
      <c r="B20" s="336">
        <v>5</v>
      </c>
      <c r="C20" s="306" t="s">
        <v>380</v>
      </c>
      <c r="D20" s="337" t="s">
        <v>358</v>
      </c>
      <c r="E20" s="340" t="s">
        <v>43</v>
      </c>
      <c r="F20" s="342" t="s">
        <v>349</v>
      </c>
      <c r="G20" s="343"/>
      <c r="H20" s="340" t="s">
        <v>360</v>
      </c>
      <c r="I20" s="337" t="s">
        <v>341</v>
      </c>
      <c r="J20" s="340" t="s">
        <v>354</v>
      </c>
      <c r="K20" s="340"/>
      <c r="L20" s="340">
        <v>880</v>
      </c>
      <c r="M20" s="340">
        <v>1300</v>
      </c>
      <c r="N20" s="337" t="s">
        <v>645</v>
      </c>
      <c r="O20" s="355" t="s">
        <v>17</v>
      </c>
      <c r="P20" s="356"/>
      <c r="Q20" s="305" t="s">
        <v>213</v>
      </c>
      <c r="R20" s="305" t="s">
        <v>216</v>
      </c>
      <c r="S20" s="305"/>
      <c r="T20" s="305"/>
      <c r="U20" s="305"/>
      <c r="V20" s="305"/>
      <c r="W20" s="305"/>
      <c r="X20" s="305"/>
      <c r="Y20" s="305"/>
      <c r="Z20" s="305"/>
      <c r="AA20" s="305"/>
      <c r="AB20" s="317"/>
      <c r="AC20" s="320"/>
      <c r="AD20" s="551" t="s">
        <v>18</v>
      </c>
      <c r="AE20" s="552"/>
      <c r="AI20" s="203" t="str">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L8/LEN(Matrix2!AD22)&gt;890),E8="Fiji",H8="63mm",OR(Matrix2!AD22="L",Matrix2!AD22="R",Matrix2!AD22="LR")),AND((Pricing!L8/LEN(Matrix2!AD22)&gt;890),E8="Fiji",H8="76mm",OR(Matrix2!AD22="L",Matrix2!AD22="R",Matrix2!AD22="LR"))),"Max Panel Width of 890mm with Fiji 63/76mm Louvre exceeded","The End"),IF(ISNUMBER(SEARCH("(",Matrix2!AD22))=FALSE,IF(OR(AND((Pricing!L8/LEN(Matrix2!AD22)&gt;1047),E8="Fiji",H8="89mm",OR(Matrix2!AD22="L",Matrix2!AD22="R",Matrix2!AD22="LR")),AND((Pricing!L8/LEN(Matrix2!AD22)&gt;1047),E8="Fiji",H8="114mm",OR(Matrix2!AD22="L",Matrix2!AD22="R",Matrix2!AD22="LR"))),"Max Panel Width of 1047mm with Java 89/114mm Louvre exceeded",IF(ISNUMBER(SEARCH("(",Matrix2!AD22))=FALSE,IF(AND(OR(ISNUMBER(SEARCH("LL",Matrix2!AD22)),ISNUMBER(SEARCH("RR",Matrix2!AD22))),(L8/Matrix2!AD19)&gt;660,E8="Fiji"),"Max Bifold/Tracked Panel width of 660 exceeded",IF(ISNUMBER(SEARCH("(",Matrix2!AD22))=FALSE,IF(AND(I8="Top Track Only",(L8/Matrix2!AD19)&gt;550,E8="Fiji"),"Max (Top Track) Panel width of 550 exceeded"),"The End")))))))))))</f>
        <v>The End</v>
      </c>
    </row>
    <row r="21" spans="2:35" x14ac:dyDescent="0.25">
      <c r="B21" s="336"/>
      <c r="C21" s="308" t="s">
        <v>337</v>
      </c>
      <c r="D21" s="338"/>
      <c r="E21" s="341"/>
      <c r="F21" s="348"/>
      <c r="G21" s="349"/>
      <c r="H21" s="341"/>
      <c r="I21" s="338"/>
      <c r="J21" s="341"/>
      <c r="K21" s="341"/>
      <c r="L21" s="341"/>
      <c r="M21" s="341"/>
      <c r="N21" s="338"/>
      <c r="O21" s="373" t="s">
        <v>19</v>
      </c>
      <c r="P21" s="374"/>
      <c r="Q21" s="309"/>
      <c r="R21" s="309"/>
      <c r="S21" s="309"/>
      <c r="T21" s="309"/>
      <c r="U21" s="309"/>
      <c r="V21" s="309"/>
      <c r="W21" s="309"/>
      <c r="X21" s="309"/>
      <c r="Y21" s="309"/>
      <c r="Z21" s="309"/>
      <c r="AA21" s="309" t="s">
        <v>20</v>
      </c>
      <c r="AB21" s="310" t="s">
        <v>21</v>
      </c>
      <c r="AC21" s="311" t="s">
        <v>22</v>
      </c>
      <c r="AD21" s="535">
        <f>IF(AD20="Quoted",Matrix2!P41,Matrix2!P3)</f>
        <v>315.74399999999997</v>
      </c>
      <c r="AE21" s="536"/>
    </row>
    <row r="22" spans="2:35" ht="15.75" thickBot="1" x14ac:dyDescent="0.3">
      <c r="B22" s="336"/>
      <c r="C22" s="322"/>
      <c r="D22" s="339"/>
      <c r="E22" s="341"/>
      <c r="F22" s="313" t="s">
        <v>713</v>
      </c>
      <c r="G22" s="314"/>
      <c r="H22" s="344"/>
      <c r="I22" s="339"/>
      <c r="J22" s="344"/>
      <c r="K22" s="344"/>
      <c r="L22" s="378"/>
      <c r="M22" s="344"/>
      <c r="N22" s="339"/>
      <c r="O22" s="350" t="s">
        <v>23</v>
      </c>
      <c r="P22" s="351"/>
      <c r="Q22" s="352"/>
      <c r="R22" s="353"/>
      <c r="S22" s="353"/>
      <c r="T22" s="353"/>
      <c r="U22" s="353"/>
      <c r="V22" s="353"/>
      <c r="W22" s="353"/>
      <c r="X22" s="353"/>
      <c r="Y22" s="353"/>
      <c r="Z22" s="353"/>
      <c r="AA22" s="354"/>
      <c r="AB22" s="315" t="s">
        <v>24</v>
      </c>
      <c r="AC22" s="319">
        <f>IF(AD20="Quoted",Matrix2!N64,Matrix2!N26)</f>
        <v>1.1439999999999999</v>
      </c>
      <c r="AD22" s="537">
        <f>IF(AD20="Quoted",Matrix2!P51,Matrix2!P13)</f>
        <v>236.80799999999999</v>
      </c>
      <c r="AE22" s="538"/>
      <c r="AI22" s="203" t="s">
        <v>30</v>
      </c>
    </row>
    <row r="23" spans="2:35" ht="15.75" thickTop="1" x14ac:dyDescent="0.25">
      <c r="B23" s="336">
        <v>6</v>
      </c>
      <c r="C23" s="323" t="s">
        <v>380</v>
      </c>
      <c r="D23" s="337" t="s">
        <v>358</v>
      </c>
      <c r="E23" s="340" t="s">
        <v>43</v>
      </c>
      <c r="F23" s="342" t="s">
        <v>349</v>
      </c>
      <c r="G23" s="343"/>
      <c r="H23" s="340" t="s">
        <v>360</v>
      </c>
      <c r="I23" s="337" t="s">
        <v>341</v>
      </c>
      <c r="J23" s="340" t="s">
        <v>354</v>
      </c>
      <c r="K23" s="345"/>
      <c r="L23" s="345">
        <v>880</v>
      </c>
      <c r="M23" s="345">
        <v>1300</v>
      </c>
      <c r="N23" s="360" t="s">
        <v>645</v>
      </c>
      <c r="O23" s="363" t="s">
        <v>17</v>
      </c>
      <c r="P23" s="364"/>
      <c r="Q23" s="293" t="s">
        <v>213</v>
      </c>
      <c r="R23" s="293" t="s">
        <v>216</v>
      </c>
      <c r="S23" s="293"/>
      <c r="T23" s="293"/>
      <c r="U23" s="293"/>
      <c r="V23" s="293"/>
      <c r="W23" s="293"/>
      <c r="X23" s="293"/>
      <c r="Y23" s="293"/>
      <c r="Z23" s="293"/>
      <c r="AA23" s="293"/>
      <c r="AB23" s="294"/>
      <c r="AC23" s="295"/>
      <c r="AD23" s="549" t="s">
        <v>18</v>
      </c>
      <c r="AE23" s="550"/>
    </row>
    <row r="24" spans="2:35" x14ac:dyDescent="0.25">
      <c r="B24" s="336"/>
      <c r="C24" s="296" t="s">
        <v>357</v>
      </c>
      <c r="D24" s="338"/>
      <c r="E24" s="341"/>
      <c r="F24" s="348"/>
      <c r="G24" s="349"/>
      <c r="H24" s="341"/>
      <c r="I24" s="338"/>
      <c r="J24" s="341"/>
      <c r="K24" s="346"/>
      <c r="L24" s="346"/>
      <c r="M24" s="346"/>
      <c r="N24" s="361"/>
      <c r="O24" s="365" t="s">
        <v>19</v>
      </c>
      <c r="P24" s="366"/>
      <c r="Q24" s="297"/>
      <c r="R24" s="297"/>
      <c r="S24" s="297"/>
      <c r="T24" s="297"/>
      <c r="U24" s="297"/>
      <c r="V24" s="297"/>
      <c r="W24" s="297"/>
      <c r="X24" s="297"/>
      <c r="Y24" s="297"/>
      <c r="Z24" s="297"/>
      <c r="AA24" s="297" t="s">
        <v>20</v>
      </c>
      <c r="AB24" s="270" t="s">
        <v>21</v>
      </c>
      <c r="AC24" s="271" t="s">
        <v>22</v>
      </c>
      <c r="AD24" s="547">
        <f>IF(AD23="Quoted",Matrix2!Q41,Matrix2!Q3)</f>
        <v>315.74399999999997</v>
      </c>
      <c r="AE24" s="548"/>
    </row>
    <row r="25" spans="2:35" ht="15.75" thickBot="1" x14ac:dyDescent="0.3">
      <c r="B25" s="336"/>
      <c r="C25" s="324"/>
      <c r="D25" s="339"/>
      <c r="E25" s="341"/>
      <c r="F25" s="313" t="s">
        <v>713</v>
      </c>
      <c r="G25" s="314"/>
      <c r="H25" s="344"/>
      <c r="I25" s="339"/>
      <c r="J25" s="344"/>
      <c r="K25" s="347"/>
      <c r="L25" s="347"/>
      <c r="M25" s="347"/>
      <c r="N25" s="362"/>
      <c r="O25" s="371" t="s">
        <v>23</v>
      </c>
      <c r="P25" s="372"/>
      <c r="Q25" s="357"/>
      <c r="R25" s="358"/>
      <c r="S25" s="358"/>
      <c r="T25" s="358"/>
      <c r="U25" s="358"/>
      <c r="V25" s="358"/>
      <c r="W25" s="358"/>
      <c r="X25" s="358"/>
      <c r="Y25" s="358"/>
      <c r="Z25" s="358"/>
      <c r="AA25" s="359"/>
      <c r="AB25" s="300" t="s">
        <v>24</v>
      </c>
      <c r="AC25" s="301">
        <f>IF(AD23="Quoted",Matrix2!N65,Matrix2!N27)</f>
        <v>1.1439999999999999</v>
      </c>
      <c r="AD25" s="537">
        <f>IF(AD23="Quoted",Matrix2!Q51,Matrix2!Q13)</f>
        <v>236.80799999999999</v>
      </c>
      <c r="AE25" s="538"/>
    </row>
    <row r="26" spans="2:35" ht="15.75" thickTop="1" x14ac:dyDescent="0.25">
      <c r="B26" s="336">
        <v>7</v>
      </c>
      <c r="C26" s="306" t="s">
        <v>380</v>
      </c>
      <c r="D26" s="337" t="s">
        <v>358</v>
      </c>
      <c r="E26" s="340" t="s">
        <v>43</v>
      </c>
      <c r="F26" s="342" t="s">
        <v>349</v>
      </c>
      <c r="G26" s="343"/>
      <c r="H26" s="340" t="s">
        <v>360</v>
      </c>
      <c r="I26" s="337" t="s">
        <v>341</v>
      </c>
      <c r="J26" s="340" t="s">
        <v>354</v>
      </c>
      <c r="K26" s="340"/>
      <c r="L26" s="340">
        <v>1030</v>
      </c>
      <c r="M26" s="340">
        <v>1500</v>
      </c>
      <c r="N26" s="337" t="s">
        <v>645</v>
      </c>
      <c r="O26" s="355" t="s">
        <v>17</v>
      </c>
      <c r="P26" s="356"/>
      <c r="Q26" s="305" t="s">
        <v>213</v>
      </c>
      <c r="R26" s="305" t="s">
        <v>216</v>
      </c>
      <c r="S26" s="305"/>
      <c r="T26" s="305"/>
      <c r="U26" s="305"/>
      <c r="V26" s="305"/>
      <c r="W26" s="305"/>
      <c r="X26" s="305"/>
      <c r="Y26" s="305"/>
      <c r="Z26" s="305"/>
      <c r="AA26" s="305"/>
      <c r="AB26" s="317"/>
      <c r="AC26" s="318"/>
      <c r="AD26" s="539" t="s">
        <v>18</v>
      </c>
      <c r="AE26" s="540"/>
    </row>
    <row r="27" spans="2:35" x14ac:dyDescent="0.25">
      <c r="B27" s="336"/>
      <c r="C27" s="308" t="s">
        <v>374</v>
      </c>
      <c r="D27" s="338"/>
      <c r="E27" s="341"/>
      <c r="F27" s="348" t="str">
        <f>IF(AND(E26="Bermuda",F26="Custom Colour"),"Not Black",IF(AND(E26="Cuba",F26="Custom Colour"),"Solid Colours Only",IF(AND(E26="Java",F26="Custom Colour"),"Solid (no Black)",IF(AND(E26="Samoa",F26="Custom Colour"),"Surcharge for black",IF(D26="S/Shade","Note Shade Colour","")))))</f>
        <v/>
      </c>
      <c r="G27" s="349"/>
      <c r="H27" s="341"/>
      <c r="I27" s="338"/>
      <c r="J27" s="341"/>
      <c r="K27" s="341"/>
      <c r="L27" s="341"/>
      <c r="M27" s="341"/>
      <c r="N27" s="338"/>
      <c r="O27" s="373" t="s">
        <v>19</v>
      </c>
      <c r="P27" s="374"/>
      <c r="Q27" s="309"/>
      <c r="R27" s="309"/>
      <c r="S27" s="309"/>
      <c r="T27" s="309"/>
      <c r="U27" s="309"/>
      <c r="V27" s="309"/>
      <c r="W27" s="309"/>
      <c r="X27" s="309"/>
      <c r="Y27" s="309"/>
      <c r="Z27" s="309"/>
      <c r="AA27" s="309" t="s">
        <v>20</v>
      </c>
      <c r="AB27" s="310" t="s">
        <v>21</v>
      </c>
      <c r="AC27" s="311" t="s">
        <v>22</v>
      </c>
      <c r="AD27" s="535">
        <f>IF(AD26="Quoted",Matrix2!R41,Matrix2!R3)</f>
        <v>426.41999999999996</v>
      </c>
      <c r="AE27" s="536"/>
    </row>
    <row r="28" spans="2:35" ht="15.75" thickBot="1" x14ac:dyDescent="0.3">
      <c r="B28" s="336"/>
      <c r="C28" s="322"/>
      <c r="D28" s="339"/>
      <c r="E28" s="341"/>
      <c r="F28" s="313" t="s">
        <v>28</v>
      </c>
      <c r="G28" s="314"/>
      <c r="H28" s="344"/>
      <c r="I28" s="380"/>
      <c r="J28" s="344"/>
      <c r="K28" s="344"/>
      <c r="L28" s="344"/>
      <c r="M28" s="344"/>
      <c r="N28" s="339"/>
      <c r="O28" s="350" t="s">
        <v>23</v>
      </c>
      <c r="P28" s="351"/>
      <c r="Q28" s="352"/>
      <c r="R28" s="353"/>
      <c r="S28" s="353"/>
      <c r="T28" s="353"/>
      <c r="U28" s="353"/>
      <c r="V28" s="353"/>
      <c r="W28" s="353"/>
      <c r="X28" s="353"/>
      <c r="Y28" s="353"/>
      <c r="Z28" s="353"/>
      <c r="AA28" s="354"/>
      <c r="AB28" s="315" t="s">
        <v>24</v>
      </c>
      <c r="AC28" s="319">
        <f>IF(AD26="Quoted",Matrix2!N66,Matrix2!N28)</f>
        <v>1.5449999999999999</v>
      </c>
      <c r="AD28" s="537">
        <f>IF(AD26="Quoted",Matrix2!R51,Matrix2!R13)</f>
        <v>319.81499999999994</v>
      </c>
      <c r="AE28" s="538"/>
    </row>
    <row r="29" spans="2:35" ht="15.75" thickTop="1" x14ac:dyDescent="0.25">
      <c r="B29" s="336">
        <v>8</v>
      </c>
      <c r="C29" s="323"/>
      <c r="D29" s="360"/>
      <c r="E29" s="345"/>
      <c r="F29" s="369"/>
      <c r="G29" s="370"/>
      <c r="H29" s="345"/>
      <c r="I29" s="360"/>
      <c r="J29" s="345"/>
      <c r="K29" s="345"/>
      <c r="L29" s="345"/>
      <c r="M29" s="345"/>
      <c r="N29" s="360" t="s">
        <v>16</v>
      </c>
      <c r="O29" s="363" t="s">
        <v>17</v>
      </c>
      <c r="P29" s="364"/>
      <c r="Q29" s="293"/>
      <c r="R29" s="293"/>
      <c r="S29" s="293"/>
      <c r="T29" s="293"/>
      <c r="U29" s="293"/>
      <c r="V29" s="293"/>
      <c r="W29" s="293"/>
      <c r="X29" s="293"/>
      <c r="Y29" s="293"/>
      <c r="Z29" s="293"/>
      <c r="AA29" s="293"/>
      <c r="AB29" s="294"/>
      <c r="AC29" s="295"/>
      <c r="AD29" s="549" t="s">
        <v>18</v>
      </c>
      <c r="AE29" s="550"/>
    </row>
    <row r="30" spans="2:35" x14ac:dyDescent="0.25">
      <c r="B30" s="336"/>
      <c r="C30" s="296"/>
      <c r="D30" s="361"/>
      <c r="E30" s="346"/>
      <c r="F30" s="367" t="str">
        <f>IF(AND(E29="Bermuda",F29="Custom Colour"),"Not Black",IF(AND(E29="Cuba",F29="Custom Colour"),"Solid Colours Only",IF(AND(E29="Java",F29="Custom Colour"),"Solid (no Black)",IF(AND(E29="Samoa",F29="Custom Colour"),"Surcharge for black",IF(D29="S/Shade","Note Shade Colour","")))))</f>
        <v/>
      </c>
      <c r="G30" s="368"/>
      <c r="H30" s="346"/>
      <c r="I30" s="361"/>
      <c r="J30" s="346"/>
      <c r="K30" s="346"/>
      <c r="L30" s="346"/>
      <c r="M30" s="346"/>
      <c r="N30" s="361"/>
      <c r="O30" s="365" t="s">
        <v>19</v>
      </c>
      <c r="P30" s="366"/>
      <c r="Q30" s="297"/>
      <c r="R30" s="297"/>
      <c r="S30" s="297"/>
      <c r="T30" s="297"/>
      <c r="U30" s="297"/>
      <c r="V30" s="297"/>
      <c r="W30" s="297"/>
      <c r="X30" s="297"/>
      <c r="Y30" s="297"/>
      <c r="Z30" s="297"/>
      <c r="AA30" s="297" t="s">
        <v>20</v>
      </c>
      <c r="AB30" s="270" t="s">
        <v>21</v>
      </c>
      <c r="AC30" s="271" t="s">
        <v>22</v>
      </c>
      <c r="AD30" s="547">
        <f>IF(AD29="Quoted",Matrix2!S41,Matrix2!S3)</f>
        <v>0</v>
      </c>
      <c r="AE30" s="548"/>
    </row>
    <row r="31" spans="2:35" ht="15.75" thickBot="1" x14ac:dyDescent="0.3">
      <c r="B31" s="336"/>
      <c r="C31" s="324"/>
      <c r="D31" s="362"/>
      <c r="E31" s="346"/>
      <c r="F31" s="298" t="s">
        <v>28</v>
      </c>
      <c r="G31" s="299"/>
      <c r="H31" s="347"/>
      <c r="I31" s="379"/>
      <c r="J31" s="347"/>
      <c r="K31" s="347"/>
      <c r="L31" s="347"/>
      <c r="M31" s="347"/>
      <c r="N31" s="362"/>
      <c r="O31" s="371" t="s">
        <v>23</v>
      </c>
      <c r="P31" s="372"/>
      <c r="Q31" s="357"/>
      <c r="R31" s="358"/>
      <c r="S31" s="358"/>
      <c r="T31" s="358"/>
      <c r="U31" s="358"/>
      <c r="V31" s="358"/>
      <c r="W31" s="358"/>
      <c r="X31" s="358"/>
      <c r="Y31" s="358"/>
      <c r="Z31" s="358"/>
      <c r="AA31" s="359"/>
      <c r="AB31" s="300" t="s">
        <v>24</v>
      </c>
      <c r="AC31" s="301">
        <f>IF(AD29="Quoted",Matrix2!N67,Matrix2!N29)</f>
        <v>0</v>
      </c>
      <c r="AD31" s="537">
        <f>IF(AD29="Quoted",Matrix2!S51,Matrix2!S13)</f>
        <v>0</v>
      </c>
      <c r="AE31" s="538"/>
    </row>
    <row r="32" spans="2:35" ht="15.75" thickTop="1" x14ac:dyDescent="0.25">
      <c r="B32" s="336">
        <v>9</v>
      </c>
      <c r="C32" s="306"/>
      <c r="D32" s="337"/>
      <c r="E32" s="340"/>
      <c r="F32" s="342"/>
      <c r="G32" s="343"/>
      <c r="H32" s="340"/>
      <c r="I32" s="337"/>
      <c r="J32" s="340"/>
      <c r="K32" s="340"/>
      <c r="L32" s="340"/>
      <c r="M32" s="340"/>
      <c r="N32" s="337" t="s">
        <v>16</v>
      </c>
      <c r="O32" s="355" t="s">
        <v>17</v>
      </c>
      <c r="P32" s="356"/>
      <c r="Q32" s="305"/>
      <c r="R32" s="305"/>
      <c r="S32" s="305"/>
      <c r="T32" s="305"/>
      <c r="U32" s="305"/>
      <c r="V32" s="305"/>
      <c r="W32" s="305"/>
      <c r="X32" s="305"/>
      <c r="Y32" s="305"/>
      <c r="Z32" s="305"/>
      <c r="AA32" s="305"/>
      <c r="AB32" s="317"/>
      <c r="AC32" s="318"/>
      <c r="AD32" s="539" t="s">
        <v>18</v>
      </c>
      <c r="AE32" s="540"/>
    </row>
    <row r="33" spans="2:31" x14ac:dyDescent="0.25">
      <c r="B33" s="336"/>
      <c r="C33" s="308"/>
      <c r="D33" s="338"/>
      <c r="E33" s="341"/>
      <c r="F33" s="348" t="str">
        <f>IF(AND(E32="Bermuda",F32="Custom Colour"),"Not Black",IF(AND(E32="Cuba",F32="Custom Colour"),"Solid Colours Only",IF(AND(E32="Java",F32="Custom Colour"),"Solid (no Black)",IF(AND(E32="Samoa",F32="Custom Colour"),"Surcharge for black",IF(D32="S/Shade","Note Shade Colour","")))))</f>
        <v/>
      </c>
      <c r="G33" s="349"/>
      <c r="H33" s="341"/>
      <c r="I33" s="338"/>
      <c r="J33" s="341"/>
      <c r="K33" s="341"/>
      <c r="L33" s="341"/>
      <c r="M33" s="341"/>
      <c r="N33" s="338"/>
      <c r="O33" s="373" t="s">
        <v>19</v>
      </c>
      <c r="P33" s="374"/>
      <c r="Q33" s="309"/>
      <c r="R33" s="309"/>
      <c r="S33" s="309"/>
      <c r="T33" s="309"/>
      <c r="U33" s="309"/>
      <c r="V33" s="309"/>
      <c r="W33" s="309"/>
      <c r="X33" s="309"/>
      <c r="Y33" s="309"/>
      <c r="Z33" s="309"/>
      <c r="AA33" s="309" t="s">
        <v>20</v>
      </c>
      <c r="AB33" s="310" t="s">
        <v>21</v>
      </c>
      <c r="AC33" s="311" t="s">
        <v>22</v>
      </c>
      <c r="AD33" s="535">
        <f>IF(AD32="Quoted",Matrix2!T41,Matrix2!T3)</f>
        <v>0</v>
      </c>
      <c r="AE33" s="536"/>
    </row>
    <row r="34" spans="2:31" ht="15.75" thickBot="1" x14ac:dyDescent="0.3">
      <c r="B34" s="336"/>
      <c r="C34" s="322"/>
      <c r="D34" s="339"/>
      <c r="E34" s="341"/>
      <c r="F34" s="313" t="s">
        <v>28</v>
      </c>
      <c r="G34" s="314"/>
      <c r="H34" s="344"/>
      <c r="I34" s="380"/>
      <c r="J34" s="344"/>
      <c r="K34" s="344"/>
      <c r="L34" s="344"/>
      <c r="M34" s="344"/>
      <c r="N34" s="339"/>
      <c r="O34" s="350" t="s">
        <v>23</v>
      </c>
      <c r="P34" s="351"/>
      <c r="Q34" s="352"/>
      <c r="R34" s="353"/>
      <c r="S34" s="353"/>
      <c r="T34" s="353"/>
      <c r="U34" s="353"/>
      <c r="V34" s="353"/>
      <c r="W34" s="353"/>
      <c r="X34" s="353"/>
      <c r="Y34" s="353"/>
      <c r="Z34" s="353"/>
      <c r="AA34" s="354"/>
      <c r="AB34" s="315" t="s">
        <v>24</v>
      </c>
      <c r="AC34" s="319">
        <f>IF(AD32="Quoted",Matrix2!N68,Matrix2!N30)</f>
        <v>0</v>
      </c>
      <c r="AD34" s="537">
        <f>IF(AD32="Quoted",Matrix2!T51,Matrix2!T13)</f>
        <v>0</v>
      </c>
      <c r="AE34" s="538"/>
    </row>
    <row r="35" spans="2:31" ht="15.75" thickTop="1" x14ac:dyDescent="0.25">
      <c r="B35" s="336">
        <v>10</v>
      </c>
      <c r="C35" s="323" t="s">
        <v>386</v>
      </c>
      <c r="D35" s="360"/>
      <c r="E35" s="345"/>
      <c r="F35" s="369"/>
      <c r="G35" s="370"/>
      <c r="H35" s="345"/>
      <c r="I35" s="360"/>
      <c r="J35" s="345"/>
      <c r="K35" s="345"/>
      <c r="L35" s="345"/>
      <c r="M35" s="345"/>
      <c r="N35" s="360" t="s">
        <v>16</v>
      </c>
      <c r="O35" s="363" t="s">
        <v>17</v>
      </c>
      <c r="P35" s="364"/>
      <c r="Q35" s="293"/>
      <c r="R35" s="293"/>
      <c r="S35" s="293"/>
      <c r="T35" s="293"/>
      <c r="U35" s="293"/>
      <c r="V35" s="293"/>
      <c r="W35" s="293"/>
      <c r="X35" s="293"/>
      <c r="Y35" s="293"/>
      <c r="Z35" s="293"/>
      <c r="AA35" s="293"/>
      <c r="AB35" s="294"/>
      <c r="AC35" s="295"/>
      <c r="AD35" s="549" t="s">
        <v>18</v>
      </c>
      <c r="AE35" s="550"/>
    </row>
    <row r="36" spans="2:31" x14ac:dyDescent="0.25">
      <c r="B36" s="336"/>
      <c r="C36" s="296" t="s">
        <v>337</v>
      </c>
      <c r="D36" s="361"/>
      <c r="E36" s="346"/>
      <c r="F36" s="367" t="str">
        <f>IF(AND(E35="Bermuda",F35="Custom Colour"),"Not Black",IF(AND(E35="Cuba",F35="Custom Colour"),"Solid Colours Only",IF(AND(E35="Java",F35="Custom Colour"),"Solid (no Black)",IF(AND(E35="Samoa",F35="Custom Colour"),"Surcharge for black",IF(D35="S/Shade","Note Shade Colour","")))))</f>
        <v/>
      </c>
      <c r="G36" s="368"/>
      <c r="H36" s="346"/>
      <c r="I36" s="361"/>
      <c r="J36" s="346"/>
      <c r="K36" s="346"/>
      <c r="L36" s="346"/>
      <c r="M36" s="346"/>
      <c r="N36" s="361"/>
      <c r="O36" s="365" t="s">
        <v>19</v>
      </c>
      <c r="P36" s="366"/>
      <c r="Q36" s="297"/>
      <c r="R36" s="297"/>
      <c r="S36" s="297"/>
      <c r="T36" s="297"/>
      <c r="U36" s="297"/>
      <c r="V36" s="297"/>
      <c r="W36" s="297"/>
      <c r="X36" s="297"/>
      <c r="Y36" s="297"/>
      <c r="Z36" s="297"/>
      <c r="AA36" s="297" t="s">
        <v>20</v>
      </c>
      <c r="AB36" s="270" t="s">
        <v>21</v>
      </c>
      <c r="AC36" s="271" t="s">
        <v>22</v>
      </c>
      <c r="AD36" s="547">
        <f>IF(AD35="Quoted",Matrix2!U41,Matrix2!U3)</f>
        <v>0</v>
      </c>
      <c r="AE36" s="548"/>
    </row>
    <row r="37" spans="2:31" ht="15.75" thickBot="1" x14ac:dyDescent="0.3">
      <c r="B37" s="336"/>
      <c r="C37" s="324"/>
      <c r="D37" s="362"/>
      <c r="E37" s="346"/>
      <c r="F37" s="298" t="s">
        <v>28</v>
      </c>
      <c r="G37" s="299"/>
      <c r="H37" s="347"/>
      <c r="I37" s="379"/>
      <c r="J37" s="347"/>
      <c r="K37" s="347"/>
      <c r="L37" s="347"/>
      <c r="M37" s="347"/>
      <c r="N37" s="362"/>
      <c r="O37" s="371" t="s">
        <v>23</v>
      </c>
      <c r="P37" s="372"/>
      <c r="Q37" s="357"/>
      <c r="R37" s="358"/>
      <c r="S37" s="358"/>
      <c r="T37" s="358"/>
      <c r="U37" s="358"/>
      <c r="V37" s="358"/>
      <c r="W37" s="358"/>
      <c r="X37" s="358"/>
      <c r="Y37" s="358"/>
      <c r="Z37" s="358"/>
      <c r="AA37" s="359"/>
      <c r="AB37" s="300" t="s">
        <v>24</v>
      </c>
      <c r="AC37" s="301">
        <f>IF(AD35="Quoted",Matrix2!N69,Matrix2!N31)</f>
        <v>0</v>
      </c>
      <c r="AD37" s="537">
        <f>IF(AD35="Quoted",Matrix2!U51,Matrix2!U13)</f>
        <v>0</v>
      </c>
      <c r="AE37" s="538"/>
    </row>
    <row r="38" spans="2:31" ht="15.75" thickTop="1" x14ac:dyDescent="0.25">
      <c r="B38" s="336">
        <v>11</v>
      </c>
      <c r="C38" s="306" t="s">
        <v>386</v>
      </c>
      <c r="D38" s="337"/>
      <c r="E38" s="340"/>
      <c r="F38" s="342"/>
      <c r="G38" s="343"/>
      <c r="H38" s="340"/>
      <c r="I38" s="337"/>
      <c r="J38" s="340"/>
      <c r="K38" s="340"/>
      <c r="L38" s="340"/>
      <c r="M38" s="340"/>
      <c r="N38" s="337" t="s">
        <v>16</v>
      </c>
      <c r="O38" s="355" t="s">
        <v>17</v>
      </c>
      <c r="P38" s="356"/>
      <c r="Q38" s="305"/>
      <c r="R38" s="305"/>
      <c r="S38" s="305"/>
      <c r="T38" s="305"/>
      <c r="U38" s="305"/>
      <c r="V38" s="305"/>
      <c r="W38" s="305"/>
      <c r="X38" s="305"/>
      <c r="Y38" s="305"/>
      <c r="Z38" s="305"/>
      <c r="AA38" s="305"/>
      <c r="AB38" s="317"/>
      <c r="AC38" s="318"/>
      <c r="AD38" s="539" t="s">
        <v>18</v>
      </c>
      <c r="AE38" s="540"/>
    </row>
    <row r="39" spans="2:31" x14ac:dyDescent="0.25">
      <c r="B39" s="336"/>
      <c r="C39" s="308" t="s">
        <v>357</v>
      </c>
      <c r="D39" s="338"/>
      <c r="E39" s="341"/>
      <c r="F39" s="348" t="str">
        <f>IF(AND(E38="Bermuda",F38="Custom Colour"),"Not Black",IF(AND(E38="Cuba",F38="Custom Colour"),"Solid Colours Only",IF(AND(E38="Java",F38="Custom Colour"),"Solid (no Black)",IF(AND(E38="Samoa",F38="Custom Colour"),"Surcharge for black",IF(D38="S/Shade","Note Shade Colour","")))))</f>
        <v/>
      </c>
      <c r="G39" s="349"/>
      <c r="H39" s="341"/>
      <c r="I39" s="338"/>
      <c r="J39" s="341"/>
      <c r="K39" s="341"/>
      <c r="L39" s="341"/>
      <c r="M39" s="341"/>
      <c r="N39" s="338"/>
      <c r="O39" s="373" t="s">
        <v>19</v>
      </c>
      <c r="P39" s="374"/>
      <c r="Q39" s="309"/>
      <c r="R39" s="309"/>
      <c r="S39" s="309"/>
      <c r="T39" s="309"/>
      <c r="U39" s="309"/>
      <c r="V39" s="309"/>
      <c r="W39" s="309"/>
      <c r="X39" s="309"/>
      <c r="Y39" s="309"/>
      <c r="Z39" s="309"/>
      <c r="AA39" s="309" t="s">
        <v>20</v>
      </c>
      <c r="AB39" s="310" t="s">
        <v>21</v>
      </c>
      <c r="AC39" s="311" t="s">
        <v>22</v>
      </c>
      <c r="AD39" s="535">
        <f>IF(AD38="Quoted",Matrix2!V41,Matrix2!V3)</f>
        <v>0</v>
      </c>
      <c r="AE39" s="536"/>
    </row>
    <row r="40" spans="2:31" ht="15.75" thickBot="1" x14ac:dyDescent="0.3">
      <c r="B40" s="336"/>
      <c r="C40" s="322"/>
      <c r="D40" s="339"/>
      <c r="E40" s="341"/>
      <c r="F40" s="313" t="s">
        <v>28</v>
      </c>
      <c r="G40" s="314"/>
      <c r="H40" s="344"/>
      <c r="I40" s="380"/>
      <c r="J40" s="344"/>
      <c r="K40" s="344"/>
      <c r="L40" s="344"/>
      <c r="M40" s="344"/>
      <c r="N40" s="339"/>
      <c r="O40" s="350" t="s">
        <v>23</v>
      </c>
      <c r="P40" s="351"/>
      <c r="Q40" s="352"/>
      <c r="R40" s="353"/>
      <c r="S40" s="353"/>
      <c r="T40" s="353"/>
      <c r="U40" s="353"/>
      <c r="V40" s="353"/>
      <c r="W40" s="353"/>
      <c r="X40" s="353"/>
      <c r="Y40" s="353"/>
      <c r="Z40" s="353"/>
      <c r="AA40" s="354"/>
      <c r="AB40" s="315" t="s">
        <v>24</v>
      </c>
      <c r="AC40" s="319">
        <f>IF(AD38="Quoted",Matrix2!N70,Matrix2!N32)</f>
        <v>0</v>
      </c>
      <c r="AD40" s="537">
        <f>IF(AD38="Quoted",Matrix2!V51,Matrix2!V13)</f>
        <v>0</v>
      </c>
      <c r="AE40" s="538"/>
    </row>
    <row r="41" spans="2:31" ht="15.75" thickTop="1" x14ac:dyDescent="0.25">
      <c r="B41" s="336">
        <v>12</v>
      </c>
      <c r="C41" s="323" t="s">
        <v>356</v>
      </c>
      <c r="D41" s="360"/>
      <c r="E41" s="345"/>
      <c r="F41" s="369"/>
      <c r="G41" s="370"/>
      <c r="H41" s="345"/>
      <c r="I41" s="360"/>
      <c r="J41" s="345"/>
      <c r="K41" s="345"/>
      <c r="L41" s="345"/>
      <c r="M41" s="345"/>
      <c r="N41" s="360" t="s">
        <v>16</v>
      </c>
      <c r="O41" s="363" t="s">
        <v>17</v>
      </c>
      <c r="P41" s="364"/>
      <c r="Q41" s="293"/>
      <c r="R41" s="293"/>
      <c r="S41" s="293"/>
      <c r="T41" s="293"/>
      <c r="U41" s="293"/>
      <c r="V41" s="293"/>
      <c r="W41" s="293"/>
      <c r="X41" s="293"/>
      <c r="Y41" s="293"/>
      <c r="Z41" s="293"/>
      <c r="AA41" s="293"/>
      <c r="AB41" s="294"/>
      <c r="AC41" s="302"/>
      <c r="AD41" s="549" t="s">
        <v>18</v>
      </c>
      <c r="AE41" s="550"/>
    </row>
    <row r="42" spans="2:31" x14ac:dyDescent="0.25">
      <c r="B42" s="336"/>
      <c r="C42" s="296"/>
      <c r="D42" s="361"/>
      <c r="E42" s="346"/>
      <c r="F42" s="367" t="str">
        <f>IF(AND(E41="Bermuda",F41="Custom Colour"),"Not Black",IF(AND(E41="Cuba",F41="Custom Colour"),"Solid Colours Only",IF(AND(E41="Java",F41="Custom Colour"),"Solid (no Black)",IF(AND(E41="Samoa",F41="Custom Colour"),"Surcharge for black",IF(D41="S/Shade","Note Shade Colour","")))))</f>
        <v/>
      </c>
      <c r="G42" s="368"/>
      <c r="H42" s="346"/>
      <c r="I42" s="361"/>
      <c r="J42" s="346"/>
      <c r="K42" s="346"/>
      <c r="L42" s="346"/>
      <c r="M42" s="346"/>
      <c r="N42" s="361"/>
      <c r="O42" s="365" t="s">
        <v>19</v>
      </c>
      <c r="P42" s="366"/>
      <c r="Q42" s="297"/>
      <c r="R42" s="297"/>
      <c r="S42" s="297"/>
      <c r="T42" s="297"/>
      <c r="U42" s="297"/>
      <c r="V42" s="297"/>
      <c r="W42" s="297"/>
      <c r="X42" s="297"/>
      <c r="Y42" s="297"/>
      <c r="Z42" s="297"/>
      <c r="AA42" s="297" t="s">
        <v>20</v>
      </c>
      <c r="AB42" s="270" t="s">
        <v>21</v>
      </c>
      <c r="AC42" s="271" t="s">
        <v>22</v>
      </c>
      <c r="AD42" s="547">
        <f>IF(AD41="Quoted",Matrix2!W41,Matrix2!W3)</f>
        <v>0</v>
      </c>
      <c r="AE42" s="548"/>
    </row>
    <row r="43" spans="2:31" ht="15.75" thickBot="1" x14ac:dyDescent="0.3">
      <c r="B43" s="336"/>
      <c r="C43" s="324"/>
      <c r="D43" s="362"/>
      <c r="E43" s="346"/>
      <c r="F43" s="298" t="s">
        <v>28</v>
      </c>
      <c r="G43" s="299"/>
      <c r="H43" s="347"/>
      <c r="I43" s="379"/>
      <c r="J43" s="347"/>
      <c r="K43" s="347"/>
      <c r="L43" s="347"/>
      <c r="M43" s="347"/>
      <c r="N43" s="362"/>
      <c r="O43" s="371" t="s">
        <v>23</v>
      </c>
      <c r="P43" s="372"/>
      <c r="Q43" s="357"/>
      <c r="R43" s="358"/>
      <c r="S43" s="358"/>
      <c r="T43" s="358"/>
      <c r="U43" s="358"/>
      <c r="V43" s="358"/>
      <c r="W43" s="358"/>
      <c r="X43" s="358"/>
      <c r="Y43" s="358"/>
      <c r="Z43" s="358"/>
      <c r="AA43" s="359"/>
      <c r="AB43" s="303" t="s">
        <v>24</v>
      </c>
      <c r="AC43" s="301">
        <f>IF(AD41="Quoted",Matrix2!N71,Matrix2!N33)</f>
        <v>0</v>
      </c>
      <c r="AD43" s="537">
        <f>IF(AD41="Quoted",Matrix2!W51,Matrix2!W13)</f>
        <v>0</v>
      </c>
      <c r="AE43" s="538"/>
    </row>
    <row r="44" spans="2:31" ht="15.75" thickTop="1" x14ac:dyDescent="0.25">
      <c r="B44" s="336">
        <v>13</v>
      </c>
      <c r="C44" s="306" t="s">
        <v>356</v>
      </c>
      <c r="D44" s="337"/>
      <c r="E44" s="340"/>
      <c r="F44" s="342"/>
      <c r="G44" s="343"/>
      <c r="H44" s="340"/>
      <c r="I44" s="337"/>
      <c r="J44" s="340"/>
      <c r="K44" s="340"/>
      <c r="L44" s="340"/>
      <c r="M44" s="340"/>
      <c r="N44" s="337" t="s">
        <v>16</v>
      </c>
      <c r="O44" s="355" t="s">
        <v>17</v>
      </c>
      <c r="P44" s="356"/>
      <c r="Q44" s="305"/>
      <c r="R44" s="305"/>
      <c r="S44" s="305"/>
      <c r="T44" s="305"/>
      <c r="U44" s="305"/>
      <c r="V44" s="305"/>
      <c r="W44" s="305"/>
      <c r="X44" s="305"/>
      <c r="Y44" s="305"/>
      <c r="Z44" s="305"/>
      <c r="AA44" s="305"/>
      <c r="AB44" s="304"/>
      <c r="AC44" s="320"/>
      <c r="AD44" s="539" t="s">
        <v>18</v>
      </c>
      <c r="AE44" s="540"/>
    </row>
    <row r="45" spans="2:31" x14ac:dyDescent="0.25">
      <c r="B45" s="336"/>
      <c r="C45" s="308" t="s">
        <v>719</v>
      </c>
      <c r="D45" s="338"/>
      <c r="E45" s="341"/>
      <c r="F45" s="348" t="str">
        <f>IF(AND(E44="Bermuda",F44="Custom Colour"),"Not Black",IF(AND(E44="Cuba",F44="Custom Colour"),"Solid Colours Only",IF(AND(E44="Java",F44="Custom Colour"),"Solid (no Black)",IF(AND(E44="Samoa",F44="Custom Colour"),"Surcharge for black",IF(D44="S/Shade","Note Shade Colour","")))))</f>
        <v/>
      </c>
      <c r="G45" s="349"/>
      <c r="H45" s="341"/>
      <c r="I45" s="338"/>
      <c r="J45" s="341"/>
      <c r="K45" s="341"/>
      <c r="L45" s="341"/>
      <c r="M45" s="341"/>
      <c r="N45" s="338"/>
      <c r="O45" s="373" t="s">
        <v>19</v>
      </c>
      <c r="P45" s="374"/>
      <c r="Q45" s="309"/>
      <c r="R45" s="309"/>
      <c r="S45" s="309"/>
      <c r="T45" s="309"/>
      <c r="U45" s="309"/>
      <c r="V45" s="309"/>
      <c r="W45" s="309"/>
      <c r="X45" s="309"/>
      <c r="Y45" s="309"/>
      <c r="Z45" s="309"/>
      <c r="AA45" s="309" t="s">
        <v>20</v>
      </c>
      <c r="AB45" s="310" t="s">
        <v>21</v>
      </c>
      <c r="AC45" s="311" t="s">
        <v>22</v>
      </c>
      <c r="AD45" s="535">
        <f>IF(AD44="Quoted",Matrix2!X41,Matrix2!X3)</f>
        <v>0</v>
      </c>
      <c r="AE45" s="536"/>
    </row>
    <row r="46" spans="2:31" ht="15.75" thickBot="1" x14ac:dyDescent="0.3">
      <c r="B46" s="336"/>
      <c r="C46" s="322"/>
      <c r="D46" s="339"/>
      <c r="E46" s="341"/>
      <c r="F46" s="313" t="s">
        <v>28</v>
      </c>
      <c r="G46" s="314"/>
      <c r="H46" s="344"/>
      <c r="I46" s="380"/>
      <c r="J46" s="344"/>
      <c r="K46" s="344"/>
      <c r="L46" s="344"/>
      <c r="M46" s="344"/>
      <c r="N46" s="339"/>
      <c r="O46" s="350" t="s">
        <v>23</v>
      </c>
      <c r="P46" s="351"/>
      <c r="Q46" s="352"/>
      <c r="R46" s="353"/>
      <c r="S46" s="353"/>
      <c r="T46" s="353"/>
      <c r="U46" s="353"/>
      <c r="V46" s="353"/>
      <c r="W46" s="353"/>
      <c r="X46" s="353"/>
      <c r="Y46" s="353"/>
      <c r="Z46" s="353"/>
      <c r="AA46" s="354"/>
      <c r="AB46" s="315" t="s">
        <v>24</v>
      </c>
      <c r="AC46" s="319">
        <f>IF(AD44="Quoted",Matrix2!N72,Matrix2!N34)</f>
        <v>0</v>
      </c>
      <c r="AD46" s="537">
        <f>IF(AD44="Quoted",Matrix2!X51,Matrix2!X13)</f>
        <v>0</v>
      </c>
      <c r="AE46" s="538"/>
    </row>
    <row r="47" spans="2:31" ht="15.75" thickTop="1" x14ac:dyDescent="0.25">
      <c r="B47" s="336">
        <v>14</v>
      </c>
      <c r="C47" s="323" t="s">
        <v>356</v>
      </c>
      <c r="D47" s="360"/>
      <c r="E47" s="345"/>
      <c r="F47" s="369"/>
      <c r="G47" s="370"/>
      <c r="H47" s="345"/>
      <c r="I47" s="360"/>
      <c r="J47" s="345"/>
      <c r="K47" s="345"/>
      <c r="L47" s="345"/>
      <c r="M47" s="345"/>
      <c r="N47" s="360" t="s">
        <v>16</v>
      </c>
      <c r="O47" s="363" t="s">
        <v>17</v>
      </c>
      <c r="P47" s="364"/>
      <c r="Q47" s="293"/>
      <c r="R47" s="293"/>
      <c r="S47" s="293"/>
      <c r="T47" s="293"/>
      <c r="U47" s="293"/>
      <c r="V47" s="293"/>
      <c r="W47" s="293"/>
      <c r="X47" s="293"/>
      <c r="Y47" s="293"/>
      <c r="Z47" s="293"/>
      <c r="AA47" s="293"/>
      <c r="AB47" s="294"/>
      <c r="AC47" s="302"/>
      <c r="AD47" s="549" t="s">
        <v>18</v>
      </c>
      <c r="AE47" s="550"/>
    </row>
    <row r="48" spans="2:31" x14ac:dyDescent="0.25">
      <c r="B48" s="336"/>
      <c r="C48" s="296" t="s">
        <v>720</v>
      </c>
      <c r="D48" s="361"/>
      <c r="E48" s="346"/>
      <c r="F48" s="367" t="str">
        <f>IF(AND(E47="Bermuda",F47="Custom Colour"),"Not Black",IF(AND(E47="Cuba",F47="Custom Colour"),"Solid Colours Only",IF(AND(E47="Java",F47="Custom Colour"),"Solid (no Black)",IF(AND(E47="Samoa",F47="Custom Colour"),"Surcharge for black",IF(D47="S/Shade","Note Shade Colour","")))))</f>
        <v/>
      </c>
      <c r="G48" s="368"/>
      <c r="H48" s="346"/>
      <c r="I48" s="361"/>
      <c r="J48" s="346"/>
      <c r="K48" s="346"/>
      <c r="L48" s="346"/>
      <c r="M48" s="346"/>
      <c r="N48" s="361"/>
      <c r="O48" s="365" t="s">
        <v>19</v>
      </c>
      <c r="P48" s="366"/>
      <c r="Q48" s="297"/>
      <c r="R48" s="297"/>
      <c r="S48" s="297"/>
      <c r="T48" s="297"/>
      <c r="U48" s="297"/>
      <c r="V48" s="297"/>
      <c r="W48" s="297"/>
      <c r="X48" s="297"/>
      <c r="Y48" s="297"/>
      <c r="Z48" s="297"/>
      <c r="AA48" s="297" t="s">
        <v>20</v>
      </c>
      <c r="AB48" s="270" t="s">
        <v>21</v>
      </c>
      <c r="AC48" s="271" t="s">
        <v>22</v>
      </c>
      <c r="AD48" s="547">
        <f>IF(AD47="Quoted",Matrix2!Y41,Matrix2!Y3)</f>
        <v>0</v>
      </c>
      <c r="AE48" s="548"/>
    </row>
    <row r="49" spans="2:33" ht="15.75" thickBot="1" x14ac:dyDescent="0.3">
      <c r="B49" s="336"/>
      <c r="C49" s="324"/>
      <c r="D49" s="362"/>
      <c r="E49" s="346"/>
      <c r="F49" s="298" t="s">
        <v>28</v>
      </c>
      <c r="G49" s="299"/>
      <c r="H49" s="347"/>
      <c r="I49" s="379"/>
      <c r="J49" s="347"/>
      <c r="K49" s="347"/>
      <c r="L49" s="347"/>
      <c r="M49" s="347"/>
      <c r="N49" s="362"/>
      <c r="O49" s="371" t="s">
        <v>23</v>
      </c>
      <c r="P49" s="372"/>
      <c r="Q49" s="357"/>
      <c r="R49" s="358"/>
      <c r="S49" s="358"/>
      <c r="T49" s="358"/>
      <c r="U49" s="358"/>
      <c r="V49" s="358"/>
      <c r="W49" s="358"/>
      <c r="X49" s="358"/>
      <c r="Y49" s="358"/>
      <c r="Z49" s="358"/>
      <c r="AA49" s="359"/>
      <c r="AB49" s="300" t="s">
        <v>24</v>
      </c>
      <c r="AC49" s="301">
        <f>IF(AD47="Quoted",Matrix2!N73,Matrix2!N35)</f>
        <v>0</v>
      </c>
      <c r="AD49" s="537">
        <f>IF(AD47="Quoted",Matrix2!Y51,Matrix2!Y13)</f>
        <v>0</v>
      </c>
      <c r="AE49" s="538"/>
    </row>
    <row r="50" spans="2:33" ht="15.75" thickTop="1" x14ac:dyDescent="0.25">
      <c r="B50" s="336">
        <v>15</v>
      </c>
      <c r="C50" s="306"/>
      <c r="D50" s="337"/>
      <c r="E50" s="340"/>
      <c r="F50" s="342"/>
      <c r="G50" s="343"/>
      <c r="H50" s="340"/>
      <c r="I50" s="337"/>
      <c r="J50" s="340"/>
      <c r="K50" s="340"/>
      <c r="L50" s="340"/>
      <c r="M50" s="340"/>
      <c r="N50" s="337" t="s">
        <v>16</v>
      </c>
      <c r="O50" s="355" t="s">
        <v>17</v>
      </c>
      <c r="P50" s="356"/>
      <c r="Q50" s="305"/>
      <c r="R50" s="305"/>
      <c r="S50" s="305"/>
      <c r="T50" s="305"/>
      <c r="U50" s="305"/>
      <c r="V50" s="305"/>
      <c r="W50" s="305"/>
      <c r="X50" s="305"/>
      <c r="Y50" s="305"/>
      <c r="Z50" s="305"/>
      <c r="AA50" s="305"/>
      <c r="AB50" s="317"/>
      <c r="AC50" s="320"/>
      <c r="AD50" s="539" t="s">
        <v>18</v>
      </c>
      <c r="AE50" s="540"/>
    </row>
    <row r="51" spans="2:33" x14ac:dyDescent="0.25">
      <c r="B51" s="336"/>
      <c r="C51" s="308"/>
      <c r="D51" s="338"/>
      <c r="E51" s="341"/>
      <c r="F51" s="348" t="str">
        <f>IF(AND(E50="Bermuda",F50="Custom Colour"),"Not Black",IF(AND(E50="Cuba",F50="Custom Colour"),"Solid Colours Only",IF(AND(E50="Java",F50="Custom Colour"),"Solid (no Black)",IF(AND(E50="Samoa",F50="Custom Colour"),"Surcharge for black",IF(D50="S/Shade","Note Shade Colour","")))))</f>
        <v/>
      </c>
      <c r="G51" s="349"/>
      <c r="H51" s="341"/>
      <c r="I51" s="338"/>
      <c r="J51" s="341"/>
      <c r="K51" s="341"/>
      <c r="L51" s="341"/>
      <c r="M51" s="341"/>
      <c r="N51" s="338"/>
      <c r="O51" s="373" t="s">
        <v>19</v>
      </c>
      <c r="P51" s="374"/>
      <c r="Q51" s="309"/>
      <c r="R51" s="309"/>
      <c r="S51" s="309"/>
      <c r="T51" s="309"/>
      <c r="U51" s="309"/>
      <c r="V51" s="309"/>
      <c r="W51" s="309"/>
      <c r="X51" s="309"/>
      <c r="Y51" s="309"/>
      <c r="Z51" s="309"/>
      <c r="AA51" s="309" t="s">
        <v>20</v>
      </c>
      <c r="AB51" s="310" t="s">
        <v>21</v>
      </c>
      <c r="AC51" s="311" t="s">
        <v>22</v>
      </c>
      <c r="AD51" s="535">
        <f>IF(AD50="Quoted",Matrix2!Z51,Matrix2!Z13)</f>
        <v>0</v>
      </c>
      <c r="AE51" s="536"/>
    </row>
    <row r="52" spans="2:33" ht="15.75" thickBot="1" x14ac:dyDescent="0.3">
      <c r="B52" s="336"/>
      <c r="C52" s="312"/>
      <c r="D52" s="339"/>
      <c r="E52" s="341"/>
      <c r="F52" s="313" t="s">
        <v>28</v>
      </c>
      <c r="G52" s="314"/>
      <c r="H52" s="344"/>
      <c r="I52" s="339"/>
      <c r="J52" s="344"/>
      <c r="K52" s="344"/>
      <c r="L52" s="344"/>
      <c r="M52" s="344"/>
      <c r="N52" s="339"/>
      <c r="O52" s="350" t="s">
        <v>23</v>
      </c>
      <c r="P52" s="351"/>
      <c r="Q52" s="381"/>
      <c r="R52" s="353"/>
      <c r="S52" s="353"/>
      <c r="T52" s="353"/>
      <c r="U52" s="353"/>
      <c r="V52" s="353"/>
      <c r="W52" s="353"/>
      <c r="X52" s="353"/>
      <c r="Y52" s="353"/>
      <c r="Z52" s="353"/>
      <c r="AA52" s="354"/>
      <c r="AB52" s="321" t="s">
        <v>24</v>
      </c>
      <c r="AC52" s="316">
        <f>IF(AD50="Quoted",Matrix2!N74,Matrix2!N36)</f>
        <v>0</v>
      </c>
      <c r="AD52" s="537">
        <f>IF(AD50="Quoted",Matrix2!Z51,Matrix2!Z13)</f>
        <v>0</v>
      </c>
      <c r="AE52" s="538"/>
    </row>
    <row r="53" spans="2:33" x14ac:dyDescent="0.25">
      <c r="B53" s="382"/>
      <c r="C53" s="383"/>
      <c r="D53" s="384"/>
      <c r="E53" s="391"/>
      <c r="F53" s="392"/>
      <c r="G53" s="392"/>
      <c r="H53" s="392"/>
      <c r="I53" s="392"/>
      <c r="J53" s="392"/>
      <c r="K53" s="392"/>
      <c r="L53" s="392"/>
      <c r="M53" s="392"/>
      <c r="N53" s="392"/>
      <c r="O53" s="392"/>
      <c r="P53" s="392"/>
      <c r="Q53" s="392"/>
      <c r="R53" s="392"/>
      <c r="S53" s="392"/>
      <c r="T53" s="392"/>
      <c r="U53" s="392"/>
      <c r="V53" s="392"/>
      <c r="W53" s="392"/>
      <c r="X53" s="392"/>
      <c r="Y53" s="392"/>
      <c r="Z53" s="392"/>
      <c r="AA53" s="392"/>
      <c r="AB53" s="393"/>
      <c r="AC53" s="280" t="s">
        <v>31</v>
      </c>
      <c r="AD53" s="283" t="s">
        <v>32</v>
      </c>
      <c r="AE53" s="282" t="str">
        <f>IF(AC53="","","Discount")</f>
        <v>Discount</v>
      </c>
    </row>
    <row r="54" spans="2:33" x14ac:dyDescent="0.25">
      <c r="B54" s="385"/>
      <c r="C54" s="386"/>
      <c r="D54" s="387"/>
      <c r="E54" s="394"/>
      <c r="F54" s="395"/>
      <c r="G54" s="395"/>
      <c r="H54" s="395"/>
      <c r="I54" s="395"/>
      <c r="J54" s="395"/>
      <c r="K54" s="395"/>
      <c r="L54" s="395"/>
      <c r="M54" s="395"/>
      <c r="N54" s="395"/>
      <c r="O54" s="395"/>
      <c r="P54" s="395"/>
      <c r="Q54" s="395"/>
      <c r="R54" s="395"/>
      <c r="S54" s="395"/>
      <c r="T54" s="395"/>
      <c r="U54" s="395"/>
      <c r="V54" s="395"/>
      <c r="W54" s="395"/>
      <c r="X54" s="395"/>
      <c r="Y54" s="395"/>
      <c r="Z54" s="395"/>
      <c r="AA54" s="395"/>
      <c r="AB54" s="393"/>
      <c r="AC54" s="541">
        <f>IF(AC53="","",SUM(IF(AC9="3 for 2",AC10,0) + IF(AC12="3 for 2",AC13,0) + IF(AC15="3 for 2",AC16,0)) + IF(AC18="3 for 2",AC19,0) +IF(AC21="3 for 2",AC22,0) + IF(AC24="3 for 2",AC25,0)+IF(AC27="3 for 2",AC28,0)+IF(AC30="3 for 2",AC31,0)+IF(AC33="3 for 2",AC34,0) +IF(AC36="3 for 2",AC37,0) +IF(AC39="3 for 2",AC40,0) + IF(AC42="3 for 2",AC43,0) +IF(AC45="3 for 2",AC46,0) + IF(AC48="3 for 2",AC49,0) +IF(AC51="3 for 2",AC52,0))</f>
        <v>0</v>
      </c>
      <c r="AD54" s="543">
        <f>SUM(Matrix!E21:E35)-SUM(Matrix!E86:E100)</f>
        <v>8.7322000000000006</v>
      </c>
      <c r="AE54" s="545">
        <f>IF(AC53="","",IF(AD54=AC54,"N/A",(AD54-AC54)/AD54 - 1))</f>
        <v>0</v>
      </c>
    </row>
    <row r="55" spans="2:33" ht="15.75" thickBot="1" x14ac:dyDescent="0.3">
      <c r="B55" s="388"/>
      <c r="C55" s="389"/>
      <c r="D55" s="390"/>
      <c r="E55" s="396"/>
      <c r="F55" s="397"/>
      <c r="G55" s="397"/>
      <c r="H55" s="397"/>
      <c r="I55" s="397"/>
      <c r="J55" s="397"/>
      <c r="K55" s="397"/>
      <c r="L55" s="397"/>
      <c r="M55" s="397"/>
      <c r="N55" s="397"/>
      <c r="O55" s="397"/>
      <c r="P55" s="397"/>
      <c r="Q55" s="397"/>
      <c r="R55" s="397"/>
      <c r="S55" s="397"/>
      <c r="T55" s="397"/>
      <c r="U55" s="397"/>
      <c r="V55" s="397"/>
      <c r="W55" s="397"/>
      <c r="X55" s="397"/>
      <c r="Y55" s="397"/>
      <c r="Z55" s="397"/>
      <c r="AA55" s="397"/>
      <c r="AB55" s="398"/>
      <c r="AC55" s="542"/>
      <c r="AD55" s="544"/>
      <c r="AE55" s="546"/>
    </row>
    <row r="56" spans="2:33" ht="15.75" thickBot="1" x14ac:dyDescent="0.3">
      <c r="B56" s="182"/>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4"/>
      <c r="AF56" s="15"/>
    </row>
    <row r="57" spans="2:33" ht="16.5" thickTop="1" thickBot="1" x14ac:dyDescent="0.3">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row>
    <row r="58" spans="2:33" ht="23.45" customHeight="1" thickTop="1" thickBot="1" x14ac:dyDescent="0.3">
      <c r="B58" s="413" t="s">
        <v>33</v>
      </c>
      <c r="C58" s="414"/>
      <c r="D58" s="415"/>
      <c r="E58" s="252" t="s">
        <v>34</v>
      </c>
      <c r="F58" s="253"/>
      <c r="G58" s="420" t="s">
        <v>35</v>
      </c>
      <c r="H58" s="421"/>
      <c r="I58" s="421"/>
      <c r="J58" s="422"/>
      <c r="K58" s="416" t="s">
        <v>36</v>
      </c>
      <c r="L58" s="417"/>
      <c r="M58" s="285" t="s">
        <v>37</v>
      </c>
      <c r="N58" s="286" t="s">
        <v>38</v>
      </c>
      <c r="O58" s="287" t="s">
        <v>39</v>
      </c>
      <c r="P58" s="418" t="s">
        <v>40</v>
      </c>
      <c r="Q58" s="419"/>
      <c r="R58" s="423" t="s">
        <v>41</v>
      </c>
      <c r="S58" s="423"/>
      <c r="T58" s="423"/>
      <c r="U58" s="423"/>
      <c r="V58" s="423"/>
      <c r="W58" s="326" t="s">
        <v>42</v>
      </c>
      <c r="X58" s="326"/>
      <c r="Y58" s="326"/>
      <c r="Z58" s="326"/>
      <c r="AA58" s="326" t="s">
        <v>39</v>
      </c>
      <c r="AB58" s="326"/>
      <c r="AC58" s="326"/>
      <c r="AD58" s="561">
        <f>IF(ISERROR(+(N59-O59)/N59),,+(N59-O59)/N59)</f>
        <v>0.24997286307053943</v>
      </c>
      <c r="AE58" s="561"/>
      <c r="AF58" s="250"/>
      <c r="AG58" s="251"/>
    </row>
    <row r="59" spans="2:33" x14ac:dyDescent="0.25">
      <c r="B59" s="399" t="s">
        <v>716</v>
      </c>
      <c r="C59" s="400"/>
      <c r="D59" s="400"/>
      <c r="E59" s="403">
        <v>66777</v>
      </c>
      <c r="F59" s="404"/>
      <c r="G59" s="407"/>
      <c r="H59" s="408"/>
      <c r="I59" s="408"/>
      <c r="J59" s="408"/>
      <c r="K59" s="409" t="s">
        <v>43</v>
      </c>
      <c r="L59" s="410"/>
      <c r="M59" s="254">
        <f>SUM(Matrix2!AA79:AA84)</f>
        <v>8.7322000000000006</v>
      </c>
      <c r="N59" s="255">
        <f>IF(M59&gt;0,ROUNDDOWN(Matrix2!AA3,0.2),)</f>
        <v>2410</v>
      </c>
      <c r="O59" s="255">
        <f>Matrix2!AA13</f>
        <v>1807.5654</v>
      </c>
      <c r="P59" s="411">
        <f>IF(R61="Finance Please Select",ROUNDDOWN(Matrix2!AA51,0.2),IF(R61="Finance No",ROUNDDOWN(Matrix2!AB51,0.2),IF(Matrix2!AA89&gt;0,ROUNDDOWN(Matrix2!AA51,0.2),)))</f>
        <v>0</v>
      </c>
      <c r="Q59" s="412"/>
      <c r="R59" s="430">
        <f>IF(ISERROR(+(N59-O59)/N59),,+(N59-O59)/N59)</f>
        <v>0.24997286307053943</v>
      </c>
      <c r="S59" s="431"/>
      <c r="T59" s="431"/>
      <c r="U59" s="431"/>
      <c r="V59" s="432"/>
      <c r="W59" s="436">
        <f>N59</f>
        <v>2410</v>
      </c>
      <c r="X59" s="437"/>
      <c r="Y59" s="437"/>
      <c r="Z59" s="437"/>
      <c r="AA59" s="438">
        <f>O59</f>
        <v>1807.5654</v>
      </c>
      <c r="AB59" s="439"/>
      <c r="AC59" s="439"/>
      <c r="AD59" s="561"/>
      <c r="AE59" s="561"/>
    </row>
    <row r="60" spans="2:33" ht="14.45" customHeight="1" x14ac:dyDescent="0.25">
      <c r="B60" s="401"/>
      <c r="C60" s="402"/>
      <c r="D60" s="402"/>
      <c r="E60" s="405"/>
      <c r="F60" s="406"/>
      <c r="G60" s="424" t="s">
        <v>44</v>
      </c>
      <c r="H60" s="425"/>
      <c r="I60" s="425"/>
      <c r="J60" s="425"/>
      <c r="K60" s="426" t="s">
        <v>45</v>
      </c>
      <c r="L60" s="427"/>
      <c r="M60" s="192">
        <f>Matrix2!AA80</f>
        <v>0</v>
      </c>
      <c r="N60" s="191">
        <f>IF(M60&gt;0,ROUNDDOWN(M60*Matrix2!C3,0.2),)</f>
        <v>0</v>
      </c>
      <c r="O60" s="204">
        <f>N60</f>
        <v>0</v>
      </c>
      <c r="P60" s="428">
        <f>IF(Matrix2!AA90&gt;0,ROUNDDOWN(Matrix2!AA101,0.2),)</f>
        <v>0</v>
      </c>
      <c r="Q60" s="429"/>
      <c r="R60" s="433">
        <f>IF(ISERROR((SUM(N60:N69)-SUM(O60:O69)+O72)/SUM(N60:N69)),,(SUM(N60:N69)-SUM(O60:O69)+O72)/SUM(N60:N69))</f>
        <v>0</v>
      </c>
      <c r="S60" s="434"/>
      <c r="T60" s="434"/>
      <c r="U60" s="434"/>
      <c r="V60" s="435"/>
      <c r="W60" s="437"/>
      <c r="X60" s="437"/>
      <c r="Y60" s="437"/>
      <c r="Z60" s="437"/>
      <c r="AA60" s="439"/>
      <c r="AB60" s="439"/>
      <c r="AC60" s="439"/>
      <c r="AD60" s="561"/>
      <c r="AE60" s="561"/>
    </row>
    <row r="61" spans="2:33" ht="14.45" customHeight="1" x14ac:dyDescent="0.25">
      <c r="B61" s="495" t="s">
        <v>46</v>
      </c>
      <c r="C61" s="496"/>
      <c r="D61" s="497"/>
      <c r="E61" s="498" t="s">
        <v>47</v>
      </c>
      <c r="F61" s="499"/>
      <c r="G61" s="440" t="s">
        <v>645</v>
      </c>
      <c r="H61" s="441"/>
      <c r="I61" s="441"/>
      <c r="J61" s="441"/>
      <c r="K61" s="426" t="s">
        <v>48</v>
      </c>
      <c r="L61" s="427"/>
      <c r="M61" s="192">
        <f>Matrix2!AA81</f>
        <v>0</v>
      </c>
      <c r="N61" s="191">
        <f>IF(M61&gt;0,ROUNDDOWN(M61*Matrix2!C4,0.2),)</f>
        <v>0</v>
      </c>
      <c r="O61" s="204">
        <f t="shared" ref="O61:O69" si="0">N61</f>
        <v>0</v>
      </c>
      <c r="P61" s="428">
        <f>IF(Matrix2!AA91&gt;0,ROUNDDOWN(Matrix2!AA102,0.2),)</f>
        <v>0</v>
      </c>
      <c r="Q61" s="429"/>
      <c r="R61" s="468" t="s">
        <v>49</v>
      </c>
      <c r="S61" s="468"/>
      <c r="T61" s="468"/>
      <c r="U61" s="468"/>
      <c r="V61" s="468"/>
      <c r="W61" s="326" t="s">
        <v>50</v>
      </c>
      <c r="X61" s="326"/>
      <c r="Y61" s="326"/>
      <c r="Z61" s="326"/>
      <c r="AA61" s="326"/>
      <c r="AB61" s="326"/>
      <c r="AC61" s="326"/>
      <c r="AD61" s="561">
        <f>IF(ISERROR(+(W62-AA62)/W62),,+(W62-AA62)/W62)</f>
        <v>0</v>
      </c>
      <c r="AE61" s="561"/>
    </row>
    <row r="62" spans="2:33" ht="14.45" customHeight="1" x14ac:dyDescent="0.25">
      <c r="B62" s="444">
        <v>0</v>
      </c>
      <c r="C62" s="445"/>
      <c r="D62" s="445"/>
      <c r="E62" s="446" t="s">
        <v>437</v>
      </c>
      <c r="F62" s="447"/>
      <c r="G62" s="424" t="s">
        <v>51</v>
      </c>
      <c r="H62" s="425"/>
      <c r="I62" s="425"/>
      <c r="J62" s="425"/>
      <c r="K62" s="426" t="s">
        <v>52</v>
      </c>
      <c r="L62" s="427"/>
      <c r="M62" s="192">
        <f>Matrix2!AA82</f>
        <v>0</v>
      </c>
      <c r="N62" s="191">
        <f>IF(M62&gt;0,M62*Matrix2!C5,)</f>
        <v>0</v>
      </c>
      <c r="O62" s="204">
        <f t="shared" si="0"/>
        <v>0</v>
      </c>
      <c r="P62" s="428">
        <f>IF(Matrix2!AA92&gt;0,ROUNDDOWN(Matrix2!AA103,0.2),)</f>
        <v>0</v>
      </c>
      <c r="Q62" s="429"/>
      <c r="R62" s="477" t="s">
        <v>53</v>
      </c>
      <c r="S62" s="478"/>
      <c r="T62" s="479">
        <f>AA66</f>
        <v>2537.3154</v>
      </c>
      <c r="U62" s="480"/>
      <c r="V62" s="480"/>
      <c r="W62" s="436">
        <f>SUM(N60:N69)</f>
        <v>306</v>
      </c>
      <c r="X62" s="437"/>
      <c r="Y62" s="437"/>
      <c r="Z62" s="437"/>
      <c r="AA62" s="438">
        <f>SUM(O60:O69)</f>
        <v>306</v>
      </c>
      <c r="AB62" s="439"/>
      <c r="AC62" s="439"/>
      <c r="AD62" s="561"/>
      <c r="AE62" s="561"/>
      <c r="AF62" s="178"/>
    </row>
    <row r="63" spans="2:33" ht="18.75" customHeight="1" x14ac:dyDescent="0.25">
      <c r="B63" s="401"/>
      <c r="C63" s="402"/>
      <c r="D63" s="402"/>
      <c r="E63" s="405"/>
      <c r="F63" s="406"/>
      <c r="G63" s="440" t="s">
        <v>16</v>
      </c>
      <c r="H63" s="441"/>
      <c r="I63" s="441"/>
      <c r="J63" s="441"/>
      <c r="K63" s="426" t="s">
        <v>54</v>
      </c>
      <c r="L63" s="427"/>
      <c r="M63" s="192">
        <f>Matrix2!AA83</f>
        <v>0</v>
      </c>
      <c r="N63" s="191">
        <f>IF(M63&gt;0,ROUNDDOWN(M63*Matrix2!C6,0.2),)</f>
        <v>0</v>
      </c>
      <c r="O63" s="204">
        <f t="shared" si="0"/>
        <v>0</v>
      </c>
      <c r="P63" s="428">
        <f>IF(Matrix2!AA93&gt;0,ROUNDDOWN(Matrix2!AA104,0.2),)</f>
        <v>0</v>
      </c>
      <c r="Q63" s="429"/>
      <c r="R63" s="469" t="s">
        <v>55</v>
      </c>
      <c r="S63" s="470"/>
      <c r="T63" s="471">
        <f>IF(T62="","",ROUNDUP(Matrix2!C12*T62,0.2))</f>
        <v>635</v>
      </c>
      <c r="U63" s="472"/>
      <c r="V63" s="472"/>
      <c r="W63" s="326" t="s">
        <v>721</v>
      </c>
      <c r="X63" s="326"/>
      <c r="Y63" s="326"/>
      <c r="Z63" s="326"/>
      <c r="AA63" s="326"/>
      <c r="AB63" s="326"/>
      <c r="AC63" s="326"/>
      <c r="AD63" s="561">
        <f>IF(ISERROR(+(W64-AA64)/W64),,+(W64-AA64)/W64)</f>
        <v>0.25</v>
      </c>
      <c r="AE63" s="561"/>
      <c r="AF63" s="199"/>
    </row>
    <row r="64" spans="2:33" ht="18" customHeight="1" x14ac:dyDescent="0.25">
      <c r="B64" s="186"/>
      <c r="C64" s="187"/>
      <c r="D64" s="187"/>
      <c r="E64" s="188"/>
      <c r="F64" s="189"/>
      <c r="G64" s="500" t="s">
        <v>56</v>
      </c>
      <c r="H64" s="501"/>
      <c r="I64" s="501"/>
      <c r="J64" s="501"/>
      <c r="K64" s="426" t="s">
        <v>57</v>
      </c>
      <c r="L64" s="427"/>
      <c r="M64" s="192">
        <f>Matrix2!AA84</f>
        <v>0</v>
      </c>
      <c r="N64" s="191">
        <f>IF(M64&gt;0,ROUNDDOWN(M64*Matrix2!C7,0.2),)</f>
        <v>0</v>
      </c>
      <c r="O64" s="204">
        <f t="shared" si="0"/>
        <v>0</v>
      </c>
      <c r="P64" s="428">
        <f>IF(Matrix2!AA94&gt;0,ROUNDDOWN(Matrix2!AA105,0.2),)</f>
        <v>0</v>
      </c>
      <c r="Q64" s="429"/>
      <c r="R64" s="473" t="s">
        <v>58</v>
      </c>
      <c r="S64" s="474"/>
      <c r="T64" s="475" t="str">
        <f>IF(ISERROR(IF(OR(R61="Finance Please Select",R61="Finance No"),"",T63/T62)),,IF(OR(R61="Finance Please Select",R61="Finance No"),"",T63/T62))</f>
        <v/>
      </c>
      <c r="U64" s="476"/>
      <c r="V64" s="476"/>
      <c r="W64" s="436">
        <f>SUM(Matrix2!Z22:Z36)</f>
        <v>565</v>
      </c>
      <c r="X64" s="436"/>
      <c r="Y64" s="436"/>
      <c r="Z64" s="436"/>
      <c r="AA64" s="438">
        <f>IF(W63 = "Survey &amp; Installation 25%",(W64-W64*0.25),W64)</f>
        <v>423.75</v>
      </c>
      <c r="AB64" s="438"/>
      <c r="AC64" s="438"/>
      <c r="AD64" s="561"/>
      <c r="AE64" s="561"/>
      <c r="AF64" s="199"/>
    </row>
    <row r="65" spans="2:33" ht="18" customHeight="1" x14ac:dyDescent="0.25">
      <c r="B65" s="465" t="s">
        <v>59</v>
      </c>
      <c r="C65" s="466"/>
      <c r="D65" s="349"/>
      <c r="E65" s="481" t="s">
        <v>60</v>
      </c>
      <c r="F65" s="482"/>
      <c r="G65" s="483"/>
      <c r="H65" s="484"/>
      <c r="I65" s="484"/>
      <c r="J65" s="484"/>
      <c r="K65" s="457" t="s">
        <v>61</v>
      </c>
      <c r="L65" s="458"/>
      <c r="M65" s="190">
        <f>SUM(Matrix2!U22:U36)</f>
        <v>8.7322000000000006</v>
      </c>
      <c r="N65" s="191">
        <f>ROUNDDOWN(SUM(Matrix2!O22:O36),0.2)</f>
        <v>306</v>
      </c>
      <c r="O65" s="204">
        <f>N65</f>
        <v>306</v>
      </c>
      <c r="P65" s="428">
        <f>SUM(Matrix2!O60:O74)</f>
        <v>0</v>
      </c>
      <c r="Q65" s="429"/>
      <c r="R65" s="508" t="s">
        <v>62</v>
      </c>
      <c r="S65" s="508"/>
      <c r="T65" s="509">
        <f>IF(ISERROR(T62-T63),"",T62-T63)</f>
        <v>1902.3154</v>
      </c>
      <c r="U65" s="510"/>
      <c r="V65" s="510"/>
      <c r="W65" s="529" t="s">
        <v>63</v>
      </c>
      <c r="X65" s="529"/>
      <c r="Y65" s="529"/>
      <c r="Z65" s="529"/>
      <c r="AA65" s="530" t="s">
        <v>64</v>
      </c>
      <c r="AB65" s="530"/>
      <c r="AC65" s="530"/>
      <c r="AD65" s="562" t="s">
        <v>65</v>
      </c>
      <c r="AE65" s="562"/>
    </row>
    <row r="66" spans="2:33" ht="18" customHeight="1" x14ac:dyDescent="0.25">
      <c r="B66" s="488" t="s">
        <v>717</v>
      </c>
      <c r="C66" s="445"/>
      <c r="D66" s="489"/>
      <c r="E66" s="491">
        <v>44580</v>
      </c>
      <c r="F66" s="492"/>
      <c r="G66" s="485"/>
      <c r="H66" s="395"/>
      <c r="I66" s="395"/>
      <c r="J66" s="395"/>
      <c r="K66" s="426" t="s">
        <v>66</v>
      </c>
      <c r="L66" s="427"/>
      <c r="M66" s="192">
        <f>IF(COUNTIF(D8:D52,"=Tracked")&gt;=1,SUM(Matrix2!Q22:Q36),)</f>
        <v>0</v>
      </c>
      <c r="N66" s="193">
        <f>ROUNDDOWN(SUM(Matrix2!P22:P36),0.2)</f>
        <v>0</v>
      </c>
      <c r="O66" s="288">
        <f>N66</f>
        <v>0</v>
      </c>
      <c r="P66" s="428">
        <f>IF(COUNT(Matrix2!Q60:Q74&gt;=1),ROUNDDOWN(SUM(Matrix2!P60:P74),0.2),)</f>
        <v>0</v>
      </c>
      <c r="Q66" s="429"/>
      <c r="R66" s="513" t="s">
        <v>67</v>
      </c>
      <c r="S66" s="514"/>
      <c r="T66" s="515" t="str">
        <f>IF(OR(R61="Finance Please Select",R61="Finance No"),"",PMT(Matrix2!C22/12,12,-(T62-T63)))</f>
        <v/>
      </c>
      <c r="U66" s="516"/>
      <c r="V66" s="516"/>
      <c r="W66" s="531">
        <f>SUM(W59+W62+W64)</f>
        <v>3281</v>
      </c>
      <c r="X66" s="531"/>
      <c r="Y66" s="531"/>
      <c r="Z66" s="531"/>
      <c r="AA66" s="532">
        <f>(AA59+AA62+AA64)-O72 - O73</f>
        <v>2537.3154</v>
      </c>
      <c r="AB66" s="532"/>
      <c r="AC66" s="532"/>
      <c r="AD66" s="563">
        <f>W66-AA66</f>
        <v>743.68460000000005</v>
      </c>
      <c r="AE66" s="563"/>
    </row>
    <row r="67" spans="2:33" ht="18" customHeight="1" x14ac:dyDescent="0.25">
      <c r="B67" s="399"/>
      <c r="C67" s="400"/>
      <c r="D67" s="490"/>
      <c r="E67" s="493"/>
      <c r="F67" s="494"/>
      <c r="G67" s="485"/>
      <c r="H67" s="395"/>
      <c r="I67" s="395"/>
      <c r="J67" s="395"/>
      <c r="K67" s="457" t="s">
        <v>68</v>
      </c>
      <c r="L67" s="458"/>
      <c r="M67" s="190">
        <f>IF(COUNTIF(Matrix2!T22:T36,"&gt;=1"),SUM(Matrix2!T22:T36),)</f>
        <v>0</v>
      </c>
      <c r="N67" s="194">
        <f>IF(M67&gt;=1,ROUNDDOWN(SUM(Matrix2!R22:R36),0.2),)</f>
        <v>0</v>
      </c>
      <c r="O67" s="16">
        <f t="shared" si="0"/>
        <v>0</v>
      </c>
      <c r="P67" s="428">
        <f>IF(COUNTIF(Matrix2!T60:T74,"&gt;=1"),ROUNDDOWN(SUM(Matrix2!R60:R74),0.2),)</f>
        <v>0</v>
      </c>
      <c r="Q67" s="429"/>
      <c r="R67" s="511" t="s">
        <v>69</v>
      </c>
      <c r="S67" s="512"/>
      <c r="T67" s="502" t="str">
        <f>IF(OR(R61="Finance Please Select",R61="Finance No"),"",PMT(Matrix2!C23/12,24,-(T62-T63)))</f>
        <v/>
      </c>
      <c r="U67" s="503"/>
      <c r="V67" s="503"/>
      <c r="W67" s="531"/>
      <c r="X67" s="531"/>
      <c r="Y67" s="531"/>
      <c r="Z67" s="531"/>
      <c r="AA67" s="532"/>
      <c r="AB67" s="532"/>
      <c r="AC67" s="532"/>
      <c r="AD67" s="563"/>
      <c r="AE67" s="563"/>
    </row>
    <row r="68" spans="2:33" ht="18.75" x14ac:dyDescent="0.3">
      <c r="B68" s="465" t="s">
        <v>70</v>
      </c>
      <c r="C68" s="466"/>
      <c r="D68" s="466"/>
      <c r="E68" s="466"/>
      <c r="F68" s="467"/>
      <c r="G68" s="485"/>
      <c r="H68" s="395"/>
      <c r="I68" s="395"/>
      <c r="J68" s="395"/>
      <c r="K68" s="457" t="s">
        <v>71</v>
      </c>
      <c r="L68" s="458"/>
      <c r="M68" s="195">
        <f>SUMPRODUCT(COUNTIF(Matrix2!Y22:Y36,"&gt;=1"))</f>
        <v>0</v>
      </c>
      <c r="N68" s="191">
        <f>SUM(Matrix2!Y22:Y36)</f>
        <v>0</v>
      </c>
      <c r="O68" s="204">
        <f t="shared" si="0"/>
        <v>0</v>
      </c>
      <c r="P68" s="428">
        <f>IF(COUNTIF(Matrix2!Y60:Y74,"&gt;=1"),ROUNDDOWN(SUM(Matrix2!Y60:Y74),0.2),)</f>
        <v>0</v>
      </c>
      <c r="Q68" s="429"/>
      <c r="R68" s="511" t="s">
        <v>72</v>
      </c>
      <c r="S68" s="512"/>
      <c r="T68" s="502" t="str">
        <f>IF(OR(R61="Finance Please Select",R61="Finance No"),"",PMT(Matrix2!C24/12,36,-(T62-T63)))</f>
        <v/>
      </c>
      <c r="U68" s="503"/>
      <c r="V68" s="503"/>
      <c r="W68" s="525" t="s">
        <v>45</v>
      </c>
      <c r="X68" s="525"/>
      <c r="Y68" s="525"/>
      <c r="Z68" s="525"/>
      <c r="AA68" s="526" t="s">
        <v>48</v>
      </c>
      <c r="AB68" s="526"/>
      <c r="AC68" s="526"/>
      <c r="AD68" s="553" t="s">
        <v>54</v>
      </c>
      <c r="AE68" s="553"/>
    </row>
    <row r="69" spans="2:33" x14ac:dyDescent="0.25">
      <c r="B69" s="448" t="s">
        <v>718</v>
      </c>
      <c r="C69" s="449"/>
      <c r="D69" s="449"/>
      <c r="E69" s="449"/>
      <c r="F69" s="450"/>
      <c r="G69" s="485"/>
      <c r="H69" s="395"/>
      <c r="I69" s="395"/>
      <c r="J69" s="395"/>
      <c r="K69" s="457" t="s">
        <v>73</v>
      </c>
      <c r="L69" s="458"/>
      <c r="M69" s="196">
        <f>IF(COUNTIF(Matrix2!X22:X36,"&gt;=1"),SUM(Matrix2!X22:X36),)</f>
        <v>0</v>
      </c>
      <c r="N69" s="191">
        <f>IF(M69&gt;=1,SUM(Matrix2!X22:X36),)</f>
        <v>0</v>
      </c>
      <c r="O69" s="204">
        <f t="shared" si="0"/>
        <v>0</v>
      </c>
      <c r="P69" s="504">
        <f>IF(COUNTIF(Matrix2!X60:X74,"&gt;=1"),ROUNDDOWN(SUM(Matrix2!X60:X74),0.2),)</f>
        <v>0</v>
      </c>
      <c r="Q69" s="505"/>
      <c r="R69" s="517" t="s">
        <v>74</v>
      </c>
      <c r="S69" s="517"/>
      <c r="T69" s="517"/>
      <c r="U69" s="517"/>
      <c r="V69" s="517"/>
      <c r="W69" s="527" t="str">
        <f>"£"&amp;ROUNDDOWN(Matrix2!AA14-Matrix2!AA13,0.2)-(Matrix2!C3*Matrix2!AA80)&amp;"   "&amp;IF(M60&gt;0,"("&amp;TEXT(AA66+SUM(Matrix2!AA14-Matrix2!AA13),"£#,##0")-(O60*M60)-AA66&amp;")","("&amp;TEXT(AA66+SUM(Matrix2!AA14-Matrix2!AA13),"£#,##0")-(O60*M60)&amp;")")</f>
        <v>£375   (2913)</v>
      </c>
      <c r="X69" s="527"/>
      <c r="Y69" s="527"/>
      <c r="Z69" s="527"/>
      <c r="AA69" s="528" t="str">
        <f>"£"&amp;ROUNDDOWN(Matrix2!AA15-Matrix2!AA13,0.2)-(Matrix2!C4*Matrix2!AA81)&amp;"   "&amp;  IF(M61&gt;0,"("&amp;TEXT(AA66+SUM(Matrix2!AA15-Matrix2!AA13),"£#,##0")-(O61*M61)-AA66&amp;")","("&amp;TEXT(AA66+SUM(Matrix2!AA15-Matrix2!AA13),"£#,##0")-(O61*M61)&amp;")")</f>
        <v>£550   (3087)</v>
      </c>
      <c r="AB69" s="528"/>
      <c r="AC69" s="528"/>
      <c r="AD69" s="554" t="str">
        <f>"£"&amp;ROUNDDOWN(Matrix2!AA17-Matrix2!AA13,0.2)-(Matrix2!C6*Matrix2!AA83)&amp;"   "&amp;  IF(M63&gt;0,"("&amp;TEXT(AA66+SUM(Matrix2!AA17-Matrix2!AA13),"£#,##0")-(O63*M63)-AA66&amp;")","("&amp;TEXT(AA66+SUM(Matrix2!AA17-Matrix2!AA13),"£#,##0")-(O63*M63)&amp;")")</f>
        <v>£986   (3524)</v>
      </c>
      <c r="AE69" s="554"/>
      <c r="AG69" s="292"/>
    </row>
    <row r="70" spans="2:33" ht="14.45" customHeight="1" x14ac:dyDescent="0.25">
      <c r="B70" s="451"/>
      <c r="C70" s="452"/>
      <c r="D70" s="452"/>
      <c r="E70" s="452"/>
      <c r="F70" s="453"/>
      <c r="G70" s="485"/>
      <c r="H70" s="395"/>
      <c r="I70" s="395"/>
      <c r="J70" s="395"/>
      <c r="K70" s="457"/>
      <c r="L70" s="458"/>
      <c r="M70" s="190"/>
      <c r="N70" s="191"/>
      <c r="O70" s="191"/>
      <c r="P70" s="506" t="str">
        <f>"(S &amp; I): £" &amp; ROUND(SUM(Matrix2!Z60:Z74),0.2)</f>
        <v>(S &amp; I): £0</v>
      </c>
      <c r="Q70" s="507"/>
      <c r="R70" s="518"/>
      <c r="S70" s="518"/>
      <c r="T70" s="518"/>
      <c r="U70" s="518"/>
      <c r="V70" s="518"/>
      <c r="W70" s="533" t="s">
        <v>75</v>
      </c>
      <c r="X70" s="533"/>
      <c r="Y70" s="533"/>
      <c r="Z70" s="533"/>
      <c r="AA70" s="326" t="s">
        <v>76</v>
      </c>
      <c r="AB70" s="326"/>
      <c r="AC70" s="326"/>
      <c r="AD70" s="533" t="s">
        <v>77</v>
      </c>
      <c r="AE70" s="533"/>
    </row>
    <row r="71" spans="2:33" x14ac:dyDescent="0.25">
      <c r="B71" s="451"/>
      <c r="C71" s="452"/>
      <c r="D71" s="452"/>
      <c r="E71" s="452"/>
      <c r="F71" s="453"/>
      <c r="G71" s="485"/>
      <c r="H71" s="395"/>
      <c r="I71" s="395"/>
      <c r="J71" s="395"/>
      <c r="K71" s="463"/>
      <c r="L71" s="464"/>
      <c r="M71" s="197" t="s">
        <v>78</v>
      </c>
      <c r="N71" s="198">
        <f>SUM(N59:N70)</f>
        <v>2716</v>
      </c>
      <c r="O71" s="198">
        <f>ROUND(SUM(O59:O70),0.2)</f>
        <v>2114</v>
      </c>
      <c r="P71" s="442">
        <f>ROUND(SUM(P59:Q70)+SUM(Matrix2!Z60:Z74),0.2)</f>
        <v>0</v>
      </c>
      <c r="Q71" s="443"/>
      <c r="R71" s="519"/>
      <c r="S71" s="519"/>
      <c r="T71" s="519"/>
      <c r="U71" s="519"/>
      <c r="V71" s="519"/>
      <c r="W71" s="533"/>
      <c r="X71" s="533"/>
      <c r="Y71" s="533"/>
      <c r="Z71" s="533"/>
      <c r="AA71" s="438">
        <f>IF(AA66=0,0,ROUNDUP(50%*AA66,0.2))</f>
        <v>1269</v>
      </c>
      <c r="AB71" s="438"/>
      <c r="AC71" s="438"/>
      <c r="AD71" s="533"/>
      <c r="AE71" s="533"/>
    </row>
    <row r="72" spans="2:33" x14ac:dyDescent="0.25">
      <c r="B72" s="451"/>
      <c r="C72" s="452"/>
      <c r="D72" s="452"/>
      <c r="E72" s="452"/>
      <c r="F72" s="453"/>
      <c r="G72" s="485"/>
      <c r="H72" s="395"/>
      <c r="I72" s="395"/>
      <c r="J72" s="395"/>
      <c r="K72" s="290"/>
      <c r="L72" s="291"/>
      <c r="M72" s="523" t="s">
        <v>715</v>
      </c>
      <c r="N72" s="524"/>
      <c r="O72" s="16"/>
      <c r="P72" s="459" t="str">
        <f>IF(M72="Price Match","Copy quote required","")</f>
        <v/>
      </c>
      <c r="Q72" s="460"/>
      <c r="R72" s="519"/>
      <c r="S72" s="519"/>
      <c r="T72" s="519"/>
      <c r="U72" s="519"/>
      <c r="V72" s="519"/>
      <c r="W72" s="534" t="s">
        <v>79</v>
      </c>
      <c r="X72" s="534"/>
      <c r="Y72" s="534"/>
      <c r="Z72" s="534"/>
      <c r="AA72" s="326" t="s">
        <v>80</v>
      </c>
      <c r="AB72" s="326"/>
      <c r="AC72" s="326"/>
      <c r="AD72" s="555" t="s">
        <v>81</v>
      </c>
      <c r="AE72" s="555"/>
    </row>
    <row r="73" spans="2:33" ht="15.75" thickBot="1" x14ac:dyDescent="0.3">
      <c r="B73" s="454"/>
      <c r="C73" s="455"/>
      <c r="D73" s="455"/>
      <c r="E73" s="455"/>
      <c r="F73" s="456"/>
      <c r="G73" s="486"/>
      <c r="H73" s="487"/>
      <c r="I73" s="487"/>
      <c r="J73" s="487"/>
      <c r="K73" s="461" t="str">
        <f>IFERROR("BP: " &amp; ROUND(SUM(AA66-SUM(N60:N69))/AD54,0) &amp; " | SVBP:" &amp; TEXT(IFERROR(AA66-SUM(N60:N69)/'Survey Front'!M9,0),"#,##0"),"")</f>
        <v>BP: 256 | SVBP:0</v>
      </c>
      <c r="L73" s="462"/>
      <c r="M73" s="521" t="str">
        <f>IF(M72="Other:","","Other:")</f>
        <v/>
      </c>
      <c r="N73" s="522"/>
      <c r="O73" s="325"/>
      <c r="P73" s="459" t="str">
        <f>IF(M73="Price Match","Copy quote required","")</f>
        <v/>
      </c>
      <c r="Q73" s="460"/>
      <c r="R73" s="520"/>
      <c r="S73" s="520"/>
      <c r="T73" s="520"/>
      <c r="U73" s="520"/>
      <c r="V73" s="520"/>
      <c r="W73" s="534"/>
      <c r="X73" s="534"/>
      <c r="Y73" s="534"/>
      <c r="Z73" s="534"/>
      <c r="AA73" s="436">
        <f>AA66-AA71</f>
        <v>1268.3154</v>
      </c>
      <c r="AB73" s="436"/>
      <c r="AC73" s="436"/>
      <c r="AD73" s="436"/>
      <c r="AE73" s="436"/>
    </row>
    <row r="74" spans="2:33" ht="15.75" thickTop="1" x14ac:dyDescent="0.25"/>
    <row r="75" spans="2:33" x14ac:dyDescent="0.25">
      <c r="B75" s="327" t="s">
        <v>23</v>
      </c>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9"/>
    </row>
    <row r="76" spans="2:33" x14ac:dyDescent="0.25">
      <c r="B76" s="330"/>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2"/>
    </row>
    <row r="77" spans="2:33" x14ac:dyDescent="0.25">
      <c r="B77" s="330"/>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2"/>
    </row>
    <row r="78" spans="2:33" x14ac:dyDescent="0.25">
      <c r="B78" s="330"/>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2"/>
    </row>
    <row r="79" spans="2:33" x14ac:dyDescent="0.25">
      <c r="B79" s="330"/>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2"/>
    </row>
    <row r="80" spans="2:33" x14ac:dyDescent="0.25">
      <c r="B80" s="330"/>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2"/>
    </row>
    <row r="81" spans="2:31" x14ac:dyDescent="0.25">
      <c r="B81" s="330"/>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2"/>
    </row>
    <row r="82" spans="2:31" x14ac:dyDescent="0.25">
      <c r="B82" s="330"/>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2"/>
    </row>
    <row r="83" spans="2:31" x14ac:dyDescent="0.25">
      <c r="B83" s="330"/>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2"/>
    </row>
    <row r="84" spans="2:31" x14ac:dyDescent="0.25">
      <c r="B84" s="330"/>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2"/>
    </row>
    <row r="85" spans="2:31" x14ac:dyDescent="0.25">
      <c r="B85" s="330"/>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2"/>
    </row>
    <row r="86" spans="2:31" x14ac:dyDescent="0.25">
      <c r="B86" s="330"/>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2"/>
    </row>
    <row r="87" spans="2:31" x14ac:dyDescent="0.25">
      <c r="B87" s="333"/>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5"/>
    </row>
    <row r="88" spans="2:31" x14ac:dyDescent="0.25">
      <c r="B88" s="173" t="str">
        <f>Matrix2!A1</f>
        <v>Version: 8F6T</v>
      </c>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row>
    <row r="89" spans="2:31" x14ac:dyDescent="0.25">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row>
    <row r="90" spans="2:31" x14ac:dyDescent="0.25">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row>
    <row r="91" spans="2:31" x14ac:dyDescent="0.25">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row>
    <row r="92" spans="2:31" x14ac:dyDescent="0.25">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row>
  </sheetData>
  <dataConsolidate/>
  <mergeCells count="402">
    <mergeCell ref="AD68:AE68"/>
    <mergeCell ref="AD69:AE69"/>
    <mergeCell ref="AD70:AE71"/>
    <mergeCell ref="AD72:AE72"/>
    <mergeCell ref="AD73:AE73"/>
    <mergeCell ref="AD10:AE10"/>
    <mergeCell ref="AD9:AE9"/>
    <mergeCell ref="AD8:AE8"/>
    <mergeCell ref="AD7:AE7"/>
    <mergeCell ref="AD58:AE60"/>
    <mergeCell ref="AD61:AE62"/>
    <mergeCell ref="AD63:AE64"/>
    <mergeCell ref="AD65:AE65"/>
    <mergeCell ref="AD66:AE67"/>
    <mergeCell ref="AD19:AE19"/>
    <mergeCell ref="AD18:AE18"/>
    <mergeCell ref="AD17:AE17"/>
    <mergeCell ref="AD16:AE16"/>
    <mergeCell ref="AD15:AE15"/>
    <mergeCell ref="AD14:AE14"/>
    <mergeCell ref="AD13:AE13"/>
    <mergeCell ref="AD12:AE12"/>
    <mergeCell ref="AD11:AE11"/>
    <mergeCell ref="AD28:AE28"/>
    <mergeCell ref="AD27:AE27"/>
    <mergeCell ref="AD26:AE26"/>
    <mergeCell ref="AD25:AE25"/>
    <mergeCell ref="AD24:AE24"/>
    <mergeCell ref="AD23:AE23"/>
    <mergeCell ref="AD22:AE22"/>
    <mergeCell ref="AD21:AE21"/>
    <mergeCell ref="AD20:AE20"/>
    <mergeCell ref="AD37:AE37"/>
    <mergeCell ref="AD36:AE36"/>
    <mergeCell ref="AD35:AE35"/>
    <mergeCell ref="AD34:AE34"/>
    <mergeCell ref="AD33:AE33"/>
    <mergeCell ref="AD32:AE32"/>
    <mergeCell ref="AD31:AE31"/>
    <mergeCell ref="AD30:AE30"/>
    <mergeCell ref="AD29:AE29"/>
    <mergeCell ref="AD46:AE46"/>
    <mergeCell ref="AD45:AE45"/>
    <mergeCell ref="AD44:AE44"/>
    <mergeCell ref="AD43:AE43"/>
    <mergeCell ref="AD42:AE42"/>
    <mergeCell ref="AD41:AE41"/>
    <mergeCell ref="AD40:AE40"/>
    <mergeCell ref="AD39:AE39"/>
    <mergeCell ref="AD38:AE38"/>
    <mergeCell ref="AD51:AE51"/>
    <mergeCell ref="AD52:AE52"/>
    <mergeCell ref="AD50:AE50"/>
    <mergeCell ref="AC54:AC55"/>
    <mergeCell ref="AD54:AD55"/>
    <mergeCell ref="AE54:AE55"/>
    <mergeCell ref="AD48:AE48"/>
    <mergeCell ref="AD49:AE49"/>
    <mergeCell ref="AD47:AE47"/>
    <mergeCell ref="AA72:AC72"/>
    <mergeCell ref="AA73:AC73"/>
    <mergeCell ref="W68:Z68"/>
    <mergeCell ref="AA68:AC68"/>
    <mergeCell ref="W69:Z69"/>
    <mergeCell ref="AA69:AC69"/>
    <mergeCell ref="W62:Z62"/>
    <mergeCell ref="AA62:AC62"/>
    <mergeCell ref="W64:Z64"/>
    <mergeCell ref="W65:Z65"/>
    <mergeCell ref="AA65:AC65"/>
    <mergeCell ref="W66:Z67"/>
    <mergeCell ref="AA66:AC67"/>
    <mergeCell ref="AA70:AC70"/>
    <mergeCell ref="AA64:AC64"/>
    <mergeCell ref="AA71:AC71"/>
    <mergeCell ref="W70:Z71"/>
    <mergeCell ref="W72:Z73"/>
    <mergeCell ref="T67:V67"/>
    <mergeCell ref="K69:L69"/>
    <mergeCell ref="K70:L70"/>
    <mergeCell ref="P69:Q69"/>
    <mergeCell ref="P70:Q70"/>
    <mergeCell ref="R65:S65"/>
    <mergeCell ref="T65:V65"/>
    <mergeCell ref="R68:S68"/>
    <mergeCell ref="T68:V68"/>
    <mergeCell ref="R66:S66"/>
    <mergeCell ref="T66:V66"/>
    <mergeCell ref="P65:Q65"/>
    <mergeCell ref="R67:S67"/>
    <mergeCell ref="R69:V69"/>
    <mergeCell ref="R70:V73"/>
    <mergeCell ref="M73:N73"/>
    <mergeCell ref="M72:N72"/>
    <mergeCell ref="R61:V61"/>
    <mergeCell ref="R63:S63"/>
    <mergeCell ref="T63:V63"/>
    <mergeCell ref="R64:S64"/>
    <mergeCell ref="T64:V64"/>
    <mergeCell ref="R62:S62"/>
    <mergeCell ref="T62:V62"/>
    <mergeCell ref="K66:L66"/>
    <mergeCell ref="B65:D65"/>
    <mergeCell ref="E65:F65"/>
    <mergeCell ref="G65:J73"/>
    <mergeCell ref="K65:L65"/>
    <mergeCell ref="B66:D67"/>
    <mergeCell ref="E66:F67"/>
    <mergeCell ref="P66:Q66"/>
    <mergeCell ref="B61:D61"/>
    <mergeCell ref="E61:F61"/>
    <mergeCell ref="G61:J61"/>
    <mergeCell ref="K61:L61"/>
    <mergeCell ref="P61:Q61"/>
    <mergeCell ref="K63:L63"/>
    <mergeCell ref="P63:Q63"/>
    <mergeCell ref="G64:J64"/>
    <mergeCell ref="K64:L64"/>
    <mergeCell ref="G63:J63"/>
    <mergeCell ref="P71:Q71"/>
    <mergeCell ref="B62:D63"/>
    <mergeCell ref="E62:F63"/>
    <mergeCell ref="G62:J62"/>
    <mergeCell ref="K62:L62"/>
    <mergeCell ref="B69:F73"/>
    <mergeCell ref="K67:L67"/>
    <mergeCell ref="P67:Q67"/>
    <mergeCell ref="P72:Q72"/>
    <mergeCell ref="K73:L73"/>
    <mergeCell ref="P73:Q73"/>
    <mergeCell ref="K71:L71"/>
    <mergeCell ref="B68:F68"/>
    <mergeCell ref="K68:L68"/>
    <mergeCell ref="P68:Q68"/>
    <mergeCell ref="P62:Q62"/>
    <mergeCell ref="P64:Q64"/>
    <mergeCell ref="R58:V58"/>
    <mergeCell ref="G60:J60"/>
    <mergeCell ref="K60:L60"/>
    <mergeCell ref="P60:Q60"/>
    <mergeCell ref="R59:V59"/>
    <mergeCell ref="R60:V60"/>
    <mergeCell ref="W58:Z58"/>
    <mergeCell ref="W59:Z60"/>
    <mergeCell ref="AA58:AC58"/>
    <mergeCell ref="AA59:AC60"/>
    <mergeCell ref="B59:D60"/>
    <mergeCell ref="E59:F60"/>
    <mergeCell ref="G59:J59"/>
    <mergeCell ref="K59:L59"/>
    <mergeCell ref="P59:Q59"/>
    <mergeCell ref="B58:D58"/>
    <mergeCell ref="K58:L58"/>
    <mergeCell ref="P58:Q58"/>
    <mergeCell ref="G58:J58"/>
    <mergeCell ref="O52:P52"/>
    <mergeCell ref="Q52:AA52"/>
    <mergeCell ref="B53:D55"/>
    <mergeCell ref="E53:AB55"/>
    <mergeCell ref="K50:K52"/>
    <mergeCell ref="L50:L52"/>
    <mergeCell ref="M50:M52"/>
    <mergeCell ref="N50:N52"/>
    <mergeCell ref="O50:P50"/>
    <mergeCell ref="F51:G51"/>
    <mergeCell ref="O51:P51"/>
    <mergeCell ref="B50:B52"/>
    <mergeCell ref="D50:D52"/>
    <mergeCell ref="E50:E52"/>
    <mergeCell ref="F50:G50"/>
    <mergeCell ref="H50:H52"/>
    <mergeCell ref="I50:I52"/>
    <mergeCell ref="J50:J52"/>
    <mergeCell ref="Q46:AA46"/>
    <mergeCell ref="B47:B49"/>
    <mergeCell ref="D47:D49"/>
    <mergeCell ref="E47:E49"/>
    <mergeCell ref="F47:G47"/>
    <mergeCell ref="H47:H49"/>
    <mergeCell ref="I47:I49"/>
    <mergeCell ref="J47:J49"/>
    <mergeCell ref="K44:K46"/>
    <mergeCell ref="L44:L46"/>
    <mergeCell ref="M44:M46"/>
    <mergeCell ref="N44:N46"/>
    <mergeCell ref="O44:P44"/>
    <mergeCell ref="F45:G45"/>
    <mergeCell ref="O45:P45"/>
    <mergeCell ref="O49:P49"/>
    <mergeCell ref="Q49:AA49"/>
    <mergeCell ref="M47:M49"/>
    <mergeCell ref="N47:N49"/>
    <mergeCell ref="O47:P47"/>
    <mergeCell ref="O48:P48"/>
    <mergeCell ref="B44:B46"/>
    <mergeCell ref="D44:D46"/>
    <mergeCell ref="E44:E46"/>
    <mergeCell ref="F44:G44"/>
    <mergeCell ref="H44:H46"/>
    <mergeCell ref="I44:I46"/>
    <mergeCell ref="J44:J46"/>
    <mergeCell ref="K47:K49"/>
    <mergeCell ref="L47:L49"/>
    <mergeCell ref="F48:G48"/>
    <mergeCell ref="O40:P40"/>
    <mergeCell ref="O46:P46"/>
    <mergeCell ref="O43:P43"/>
    <mergeCell ref="F42:G42"/>
    <mergeCell ref="Q43:AA43"/>
    <mergeCell ref="M41:M43"/>
    <mergeCell ref="N41:N43"/>
    <mergeCell ref="O41:P41"/>
    <mergeCell ref="O42:P42"/>
    <mergeCell ref="B38:B40"/>
    <mergeCell ref="D38:D40"/>
    <mergeCell ref="E38:E40"/>
    <mergeCell ref="B41:B43"/>
    <mergeCell ref="D41:D43"/>
    <mergeCell ref="E41:E43"/>
    <mergeCell ref="F41:G41"/>
    <mergeCell ref="H41:H43"/>
    <mergeCell ref="I41:I43"/>
    <mergeCell ref="J41:J43"/>
    <mergeCell ref="K38:K40"/>
    <mergeCell ref="L38:L40"/>
    <mergeCell ref="F39:G39"/>
    <mergeCell ref="F38:G38"/>
    <mergeCell ref="H38:H40"/>
    <mergeCell ref="I38:I40"/>
    <mergeCell ref="J38:J40"/>
    <mergeCell ref="K41:K43"/>
    <mergeCell ref="L41:L43"/>
    <mergeCell ref="Q34:AA34"/>
    <mergeCell ref="M32:M34"/>
    <mergeCell ref="N32:N34"/>
    <mergeCell ref="O32:P32"/>
    <mergeCell ref="O33:P33"/>
    <mergeCell ref="O37:P37"/>
    <mergeCell ref="Q37:AA37"/>
    <mergeCell ref="M35:M37"/>
    <mergeCell ref="N35:N37"/>
    <mergeCell ref="O35:P35"/>
    <mergeCell ref="O36:P36"/>
    <mergeCell ref="Q40:AA40"/>
    <mergeCell ref="M38:M40"/>
    <mergeCell ref="N38:N40"/>
    <mergeCell ref="O38:P38"/>
    <mergeCell ref="O39:P39"/>
    <mergeCell ref="O29:P29"/>
    <mergeCell ref="O30:P30"/>
    <mergeCell ref="B26:B28"/>
    <mergeCell ref="D26:D28"/>
    <mergeCell ref="B35:B37"/>
    <mergeCell ref="D35:D37"/>
    <mergeCell ref="E35:E37"/>
    <mergeCell ref="F35:G35"/>
    <mergeCell ref="H35:H37"/>
    <mergeCell ref="I35:I37"/>
    <mergeCell ref="J35:J37"/>
    <mergeCell ref="K32:K34"/>
    <mergeCell ref="L32:L34"/>
    <mergeCell ref="F33:G33"/>
    <mergeCell ref="B32:B34"/>
    <mergeCell ref="D32:D34"/>
    <mergeCell ref="E32:E34"/>
    <mergeCell ref="F32:G32"/>
    <mergeCell ref="H32:H34"/>
    <mergeCell ref="I32:I34"/>
    <mergeCell ref="J32:J34"/>
    <mergeCell ref="K35:K37"/>
    <mergeCell ref="L35:L37"/>
    <mergeCell ref="F36:G36"/>
    <mergeCell ref="K29:K31"/>
    <mergeCell ref="L29:L31"/>
    <mergeCell ref="F30:G30"/>
    <mergeCell ref="O22:P22"/>
    <mergeCell ref="O28:P28"/>
    <mergeCell ref="K23:K25"/>
    <mergeCell ref="L23:L25"/>
    <mergeCell ref="F24:G24"/>
    <mergeCell ref="O34:P34"/>
    <mergeCell ref="O25:P25"/>
    <mergeCell ref="J20:J22"/>
    <mergeCell ref="M23:M25"/>
    <mergeCell ref="N23:N25"/>
    <mergeCell ref="O23:P23"/>
    <mergeCell ref="O24:P24"/>
    <mergeCell ref="J23:J25"/>
    <mergeCell ref="Q28:AA28"/>
    <mergeCell ref="B29:B31"/>
    <mergeCell ref="D29:D31"/>
    <mergeCell ref="E29:E31"/>
    <mergeCell ref="F29:G29"/>
    <mergeCell ref="H29:H31"/>
    <mergeCell ref="I29:I31"/>
    <mergeCell ref="J29:J31"/>
    <mergeCell ref="K26:K28"/>
    <mergeCell ref="L26:L28"/>
    <mergeCell ref="M26:M28"/>
    <mergeCell ref="N26:N28"/>
    <mergeCell ref="O26:P26"/>
    <mergeCell ref="F27:G27"/>
    <mergeCell ref="O27:P27"/>
    <mergeCell ref="O31:P31"/>
    <mergeCell ref="Q31:AA31"/>
    <mergeCell ref="M29:M31"/>
    <mergeCell ref="N29:N31"/>
    <mergeCell ref="E26:E28"/>
    <mergeCell ref="F26:G26"/>
    <mergeCell ref="H26:H28"/>
    <mergeCell ref="I26:I28"/>
    <mergeCell ref="J26:J28"/>
    <mergeCell ref="B23:B25"/>
    <mergeCell ref="D23:D25"/>
    <mergeCell ref="E23:E25"/>
    <mergeCell ref="F23:G23"/>
    <mergeCell ref="H23:H25"/>
    <mergeCell ref="I23:I25"/>
    <mergeCell ref="F21:G21"/>
    <mergeCell ref="F20:G20"/>
    <mergeCell ref="H20:H22"/>
    <mergeCell ref="I20:I22"/>
    <mergeCell ref="Q19:AA19"/>
    <mergeCell ref="O17:P17"/>
    <mergeCell ref="O18:P18"/>
    <mergeCell ref="M17:M19"/>
    <mergeCell ref="O19:P19"/>
    <mergeCell ref="N17:N19"/>
    <mergeCell ref="B20:B22"/>
    <mergeCell ref="D20:D22"/>
    <mergeCell ref="E20:E22"/>
    <mergeCell ref="K20:K22"/>
    <mergeCell ref="L20:L22"/>
    <mergeCell ref="Q22:AA22"/>
    <mergeCell ref="M20:M22"/>
    <mergeCell ref="N20:N22"/>
    <mergeCell ref="O20:P20"/>
    <mergeCell ref="O21:P21"/>
    <mergeCell ref="L8:L10"/>
    <mergeCell ref="M8:M10"/>
    <mergeCell ref="F7:G7"/>
    <mergeCell ref="P7:AA7"/>
    <mergeCell ref="B8:B10"/>
    <mergeCell ref="D8:D10"/>
    <mergeCell ref="E8:E10"/>
    <mergeCell ref="F8:G8"/>
    <mergeCell ref="H8:H10"/>
    <mergeCell ref="I8:I10"/>
    <mergeCell ref="J8:J10"/>
    <mergeCell ref="K8:K10"/>
    <mergeCell ref="O10:P10"/>
    <mergeCell ref="Q10:AA10"/>
    <mergeCell ref="N8:N10"/>
    <mergeCell ref="O8:P8"/>
    <mergeCell ref="F9:G9"/>
    <mergeCell ref="O9:P9"/>
    <mergeCell ref="B11:B13"/>
    <mergeCell ref="D11:D13"/>
    <mergeCell ref="E11:E13"/>
    <mergeCell ref="F11:G11"/>
    <mergeCell ref="H11:H13"/>
    <mergeCell ref="I11:I13"/>
    <mergeCell ref="J11:J13"/>
    <mergeCell ref="N14:N16"/>
    <mergeCell ref="O13:P13"/>
    <mergeCell ref="L14:L16"/>
    <mergeCell ref="M14:M16"/>
    <mergeCell ref="K14:K16"/>
    <mergeCell ref="O15:P15"/>
    <mergeCell ref="Q13:AA13"/>
    <mergeCell ref="M11:M13"/>
    <mergeCell ref="N11:N13"/>
    <mergeCell ref="O11:P11"/>
    <mergeCell ref="O12:P12"/>
    <mergeCell ref="K11:K13"/>
    <mergeCell ref="L11:L13"/>
    <mergeCell ref="F12:G12"/>
    <mergeCell ref="F15:G15"/>
    <mergeCell ref="W61:AC61"/>
    <mergeCell ref="W63:AC63"/>
    <mergeCell ref="B75:AE87"/>
    <mergeCell ref="B14:B16"/>
    <mergeCell ref="D14:D16"/>
    <mergeCell ref="E14:E16"/>
    <mergeCell ref="F14:G14"/>
    <mergeCell ref="H14:H16"/>
    <mergeCell ref="I14:I16"/>
    <mergeCell ref="J14:J16"/>
    <mergeCell ref="K17:K19"/>
    <mergeCell ref="L17:L19"/>
    <mergeCell ref="F18:G18"/>
    <mergeCell ref="O16:P16"/>
    <mergeCell ref="Q16:AA16"/>
    <mergeCell ref="B17:B19"/>
    <mergeCell ref="D17:D19"/>
    <mergeCell ref="E17:E19"/>
    <mergeCell ref="F17:G17"/>
    <mergeCell ref="H17:H19"/>
    <mergeCell ref="O14:P14"/>
    <mergeCell ref="I17:I19"/>
    <mergeCell ref="J17:J19"/>
    <mergeCell ref="Q25:AA25"/>
  </mergeCells>
  <conditionalFormatting sqref="G10">
    <cfRule type="expression" dxfId="1297" priority="1056">
      <formula>AND($E8 = "Java",$G10 &lt;&gt; "Stainless Steel")</formula>
    </cfRule>
  </conditionalFormatting>
  <conditionalFormatting sqref="B1:B3">
    <cfRule type="expression" dxfId="1296" priority="1055">
      <formula>$AG1="Quoted"</formula>
    </cfRule>
  </conditionalFormatting>
  <conditionalFormatting sqref="C8:AE10">
    <cfRule type="expression" dxfId="1295" priority="128">
      <formula>$AD$8="Quoted"</formula>
    </cfRule>
  </conditionalFormatting>
  <conditionalFormatting sqref="R59">
    <cfRule type="cellIs" dxfId="1294" priority="1052" operator="greaterThan">
      <formula>34%</formula>
    </cfRule>
  </conditionalFormatting>
  <conditionalFormatting sqref="O62">
    <cfRule type="expression" dxfId="1293" priority="1047">
      <formula>$N$62&lt;&gt;$O$62</formula>
    </cfRule>
  </conditionalFormatting>
  <conditionalFormatting sqref="O66">
    <cfRule type="expression" dxfId="1292" priority="1045">
      <formula>$N$66&lt;&gt;$O$66</formula>
    </cfRule>
  </conditionalFormatting>
  <conditionalFormatting sqref="O70">
    <cfRule type="expression" dxfId="1291" priority="1044">
      <formula>$N$70&lt;&gt;$O$70</formula>
    </cfRule>
  </conditionalFormatting>
  <conditionalFormatting sqref="P59:Q71">
    <cfRule type="expression" dxfId="1290" priority="1034">
      <formula>$P$59&gt;0</formula>
    </cfRule>
  </conditionalFormatting>
  <conditionalFormatting sqref="R66:V66 R61">
    <cfRule type="expression" dxfId="1289" priority="1032">
      <formula>$R$61="Finance Yes (12 months @ 0%)"</formula>
    </cfRule>
  </conditionalFormatting>
  <conditionalFormatting sqref="R61:V61 R67:R68 T67:T68">
    <cfRule type="expression" dxfId="1288" priority="1033">
      <formula>$R$61="Finance Yes (24 months @ 14.9%)"</formula>
    </cfRule>
  </conditionalFormatting>
  <conditionalFormatting sqref="R61 R68 T68">
    <cfRule type="expression" dxfId="1287" priority="1031">
      <formula>$R$61="Finance Yes (36 months @ 14.9%)"</formula>
    </cfRule>
  </conditionalFormatting>
  <conditionalFormatting sqref="T63:V63">
    <cfRule type="expression" dxfId="1286" priority="1028" stopIfTrue="1">
      <formula>$T$63&gt;0</formula>
    </cfRule>
    <cfRule type="expression" dxfId="1285" priority="1029">
      <formula>$T$63&lt;ROUNDDOWN((20%*T62),0.2)</formula>
    </cfRule>
    <cfRule type="expression" dxfId="1284" priority="1030">
      <formula>AND($R$61&lt;&gt;"Finance Please Select",$R$61&lt;&gt;"Finance No")</formula>
    </cfRule>
  </conditionalFormatting>
  <conditionalFormatting sqref="R66:V66 R68 T68">
    <cfRule type="expression" dxfId="1283" priority="1027">
      <formula>$R$61="Finance Yes (24 months @ 14.9%)"</formula>
    </cfRule>
  </conditionalFormatting>
  <conditionalFormatting sqref="R67:R68 T67:T68">
    <cfRule type="expression" dxfId="1282" priority="1026">
      <formula>$R$61="Finance Yes (12 months @ 0%)"</formula>
    </cfRule>
  </conditionalFormatting>
  <conditionalFormatting sqref="R66:V66 R67 T67">
    <cfRule type="expression" dxfId="1281" priority="1024">
      <formula>$R$61="Finance Yes (36 months @ 14.9%)"</formula>
    </cfRule>
  </conditionalFormatting>
  <conditionalFormatting sqref="N8">
    <cfRule type="expression" dxfId="1280" priority="1022">
      <formula>OR(AND($M8&gt;1879,$E8="Antigua",$N8="Please Select"),(AND($M8&gt;1879,$E8="Antigua",$N8="No")),AND($M8&gt;1981,$E8="Bermuda",$N8="Please Select"),AND($M8&gt;1981,$E8="Bermuda",$N8="No"),AND($M8&gt;1981,$E8="Cuba",$N8="Please Select"),AND($M8&gt;1981,$E8="Cuba",$N8="No"),AND($M8&gt;1828.8,$E8="Java",$N8="Please Select"),AND($M8&gt;1828.8,$E8="Java",$N8="No"),AND($M8&gt;1981,$E8="Fiji",$N8="Please Select"),AND($M8&gt;1981,$E8="Fiji",$N8="No"),AND($M8&gt;2133,$E8="Samoa",$N8="Please Select"),AND($M8&gt;2133,$E8="Samoa",$N8="No"))</formula>
    </cfRule>
  </conditionalFormatting>
  <conditionalFormatting sqref="M8:M10">
    <cfRule type="expression" dxfId="1279" priority="1021">
      <formula>OR(AND($M8&gt;=1,$M8&lt;=249,E8&lt;&gt;"Samoa"),AND($M8&gt;=1,$M8&lt;=304.8,E8="Samoa"))</formula>
    </cfRule>
    <cfRule type="expression" dxfId="1278" priority="1062">
      <formula>OR(AND($E8&lt;&gt;"Samoa",$M8&gt;3000),AND($E8="Samoa",$M8&gt;3657))</formula>
    </cfRule>
  </conditionalFormatting>
  <conditionalFormatting sqref="Q10:AA10">
    <cfRule type="cellIs" dxfId="1277" priority="1020" operator="greaterThan">
      <formula>""""""</formula>
    </cfRule>
  </conditionalFormatting>
  <conditionalFormatting sqref="R9">
    <cfRule type="expression" dxfId="1276" priority="1015">
      <formula>AND(OR(R8="(C)",R8="(B)",R8="(CB)",R8="(T)",R8="(G)"),R9="")</formula>
    </cfRule>
  </conditionalFormatting>
  <conditionalFormatting sqref="Q9">
    <cfRule type="expression" dxfId="1275" priority="1014">
      <formula>AND(OR(Q8="(C)",Q8="(B)",Q8="(CB)",Q8="(T)",Q8="(G)"),Q9="")</formula>
    </cfRule>
  </conditionalFormatting>
  <conditionalFormatting sqref="S9">
    <cfRule type="expression" dxfId="1274" priority="1013">
      <formula>AND(OR(S8="(C)",S8="(B)",S8="(CB)",S8="(T)",S8="(G)"),S9="")</formula>
    </cfRule>
  </conditionalFormatting>
  <conditionalFormatting sqref="T9">
    <cfRule type="expression" dxfId="1273" priority="1012">
      <formula>AND(OR(T8="(C)",T8="(B)",T8="(CB)",T8="(T)",T8="(G)"),T9="")</formula>
    </cfRule>
  </conditionalFormatting>
  <conditionalFormatting sqref="U9">
    <cfRule type="expression" dxfId="1272" priority="1011">
      <formula>AND(OR(U8="(C)",U8="(B)",U8="(CB)",U8="(T)",U8="(G)"),U9="")</formula>
    </cfRule>
  </conditionalFormatting>
  <conditionalFormatting sqref="V9">
    <cfRule type="expression" dxfId="1271" priority="1010">
      <formula>AND(OR(V8="(C)",V8="(B)",V8="(CB)",V8="(T)",V8="(G)"),V9="")</formula>
    </cfRule>
  </conditionalFormatting>
  <conditionalFormatting sqref="W9">
    <cfRule type="expression" dxfId="1270" priority="1008">
      <formula>AND(OR(W8="(C)",W8="(B)",W8="(CB)",W8="(T)",W8="(G)"),W9="")</formula>
    </cfRule>
    <cfRule type="expression" priority="1009">
      <formula>AND(OR(W8="(C)",W8="(B)",W8="(CB)",W8="(T)",W8="(G)"),W9="")</formula>
    </cfRule>
  </conditionalFormatting>
  <conditionalFormatting sqref="X9">
    <cfRule type="expression" dxfId="1269" priority="1007">
      <formula>AND(OR(X8="(C)",X8="(B)",X8="(CB)",X8="(T)",X8="(G)"),X9="")</formula>
    </cfRule>
  </conditionalFormatting>
  <conditionalFormatting sqref="Y9">
    <cfRule type="expression" dxfId="1268" priority="1006">
      <formula>AND(OR(Y8="(C)",Y8="(B)",Y8="(CB)",Y8="(T)",Y8="(G)"),Y9="")</formula>
    </cfRule>
  </conditionalFormatting>
  <conditionalFormatting sqref="Z9">
    <cfRule type="expression" dxfId="1267" priority="1005">
      <formula>AND(OR(Z8="(C)",Z8="(B)",Z8="(CB)",Z8="(T)",Z8="(G)"),Z9="")</formula>
    </cfRule>
  </conditionalFormatting>
  <conditionalFormatting sqref="G13">
    <cfRule type="expression" dxfId="1266" priority="1003">
      <formula>AND($E11 = "Java",$G13 &lt;&gt; "Stainless Steel")</formula>
    </cfRule>
  </conditionalFormatting>
  <conditionalFormatting sqref="M11:M13">
    <cfRule type="expression" dxfId="1265" priority="999">
      <formula>OR(AND($M11&gt;=1,$M11&lt;=249,E11&lt;&gt;"Samoa"),AND($M11&gt;=1,$M11&lt;=304.8,E11="Samoa"))</formula>
    </cfRule>
    <cfRule type="expression" dxfId="1264" priority="1004">
      <formula>OR(AND($E11&lt;&gt;"Samoa",$M11&gt;3000),AND($E11="Samoa",$M11&gt;3657))</formula>
    </cfRule>
  </conditionalFormatting>
  <conditionalFormatting sqref="Q13:AA13">
    <cfRule type="cellIs" dxfId="1263" priority="998" operator="greaterThan">
      <formula>""""""</formula>
    </cfRule>
  </conditionalFormatting>
  <conditionalFormatting sqref="R12">
    <cfRule type="expression" dxfId="1262" priority="994">
      <formula>AND(OR(R11="(C)",R11="(B)",R11="(CB)",R11="(T)",R11="(G)"),R12="")</formula>
    </cfRule>
  </conditionalFormatting>
  <conditionalFormatting sqref="Q12">
    <cfRule type="expression" dxfId="1261" priority="993">
      <formula>AND(OR(Q11="(C)",Q11="(B)",Q11="(CB)",Q11="(T)",Q11="(G)"),Q12="")</formula>
    </cfRule>
  </conditionalFormatting>
  <conditionalFormatting sqref="S12">
    <cfRule type="expression" dxfId="1260" priority="992">
      <formula>AND(OR(S11="(C)",S11="(B)",S11="(CB)",S11="(T)",S11="(G)"),S12="")</formula>
    </cfRule>
  </conditionalFormatting>
  <conditionalFormatting sqref="T12">
    <cfRule type="expression" dxfId="1259" priority="991">
      <formula>AND(OR(T11="(C)",T11="(B)",T11="(CB)",T11="(T)",T11="(G)"),T12="")</formula>
    </cfRule>
  </conditionalFormatting>
  <conditionalFormatting sqref="U12">
    <cfRule type="expression" dxfId="1258" priority="990">
      <formula>AND(OR(U11="(C)",U11="(B)",U11="(CB)",U11="(T)",U11="(G)"),U12="")</formula>
    </cfRule>
  </conditionalFormatting>
  <conditionalFormatting sqref="V12">
    <cfRule type="expression" dxfId="1257" priority="989">
      <formula>AND(OR(V11="(C)",V11="(B)",V11="(CB)",V11="(T)",V11="(G)"),V12="")</formula>
    </cfRule>
  </conditionalFormatting>
  <conditionalFormatting sqref="W12">
    <cfRule type="expression" dxfId="1256" priority="988">
      <formula>AND(OR(W11="(C)",W11="(B)",W11="(CB)",W11="(T)",W11="(G)"),W12="")</formula>
    </cfRule>
  </conditionalFormatting>
  <conditionalFormatting sqref="X12">
    <cfRule type="expression" dxfId="1255" priority="986">
      <formula>AND(OR(X11="(C)",X11="(B)",X11="(CB)",X11="(T)",X11="(G)"),X12="")</formula>
    </cfRule>
  </conditionalFormatting>
  <conditionalFormatting sqref="Y12">
    <cfRule type="expression" dxfId="1254" priority="985">
      <formula>AND(OR(Y11="(C)",Y11="(B)",Y11="(CB)",Y11="(T)",Y11="(G)"),Y12="")</formula>
    </cfRule>
  </conditionalFormatting>
  <conditionalFormatting sqref="Z12">
    <cfRule type="expression" dxfId="1253" priority="984">
      <formula>AND(OR(Z11="(C)",Z11="(B)",Z11="(CB)",Z11="(T)",Z11="(G)"),Z12="")</formula>
    </cfRule>
  </conditionalFormatting>
  <conditionalFormatting sqref="G16">
    <cfRule type="expression" dxfId="1252" priority="982">
      <formula>AND($E14 = "Java",$G16 &lt;&gt; "Stainless Steel")</formula>
    </cfRule>
  </conditionalFormatting>
  <conditionalFormatting sqref="N14">
    <cfRule type="expression" dxfId="1251" priority="979">
      <formula>OR(AND($M14&gt;1879,$E14="Antigua",$N14="Please Select"),(AND($M14&gt;1879,$E14="Antigua",$N14="No")),AND($M14&gt;1981,$E14="Bermuda",$N14="Please Select"),AND($M14&gt;1981,$E14="Bermuda",$N14="No"),AND($M14&gt;1981,$E14="Cuba",$N14="Please Select"),AND($M14&gt;1981,$E14="Cuba",$N14="No"),AND($M14&gt;1828.8,$E14="Java",$N14="Please Select"),AND($M14&gt;1828.8,$E14="Java",$N14="No"),AND($M14&gt;1981,$E14="Fiji",$N14="Please Select"),AND($M14&gt;1981,$E14="Fiji",$N14="No"),AND($M14&gt;2133,$E14="Samoa",$N14="Please Select"),AND($M14&gt;2133,$E14="Samoa",$N14="No"))</formula>
    </cfRule>
    <cfRule type="expression" dxfId="1250" priority="1000">
      <formula>OR(AND($M14&gt;1879,$E14="Antigua",$N14="Please Select"),(AND($M17&gt;1879,$E17="Antigua",$N17="No")),AND($M17&gt;1981,$E17="Bermuda",$N17="Please Select"),AND($M17&gt;1981,$E17="Bermuda",$N17="No"),AND($M17&gt;1981,$E17="Cuba",$N17="Please Select"),AND($M17&gt;1981,$E17="Cuba",$N17="No"),AND($M17&gt;1828.8,$E17="Java",$N17="Please Select"),AND($M17&gt;1828.8,$E17="Java",$N17="No"),AND($M17&gt;1981,$E17="Fiji",$N17="Please Select"),AND($M17&gt;1981,$E17="Fiji",$N17="No"),AND($M17&gt;2133,$E17="Samoa",$N14="Please Select"),AND($M14&gt;2133,$E14="Samoa",$N14="No"))</formula>
    </cfRule>
  </conditionalFormatting>
  <conditionalFormatting sqref="M14:M16">
    <cfRule type="expression" dxfId="1249" priority="978">
      <formula>OR(AND($M14&gt;=1,$M14&lt;=249,E14&lt;&gt;"Samoa"),AND($M14&gt;=1,$M14&lt;=304.8,E14="Samoa"))</formula>
    </cfRule>
    <cfRule type="expression" dxfId="1248" priority="983">
      <formula>OR(AND($E14&lt;&gt;"Samoa",$M14&gt;3000),AND($E14="Samoa",$M14&gt;3657))</formula>
    </cfRule>
  </conditionalFormatting>
  <conditionalFormatting sqref="Q16:AA16">
    <cfRule type="cellIs" dxfId="1247" priority="977" operator="greaterThan">
      <formula>""""""</formula>
    </cfRule>
  </conditionalFormatting>
  <conditionalFormatting sqref="R15">
    <cfRule type="expression" dxfId="1246" priority="972">
      <formula>AND(OR(R14="(C)",R14="(B)",R14="(CB)",R14="(T)",R14="(G)"),R15="")</formula>
    </cfRule>
  </conditionalFormatting>
  <conditionalFormatting sqref="Q15">
    <cfRule type="expression" dxfId="1245" priority="971">
      <formula>AND(OR(Q14="(C)",Q14="(B)",Q14="(CB)",Q14="(T)",Q14="(G)"),Q15="")</formula>
    </cfRule>
  </conditionalFormatting>
  <conditionalFormatting sqref="S15">
    <cfRule type="expression" dxfId="1244" priority="970">
      <formula>AND(OR(S14="(C)",S14="(B)",S14="(CB)",S14="(T)",S14="(G)"),S15="")</formula>
    </cfRule>
  </conditionalFormatting>
  <conditionalFormatting sqref="T15">
    <cfRule type="expression" dxfId="1243" priority="969">
      <formula>AND(OR(T14="(C)",T14="(B)",T14="(CB)",T14="(T)",T14="(G)"),T15="")</formula>
    </cfRule>
  </conditionalFormatting>
  <conditionalFormatting sqref="U15">
    <cfRule type="expression" dxfId="1242" priority="968">
      <formula>AND(OR(U14="(C)",U14="(B)",U14="(CB)",U14="(T)",U14="(G)"),U15="")</formula>
    </cfRule>
  </conditionalFormatting>
  <conditionalFormatting sqref="V15">
    <cfRule type="expression" dxfId="1241" priority="967">
      <formula>AND(OR(V14="(C)",V14="(B)",V14="(CB)",V14="(T)",V14="(G)"),V15="")</formula>
    </cfRule>
  </conditionalFormatting>
  <conditionalFormatting sqref="W15">
    <cfRule type="expression" dxfId="1240" priority="965">
      <formula>AND(OR(W14="(C)",W14="(B)",W14="(CB)",W14="(T)",W14="(G)"),W15="")</formula>
    </cfRule>
    <cfRule type="expression" dxfId="1239" priority="966">
      <formula>AND(OR(W14="(C)",W14="(B)",W14="(CB)",W14="(T)",W14="(G)"),W15="")</formula>
    </cfRule>
  </conditionalFormatting>
  <conditionalFormatting sqref="X15">
    <cfRule type="expression" dxfId="1238" priority="964">
      <formula>AND(OR(X14="(C)",X14="(B)",X14="(CB)",X14="(T)",X14="(G)"),X15="")</formula>
    </cfRule>
  </conditionalFormatting>
  <conditionalFormatting sqref="Y15">
    <cfRule type="expression" dxfId="1237" priority="963">
      <formula>AND(OR(Y14="(C)",Y14="(B)",Y14="(CB)",Y14="(T)",Y14="(G)"),Y15="")</formula>
    </cfRule>
  </conditionalFormatting>
  <conditionalFormatting sqref="Z15">
    <cfRule type="expression" dxfId="1236" priority="962">
      <formula>AND(OR(Z14="(C)",Z14="(B)",Z14="(CB)",Z14="(T)",Z14="(G)"),Z15="")</formula>
    </cfRule>
  </conditionalFormatting>
  <conditionalFormatting sqref="N17">
    <cfRule type="expression" dxfId="1235" priority="957">
      <formula>OR(AND($M17&gt;1879,$E17="Antigua",$N17="Please Select"),(AND($M17&gt;1879,$E17="Antigua",$N17="No")),AND($M17&gt;1981,$E17="Bermuda",$N17="Please Select"),AND($M17&gt;1981,$E17="Bermuda",$N17="No"),AND($M17&gt;1981,$E17="Cuba",$N17="Please Select"),AND($M17&gt;1981,$E17="Cuba",$N17="No"),AND($M17&gt;1828.8,$E17="Java",$N17="Please Select"),AND($M17&gt;1828.8,$E17="Java",$N17="No"),AND($M17&gt;1981,$E17="Fiji",$N17="Please Select"),AND($M17&gt;1981,$E17="Fiji",$N17="No"),AND($M17&gt;2133,$E17="Samoa",$N17="Please Select"),AND($M17&gt;2133,$E17="Samoa",$N17="No"))</formula>
    </cfRule>
  </conditionalFormatting>
  <conditionalFormatting sqref="M17:M19">
    <cfRule type="expression" dxfId="1234" priority="956">
      <formula>OR(AND($M17&gt;=1,$M17&lt;=249,E17&lt;&gt;"Samoa"),AND($M17&gt;=1,$M17&lt;=304.8,E17="Samoa"))</formula>
    </cfRule>
    <cfRule type="expression" dxfId="1233" priority="961">
      <formula>OR(AND($E17&lt;&gt;"Samoa",$M17&gt;3000),AND($E17="Samoa",$M17&gt;3657))</formula>
    </cfRule>
  </conditionalFormatting>
  <conditionalFormatting sqref="Q19:AA19">
    <cfRule type="cellIs" dxfId="1232" priority="955" operator="greaterThan">
      <formula>""""""</formula>
    </cfRule>
  </conditionalFormatting>
  <conditionalFormatting sqref="R18">
    <cfRule type="expression" dxfId="1231" priority="950">
      <formula>AND(OR(R17="(C)",R17="(B)",R17="(CB)",R17="(T)",R17="(G)"),R18="")</formula>
    </cfRule>
  </conditionalFormatting>
  <conditionalFormatting sqref="Q18">
    <cfRule type="expression" dxfId="1230" priority="949">
      <formula>AND(OR(Q17="(C)",Q17="(B)",Q17="(CB)",Q17="(T)",Q17="(G)"),Q18="")</formula>
    </cfRule>
  </conditionalFormatting>
  <conditionalFormatting sqref="S18">
    <cfRule type="expression" dxfId="1229" priority="948">
      <formula>AND(OR(S17="(C)",S17="(B)",S17="(CB)",S17="(T)",S17="(G)"),S18="")</formula>
    </cfRule>
  </conditionalFormatting>
  <conditionalFormatting sqref="T18">
    <cfRule type="expression" dxfId="1228" priority="947">
      <formula>AND(OR(T17="(C)",T17="(B)",T17="(CB)",T17="(T)",T17="(G)"),T18="")</formula>
    </cfRule>
  </conditionalFormatting>
  <conditionalFormatting sqref="U18">
    <cfRule type="expression" dxfId="1227" priority="946">
      <formula>AND(OR(U17="(C)",U17="(B)",U17="(CB)",U17="(T)",U17="(G)"),U18="")</formula>
    </cfRule>
  </conditionalFormatting>
  <conditionalFormatting sqref="V18">
    <cfRule type="expression" dxfId="1226" priority="945">
      <formula>AND(OR(V17="(C)",V17="(B)",V17="(CB)",V17="(T)",V17="(G)"),V18="")</formula>
    </cfRule>
  </conditionalFormatting>
  <conditionalFormatting sqref="W18">
    <cfRule type="expression" dxfId="1225" priority="943">
      <formula>AND(OR(W17="(C)",W17="(B)",W17="(CB)",W17="(T)",W17="(G)"),W18="")</formula>
    </cfRule>
  </conditionalFormatting>
  <conditionalFormatting sqref="X18">
    <cfRule type="expression" dxfId="1224" priority="942">
      <formula>AND(OR(X17="(C)",X17="(B)",X17="(CB)",X17="(T)",X17="(G)"),X18="")</formula>
    </cfRule>
  </conditionalFormatting>
  <conditionalFormatting sqref="Y18">
    <cfRule type="expression" dxfId="1223" priority="941">
      <formula>AND(OR(Y17="(C)",Y17="(B)",Y17="(CB)",Y17="(T)",Y17="(G)"),Y18="")</formula>
    </cfRule>
  </conditionalFormatting>
  <conditionalFormatting sqref="Z18">
    <cfRule type="expression" dxfId="1222" priority="940">
      <formula>AND(OR(Z17="(C)",Z17="(B)",Z17="(CB)",Z17="(T)",Z17="(G)"),Z18="")</formula>
    </cfRule>
  </conditionalFormatting>
  <conditionalFormatting sqref="N20">
    <cfRule type="expression" dxfId="1221" priority="935">
      <formula>OR(AND($M20&gt;1879,$E20="Antigua",$N20="Please Select"),(AND($M20&gt;1879,$E20="Antigua",$N20="No")),AND($M20&gt;1981,$E20="Bermuda",$N20="Please Select"),AND($M20&gt;1981,$E20="Bermuda",$N20="No"),AND($M20&gt;1981,$E20="Cuba",$N20="Please Select"),AND($M20&gt;1981,$E20="Cuba",$N20="No"),AND($M20&gt;1828.8,$E20="Java",$N20="Please Select"),AND($M20&gt;1828.8,$E20="Java",$N20="No"),AND($M20&gt;1981,$E20="Fiji",$N20="Please Select"),AND($M20&gt;1981,$E20="Fiji",$N20="No"),AND($M20&gt;2133,$E20="Samoa",$N20="Please Select"),AND($M20&gt;2133,$E20="Samoa",$N20="No"))</formula>
    </cfRule>
  </conditionalFormatting>
  <conditionalFormatting sqref="M20:M22">
    <cfRule type="expression" dxfId="1220" priority="934">
      <formula>OR(AND($M20&gt;=1,$M20&lt;=249,E20&lt;&gt;"Samoa"),AND($M20&gt;=1,$M20&lt;=304.8,E20="Samoa"))</formula>
    </cfRule>
    <cfRule type="expression" dxfId="1219" priority="939">
      <formula>OR(AND($E20&lt;&gt;"Samoa",$M20&gt;3000),AND($E20="Samoa",$M20&gt;3657))</formula>
    </cfRule>
  </conditionalFormatting>
  <conditionalFormatting sqref="Q22:AA22">
    <cfRule type="cellIs" dxfId="1218" priority="933" operator="greaterThan">
      <formula>""""""</formula>
    </cfRule>
  </conditionalFormatting>
  <conditionalFormatting sqref="R21">
    <cfRule type="expression" dxfId="1217" priority="928">
      <formula>AND(OR(R20="(C)",R20="(B)",R20="(CB)",R20="(T)",R20="(G)"),R21="")</formula>
    </cfRule>
  </conditionalFormatting>
  <conditionalFormatting sqref="Q21">
    <cfRule type="expression" dxfId="1216" priority="927">
      <formula>AND(OR(Q20="(C)",Q20="(B)",Q20="(CB)",Q20="(T)",Q20="(G)"),Q21="")</formula>
    </cfRule>
  </conditionalFormatting>
  <conditionalFormatting sqref="S21">
    <cfRule type="expression" dxfId="1215" priority="926">
      <formula>AND(OR(S20="(C)",S20="(B)",S20="(CB)",S20="(T)",S20="(G)"),S21="")</formula>
    </cfRule>
  </conditionalFormatting>
  <conditionalFormatting sqref="T21">
    <cfRule type="expression" dxfId="1214" priority="925">
      <formula>AND(OR(T20="(C)",T20="(B)",T20="(CB)",T20="(T)",T20="(G)"),T21="")</formula>
    </cfRule>
  </conditionalFormatting>
  <conditionalFormatting sqref="U21">
    <cfRule type="expression" dxfId="1213" priority="924">
      <formula>AND(OR(U20="(C)",U20="(B)",U20="(CB)",U20="(T)",U20="(G)"),U21="")</formula>
    </cfRule>
  </conditionalFormatting>
  <conditionalFormatting sqref="V21">
    <cfRule type="expression" dxfId="1212" priority="923">
      <formula>AND(OR(V20="(C)",V20="(B)",V20="(CB)",V20="(T)",V20="(G)"),V21="")</formula>
    </cfRule>
  </conditionalFormatting>
  <conditionalFormatting sqref="W21">
    <cfRule type="expression" dxfId="1211" priority="921">
      <formula>AND(OR(W20="(C)",W20="(B)",W20="(CB)",W20="(T)",W20="(G)"),W21="")</formula>
    </cfRule>
  </conditionalFormatting>
  <conditionalFormatting sqref="X21">
    <cfRule type="expression" dxfId="1210" priority="920">
      <formula>AND(OR(X20="(C)",X20="(B)",X20="(CB)",X20="(T)",X20="(G)"),X21="")</formula>
    </cfRule>
  </conditionalFormatting>
  <conditionalFormatting sqref="Y21">
    <cfRule type="expression" dxfId="1209" priority="919">
      <formula>AND(OR(Y20="(C)",Y20="(B)",Y20="(CB)",Y20="(T)",Y20="(G)"),Y21="")</formula>
    </cfRule>
  </conditionalFormatting>
  <conditionalFormatting sqref="Z21">
    <cfRule type="expression" dxfId="1208" priority="918">
      <formula>AND(OR(Z20="(C)",Z20="(B)",Z20="(CB)",Z20="(T)",Z20="(G)"),Z21="")</formula>
    </cfRule>
  </conditionalFormatting>
  <conditionalFormatting sqref="N23">
    <cfRule type="expression" dxfId="1207" priority="913">
      <formula>OR(AND($M23&gt;1879,$E23="Antigua",$N23="Please Select"),(AND($M23&gt;1879,$E23="Antigua",$N23="No")),AND($M23&gt;1981,$E23="Bermuda",$N23="Please Select"),AND($M23&gt;1981,$E23="Bermuda",$N23="No"),AND($M23&gt;1981,$E23="Cuba",$N23="Please Select"),AND($M23&gt;1981,$E23="Cuba",$N23="No"),AND($M23&gt;1828.8,$E23="Java",$N23="Please Select"),AND($M23&gt;1828.8,$E23="Java",$N23="No"),AND($M23&gt;1981,$E23="Fiji",$N23="Please Select"),AND($M23&gt;1981,$E23="Fiji",$N23="No"),AND($M23&gt;2133,$E23="Samoa",$N23="Please Select"),AND($M23&gt;2133,$E23="Samoa",$N23="No"))</formula>
    </cfRule>
  </conditionalFormatting>
  <conditionalFormatting sqref="M23:M25">
    <cfRule type="expression" dxfId="1206" priority="912">
      <formula>OR(AND($M23&gt;=1,$M23&lt;=249,E23&lt;&gt;"Samoa"),AND($M23&gt;=1,$M23&lt;=304.8,E23="Samoa"))</formula>
    </cfRule>
    <cfRule type="expression" dxfId="1205" priority="917">
      <formula>OR(AND($E23&lt;&gt;"Samoa",$M23&gt;3000),AND($E23="Samoa",$M23&gt;3657))</formula>
    </cfRule>
  </conditionalFormatting>
  <conditionalFormatting sqref="Q25:AA25">
    <cfRule type="cellIs" dxfId="1204" priority="911" operator="greaterThan">
      <formula>""""""</formula>
    </cfRule>
  </conditionalFormatting>
  <conditionalFormatting sqref="R24">
    <cfRule type="expression" dxfId="1203" priority="906">
      <formula>AND(OR(R23="(C)",R23="(B)",R23="(CB)",R23="(T)",R23="(G)"),R24="")</formula>
    </cfRule>
  </conditionalFormatting>
  <conditionalFormatting sqref="Q24">
    <cfRule type="expression" dxfId="1202" priority="905">
      <formula>AND(OR(Q23="(C)",Q23="(B)",Q23="(CB)",Q23="(T)",Q23="(G)"),Q24="")</formula>
    </cfRule>
  </conditionalFormatting>
  <conditionalFormatting sqref="S24">
    <cfRule type="expression" dxfId="1201" priority="904">
      <formula>AND(OR(S23="(C)",S23="(B)",S23="(CB)",S23="(T)",S23="(G)"),S24="")</formula>
    </cfRule>
  </conditionalFormatting>
  <conditionalFormatting sqref="T24">
    <cfRule type="expression" dxfId="1200" priority="903">
      <formula>AND(OR(T23="(C)",T23="(B)",T23="(CB)",T23="(T)",T23="(G)"),T24="")</formula>
    </cfRule>
  </conditionalFormatting>
  <conditionalFormatting sqref="U24">
    <cfRule type="expression" dxfId="1199" priority="902">
      <formula>AND(OR(U23="(C)",U23="(B)",U23="(CB)",U23="(T)",U23="(G)"),U24="")</formula>
    </cfRule>
  </conditionalFormatting>
  <conditionalFormatting sqref="V24">
    <cfRule type="expression" dxfId="1198" priority="901">
      <formula>AND(OR(V23="(C)",V23="(B)",V23="(CB)",V23="(T)",V23="(G)"),V24="")</formula>
    </cfRule>
  </conditionalFormatting>
  <conditionalFormatting sqref="W24">
    <cfRule type="expression" dxfId="1197" priority="899">
      <formula>AND(OR(W23="(C)",W23="(B)",W23="(CB)",W23="(T)",W23="(G)"),W24="")</formula>
    </cfRule>
  </conditionalFormatting>
  <conditionalFormatting sqref="X24">
    <cfRule type="expression" dxfId="1196" priority="898">
      <formula>AND(OR(X23="(C)",X23="(B)",X23="(CB)",X23="(T)",X23="(G)"),X24="")</formula>
    </cfRule>
  </conditionalFormatting>
  <conditionalFormatting sqref="Y24">
    <cfRule type="expression" dxfId="1195" priority="897">
      <formula>AND(OR(Y23="(C)",Y23="(B)",Y23="(CB)",Y23="(T)",Y23="(G)"),Y24="")</formula>
    </cfRule>
  </conditionalFormatting>
  <conditionalFormatting sqref="Z24">
    <cfRule type="expression" dxfId="1194" priority="896">
      <formula>AND(OR(Z23="(C)",Z23="(B)",Z23="(CB)",Z23="(T)",Z23="(G)"),Z24="")</formula>
    </cfRule>
  </conditionalFormatting>
  <conditionalFormatting sqref="G28">
    <cfRule type="expression" dxfId="1193" priority="894">
      <formula>AND($E26 = "Java",$G28 &lt;&gt; "Stainless Steel")</formula>
    </cfRule>
  </conditionalFormatting>
  <conditionalFormatting sqref="N26">
    <cfRule type="expression" dxfId="1192" priority="891">
      <formula>OR(AND($M26&gt;1879,$E26="Antigua",$N26="Please Select"),(AND($M26&gt;1879,$E26="Antigua",$N26="No")),AND($M26&gt;1981,$E26="Bermuda",$N26="Please Select"),AND($M26&gt;1981,$E26="Bermuda",$N26="No"),AND($M26&gt;1981,$E26="Cuba",$N26="Please Select"),AND($M26&gt;1981,$E26="Cuba",$N26="No"),AND($M26&gt;1828.8,$E26="Java",$N26="Please Select"),AND($M26&gt;1828.8,$E26="Java",$N26="No"),AND($M26&gt;1981,$E26="Fiji",$N26="Please Select"),AND($M26&gt;1981,$E26="Fiji",$N26="No"),AND($M26&gt;2133,$E26="Samoa",$N26="Please Select"),AND($M26&gt;2133,$E26="Samoa",$N26="No"))</formula>
    </cfRule>
  </conditionalFormatting>
  <conditionalFormatting sqref="M26:M28">
    <cfRule type="expression" dxfId="1191" priority="890">
      <formula>OR(AND($M26&gt;=1,$M26&lt;=249,E26&lt;&gt;"Samoa"),AND($M26&gt;=1,$M26&lt;=304.8,E26="Samoa"))</formula>
    </cfRule>
    <cfRule type="expression" dxfId="1190" priority="895">
      <formula>OR(AND($E26&lt;&gt;"Samoa",$M26&gt;3000),AND($E26="Samoa",$M26&gt;3657))</formula>
    </cfRule>
  </conditionalFormatting>
  <conditionalFormatting sqref="Q28:AA28">
    <cfRule type="cellIs" dxfId="1189" priority="889" operator="greaterThan">
      <formula>""""""</formula>
    </cfRule>
  </conditionalFormatting>
  <conditionalFormatting sqref="I26:I28">
    <cfRule type="expression" dxfId="1188" priority="103">
      <formula>AND($D26="S/Shade",$I26&lt;&gt;"FFrame")</formula>
    </cfRule>
    <cfRule type="expression" dxfId="1187" priority="131">
      <formula>AND($D26&lt;&gt;"S/Shade",$I26="FFrame")</formula>
    </cfRule>
    <cfRule type="expression" dxfId="1186" priority="132">
      <formula>OR(AND($D26="Tracked",I26="M Track"),AND($D26="Tracked",$I26="Track and Board"),AND($D26="Tracked",$I26="Top Track Only"))</formula>
    </cfRule>
    <cfRule type="expression" dxfId="1185" priority="156">
      <formula>OR(AND($D26="Tracked",I26&lt;&gt;"M Track"),AND($D26="Tracked",$I26&lt;&gt;"Track and Board"),AND($D26="Tracked",$I26&lt;&gt;"Top Track Only"))</formula>
    </cfRule>
    <cfRule type="expression" dxfId="1184" priority="887">
      <formula>OR(AND($D26&lt;&gt;"Tracked",I26="M Track"),AND($D26&lt;&gt;"Tracked",$I26="Track and Board"),AND($D26&lt;&gt;"Tracked",$I26="Top Track Only"))</formula>
    </cfRule>
  </conditionalFormatting>
  <conditionalFormatting sqref="R27">
    <cfRule type="expression" dxfId="1183" priority="884">
      <formula>AND(OR(R26="(C)",R26="(B)",R26="(CB)",R26="(T)",R26="(G)"),R27="")</formula>
    </cfRule>
  </conditionalFormatting>
  <conditionalFormatting sqref="Q27">
    <cfRule type="expression" dxfId="1182" priority="883">
      <formula>AND(OR(Q26="(C)",Q26="(B)",Q26="(CB)",Q26="(T)",Q26="(G)"),Q27="")</formula>
    </cfRule>
  </conditionalFormatting>
  <conditionalFormatting sqref="S27">
    <cfRule type="expression" dxfId="1181" priority="882">
      <formula>AND(OR(S26="(C)",S26="(B)",S26="(CB)",S26="(T)",S26="(G)"),S27="")</formula>
    </cfRule>
  </conditionalFormatting>
  <conditionalFormatting sqref="T27">
    <cfRule type="expression" dxfId="1180" priority="881">
      <formula>AND(OR(T26="(C)",T26="(B)",T26="(CB)",T26="(T)",T26="(G)"),T27="")</formula>
    </cfRule>
  </conditionalFormatting>
  <conditionalFormatting sqref="U27">
    <cfRule type="expression" dxfId="1179" priority="880">
      <formula>AND(OR(U26="(C)",U26="(B)",U26="(CB)",U26="(T)",U26="(G)"),U27="")</formula>
    </cfRule>
  </conditionalFormatting>
  <conditionalFormatting sqref="V27">
    <cfRule type="expression" dxfId="1178" priority="879">
      <formula>AND(OR(V26="(C)",V26="(B)",V26="(CB)",V26="(T)",V26="(G)"),V27="")</formula>
    </cfRule>
  </conditionalFormatting>
  <conditionalFormatting sqref="W27">
    <cfRule type="expression" dxfId="1177" priority="878">
      <formula>AND(OR(W26="(C)",W26="(B)",W26="(CB)",W26="(T)",W26="(G)"),W27="")</formula>
    </cfRule>
  </conditionalFormatting>
  <conditionalFormatting sqref="X27">
    <cfRule type="expression" dxfId="1176" priority="876">
      <formula>AND(OR(X26="(C)",X26="(B)",X26="(CB)",X26="(T)",X26="(G)"),X27="")</formula>
    </cfRule>
  </conditionalFormatting>
  <conditionalFormatting sqref="Y27">
    <cfRule type="expression" dxfId="1175" priority="875">
      <formula>AND(OR(Y26="(C)",Y26="(B)",Y26="(CB)",Y26="(T)",Y26="(G)"),Y27="")</formula>
    </cfRule>
  </conditionalFormatting>
  <conditionalFormatting sqref="Z27">
    <cfRule type="expression" dxfId="1174" priority="874">
      <formula>AND(OR(Z26="(C)",Z26="(B)",Z26="(CB)",Z26="(T)",Z26="(G)"),Z27="")</formula>
    </cfRule>
  </conditionalFormatting>
  <conditionalFormatting sqref="G31">
    <cfRule type="expression" dxfId="1173" priority="872">
      <formula>AND($E29 = "Java",$G31 &lt;&gt; "Stainless Steel")</formula>
    </cfRule>
  </conditionalFormatting>
  <conditionalFormatting sqref="I29:I31">
    <cfRule type="expression" dxfId="1172" priority="100">
      <formula>AND($D29&lt;&gt;"S/Shade",$I29="FFrame")</formula>
    </cfRule>
    <cfRule type="expression" dxfId="1171" priority="101">
      <formula>AND($D29="S/Shade",$I29&lt;&gt;"FFrame")</formula>
    </cfRule>
    <cfRule type="expression" dxfId="1170" priority="140">
      <formula>OR(AND($D29="Tracked",I29="M Track"),AND($D29="Tracked",$I29="Track and Board"),AND($D29="Tracked",$I29="Top Track Only"))</formula>
    </cfRule>
    <cfRule type="expression" dxfId="1169" priority="870">
      <formula>OR(AND($D29="Tracked",I29&lt;&gt;"M Track"),AND($D29="Tracked",$I29&lt;&gt;"Track and Board"),AND($D29="Tracked",$I29&lt;&gt;"Top Track Only"))</formula>
    </cfRule>
    <cfRule type="expression" dxfId="1168" priority="871">
      <formula>OR(AND($D29&lt;&gt;"Tracked",I29="M Track"),AND($D29&lt;&gt;"Tracked",$I29="Track and Board"),AND($D29&lt;&gt;"Tracked",$I29="Top Track Only"))</formula>
    </cfRule>
  </conditionalFormatting>
  <conditionalFormatting sqref="N29">
    <cfRule type="expression" dxfId="1167" priority="869">
      <formula>OR(AND($M29&gt;1879,$E29="Antigua",$N29="Please Select"),(AND($M29&gt;1879,$E29="Antigua",$N29="No")),AND($M29&gt;1981,$E29="Bermuda",$N29="Please Select"),AND($M29&gt;1981,$E29="Bermuda",$N29="No"),AND($M29&gt;1981,$E29="Cuba",$N29="Please Select"),AND($M29&gt;1981,$E29="Cuba",$N29="No"),AND($M29&gt;1828.8,$E29="Java",$N29="Please Select"),AND($M29&gt;1828.8,$E29="Java",$N29="No"),AND($M29&gt;1981,$E29="Fiji",$N29="Please Select"),AND($M29&gt;1981,$E29="Fiji",$N29="No"),AND($M29&gt;2133,$E29="Samoa",$N29="Please Select"),AND($M29&gt;2133,$E29="Samoa",$N29="No"))</formula>
    </cfRule>
  </conditionalFormatting>
  <conditionalFormatting sqref="M29:M31">
    <cfRule type="expression" dxfId="1166" priority="868">
      <formula>OR(AND($M29&gt;=1,$M29&lt;=249,E29&lt;&gt;"Samoa"),AND($M29&gt;=1,$M29&lt;=304.8,E29="Samoa"))</formula>
    </cfRule>
    <cfRule type="expression" dxfId="1165" priority="873">
      <formula>OR(AND($E29&lt;&gt;"Samoa",$M29&gt;3000),AND($E29="Samoa",$M29&gt;3657))</formula>
    </cfRule>
  </conditionalFormatting>
  <conditionalFormatting sqref="Q31:AA31">
    <cfRule type="cellIs" dxfId="1164" priority="867" operator="greaterThan">
      <formula>""""""</formula>
    </cfRule>
  </conditionalFormatting>
  <conditionalFormatting sqref="R30">
    <cfRule type="expression" dxfId="1163" priority="862">
      <formula>AND(OR(R29="(C)",R29="(B)",R29="(CB)",R29="(T)",R29="(G)"),R30="")</formula>
    </cfRule>
  </conditionalFormatting>
  <conditionalFormatting sqref="Q30">
    <cfRule type="expression" dxfId="1162" priority="861">
      <formula>AND(OR(Q29="(C)",Q29="(B)",Q29="(CB)",Q29="(T)",Q29="(G)"),Q30="")</formula>
    </cfRule>
  </conditionalFormatting>
  <conditionalFormatting sqref="S30">
    <cfRule type="expression" dxfId="1161" priority="860">
      <formula>AND(OR(S29="(C)",S29="(B)",S29="(CB)",S29="(T)",S29="(G)"),S30="")</formula>
    </cfRule>
  </conditionalFormatting>
  <conditionalFormatting sqref="T30">
    <cfRule type="expression" dxfId="1160" priority="859">
      <formula>AND(OR(T29="(C)",T29="(B)",T29="(CB)",T29="(T)",T29="(G)"),T30="")</formula>
    </cfRule>
  </conditionalFormatting>
  <conditionalFormatting sqref="U30">
    <cfRule type="expression" dxfId="1159" priority="858">
      <formula>AND(OR(U29="(C)",U29="(B)",U29="(CB)",U29="(T)",U29="(G)"),U30="")</formula>
    </cfRule>
  </conditionalFormatting>
  <conditionalFormatting sqref="V30">
    <cfRule type="expression" dxfId="1158" priority="857">
      <formula>AND(OR(V29="(C)",V29="(B)",V29="(CB)",V29="(T)",V29="(G)"),V30="")</formula>
    </cfRule>
  </conditionalFormatting>
  <conditionalFormatting sqref="W30">
    <cfRule type="expression" dxfId="1157" priority="856">
      <formula>AND(OR(W29="(C)",W29="(B)",W29="(CB)",W29="(T)",W29="(G)"),W30="")</formula>
    </cfRule>
  </conditionalFormatting>
  <conditionalFormatting sqref="X30">
    <cfRule type="expression" dxfId="1156" priority="854">
      <formula>AND(OR(X29="(C)",X29="(B)",X29="(CB)",X29="(T)",X29="(G)"),X30="")</formula>
    </cfRule>
  </conditionalFormatting>
  <conditionalFormatting sqref="Y30">
    <cfRule type="expression" dxfId="1155" priority="853">
      <formula>AND(OR(Y29="(C)",Y29="(B)",Y29="(CB)",Y29="(T)",Y29="(G)"),Y30="")</formula>
    </cfRule>
  </conditionalFormatting>
  <conditionalFormatting sqref="Z30">
    <cfRule type="expression" dxfId="1154" priority="852">
      <formula>AND(OR(Z29="(C)",Z29="(B)",Z29="(CB)",Z29="(T)",Z29="(G)"),Z30="")</formula>
    </cfRule>
  </conditionalFormatting>
  <conditionalFormatting sqref="G34">
    <cfRule type="expression" dxfId="1153" priority="850">
      <formula>AND($E32 = "Java",$G34 &lt;&gt; "Stainless Steel")</formula>
    </cfRule>
  </conditionalFormatting>
  <conditionalFormatting sqref="I32:I34">
    <cfRule type="expression" dxfId="1152" priority="97">
      <formula>AND($D32&lt;&gt;"S/Shade",$I32="FFrame")</formula>
    </cfRule>
    <cfRule type="expression" dxfId="1151" priority="98">
      <formula>AND($D32="S/Shade",$I32&lt;&gt;"FFrame")</formula>
    </cfRule>
    <cfRule type="expression" dxfId="1150" priority="139">
      <formula>OR(AND($D32="Tracked",I32="M Track"),AND($D32="Tracked",$I32="Track and Board"),AND($D32="Tracked",$I32="Top Track Only"))</formula>
    </cfRule>
    <cfRule type="expression" dxfId="1149" priority="848">
      <formula>OR(AND($D32="Tracked",I32&lt;&gt;"M Track"),AND($D32="Tracked",$I32&lt;&gt;"Track and Board"),AND($D32="Tracked",$I32&lt;&gt;"Top Track Only"))</formula>
    </cfRule>
    <cfRule type="expression" dxfId="1148" priority="849">
      <formula>OR(AND($D32&lt;&gt;"Tracked",I32="M Track"),AND($D32&lt;&gt;"Tracked",$I32="Track and Board"),AND($D32&lt;&gt;"Tracked",$I32="Top Track Only"))</formula>
    </cfRule>
  </conditionalFormatting>
  <conditionalFormatting sqref="N32">
    <cfRule type="expression" dxfId="1147" priority="847">
      <formula>OR(AND($M32&gt;1879,$E32="Antigua",$N32="Please Select"),(AND($M32&gt;1879,$E32="Antigua",$N32="No")),AND($M32&gt;1981,$E32="Bermuda",$N32="Please Select"),AND($M32&gt;1981,$E32="Bermuda",$N32="No"),AND($M32&gt;1981,$E32="Cuba",$N32="Please Select"),AND($M32&gt;1981,$E32="Cuba",$N32="No"),AND($M32&gt;1828.8,$E32="Java",$N32="Please Select"),AND($M32&gt;1828.8,$E32="Java",$N32="No"),AND($M32&gt;1981,$E32="Fiji",$N32="Please Select"),AND($M32&gt;1981,$E32="Fiji",$N32="No"),AND($M32&gt;2133,$E32="Samoa",$N32="Please Select"),AND($M32&gt;2133,$E32="Samoa",$N32="No"))</formula>
    </cfRule>
  </conditionalFormatting>
  <conditionalFormatting sqref="M32:M34">
    <cfRule type="expression" dxfId="1146" priority="846">
      <formula>OR(AND($M32&gt;=1,$M32&lt;=249,E32&lt;&gt;"Samoa"),AND($M32&gt;=1,$M32&lt;=304.8,E32="Samoa"))</formula>
    </cfRule>
    <cfRule type="expression" dxfId="1145" priority="851">
      <formula>OR(AND($E32&lt;&gt;"Samoa",$M32&gt;3000),AND($E32="Samoa",$M32&gt;3657))</formula>
    </cfRule>
  </conditionalFormatting>
  <conditionalFormatting sqref="Q34:AA34">
    <cfRule type="cellIs" dxfId="1144" priority="845" operator="greaterThan">
      <formula>""""""</formula>
    </cfRule>
  </conditionalFormatting>
  <conditionalFormatting sqref="R33">
    <cfRule type="expression" dxfId="1143" priority="840">
      <formula>AND(OR(R32="(C)",R32="(B)",R32="(CB)",R32="(T)",R32="(G)"),R33="")</formula>
    </cfRule>
  </conditionalFormatting>
  <conditionalFormatting sqref="Q33">
    <cfRule type="expression" dxfId="1142" priority="839">
      <formula>AND(OR(Q32="(C)",Q32="(B)",Q32="(CB)",Q32="(T)",Q32="(G)"),Q33="")</formula>
    </cfRule>
  </conditionalFormatting>
  <conditionalFormatting sqref="S33">
    <cfRule type="expression" dxfId="1141" priority="838">
      <formula>AND(OR(S32="(C)",S32="(B)",S32="(CB)",S32="(T)",S32="(G)"),S33="")</formula>
    </cfRule>
  </conditionalFormatting>
  <conditionalFormatting sqref="T33">
    <cfRule type="expression" dxfId="1140" priority="837">
      <formula>AND(OR(T32="(C)",T32="(B)",T32="(CB)",T32="(T)",T32="(G)"),T33="")</formula>
    </cfRule>
  </conditionalFormatting>
  <conditionalFormatting sqref="U33">
    <cfRule type="expression" dxfId="1139" priority="836">
      <formula>AND(OR(U32="(C)",U32="(B)",U32="(CB)",U32="(T)",U32="(G)"),U33="")</formula>
    </cfRule>
  </conditionalFormatting>
  <conditionalFormatting sqref="V33">
    <cfRule type="expression" dxfId="1138" priority="835">
      <formula>AND(OR(V32="(C)",V32="(B)",V32="(CB)",V32="(T)",V32="(G)"),V33="")</formula>
    </cfRule>
  </conditionalFormatting>
  <conditionalFormatting sqref="W33">
    <cfRule type="expression" dxfId="1137" priority="834">
      <formula>AND(OR(W32="(C)",W32="(B)",W32="(CB)",W32="(T)",W32="(G)"),W33="")</formula>
    </cfRule>
  </conditionalFormatting>
  <conditionalFormatting sqref="X33">
    <cfRule type="expression" dxfId="1136" priority="832">
      <formula>AND(OR(X32="(C)",X32="(B)",X32="(CB)",X32="(T)",X32="(G)"),X33="")</formula>
    </cfRule>
  </conditionalFormatting>
  <conditionalFormatting sqref="Y33">
    <cfRule type="expression" dxfId="1135" priority="831">
      <formula>AND(OR(Y32="(C)",Y32="(B)",Y32="(CB)",Y32="(T)",Y32="(G)"),Y33="")</formula>
    </cfRule>
  </conditionalFormatting>
  <conditionalFormatting sqref="Z33">
    <cfRule type="expression" dxfId="1134" priority="830">
      <formula>AND(OR(Z32="(C)",Z32="(B)",Z32="(CB)",Z32="(T)",Z32="(G)"),Z33="")</formula>
    </cfRule>
  </conditionalFormatting>
  <conditionalFormatting sqref="G37">
    <cfRule type="expression" dxfId="1133" priority="828">
      <formula>AND($E35 = "Java",$G37 &lt;&gt; "Stainless Steel")</formula>
    </cfRule>
  </conditionalFormatting>
  <conditionalFormatting sqref="I35:I37">
    <cfRule type="expression" dxfId="1132" priority="94">
      <formula>AND($D35&lt;&gt;"S/Shade",$I35="FFrame")</formula>
    </cfRule>
    <cfRule type="expression" dxfId="1131" priority="95">
      <formula>AND($D35="S/Shade",$I35&lt;&gt;"FFrame")</formula>
    </cfRule>
    <cfRule type="expression" dxfId="1130" priority="138">
      <formula>OR(AND($D35="Tracked",I35="M Track"),AND($D35="Tracked",$I35="Track and Board"),AND($D35="Tracked",$I35="Top Track Only"))</formula>
    </cfRule>
    <cfRule type="expression" dxfId="1129" priority="826">
      <formula>OR(AND($D35="Tracked",I35&lt;&gt;"M Track"),AND($D35="Tracked",$I35&lt;&gt;"Track and Board"),AND($D35="Tracked",$I35&lt;&gt;"Top Track Only"))</formula>
    </cfRule>
    <cfRule type="expression" dxfId="1128" priority="827">
      <formula>OR(AND($D35&lt;&gt;"Tracked",I35="M Track"),AND($D35&lt;&gt;"Tracked",$I35="Track and Board"),AND($D35&lt;&gt;"Tracked",$I35="Top Track Only"))</formula>
    </cfRule>
  </conditionalFormatting>
  <conditionalFormatting sqref="N35">
    <cfRule type="expression" dxfId="1127" priority="825">
      <formula>OR(AND($M35&gt;1879,$E35="Antigua",$N35="Please Select"),(AND($M35&gt;1879,$E35="Antigua",$N35="No")),AND($M35&gt;1981,$E35="Bermuda",$N35="Please Select"),AND($M35&gt;1981,$E35="Bermuda",$N35="No"),AND($M35&gt;1981,$E35="Cuba",$N35="Please Select"),AND($M35&gt;1981,$E35="Cuba",$N35="No"),AND($M35&gt;1828.8,$E35="Java",$N35="Please Select"),AND($M35&gt;1828.8,$E35="Java",$N35="No"),AND($M35&gt;1981,$E35="Fiji",$N35="Please Select"),AND($M35&gt;1981,$E35="Fiji",$N35="No"),AND($M35&gt;2133,$E35="Samoa",$N35="Please Select"),AND($M35&gt;2133,$E35="Samoa",$N35="No"))</formula>
    </cfRule>
  </conditionalFormatting>
  <conditionalFormatting sqref="M35:M37">
    <cfRule type="expression" dxfId="1126" priority="824">
      <formula>OR(AND($M35&gt;=1,$M35&lt;=249,E35&lt;&gt;"Samoa"),AND($M35&gt;=1,$M35&lt;=304.8,E35="Samoa"))</formula>
    </cfRule>
    <cfRule type="expression" dxfId="1125" priority="829">
      <formula>OR(AND($E35&lt;&gt;"Samoa",$M35&gt;3000),AND($E35="Samoa",$M35&gt;3657))</formula>
    </cfRule>
  </conditionalFormatting>
  <conditionalFormatting sqref="Q37:AA37">
    <cfRule type="cellIs" dxfId="1124" priority="823" operator="greaterThan">
      <formula>""""""</formula>
    </cfRule>
  </conditionalFormatting>
  <conditionalFormatting sqref="R36">
    <cfRule type="expression" dxfId="1123" priority="818">
      <formula>AND(OR(R35="(C)",R35="(B)",R35="(CB)",R35="(T)",R35="(G)"),R36="")</formula>
    </cfRule>
  </conditionalFormatting>
  <conditionalFormatting sqref="Q36">
    <cfRule type="expression" dxfId="1122" priority="817">
      <formula>AND(OR(Q35="(C)",Q35="(B)",Q35="(CB)",Q35="(T)",Q35="(G)"),Q36="")</formula>
    </cfRule>
  </conditionalFormatting>
  <conditionalFormatting sqref="S36">
    <cfRule type="expression" dxfId="1121" priority="816">
      <formula>AND(OR(S35="(C)",S35="(B)",S35="(CB)",S35="(T)",S35="(G)"),S36="")</formula>
    </cfRule>
  </conditionalFormatting>
  <conditionalFormatting sqref="T36">
    <cfRule type="expression" dxfId="1120" priority="815">
      <formula>AND(OR(T35="(C)",T35="(B)",T35="(CB)",T35="(T)",T35="(G)"),T36="")</formula>
    </cfRule>
  </conditionalFormatting>
  <conditionalFormatting sqref="U36">
    <cfRule type="expression" dxfId="1119" priority="814">
      <formula>AND(OR(U35="(C)",U35="(B)",U35="(CB)",U35="(T)",U35="(G)"),U36="")</formula>
    </cfRule>
  </conditionalFormatting>
  <conditionalFormatting sqref="V36">
    <cfRule type="expression" dxfId="1118" priority="813">
      <formula>AND(OR(V35="(C)",V35="(B)",V35="(CB)",V35="(T)",V35="(G)"),V36="")</formula>
    </cfRule>
  </conditionalFormatting>
  <conditionalFormatting sqref="W36">
    <cfRule type="expression" dxfId="1117" priority="812">
      <formula>AND(OR(W35="(C)",W35="(B)",W35="(CB)",W35="(T)",W35="(G)"),W36="")</formula>
    </cfRule>
  </conditionalFormatting>
  <conditionalFormatting sqref="X36">
    <cfRule type="expression" dxfId="1116" priority="810">
      <formula>AND(OR(X35="(C)",X35="(B)",X35="(CB)",X35="(T)",X35="(G)"),X36="")</formula>
    </cfRule>
  </conditionalFormatting>
  <conditionalFormatting sqref="Y36">
    <cfRule type="expression" dxfId="1115" priority="809">
      <formula>AND(OR(Y35="(C)",Y35="(B)",Y35="(CB)",Y35="(T)",Y35="(G)"),Y36="")</formula>
    </cfRule>
  </conditionalFormatting>
  <conditionalFormatting sqref="Z36">
    <cfRule type="expression" dxfId="1114" priority="808">
      <formula>AND(OR(Z35="(C)",Z35="(B)",Z35="(CB)",Z35="(T)",Z35="(G)"),Z36="")</formula>
    </cfRule>
  </conditionalFormatting>
  <conditionalFormatting sqref="G40">
    <cfRule type="expression" dxfId="1113" priority="806">
      <formula>AND($E38 = "Java",$G40 &lt;&gt; "Stainless Steel")</formula>
    </cfRule>
  </conditionalFormatting>
  <conditionalFormatting sqref="I38:I40">
    <cfRule type="expression" dxfId="1112" priority="91">
      <formula>AND($D38&lt;&gt;"S/Shade",$I38="FFrame")</formula>
    </cfRule>
    <cfRule type="expression" dxfId="1111" priority="92">
      <formula>AND($D38="S/Shade",$I38&lt;&gt;"FFrame")</formula>
    </cfRule>
    <cfRule type="expression" dxfId="1110" priority="137">
      <formula>OR(AND($D38="Tracked",I38="M Track"),AND($D38="Tracked",$I38="Track and Board"),AND($D38="Tracked",$I38="Top Track Only"))</formula>
    </cfRule>
    <cfRule type="expression" dxfId="1109" priority="804">
      <formula>OR(AND($D38="Tracked",I38&lt;&gt;"M Track"),AND($D38="Tracked",$I38&lt;&gt;"Track and Board"),AND($D38="Tracked",$I38&lt;&gt;"Top Track Only"))</formula>
    </cfRule>
    <cfRule type="expression" dxfId="1108" priority="805">
      <formula>OR(AND($D38&lt;&gt;"Tracked",I38="M Track"),AND($D38&lt;&gt;"Tracked",$I38="Track and Board"),AND($D38&lt;&gt;"Tracked",$I38="Top Track Only"))</formula>
    </cfRule>
  </conditionalFormatting>
  <conditionalFormatting sqref="N38">
    <cfRule type="expression" dxfId="1107" priority="803">
      <formula>OR(AND($M38&gt;1879,$E38="Antigua",$N38="Please Select"),(AND($M38&gt;1879,$E38="Antigua",$N38="No")),AND($M38&gt;1981,$E38="Bermuda",$N38="Please Select"),AND($M38&gt;1981,$E38="Bermuda",$N38="No"),AND($M38&gt;1981,$E38="Cuba",$N38="Please Select"),AND($M38&gt;1981,$E38="Cuba",$N38="No"),AND($M38&gt;1828.8,$E38="Java",$N38="Please Select"),AND($M38&gt;1828.8,$E38="Java",$N38="No"),AND($M38&gt;1981,$E38="Fiji",$N38="Please Select"),AND($M38&gt;1981,$E38="Fiji",$N38="No"),AND($M38&gt;2133,$E38="Samoa",$N38="Please Select"),AND($M38&gt;2133,$E38="Samoa",$N38="No"))</formula>
    </cfRule>
  </conditionalFormatting>
  <conditionalFormatting sqref="M38:M40">
    <cfRule type="expression" dxfId="1106" priority="802">
      <formula>OR(AND($M38&gt;=1,$M38&lt;=249,E38&lt;&gt;"Samoa"),AND($M38&gt;=1,$M38&lt;=304.8,E38="Samoa"))</formula>
    </cfRule>
    <cfRule type="expression" dxfId="1105" priority="807">
      <formula>OR(AND($E38&lt;&gt;"Samoa",$M38&gt;3000),AND($E38="Samoa",$M38&gt;3657))</formula>
    </cfRule>
  </conditionalFormatting>
  <conditionalFormatting sqref="Q40:AA40">
    <cfRule type="cellIs" dxfId="1104" priority="801" operator="greaterThan">
      <formula>""""""</formula>
    </cfRule>
  </conditionalFormatting>
  <conditionalFormatting sqref="R39">
    <cfRule type="expression" dxfId="1103" priority="796">
      <formula>AND(OR(R38="(C)",R38="(B)",R38="(CB)",R38="(T)",R38="(G)"),R39="")</formula>
    </cfRule>
  </conditionalFormatting>
  <conditionalFormatting sqref="Q39">
    <cfRule type="expression" dxfId="1102" priority="795">
      <formula>AND(OR(Q38="(C)",Q38="(B)",Q38="(CB)",Q38="(T)",Q38="(G)"),Q39="")</formula>
    </cfRule>
  </conditionalFormatting>
  <conditionalFormatting sqref="S39">
    <cfRule type="expression" dxfId="1101" priority="794">
      <formula>AND(OR(S38="(C)",S38="(B)",S38="(CB)",S38="(T)",S38="(G)"),S39="")</formula>
    </cfRule>
  </conditionalFormatting>
  <conditionalFormatting sqref="T39">
    <cfRule type="expression" dxfId="1100" priority="793">
      <formula>AND(OR(T38="(C)",T38="(B)",T38="(CB)",T38="(T)",T38="(G)"),T39="")</formula>
    </cfRule>
  </conditionalFormatting>
  <conditionalFormatting sqref="U39">
    <cfRule type="expression" dxfId="1099" priority="792">
      <formula>AND(OR(U38="(C)",U38="(B)",U38="(CB)",U38="(T)",U38="(G)"),U39="")</formula>
    </cfRule>
  </conditionalFormatting>
  <conditionalFormatting sqref="V39">
    <cfRule type="expression" dxfId="1098" priority="791">
      <formula>AND(OR(V38="(C)",V38="(B)",V38="(CB)",V38="(T)",V38="(G)"),V39="")</formula>
    </cfRule>
  </conditionalFormatting>
  <conditionalFormatting sqref="W39">
    <cfRule type="expression" dxfId="1097" priority="790">
      <formula>AND(OR(W38="(C)",W38="(B)",W38="(CB)",W38="(T)",W38="(G)"),W39="")</formula>
    </cfRule>
  </conditionalFormatting>
  <conditionalFormatting sqref="X39">
    <cfRule type="expression" dxfId="1096" priority="788">
      <formula>AND(OR(X38="(C)",X38="(B)",X38="(CB)",X38="(T)",X38="(G)"),X39="")</formula>
    </cfRule>
  </conditionalFormatting>
  <conditionalFormatting sqref="Y39">
    <cfRule type="expression" dxfId="1095" priority="787">
      <formula>AND(OR(Y38="(C)",Y38="(B)",Y38="(CB)",Y38="(T)",Y38="(G)"),Y39="")</formula>
    </cfRule>
  </conditionalFormatting>
  <conditionalFormatting sqref="Z39">
    <cfRule type="expression" dxfId="1094" priority="786">
      <formula>AND(OR(Z38="(C)",Z38="(B)",Z38="(CB)",Z38="(T)",Z38="(G)"),Z39="")</formula>
    </cfRule>
  </conditionalFormatting>
  <conditionalFormatting sqref="G43">
    <cfRule type="expression" dxfId="1093" priority="784">
      <formula>AND($E41 = "Java",$G43 &lt;&gt; "Stainless Steel")</formula>
    </cfRule>
  </conditionalFormatting>
  <conditionalFormatting sqref="I41:I43">
    <cfRule type="expression" dxfId="1092" priority="88">
      <formula>AND($D41&lt;&gt;"S/Shade",$I41="FFrame")</formula>
    </cfRule>
    <cfRule type="expression" dxfId="1091" priority="89">
      <formula>AND($D41="S/Shade",$I41&lt;&gt;"FFrame")</formula>
    </cfRule>
    <cfRule type="expression" dxfId="1090" priority="136">
      <formula>OR(AND($D41="Tracked",I41="M Track"),AND($D41="Tracked",$I41="Track and Board"),AND($D41="Tracked",$I41="Top Track Only"))</formula>
    </cfRule>
    <cfRule type="expression" dxfId="1089" priority="782">
      <formula>OR(AND($D41="Tracked",I41&lt;&gt;"M Track"),AND($D41="Tracked",$I41&lt;&gt;"Track and Board"),AND($D41="Tracked",$I41&lt;&gt;"Top Track Only"))</formula>
    </cfRule>
    <cfRule type="expression" dxfId="1088" priority="783">
      <formula>OR(AND($D41&lt;&gt;"Tracked",I41="M Track"),AND($D41&lt;&gt;"Tracked",$I41="Track and Board"),AND($D41&lt;&gt;"Tracked",$I41="Top Track Only"))</formula>
    </cfRule>
  </conditionalFormatting>
  <conditionalFormatting sqref="N41">
    <cfRule type="expression" dxfId="1087" priority="781">
      <formula>OR(AND($M41&gt;1879,$E41="Antigua",$N41="Please Select"),(AND($M41&gt;1879,$E41="Antigua",$N41="No")),AND($M41&gt;1981,$E41="Bermuda",$N41="Please Select"),AND($M41&gt;1981,$E41="Bermuda",$N41="No"),AND($M41&gt;1981,$E41="Cuba",$N41="Please Select"),AND($M41&gt;1981,$E41="Cuba",$N41="No"),AND($M41&gt;1828.8,$E41="Java",$N41="Please Select"),AND($M41&gt;1828.8,$E41="Java",$N41="No"),AND($M41&gt;1981,$E41="Fiji",$N41="Please Select"),AND($M41&gt;1981,$E41="Fiji",$N41="No"),AND($M41&gt;2133,$E41="Samoa",$N41="Please Select"),AND($M41&gt;2133,$E41="Samoa",$N41="No"))</formula>
    </cfRule>
  </conditionalFormatting>
  <conditionalFormatting sqref="M41:M43">
    <cfRule type="expression" dxfId="1086" priority="780">
      <formula>OR(AND($M41&gt;=1,$M41&lt;=249,E41&lt;&gt;"Samoa"),AND($M41&gt;=1,$M41&lt;=304.8,E41="Samoa"))</formula>
    </cfRule>
    <cfRule type="expression" dxfId="1085" priority="785">
      <formula>OR(AND($E41&lt;&gt;"Samoa",$M41&gt;3000),AND($E41="Samoa",$M41&gt;3657))</formula>
    </cfRule>
  </conditionalFormatting>
  <conditionalFormatting sqref="Q43:AA43">
    <cfRule type="cellIs" dxfId="1084" priority="779" operator="greaterThan">
      <formula>""""""</formula>
    </cfRule>
  </conditionalFormatting>
  <conditionalFormatting sqref="R42">
    <cfRule type="expression" dxfId="1083" priority="774">
      <formula>AND(OR(R41="(C)",R41="(B)",R41="(CB)",R41="(T)",R41="(G)"),R42="")</formula>
    </cfRule>
  </conditionalFormatting>
  <conditionalFormatting sqref="Q42">
    <cfRule type="expression" dxfId="1082" priority="773">
      <formula>AND(OR(Q41="(C)",Q41="(B)",Q41="(CB)",Q41="(T)",Q41="(G)"),Q42="")</formula>
    </cfRule>
  </conditionalFormatting>
  <conditionalFormatting sqref="S42">
    <cfRule type="expression" dxfId="1081" priority="772">
      <formula>AND(OR(S41="(C)",S41="(B)",S41="(CB)",S41="(T)",S41="(G)"),S42="")</formula>
    </cfRule>
  </conditionalFormatting>
  <conditionalFormatting sqref="T42">
    <cfRule type="expression" dxfId="1080" priority="771">
      <formula>AND(OR(T41="(C)",T41="(B)",T41="(CB)",T41="(T)",T41="(G)"),T42="")</formula>
    </cfRule>
  </conditionalFormatting>
  <conditionalFormatting sqref="U42">
    <cfRule type="expression" dxfId="1079" priority="770">
      <formula>AND(OR(U41="(C)",U41="(B)",U41="(CB)",U41="(T)",U41="(G)"),U42="")</formula>
    </cfRule>
  </conditionalFormatting>
  <conditionalFormatting sqref="V42">
    <cfRule type="expression" dxfId="1078" priority="769">
      <formula>AND(OR(V41="(C)",V41="(B)",V41="(CB)",V41="(T)",V41="(G)"),V42="")</formula>
    </cfRule>
  </conditionalFormatting>
  <conditionalFormatting sqref="W42">
    <cfRule type="expression" dxfId="1077" priority="768">
      <formula>AND(OR(W41="(C)",W41="(B)",W41="(CB)",W41="(T)",W41="(G)"),W42="")</formula>
    </cfRule>
  </conditionalFormatting>
  <conditionalFormatting sqref="X42">
    <cfRule type="expression" dxfId="1076" priority="766">
      <formula>AND(OR(X41="(C)",X41="(B)",X41="(CB)",X41="(T)",X41="(G)"),X42="")</formula>
    </cfRule>
  </conditionalFormatting>
  <conditionalFormatting sqref="Y42">
    <cfRule type="expression" dxfId="1075" priority="765">
      <formula>AND(OR(Y41="(C)",Y41="(B)",Y41="(CB)",Y41="(T)",Y41="(G)"),Y42="")</formula>
    </cfRule>
  </conditionalFormatting>
  <conditionalFormatting sqref="Z42">
    <cfRule type="expression" dxfId="1074" priority="764">
      <formula>AND(OR(Z41="(C)",Z41="(B)",Z41="(CB)",Z41="(T)",Z41="(G)"),Z42="")</formula>
    </cfRule>
  </conditionalFormatting>
  <conditionalFormatting sqref="G46">
    <cfRule type="expression" dxfId="1073" priority="762">
      <formula>AND($E44 = "Java",$G46 &lt;&gt; "Stainless Steel")</formula>
    </cfRule>
  </conditionalFormatting>
  <conditionalFormatting sqref="I44:I46">
    <cfRule type="expression" dxfId="1072" priority="85">
      <formula>AND($D44&lt;&gt;"S/Shade",$I44="FFrame")</formula>
    </cfRule>
    <cfRule type="expression" dxfId="1071" priority="86">
      <formula>AND($D44="S/Shade",$I44&lt;&gt;"FFrame")</formula>
    </cfRule>
    <cfRule type="expression" dxfId="1070" priority="135">
      <formula>" =OR(AND($D44=""Tracked"",I44=""M Track""),AND($D44=""Tracked"",$I44=""Track and Board""),AND($D44=""Tracked"",$I44=""Top Track Only""))"</formula>
    </cfRule>
    <cfRule type="expression" dxfId="1069" priority="760">
      <formula>OR(AND($D44="Tracked",I44&lt;&gt;"M Track"),AND($D44="Tracked",$I44&lt;&gt;"Track and Board"),AND($D44="Tracked",$I44&lt;&gt;"Top Track Only"))</formula>
    </cfRule>
    <cfRule type="expression" dxfId="1068" priority="761">
      <formula>OR(AND($D44&lt;&gt;"Tracked",I44="M Track"),AND($D44&lt;&gt;"Tracked",$I44="Track and Board"),AND($D44&lt;&gt;"Tracked",$I44="Top Track Only"))</formula>
    </cfRule>
  </conditionalFormatting>
  <conditionalFormatting sqref="N44">
    <cfRule type="expression" dxfId="1067" priority="759">
      <formula>OR(AND($M44&gt;1879,$E44="Antigua",$N44="Please Select"),(AND($M44&gt;1879,$E44="Antigua",$N44="No")),AND($M44&gt;1981,$E44="Bermuda",$N44="Please Select"),AND($M44&gt;1981,$E44="Bermuda",$N44="No"),AND($M44&gt;1981,$E44="Cuba",$N44="Please Select"),AND($M44&gt;1981,$E44="Cuba",$N44="No"),AND($M44&gt;1828.8,$E44="Java",$N44="Please Select"),AND($M44&gt;1828.8,$E44="Java",$N44="No"),AND($M44&gt;1981,$E44="Fiji",$N44="Please Select"),AND($M44&gt;1981,$E44="Fiji",$N44="No"),AND($M44&gt;2133,$E44="Samoa",$N44="Please Select"),AND($M44&gt;2133,$E44="Samoa",$N44="No"))</formula>
    </cfRule>
  </conditionalFormatting>
  <conditionalFormatting sqref="M44:M46">
    <cfRule type="expression" dxfId="1066" priority="758">
      <formula>OR(AND($M44&gt;=1,$M44&lt;=249,E44&lt;&gt;"Samoa"),AND($M44&gt;=1,$M44&lt;=304.8,E44="Samoa"))</formula>
    </cfRule>
    <cfRule type="expression" dxfId="1065" priority="763">
      <formula>OR(AND($E44&lt;&gt;"Samoa",$M44&gt;3000),AND($E44="Samoa",$M44&gt;3657))</formula>
    </cfRule>
  </conditionalFormatting>
  <conditionalFormatting sqref="Q46:AA46">
    <cfRule type="cellIs" dxfId="1064" priority="757" operator="greaterThan">
      <formula>""""""</formula>
    </cfRule>
  </conditionalFormatting>
  <conditionalFormatting sqref="R45">
    <cfRule type="expression" dxfId="1063" priority="752">
      <formula>AND(OR(R44="(C)",R44="(B)",R44="(CB)",R44="(T)",R44="(G)"),R45="")</formula>
    </cfRule>
  </conditionalFormatting>
  <conditionalFormatting sqref="Q45">
    <cfRule type="expression" dxfId="1062" priority="751">
      <formula>AND(OR(Q44="(C)",Q44="(B)",Q44="(CB)",Q44="(T)",Q44="(G)"),Q45="")</formula>
    </cfRule>
  </conditionalFormatting>
  <conditionalFormatting sqref="S45">
    <cfRule type="expression" dxfId="1061" priority="750">
      <formula>AND(OR(S44="(C)",S44="(B)",S44="(CB)",S44="(T)",S44="(G)"),S45="")</formula>
    </cfRule>
  </conditionalFormatting>
  <conditionalFormatting sqref="T45">
    <cfRule type="expression" dxfId="1060" priority="749">
      <formula>AND(OR(T44="(C)",T44="(B)",T44="(CB)",T44="(T)",T44="(G)"),T45="")</formula>
    </cfRule>
  </conditionalFormatting>
  <conditionalFormatting sqref="U45">
    <cfRule type="expression" dxfId="1059" priority="748">
      <formula>AND(OR(U44="(C)",U44="(B)",U44="(CB)",U44="(T)",U44="(G)"),U45="")</formula>
    </cfRule>
  </conditionalFormatting>
  <conditionalFormatting sqref="V45">
    <cfRule type="expression" dxfId="1058" priority="747">
      <formula>AND(OR(V44="(C)",V44="(B)",V44="(CB)",V44="(T)",V44="(G)"),V45="")</formula>
    </cfRule>
  </conditionalFormatting>
  <conditionalFormatting sqref="W45">
    <cfRule type="expression" dxfId="1057" priority="745">
      <formula>AND(OR(W44="(C)",W44="(B)",W44="(CB)",W44="(T)",W44="(G)"),W45="")</formula>
    </cfRule>
    <cfRule type="expression" dxfId="1056" priority="746">
      <formula>AND(OR(W44="(C)",W44="(B)",W44="(CB)",W44="(T)",W44="(G)"),W45="")</formula>
    </cfRule>
  </conditionalFormatting>
  <conditionalFormatting sqref="X45">
    <cfRule type="expression" dxfId="1055" priority="744">
      <formula>AND(OR(X44="(C)",X44="(B)",X44="(CB)",X44="(T)",X44="(G)"),X45="")</formula>
    </cfRule>
  </conditionalFormatting>
  <conditionalFormatting sqref="Y45">
    <cfRule type="expression" dxfId="1054" priority="743">
      <formula>AND(OR(Y44="(C)",Y44="(B)",Y44="(CB)",Y44="(T)",Y44="(G)"),Y45="")</formula>
    </cfRule>
  </conditionalFormatting>
  <conditionalFormatting sqref="Z45">
    <cfRule type="expression" dxfId="1053" priority="742">
      <formula>AND(OR(Z44="(C)",Z44="(B)",Z44="(CB)",Z44="(T)",Z44="(G)"),Z45="")</formula>
    </cfRule>
  </conditionalFormatting>
  <conditionalFormatting sqref="G49">
    <cfRule type="expression" dxfId="1052" priority="740">
      <formula>AND($E47 = "Java",$G49 &lt;&gt; "Stainless Steel")</formula>
    </cfRule>
  </conditionalFormatting>
  <conditionalFormatting sqref="I47:I49">
    <cfRule type="expression" dxfId="1051" priority="82">
      <formula>AND($D47&lt;&gt;"S/Shade",$I47="FFrame")</formula>
    </cfRule>
    <cfRule type="expression" dxfId="1050" priority="83">
      <formula>AND($D47="S/Shade",$I47&lt;&gt;"FFrame")</formula>
    </cfRule>
    <cfRule type="expression" dxfId="1049" priority="134">
      <formula>OR(AND($D47="Tracked",I47="M Track"),AND($D47="Tracked",$I47="Track and Board"),AND($D47="Tracked",$I47="Top Track Only"))</formula>
    </cfRule>
    <cfRule type="expression" dxfId="1048" priority="738">
      <formula>OR(AND($D47="Tracked",I47&lt;&gt;"M Track"),AND($D47="Tracked",$I47&lt;&gt;"Track and Board"),AND($D47="Tracked",$I47&lt;&gt;"Top Track Only"))</formula>
    </cfRule>
    <cfRule type="expression" dxfId="1047" priority="739">
      <formula>OR(AND($D47&lt;&gt;"Tracked",I47="M Track"),AND($D47&lt;&gt;"Tracked",$I47="Track and Board"),AND($D47&lt;&gt;"Tracked",$I47="Top Track Only"))</formula>
    </cfRule>
  </conditionalFormatting>
  <conditionalFormatting sqref="N47">
    <cfRule type="expression" dxfId="1046" priority="737">
      <formula>OR(AND($M47&gt;1879,$E47="Antigua",$N47="Please Select"),(AND($M47&gt;1879,$E47="Antigua",$N47="No")),AND($M47&gt;1981,$E47="Bermuda",$N47="Please Select"),AND($M47&gt;1981,$E47="Bermuda",$N47="No"),AND($M47&gt;1981,$E47="Cuba",$N47="Please Select"),AND($M47&gt;1981,$E47="Cuba",$N47="No"),AND($M47&gt;1828.8,$E47="Java",$N47="Please Select"),AND($M47&gt;1828.8,$E47="Java",$N47="No"),AND($M47&gt;1981,$E47="Fiji",$N47="Please Select"),AND($M47&gt;1981,$E47="Fiji",$N47="No"),AND($M47&gt;2133,$E47="Samoa",$N47="Please Select"),AND($M47&gt;2133,$E47="Samoa",$N47="No"))</formula>
    </cfRule>
  </conditionalFormatting>
  <conditionalFormatting sqref="M47:M49">
    <cfRule type="expression" dxfId="1045" priority="736">
      <formula>OR(AND($M47&gt;=1,$M47&lt;=249,E47&lt;&gt;"Samoa"),AND($M47&gt;=1,$M47&lt;=304.8,E47="Samoa"))</formula>
    </cfRule>
    <cfRule type="expression" dxfId="1044" priority="741">
      <formula>OR(AND($E47&lt;&gt;"Samoa",$M47&gt;3000),AND($E47="Samoa",$M47&gt;3657))</formula>
    </cfRule>
  </conditionalFormatting>
  <conditionalFormatting sqref="Q49:AA49">
    <cfRule type="cellIs" dxfId="1043" priority="735" operator="greaterThan">
      <formula>""""""</formula>
    </cfRule>
  </conditionalFormatting>
  <conditionalFormatting sqref="R48">
    <cfRule type="expression" dxfId="1042" priority="730">
      <formula>AND(OR(R47="(C)",R47="(B)",R47="(CB)",R47="(T)",R47="(G)"),R48="")</formula>
    </cfRule>
  </conditionalFormatting>
  <conditionalFormatting sqref="Q48">
    <cfRule type="expression" dxfId="1041" priority="729">
      <formula>AND(OR(Q47="(C)",Q47="(B)",Q47="(CB)",Q47="(T)",Q47="(G)"),Q48="")</formula>
    </cfRule>
  </conditionalFormatting>
  <conditionalFormatting sqref="S48">
    <cfRule type="expression" dxfId="1040" priority="728">
      <formula>AND(OR(S47="(C)",S47="(B)",S47="(CB)",S47="(T)",S47="(G)"),S48="")</formula>
    </cfRule>
  </conditionalFormatting>
  <conditionalFormatting sqref="T48">
    <cfRule type="expression" dxfId="1039" priority="727">
      <formula>AND(OR(T47="(C)",T47="(B)",T47="(CB)",T47="(T)",T47="(G)"),T48="")</formula>
    </cfRule>
  </conditionalFormatting>
  <conditionalFormatting sqref="U48">
    <cfRule type="expression" dxfId="1038" priority="726">
      <formula>AND(OR(U47="(C)",U47="(B)",U47="(CB)",U47="(T)",U47="(G)"),U48="")</formula>
    </cfRule>
  </conditionalFormatting>
  <conditionalFormatting sqref="V48">
    <cfRule type="expression" dxfId="1037" priority="725">
      <formula>AND(OR(V47="(C)",V47="(B)",V47="(CB)",V47="(T)",V47="(G)"),V48="")</formula>
    </cfRule>
  </conditionalFormatting>
  <conditionalFormatting sqref="W48">
    <cfRule type="expression" dxfId="1036" priority="724">
      <formula>AND(OR(W47="(C)",W47="(B)",W47="(CB)",W47="(T)",W47="(G)"),W48="")</formula>
    </cfRule>
  </conditionalFormatting>
  <conditionalFormatting sqref="X48">
    <cfRule type="expression" dxfId="1035" priority="722">
      <formula>AND(OR(X47="(C)",X47="(B)",X47="(CB)",X47="(T)",X47="(G)"),X48="")</formula>
    </cfRule>
  </conditionalFormatting>
  <conditionalFormatting sqref="Y48">
    <cfRule type="expression" dxfId="1034" priority="721">
      <formula>AND(OR(Y47="(C)",Y47="(B)",Y47="(CB)",Y47="(T)",Y47="(G)"),Y48="")</formula>
    </cfRule>
  </conditionalFormatting>
  <conditionalFormatting sqref="Z48">
    <cfRule type="expression" dxfId="1033" priority="720">
      <formula>AND(OR(Z47="(C)",Z47="(B)",Z47="(CB)",Z47="(T)",Z47="(G)"),Z48="")</formula>
    </cfRule>
  </conditionalFormatting>
  <conditionalFormatting sqref="G52">
    <cfRule type="expression" dxfId="1032" priority="718">
      <formula>AND($E50 = "Java",$G52 &lt;&gt; "Stainless Steel")</formula>
    </cfRule>
  </conditionalFormatting>
  <conditionalFormatting sqref="I50:I52">
    <cfRule type="expression" dxfId="1031" priority="79">
      <formula>AND($D50&lt;&gt;"S/Shade",$I50="FFrame")</formula>
    </cfRule>
    <cfRule type="expression" dxfId="1030" priority="80">
      <formula>AND($D50="S/Shade",$I50&lt;&gt;"FFrame")</formula>
    </cfRule>
    <cfRule type="expression" dxfId="1029" priority="148">
      <formula>OR(AND($D50="Tracked",I50="M Track"),AND($D50="Tracked",$I50="Track and Board"),AND($D50="Tracked",$I50="Top Track Only"))</formula>
    </cfRule>
    <cfRule type="expression" dxfId="1028" priority="716">
      <formula>OR(AND($D50="Tracked",I50&lt;&gt;"M Track"),AND($D50="Tracked",$I50&lt;&gt;"Track and Board"),AND($D50="Tracked",$I50&lt;&gt;"Top Track Only"))</formula>
    </cfRule>
    <cfRule type="expression" dxfId="1027" priority="717">
      <formula>OR(AND($D50&lt;&gt;"Tracked",I50="M Track"),AND($D50&lt;&gt;"Tracked",$I50="Track and Board"),AND($D50&lt;&gt;"Tracked",$I50="Top Track Only"))</formula>
    </cfRule>
  </conditionalFormatting>
  <conditionalFormatting sqref="N50">
    <cfRule type="expression" dxfId="1026" priority="715">
      <formula>OR(AND($M50&gt;1879,$E50="Antigua",$N50="Please Select"),(AND($M50&gt;1879,$E50="Antigua",$N50="No")),AND($M50&gt;1981,$E50="Bermuda",$N50="Please Select"),AND($M50&gt;1981,$E50="Bermuda",$N50="No"),AND($M50&gt;1981,$E50="Cuba",$N50="Please Select"),AND($M50&gt;1981,$E50="Cuba",$N50="No"),AND($M50&gt;1828.8,$E50="Java",$N50="Please Select"),AND($M50&gt;1828.8,$E50="Java",$N50="No"),AND($M50&gt;1981,$E50="Fiji",$N50="Please Select"),AND($M50&gt;1981,$E50="Fiji",$N50="No"),AND($M50&gt;2133,$E50="Samoa",$N50="Please Select"),AND($M50&gt;2133,$E50="Samoa",$N50="No"))</formula>
    </cfRule>
  </conditionalFormatting>
  <conditionalFormatting sqref="M50:M52">
    <cfRule type="expression" dxfId="1025" priority="714">
      <formula>OR(AND($M50&gt;=1,$M50&lt;=249,E50&lt;&gt;"Samoa"),AND($M50&gt;=1,$M50&lt;=304.8,E50="Samoa"))</formula>
    </cfRule>
    <cfRule type="expression" dxfId="1024" priority="719">
      <formula>OR(AND($E50&lt;&gt;"Samoa",$M50&gt;3000),AND($E50="Samoa",$M50&gt;3657))</formula>
    </cfRule>
  </conditionalFormatting>
  <conditionalFormatting sqref="Q52:AA52">
    <cfRule type="cellIs" dxfId="1023" priority="713" operator="greaterThan">
      <formula>""""""</formula>
    </cfRule>
  </conditionalFormatting>
  <conditionalFormatting sqref="R51">
    <cfRule type="expression" dxfId="1022" priority="708">
      <formula>AND(OR(R50="(C)",R50="(B)",R50="(CB)",R50="(T)",R50="(G)"),R51="")</formula>
    </cfRule>
  </conditionalFormatting>
  <conditionalFormatting sqref="Q51">
    <cfRule type="expression" dxfId="1021" priority="707">
      <formula>AND(OR(Q50="(C)",Q50="(B)",Q50="(CB)",Q50="(T)",Q50="(G)"),Q51="")</formula>
    </cfRule>
  </conditionalFormatting>
  <conditionalFormatting sqref="S51">
    <cfRule type="expression" dxfId="1020" priority="706">
      <formula>AND(OR(S50="(C)",S50="(B)",S50="(CB)",S50="(T)",S50="(G)"),S51="")</formula>
    </cfRule>
  </conditionalFormatting>
  <conditionalFormatting sqref="T51">
    <cfRule type="expression" dxfId="1019" priority="705">
      <formula>AND(OR(T50="(C)",T50="(B)",T50="(CB)",T50="(T)",T50="(G)"),T51="")</formula>
    </cfRule>
  </conditionalFormatting>
  <conditionalFormatting sqref="U51">
    <cfRule type="expression" dxfId="1018" priority="704">
      <formula>AND(OR(U50="(C)",U50="(B)",U50="(CB)",U50="(T)",U50="(G)"),U51="")</formula>
    </cfRule>
  </conditionalFormatting>
  <conditionalFormatting sqref="V51">
    <cfRule type="expression" dxfId="1017" priority="703">
      <formula>AND(OR(V50="(C)",V50="(B)",V50="(CB)",V50="(T)",V50="(G)"),V51="")</formula>
    </cfRule>
  </conditionalFormatting>
  <conditionalFormatting sqref="W51">
    <cfRule type="expression" dxfId="1016" priority="701">
      <formula>AND(OR(W50="(C)",W50="(B)",W50="(CB)",W50="(T)",W50="(G)"),W51="")</formula>
    </cfRule>
    <cfRule type="expression" dxfId="1015" priority="702">
      <formula>AND(OR(W50="(C)",W50="(B)",W50="(CB)",W50="(T)",W50="(G)"),W51="")</formula>
    </cfRule>
  </conditionalFormatting>
  <conditionalFormatting sqref="X51">
    <cfRule type="expression" dxfId="1014" priority="700">
      <formula>AND(OR(X50="(C)",X50="(B)",X50="(CB)",X50="(T)",X50="(G)"),X51="")</formula>
    </cfRule>
  </conditionalFormatting>
  <conditionalFormatting sqref="Y51">
    <cfRule type="expression" dxfId="1013" priority="699">
      <formula>AND(OR(Y50="(C)",Y50="(B)",Y50="(CB)",Y50="(T)",Y50="(G)"),Y51="")</formula>
    </cfRule>
  </conditionalFormatting>
  <conditionalFormatting sqref="Z51">
    <cfRule type="expression" dxfId="1012" priority="698">
      <formula>AND(OR(Z50="(C)",Z50="(B)",Z50="(CB)",Z50="(T)",Z50="(G)"),Z51="")</formula>
    </cfRule>
  </conditionalFormatting>
  <conditionalFormatting sqref="L8">
    <cfRule type="expression" dxfId="1011" priority="544">
      <formula>IF($L$8="","",AND($L$8&gt;=1,$L$8&lt;152))</formula>
    </cfRule>
    <cfRule type="expression" dxfId="1010" priority="1017">
      <formula>AND(E8="Samoa",L8&lt;152.4)</formula>
    </cfRule>
  </conditionalFormatting>
  <conditionalFormatting sqref="L14:L16">
    <cfRule type="expression" dxfId="1009" priority="197">
      <formula>IF($L$14="","",AND($L$14&gt;=1,$L$14&lt;152))</formula>
    </cfRule>
    <cfRule type="expression" dxfId="1008" priority="370">
      <formula>AND(E14="Samoa",L14&lt;152.4)</formula>
    </cfRule>
  </conditionalFormatting>
  <conditionalFormatting sqref="L17:L19">
    <cfRule type="expression" dxfId="1007" priority="196">
      <formula>IF($L$17="","",AND($L$17&gt;=1,$L$17&lt;152))</formula>
    </cfRule>
    <cfRule type="expression" dxfId="1006" priority="363">
      <formula>AND(E17="Samoa",L17&lt;152.4)</formula>
    </cfRule>
  </conditionalFormatting>
  <conditionalFormatting sqref="L23:L25">
    <cfRule type="expression" dxfId="1005" priority="348">
      <formula>IF($L$23="","",AND($L$23&gt;=1,$L$23&lt;152))</formula>
    </cfRule>
  </conditionalFormatting>
  <conditionalFormatting sqref="L26:L28">
    <cfRule type="expression" dxfId="1004" priority="326">
      <formula>IF($L$26="","",AND($L$26&gt;=1,$L$26&lt;152))</formula>
    </cfRule>
  </conditionalFormatting>
  <conditionalFormatting sqref="L29:L31">
    <cfRule type="expression" dxfId="1003" priority="320">
      <formula>IF($L$29="","",AND($L$29&gt;=1,$L$29&lt;152))</formula>
    </cfRule>
  </conditionalFormatting>
  <conditionalFormatting sqref="L32:L34">
    <cfRule type="expression" dxfId="1002" priority="308">
      <formula>IF($L$32="","",AND($L$32&gt;=1,$L$32&lt;152))</formula>
    </cfRule>
  </conditionalFormatting>
  <conditionalFormatting sqref="L35:L37">
    <cfRule type="expression" dxfId="1001" priority="287">
      <formula>IF($L$35="","",AND($L$35&gt;=1,$L$35&lt;152))</formula>
    </cfRule>
  </conditionalFormatting>
  <conditionalFormatting sqref="L41:L43">
    <cfRule type="expression" dxfId="1000" priority="280">
      <formula>IF($L$41="","",AND($L$41&gt;=1,$L$41&lt;152))</formula>
    </cfRule>
  </conditionalFormatting>
  <conditionalFormatting sqref="L44:L46">
    <cfRule type="expression" dxfId="999" priority="273">
      <formula>IF($L$44="","",AND($L$44&gt;=1,$L$44&lt;152))</formula>
    </cfRule>
  </conditionalFormatting>
  <conditionalFormatting sqref="L47:L49">
    <cfRule type="expression" dxfId="998" priority="259">
      <formula>IF($L$47="","",AND($L$47&gt;=1,$L$47&lt;152))</formula>
    </cfRule>
  </conditionalFormatting>
  <conditionalFormatting sqref="L50:L52">
    <cfRule type="expression" dxfId="997" priority="245">
      <formula>IF($L$50="","",AND($L$50&gt;=1,$L$50&lt;152))</formula>
    </cfRule>
  </conditionalFormatting>
  <conditionalFormatting sqref="L20:L22">
    <cfRule type="expression" dxfId="996" priority="356">
      <formula>IF($L$20="","",AND($L$20&gt;=1,$L$20&lt;152))</formula>
    </cfRule>
  </conditionalFormatting>
  <conditionalFormatting sqref="C11:AE13">
    <cfRule type="expression" dxfId="995" priority="125">
      <formula>$AD$11="Quoted"</formula>
    </cfRule>
  </conditionalFormatting>
  <conditionalFormatting sqref="C14:AE16">
    <cfRule type="expression" dxfId="994" priority="122">
      <formula>$AD$14="Quoted"</formula>
    </cfRule>
  </conditionalFormatting>
  <conditionalFormatting sqref="C17:C19 K17:AE19">
    <cfRule type="expression" dxfId="993" priority="110">
      <formula>$AD$17="Quoted"</formula>
    </cfRule>
  </conditionalFormatting>
  <conditionalFormatting sqref="C20:C22 K20:AE22">
    <cfRule type="expression" dxfId="992" priority="107">
      <formula>$AD$20="Quoted"</formula>
    </cfRule>
  </conditionalFormatting>
  <conditionalFormatting sqref="AD23:AD24 C23:C25 K25:AD25 K24:AA24 K23:AC23">
    <cfRule type="expression" dxfId="991" priority="104">
      <formula>$AD$23="Quoted"</formula>
    </cfRule>
  </conditionalFormatting>
  <conditionalFormatting sqref="C26:AC26 C27:AA27 AD26:AD27 C28:AD28">
    <cfRule type="expression" dxfId="990" priority="102">
      <formula>$AD$26="Quoted"</formula>
    </cfRule>
  </conditionalFormatting>
  <conditionalFormatting sqref="C29:AC29 C30:AA30 AD29:AD30 C31:AD31">
    <cfRule type="expression" dxfId="989" priority="99">
      <formula>$AD$29="Quoted"</formula>
    </cfRule>
  </conditionalFormatting>
  <conditionalFormatting sqref="C32:AC32 C33:AA33 AD32:AD33 C34:AD34">
    <cfRule type="expression" dxfId="988" priority="96">
      <formula>$AD$32="Quoted"</formula>
    </cfRule>
  </conditionalFormatting>
  <conditionalFormatting sqref="C35:AC35 C36:AA36 AD35:AD36 C37:AD37">
    <cfRule type="expression" dxfId="987" priority="93">
      <formula>$AD$35="Quoted"</formula>
    </cfRule>
  </conditionalFormatting>
  <conditionalFormatting sqref="C38:AC38 C39:AA39 AD38:AD39 C40:AD40">
    <cfRule type="expression" dxfId="986" priority="90">
      <formula>$AD$38="Quoted"</formula>
    </cfRule>
  </conditionalFormatting>
  <conditionalFormatting sqref="C41:AC41 C42:AA42 AD41:AD42 C43:AD43">
    <cfRule type="expression" dxfId="985" priority="87">
      <formula>$AD$41="Quoted"</formula>
    </cfRule>
  </conditionalFormatting>
  <conditionalFormatting sqref="C44:AC44 C45:AA45 AD44:AD45 C46:AD46">
    <cfRule type="expression" dxfId="984" priority="84">
      <formula>$AD$44="Quoted"</formula>
    </cfRule>
  </conditionalFormatting>
  <conditionalFormatting sqref="C47:AC47 C48:AA48 AD47:AD48 C49:AD49">
    <cfRule type="expression" dxfId="983" priority="81">
      <formula>$AD$47="Quoted"</formula>
    </cfRule>
  </conditionalFormatting>
  <conditionalFormatting sqref="C50:AC50 C51:AA51 AD50:AD51 C52:AD52">
    <cfRule type="expression" dxfId="982" priority="78">
      <formula>$AD$50="Quoted"</formula>
    </cfRule>
  </conditionalFormatting>
  <conditionalFormatting sqref="E8:E16">
    <cfRule type="expression" dxfId="981" priority="199">
      <formula>AND($C$8="Bathroom",$E$8&lt;&gt;"Java")</formula>
    </cfRule>
    <cfRule type="expression" dxfId="980" priority="229">
      <formula>IF(D8="","",AND(D8="Shape",E8&lt;&gt;"Fiji",D8="Shape",E8&lt;&gt;"Samoa"))</formula>
    </cfRule>
  </conditionalFormatting>
  <conditionalFormatting sqref="E26:E28">
    <cfRule type="expression" dxfId="979" priority="223">
      <formula>AND($C$26="Bathroom",$E$26&lt;&gt;"Java")</formula>
    </cfRule>
    <cfRule type="expression" dxfId="978" priority="238">
      <formula>IF(D26="","",AND(D26="Shape",E26&lt;&gt;"Fiji",D26="Shape",E26&lt;&gt;"Samoa"))</formula>
    </cfRule>
  </conditionalFormatting>
  <conditionalFormatting sqref="E29:E31">
    <cfRule type="expression" dxfId="977" priority="222">
      <formula>AND($C$29="Bathroom",$E$29&lt;&gt;"Java")</formula>
    </cfRule>
    <cfRule type="expression" dxfId="976" priority="237">
      <formula>" =IF(D29="""","""",AND(D29=""Shape"",E29&lt;&gt;""Fiji"",D29=""Shape"",E29&lt;&gt;""Samoa""))"</formula>
    </cfRule>
  </conditionalFormatting>
  <conditionalFormatting sqref="E32:E34">
    <cfRule type="expression" dxfId="975" priority="221">
      <formula>AND($C$32="Bathroom",$E$32&lt;&gt;"Java")</formula>
    </cfRule>
    <cfRule type="expression" dxfId="974" priority="236">
      <formula>IF(D32="","",AND(D32="Shape",E32&lt;&gt;"Fiji",D32="Shape",E32&lt;&gt;"Samoa"))</formula>
    </cfRule>
  </conditionalFormatting>
  <conditionalFormatting sqref="E35:E37">
    <cfRule type="expression" dxfId="973" priority="220">
      <formula>AND($C$35="Bathroom",$E$35&lt;&gt;"Java")</formula>
    </cfRule>
    <cfRule type="expression" dxfId="972" priority="235">
      <formula>IF(D35="","",AND(D35="Shape",E35&lt;&gt;"Fiji",D35="Shape",E35&lt;&gt;"Samoa"))</formula>
    </cfRule>
  </conditionalFormatting>
  <conditionalFormatting sqref="E38:E40">
    <cfRule type="expression" dxfId="971" priority="190">
      <formula>AND($C$38="Bathroom",$E$38&lt;&gt;"Java")</formula>
    </cfRule>
    <cfRule type="expression" dxfId="970" priority="219">
      <formula>IF(D38="","",AND(D38="Shape",E38&lt;&gt;"Fiji",D38="Shape",E38&lt;&gt;"Samoa"))</formula>
    </cfRule>
  </conditionalFormatting>
  <conditionalFormatting sqref="E41:E43">
    <cfRule type="expression" dxfId="969" priority="218">
      <formula>AND($C$41="Bathroom",$E$41&lt;&gt;"Java")</formula>
    </cfRule>
    <cfRule type="expression" dxfId="968" priority="233">
      <formula>IF(D41="","",AND(D41="Shape",E41&lt;&gt;"Fiji",D41="Shape",E41&lt;&gt;"Samoa"))</formula>
    </cfRule>
  </conditionalFormatting>
  <conditionalFormatting sqref="E44:E46">
    <cfRule type="expression" dxfId="967" priority="217">
      <formula>AND($C$44="Bathroom",$E$44&lt;&gt;"Java")</formula>
    </cfRule>
    <cfRule type="expression" dxfId="966" priority="232">
      <formula>IF(D44="","",AND(D44="Shape",E44&lt;&gt;"Fiji",D44="Shape",E44&lt;&gt;"Samoa"))</formula>
    </cfRule>
  </conditionalFormatting>
  <conditionalFormatting sqref="E47:E49">
    <cfRule type="expression" dxfId="965" priority="216">
      <formula>AND($C$47="Bathroom",$E$47&lt;&gt;"Java")</formula>
    </cfRule>
    <cfRule type="expression" dxfId="964" priority="231">
      <formula>IF(D47="","",AND(D47="Shape",E47&lt;&gt;"Fiji",D47="Shape",E47&lt;&gt;"Samoa"))</formula>
    </cfRule>
  </conditionalFormatting>
  <conditionalFormatting sqref="E50:E52">
    <cfRule type="expression" dxfId="963" priority="215">
      <formula>AND($C$50="Bathroom",$E$50&lt;&gt;"Java")</formula>
    </cfRule>
    <cfRule type="expression" dxfId="962" priority="230">
      <formula>IF(D50="","",AND(D50="Shape",E50&lt;&gt;"Fiji",D50="Shape",E50&lt;&gt;"Samoa"))</formula>
    </cfRule>
  </conditionalFormatting>
  <conditionalFormatting sqref="AA9">
    <cfRule type="expression" dxfId="961" priority="214">
      <formula>$AA$9="LOR"</formula>
    </cfRule>
  </conditionalFormatting>
  <conditionalFormatting sqref="AA12">
    <cfRule type="expression" dxfId="960" priority="213">
      <formula>$AA$12="LOR"</formula>
    </cfRule>
  </conditionalFormatting>
  <conditionalFormatting sqref="AA15">
    <cfRule type="expression" dxfId="959" priority="212">
      <formula>$AA$15="LOR"</formula>
    </cfRule>
  </conditionalFormatting>
  <conditionalFormatting sqref="AA18">
    <cfRule type="expression" dxfId="958" priority="211">
      <formula>$AA$18="LOR"</formula>
    </cfRule>
  </conditionalFormatting>
  <conditionalFormatting sqref="AA21">
    <cfRule type="expression" dxfId="957" priority="210">
      <formula>$AA$21="LOR"</formula>
    </cfRule>
  </conditionalFormatting>
  <conditionalFormatting sqref="AA24">
    <cfRule type="expression" dxfId="956" priority="209">
      <formula>$AA$24="LOR"</formula>
    </cfRule>
  </conditionalFormatting>
  <conditionalFormatting sqref="AA27">
    <cfRule type="expression" dxfId="955" priority="208">
      <formula>$AA$27="LOR"</formula>
    </cfRule>
  </conditionalFormatting>
  <conditionalFormatting sqref="AA30">
    <cfRule type="expression" dxfId="954" priority="207">
      <formula>$AA$30="LOR"</formula>
    </cfRule>
  </conditionalFormatting>
  <conditionalFormatting sqref="AA33">
    <cfRule type="expression" dxfId="953" priority="206">
      <formula>$AA$33="LOR"</formula>
    </cfRule>
  </conditionalFormatting>
  <conditionalFormatting sqref="AA36">
    <cfRule type="expression" dxfId="952" priority="205">
      <formula>$AA$36="LOR"</formula>
    </cfRule>
  </conditionalFormatting>
  <conditionalFormatting sqref="AA39">
    <cfRule type="expression" dxfId="951" priority="204">
      <formula>$AA$39="LOR"</formula>
    </cfRule>
  </conditionalFormatting>
  <conditionalFormatting sqref="AA42">
    <cfRule type="expression" dxfId="950" priority="203">
      <formula>$AA$42="LOR"</formula>
    </cfRule>
  </conditionalFormatting>
  <conditionalFormatting sqref="AA45">
    <cfRule type="expression" dxfId="949" priority="202">
      <formula>$AA$45="LOR"</formula>
    </cfRule>
  </conditionalFormatting>
  <conditionalFormatting sqref="AA48">
    <cfRule type="expression" dxfId="948" priority="201">
      <formula>$AA$48="LOR"</formula>
    </cfRule>
  </conditionalFormatting>
  <conditionalFormatting sqref="AA51">
    <cfRule type="expression" dxfId="947" priority="200">
      <formula>$AA$51="LOR"</formula>
    </cfRule>
  </conditionalFormatting>
  <conditionalFormatting sqref="L38:L40">
    <cfRule type="expression" dxfId="946" priority="234">
      <formula>IF($L$38="","",AND($L$38&gt;=1,$L$38&lt;152))</formula>
    </cfRule>
  </conditionalFormatting>
  <conditionalFormatting sqref="F9:G9">
    <cfRule type="expression" dxfId="945" priority="189">
      <formula>$F$9&lt;&gt;""</formula>
    </cfRule>
  </conditionalFormatting>
  <conditionalFormatting sqref="F12:G12">
    <cfRule type="expression" dxfId="944" priority="186">
      <formula>$F$12&gt;""</formula>
    </cfRule>
  </conditionalFormatting>
  <conditionalFormatting sqref="F15:G15">
    <cfRule type="expression" dxfId="943" priority="187">
      <formula>$F$15&gt;""</formula>
    </cfRule>
  </conditionalFormatting>
  <conditionalFormatting sqref="F27:G27">
    <cfRule type="expression" dxfId="942" priority="180">
      <formula>$F$27&gt;""</formula>
    </cfRule>
  </conditionalFormatting>
  <conditionalFormatting sqref="F30:G30">
    <cfRule type="expression" dxfId="941" priority="179">
      <formula>$F$30&gt;""</formula>
    </cfRule>
  </conditionalFormatting>
  <conditionalFormatting sqref="F33:G33">
    <cfRule type="expression" dxfId="940" priority="178">
      <formula>$F$33&gt;""</formula>
    </cfRule>
  </conditionalFormatting>
  <conditionalFormatting sqref="F36:G36">
    <cfRule type="expression" dxfId="939" priority="177">
      <formula>$F$36&gt;""</formula>
    </cfRule>
  </conditionalFormatting>
  <conditionalFormatting sqref="F39:G39">
    <cfRule type="expression" dxfId="938" priority="176">
      <formula>$F$39&gt;""</formula>
    </cfRule>
  </conditionalFormatting>
  <conditionalFormatting sqref="F42:G42">
    <cfRule type="expression" dxfId="937" priority="175">
      <formula>$F$42&gt;""</formula>
    </cfRule>
  </conditionalFormatting>
  <conditionalFormatting sqref="F45:G45">
    <cfRule type="expression" dxfId="936" priority="174">
      <formula>$F$45&gt;""</formula>
    </cfRule>
  </conditionalFormatting>
  <conditionalFormatting sqref="F48:G48">
    <cfRule type="expression" dxfId="935" priority="173">
      <formula>$F$48&gt;""</formula>
    </cfRule>
  </conditionalFormatting>
  <conditionalFormatting sqref="F51:G51">
    <cfRule type="expression" dxfId="934" priority="172">
      <formula>$F$51&gt;""</formula>
    </cfRule>
  </conditionalFormatting>
  <conditionalFormatting sqref="O68">
    <cfRule type="expression" dxfId="933" priority="170">
      <formula>$O$68&lt;&gt;$N$68</formula>
    </cfRule>
  </conditionalFormatting>
  <conditionalFormatting sqref="O67">
    <cfRule type="expression" dxfId="932" priority="168">
      <formula>$N$67&lt;&gt;$O$67</formula>
    </cfRule>
  </conditionalFormatting>
  <conditionalFormatting sqref="O65">
    <cfRule type="expression" dxfId="931" priority="163">
      <formula>$N$65&lt;&gt;$O$65</formula>
    </cfRule>
  </conditionalFormatting>
  <conditionalFormatting sqref="J8:J16">
    <cfRule type="expression" dxfId="930" priority="147">
      <formula>OR(AND(J8="Silent",M8&gt;1276,M8&lt;=1879,N8="Please Select"),AND(J8="Silent",M8&gt;1276,M8&lt;=1879,N8="No"))</formula>
    </cfRule>
  </conditionalFormatting>
  <conditionalFormatting sqref="J26:J28">
    <cfRule type="expression" dxfId="929" priority="141">
      <formula>OR(AND(J26="Silent",M26&gt;1276,M26&lt;=1879,N26="Please Select"),AND(J26="Silent",M26&gt;1276,M8&lt;=1879,N26="No"))</formula>
    </cfRule>
  </conditionalFormatting>
  <conditionalFormatting sqref="J29:J31">
    <cfRule type="expression" dxfId="928" priority="155">
      <formula>OR(AND(J29="Silent",M29&gt;1276,M29&lt;=1879,N29="Please Select"),AND(J29="Silent",M29&gt;1276,M8&lt;=1879,N29="No"))</formula>
    </cfRule>
  </conditionalFormatting>
  <conditionalFormatting sqref="J32:J34">
    <cfRule type="expression" dxfId="927" priority="154">
      <formula>OR(AND(J32="Silent",M32&gt;1276,M32&lt;=1879,N32="Please Select"),AND(J32="Silent",M32&gt;1276,M8&lt;=1879,N32="No"))</formula>
    </cfRule>
  </conditionalFormatting>
  <conditionalFormatting sqref="J35:J37">
    <cfRule type="expression" dxfId="926" priority="153">
      <formula>OR(AND(J35="Silent",M35&gt;1276,M35&lt;=1879,N35="Please Select"),AND(J35="Silent",M35&gt;1276,M8&lt;=1879,N35="No"))</formula>
    </cfRule>
  </conditionalFormatting>
  <conditionalFormatting sqref="J38:J40">
    <cfRule type="expression" dxfId="925" priority="152">
      <formula>OR(AND(J38="Silent",M38&gt;1276,M38&lt;=1879,N38="Please Select"),AND(J38="Silent",M38&gt;1276,M8&lt;=1879,N38="No"))</formula>
    </cfRule>
  </conditionalFormatting>
  <conditionalFormatting sqref="J41:J43">
    <cfRule type="expression" dxfId="924" priority="151">
      <formula>OR(AND(J41="Silent",M41&gt;1276,M41&lt;=1879,N41="Please Select"),AND(J41="Silent",M41&gt;1276,M8&lt;=1879,N41="No"))</formula>
    </cfRule>
  </conditionalFormatting>
  <conditionalFormatting sqref="J44:J46">
    <cfRule type="expression" dxfId="923" priority="150">
      <formula>OR(AND(J44="Silent",M44&gt;1276,M44&lt;=1879,N44="Please Select"),AND(J44="Silent",M44&gt;1276,M8&lt;=1879,N44="No"))</formula>
    </cfRule>
  </conditionalFormatting>
  <conditionalFormatting sqref="J47:J49">
    <cfRule type="expression" dxfId="922" priority="149">
      <formula>OR(AND(J47="Silent",M47&gt;1276,M47&lt;=1879,N47="Please Select"),AND(J47="Silent",M47&gt;1276,M8&lt;=1879,N47="No"))</formula>
    </cfRule>
  </conditionalFormatting>
  <conditionalFormatting sqref="J50:J52">
    <cfRule type="expression" dxfId="921" priority="133">
      <formula>OR(AND(J50="Silent",M50&gt;1276,M50&lt;=1879,N50="Please Select"),AND(J50="Silent",M50&gt;1276,M8&lt;=1879,N50="No"))</formula>
    </cfRule>
  </conditionalFormatting>
  <conditionalFormatting sqref="I8:I16">
    <cfRule type="expression" dxfId="920" priority="117">
      <formula>AND($D8&lt;&gt;"S/Shade",$I8="FFrame")</formula>
    </cfRule>
    <cfRule type="expression" dxfId="919" priority="118">
      <formula>AND($D8="S/Shade",$I8&lt;&gt;"FFrame")</formula>
    </cfRule>
    <cfRule type="expression" dxfId="918" priority="119">
      <formula>OR(AND($D8="Tracked",I8="M Track"),AND($D8="Tracked",$I8="Track and Board"),AND($D8="Tracked",$I8="Top Track Only"))</formula>
    </cfRule>
    <cfRule type="expression" dxfId="917" priority="120">
      <formula>OR(AND($D8="Tracked",I8&lt;&gt;"M Track"),AND($D8="Tracked",$I8&lt;&gt;"Track and Board"),AND($D8="Tracked",$I8&lt;&gt;"Top Track Only"))</formula>
    </cfRule>
    <cfRule type="expression" dxfId="916" priority="121">
      <formula>OR(AND($D8&lt;&gt;"Tracked",I8="M Track"),AND($D8&lt;&gt;"Tracked",$I8="Track and Board"),AND($D8&lt;&gt;"Tracked",$I8="Top Track Only"))</formula>
    </cfRule>
  </conditionalFormatting>
  <conditionalFormatting sqref="R61:V61">
    <cfRule type="expression" dxfId="915" priority="77">
      <formula>$R$61="Finance No"</formula>
    </cfRule>
  </conditionalFormatting>
  <conditionalFormatting sqref="O60">
    <cfRule type="expression" dxfId="914" priority="75">
      <formula>$N$60&lt;&gt;$O$60</formula>
    </cfRule>
  </conditionalFormatting>
  <conditionalFormatting sqref="L11">
    <cfRule type="expression" dxfId="913" priority="198">
      <formula>IF($L$11="","",AND($L$11&gt;=1,$L$11&lt;152))</formula>
    </cfRule>
    <cfRule type="expression" dxfId="912" priority="377">
      <formula>AND(E11="Samoa",L11&lt;152.4)</formula>
    </cfRule>
  </conditionalFormatting>
  <conditionalFormatting sqref="O59">
    <cfRule type="expression" dxfId="911" priority="166">
      <formula>$O$59&lt;ROUNDDOWN((+(N59-O59)/N59),0.2)</formula>
    </cfRule>
  </conditionalFormatting>
  <conditionalFormatting sqref="O61">
    <cfRule type="expression" dxfId="910" priority="73">
      <formula>$N$61&lt;&gt;$O$61</formula>
    </cfRule>
  </conditionalFormatting>
  <conditionalFormatting sqref="O63">
    <cfRule type="expression" dxfId="909" priority="72">
      <formula>ROUNDDOWN($N$63,0.2)&lt;&gt;ROUNDDOWN($O$63,0.2)</formula>
    </cfRule>
  </conditionalFormatting>
  <conditionalFormatting sqref="O64">
    <cfRule type="expression" dxfId="908" priority="71">
      <formula>$N$64&lt;&gt;$O$64</formula>
    </cfRule>
  </conditionalFormatting>
  <conditionalFormatting sqref="R59:V59">
    <cfRule type="cellIs" dxfId="907" priority="69" operator="between">
      <formula>0.33</formula>
      <formula>0.339</formula>
    </cfRule>
  </conditionalFormatting>
  <conditionalFormatting sqref="O69">
    <cfRule type="expression" dxfId="906" priority="68">
      <formula>$N$69&lt;&gt;$N$69</formula>
    </cfRule>
  </conditionalFormatting>
  <conditionalFormatting sqref="AD72">
    <cfRule type="expression" dxfId="905" priority="66">
      <formula>$AD$72="Building Works"</formula>
    </cfRule>
  </conditionalFormatting>
  <conditionalFormatting sqref="P72:Q73">
    <cfRule type="cellIs" dxfId="904" priority="64" operator="greaterThan">
      <formula>""""""</formula>
    </cfRule>
  </conditionalFormatting>
  <conditionalFormatting sqref="O72">
    <cfRule type="cellIs" dxfId="903" priority="63" operator="greaterThan">
      <formula>0</formula>
    </cfRule>
  </conditionalFormatting>
  <conditionalFormatting sqref="D8">
    <cfRule type="expression" dxfId="902" priority="60">
      <formula>OR($D$8="Tracked",$D$8="S/Shade", $D$8="Shape",$D$8="French Door Cutout")</formula>
    </cfRule>
  </conditionalFormatting>
  <conditionalFormatting sqref="D26:D28">
    <cfRule type="expression" dxfId="901" priority="54">
      <formula>OR($D$26="Tracked",$D$26="S/Shade", $D$26="Shape",$D$26="French Door Cutout")</formula>
    </cfRule>
  </conditionalFormatting>
  <conditionalFormatting sqref="D29:D31">
    <cfRule type="expression" dxfId="900" priority="53">
      <formula>OR($D$29="Tracked",$D$29="S/Shade", $D$29="Shape",$D$29="French Door Cutout")</formula>
    </cfRule>
  </conditionalFormatting>
  <conditionalFormatting sqref="D32:D34">
    <cfRule type="expression" dxfId="899" priority="51">
      <formula>OR($D$32="Tracked",$D$32="S/Shade", $D$32="Shape",$D$32="French Door Cutout")</formula>
    </cfRule>
  </conditionalFormatting>
  <conditionalFormatting sqref="D35:D37">
    <cfRule type="expression" dxfId="898" priority="50">
      <formula>OR($D$35="Tracked",$D$35="S/Shade", $D$35="Shape",$D$35="French Door Cutout")</formula>
    </cfRule>
  </conditionalFormatting>
  <conditionalFormatting sqref="D38:D40">
    <cfRule type="expression" dxfId="897" priority="49">
      <formula>OR($D$38="Tracked",$D$38="S/Shade", $D$38="Shape",$D$38="French Door Cutout")</formula>
    </cfRule>
  </conditionalFormatting>
  <conditionalFormatting sqref="D44:D46">
    <cfRule type="expression" dxfId="896" priority="48">
      <formula>OR($D$44="Tracked",$D$44="S/Shade", $D$44="Shape",$D$44="French Door Cutout")</formula>
    </cfRule>
  </conditionalFormatting>
  <conditionalFormatting sqref="D47:D49">
    <cfRule type="expression" dxfId="895" priority="47">
      <formula>OR($D$47="Tracked",$D$47="S/Shade", $D$47="Shape",$D$47="French Door Cutout")</formula>
    </cfRule>
  </conditionalFormatting>
  <conditionalFormatting sqref="D50:D52">
    <cfRule type="expression" dxfId="894" priority="46">
      <formula>OR($D$50="Tracked",$D$50="S/Shade", $D$50="Shape",$D$50="French Door Cutout")</formula>
    </cfRule>
  </conditionalFormatting>
  <conditionalFormatting sqref="D41:D43">
    <cfRule type="expression" dxfId="893" priority="45">
      <formula>OR($D$41="Tracked",$D$41="S/Shade", $D$41="Shape",$D$41="French Door Cutout")</formula>
    </cfRule>
  </conditionalFormatting>
  <conditionalFormatting sqref="AD58">
    <cfRule type="cellIs" dxfId="892" priority="1064" operator="equal">
      <formula>+(N59-O59)/N59</formula>
    </cfRule>
  </conditionalFormatting>
  <conditionalFormatting sqref="AC9:AC51">
    <cfRule type="cellIs" dxfId="891" priority="44" operator="equal">
      <formula>"3 for 2"</formula>
    </cfRule>
  </conditionalFormatting>
  <conditionalFormatting sqref="AE54">
    <cfRule type="expression" dxfId="890" priority="43">
      <formula>$AE$54="N/A"</formula>
    </cfRule>
  </conditionalFormatting>
  <conditionalFormatting sqref="O73">
    <cfRule type="expression" dxfId="889" priority="28">
      <formula>"&lt;&gt;"""""</formula>
    </cfRule>
    <cfRule type="cellIs" dxfId="888" priority="27" operator="greaterThan">
      <formula>0</formula>
    </cfRule>
  </conditionalFormatting>
  <conditionalFormatting sqref="D11">
    <cfRule type="expression" dxfId="887" priority="26">
      <formula>OR($D$11="Tracked",$D$11="S/Shade", $D$11="Shape",$D$11="French Door Cutout")</formula>
    </cfRule>
  </conditionalFormatting>
  <conditionalFormatting sqref="D14">
    <cfRule type="expression" dxfId="886" priority="25">
      <formula>OR($D$14="Tracked",$D$14="S/Shade", $D$14="Shape",$D$14="French Door Cutout")</formula>
    </cfRule>
  </conditionalFormatting>
  <conditionalFormatting sqref="G19">
    <cfRule type="expression" dxfId="885" priority="24">
      <formula>AND($E17 = "Java",$G19 &lt;&gt; "Stainless Steel")</formula>
    </cfRule>
  </conditionalFormatting>
  <conditionalFormatting sqref="D17:J19">
    <cfRule type="expression" dxfId="884" priority="19">
      <formula>$AD$14="Quoted"</formula>
    </cfRule>
  </conditionalFormatting>
  <conditionalFormatting sqref="E17:E19">
    <cfRule type="expression" dxfId="883" priority="22">
      <formula>AND($C$8="Bathroom",$E$8&lt;&gt;"Java")</formula>
    </cfRule>
    <cfRule type="expression" dxfId="882" priority="23">
      <formula>IF(D17="","",AND(D17="Shape",E17&lt;&gt;"Fiji",D17="Shape",E17&lt;&gt;"Samoa"))</formula>
    </cfRule>
  </conditionalFormatting>
  <conditionalFormatting sqref="F18:G18">
    <cfRule type="expression" dxfId="881" priority="21">
      <formula>$F$15&gt;""</formula>
    </cfRule>
  </conditionalFormatting>
  <conditionalFormatting sqref="J17:J19">
    <cfRule type="expression" dxfId="880" priority="20">
      <formula>OR(AND(J17="Silent",M17&gt;1276,M17&lt;=1879,N17="Please Select"),AND(J17="Silent",M17&gt;1276,M17&lt;=1879,N17="No"))</formula>
    </cfRule>
  </conditionalFormatting>
  <conditionalFormatting sqref="I17:I19">
    <cfRule type="expression" dxfId="879" priority="14">
      <formula>AND($D17&lt;&gt;"S/Shade",$I17="FFrame")</formula>
    </cfRule>
    <cfRule type="expression" dxfId="878" priority="15">
      <formula>AND($D17="S/Shade",$I17&lt;&gt;"FFrame")</formula>
    </cfRule>
    <cfRule type="expression" dxfId="877" priority="16">
      <formula>OR(AND($D17="Tracked",I17="M Track"),AND($D17="Tracked",$I17="Track and Board"),AND($D17="Tracked",$I17="Top Track Only"))</formula>
    </cfRule>
    <cfRule type="expression" dxfId="876" priority="17">
      <formula>OR(AND($D17="Tracked",I17&lt;&gt;"M Track"),AND($D17="Tracked",$I17&lt;&gt;"Track and Board"),AND($D17="Tracked",$I17&lt;&gt;"Top Track Only"))</formula>
    </cfRule>
    <cfRule type="expression" dxfId="875" priority="18">
      <formula>OR(AND($D17&lt;&gt;"Tracked",I17="M Track"),AND($D17&lt;&gt;"Tracked",$I17="Track and Board"),AND($D17&lt;&gt;"Tracked",$I17="Top Track Only"))</formula>
    </cfRule>
  </conditionalFormatting>
  <conditionalFormatting sqref="D17">
    <cfRule type="expression" dxfId="874" priority="13">
      <formula>OR($D$14="Tracked",$D$14="S/Shade", $D$14="Shape",$D$14="French Door Cutout")</formula>
    </cfRule>
  </conditionalFormatting>
  <conditionalFormatting sqref="G22 G25">
    <cfRule type="expression" dxfId="873" priority="12">
      <formula>AND($E20 = "Java",$G22 &lt;&gt; "Stainless Steel")</formula>
    </cfRule>
  </conditionalFormatting>
  <conditionalFormatting sqref="D20:J25">
    <cfRule type="expression" dxfId="872" priority="7">
      <formula>$AD$14="Quoted"</formula>
    </cfRule>
  </conditionalFormatting>
  <conditionalFormatting sqref="E20:E25">
    <cfRule type="expression" dxfId="871" priority="10">
      <formula>AND($C$8="Bathroom",$E$8&lt;&gt;"Java")</formula>
    </cfRule>
    <cfRule type="expression" dxfId="870" priority="11">
      <formula>IF(D20="","",AND(D20="Shape",E20&lt;&gt;"Fiji",D20="Shape",E20&lt;&gt;"Samoa"))</formula>
    </cfRule>
  </conditionalFormatting>
  <conditionalFormatting sqref="F21:G21 F24:G24">
    <cfRule type="expression" dxfId="869" priority="9">
      <formula>$F$15&gt;""</formula>
    </cfRule>
  </conditionalFormatting>
  <conditionalFormatting sqref="J20:J25">
    <cfRule type="expression" dxfId="868" priority="8">
      <formula>OR(AND(J20="Silent",M20&gt;1276,M20&lt;=1879,N20="Please Select"),AND(J20="Silent",M20&gt;1276,M20&lt;=1879,N20="No"))</formula>
    </cfRule>
  </conditionalFormatting>
  <conditionalFormatting sqref="I20:I25">
    <cfRule type="expression" dxfId="867" priority="2">
      <formula>AND($D20&lt;&gt;"S/Shade",$I20="FFrame")</formula>
    </cfRule>
    <cfRule type="expression" dxfId="866" priority="3">
      <formula>AND($D20="S/Shade",$I20&lt;&gt;"FFrame")</formula>
    </cfRule>
    <cfRule type="expression" dxfId="865" priority="4">
      <formula>OR(AND($D20="Tracked",I20="M Track"),AND($D20="Tracked",$I20="Track and Board"),AND($D20="Tracked",$I20="Top Track Only"))</formula>
    </cfRule>
    <cfRule type="expression" dxfId="864" priority="5">
      <formula>OR(AND($D20="Tracked",I20&lt;&gt;"M Track"),AND($D20="Tracked",$I20&lt;&gt;"Track and Board"),AND($D20="Tracked",$I20&lt;&gt;"Top Track Only"))</formula>
    </cfRule>
    <cfRule type="expression" dxfId="863" priority="6">
      <formula>OR(AND($D20&lt;&gt;"Tracked",I20="M Track"),AND($D20&lt;&gt;"Tracked",$I20="Track and Board"),AND($D20&lt;&gt;"Tracked",$I20="Top Track Only"))</formula>
    </cfRule>
  </conditionalFormatting>
  <conditionalFormatting sqref="D20 D23">
    <cfRule type="expression" dxfId="862" priority="1">
      <formula>OR($D$14="Tracked",$D$14="S/Shade", $D$14="Shape",$D$14="French Door Cutout")</formula>
    </cfRule>
  </conditionalFormatting>
  <dataValidations count="48">
    <dataValidation type="list" allowBlank="1" showInputMessage="1" showErrorMessage="1" sqref="G61:J61" xr:uid="{7CCFE90C-4A58-460C-898E-9AC520F85C5A}">
      <formula1>"Please select,Yes,No"</formula1>
    </dataValidation>
    <dataValidation type="list" allowBlank="1" showInputMessage="1" sqref="R61:V61" xr:uid="{B70E28DA-D176-4077-8700-2838B382F98C}">
      <formula1>"Finance Please Select,Finance Yes (12 months @ 0%),Finance Yes (24 months @ 14.9%),Finance Yes (36 months @ 14.9%)"</formula1>
    </dataValidation>
    <dataValidation type="list" allowBlank="1" showInputMessage="1" showErrorMessage="1" sqref="N8:N52" xr:uid="{F5696151-2C04-41C4-B6ED-3E4146E0B454}">
      <formula1>"Please Select,Yes,Partial,No"</formula1>
    </dataValidation>
    <dataValidation type="list" allowBlank="1" showInputMessage="1" showErrorMessage="1" sqref="AB10 AB13 AB16 AB19 AB22 AB25 AB28 AB31 AB34 AB37 AB40 AB43 AB46 AB49 AB52" xr:uid="{26D3DB43-1BEF-4C05-8812-7A861691D826}">
      <formula1>"NO,YES"</formula1>
    </dataValidation>
    <dataValidation type="list" allowBlank="1" showInputMessage="1" showErrorMessage="1" sqref="H8:H52" xr:uid="{2DDE10B3-82AD-45A0-86FA-B4F9C9FB4E49}">
      <formula1>INDIRECT(E8 &amp; "L")</formula1>
    </dataValidation>
    <dataValidation type="list" allowBlank="1" showInputMessage="1" showErrorMessage="1" sqref="G63" xr:uid="{C019D1D0-490C-4ED7-ACB6-022193062E29}">
      <formula1>"Please Select,Yes,No,N/A"</formula1>
    </dataValidation>
    <dataValidation type="list" allowBlank="1" sqref="C52 C49 C10 C13 C16 C19 C22 C25 C31 C34 C37 C40 C43 C46 C28" xr:uid="{C0B4EB5C-ADEF-4513-B4AB-8E8E53E355A0}">
      <formula1>"Left,Centre,Right"</formula1>
    </dataValidation>
    <dataValidation type="list" allowBlank="1" showInputMessage="1" showErrorMessage="1" sqref="AD29 AD11 AD26 AD14 AD17 AD20 AD23 AD8 AD32 AD35 AD38 AD41 AD44 AD47 AD50" xr:uid="{73C05CE2-BEE6-4A03-A07C-8C003DE3B630}">
      <formula1>"Price, Quoted"</formula1>
    </dataValidation>
    <dataValidation type="list" allowBlank="1" showInputMessage="1" sqref="C50 C47 C32 C44 C41 C38 C35 C29 C8 C11 C14 C17 C20 C23 C26" xr:uid="{657B9B7E-8914-4006-A2A1-40DBDF2A313D}">
      <formula1>rooms</formula1>
    </dataValidation>
    <dataValidation type="list" allowBlank="1" showInputMessage="1" sqref="C51 C48 C33 C45 C42 C39 C36 C30 C9 C12 C15 C18 C21 C24 C27" xr:uid="{389A0DCA-D60A-4087-8B3A-84BE24269838}">
      <formula1>RoomLoc</formula1>
    </dataValidation>
    <dataValidation type="list" allowBlank="1" showInputMessage="1" showErrorMessage="1" sqref="D8:D52" xr:uid="{5B943941-0F96-4673-98B0-011C8598CA26}">
      <formula1>Shuttype</formula1>
    </dataValidation>
    <dataValidation type="list" allowBlank="1" showInputMessage="1" showErrorMessage="1" sqref="K59:L64" xr:uid="{22B136C4-B9B0-43D2-BB77-673A1F0DB213}">
      <formula1>MMaterial</formula1>
    </dataValidation>
    <dataValidation type="list" allowBlank="1" showInputMessage="1" showErrorMessage="1" sqref="F8:G8 F47:G47 F11:G11 F14:G14 F50:G50 F44:G44 F17:G17 F26:G26 F29:G29 F32:G32 F35:G35 F38:G38 F41:G41 F20:G20 F23:G23" xr:uid="{1531FB94-9A0E-4F22-A062-FF754E6A4ECC}">
      <formula1>INDIRECT(E8)</formula1>
    </dataValidation>
    <dataValidation type="list" allowBlank="1" showInputMessage="1" showErrorMessage="1" sqref="J8:J52" xr:uid="{5498ACB2-5FDB-43E0-9B71-FDDC25D325C7}">
      <formula1>TiltRod</formula1>
    </dataValidation>
    <dataValidation type="list" allowBlank="1" showInputMessage="1" showErrorMessage="1" sqref="G10 G49 G46 G13 G16 G52 G19 G28 G31 G34 G37 G40 G43 G22 G25" xr:uid="{726E64BC-7F71-4D89-B025-C15FE310415D}">
      <formula1>INDIRECT(E8 &amp; "H")</formula1>
    </dataValidation>
    <dataValidation type="list" allowBlank="1" showInputMessage="1" showErrorMessage="1" sqref="Q20:AA20 Q44:AA44 Q8:AA8 Q47:AA47 Q50:AA50 Q11:AA11 Q17:AA17 Q23:AA23 Q26:AA26 Q29:AA29 Q32:AA32 Q35:AA35 Q38:AA38 Q41:AA41 Q14:AA14" xr:uid="{8E62922A-1694-4D48-B895-732AB2597240}">
      <formula1>Config1</formula1>
    </dataValidation>
    <dataValidation type="list" allowBlank="1" showInputMessage="1" showErrorMessage="1" sqref="AA9 AA21 AA18 AA45 AA48 AA12 AA15 AA24 AA27 AA30 AA33 AA36 AA39 AA42 AA51" xr:uid="{DA00039F-4C2D-4FDD-BE93-83642387C46A}">
      <formula1>"LOR, ROL"</formula1>
    </dataValidation>
    <dataValidation type="list" allowBlank="1" showInputMessage="1" showErrorMessage="1" sqref="I50:I52" xr:uid="{CC8A433F-A593-4117-ABE1-F76CF141B288}">
      <formula1>IF($D$50="Tracked",TFrame,IF($D$50="S/Shade",SSFrame,Frame))</formula1>
    </dataValidation>
    <dataValidation type="list" allowBlank="1" showInputMessage="1" showErrorMessage="1" sqref="E8:E25" xr:uid="{93C1004A-DA62-4A53-9106-2E41AD3832A6}">
      <formula1>IF(OR($D$8="Shape",$D$8="French Door Cutout"),Shapes,MMaterial)</formula1>
    </dataValidation>
    <dataValidation type="list" allowBlank="1" showInputMessage="1" showErrorMessage="1" sqref="I8:I10" xr:uid="{55557CFD-C824-46FE-8D54-FA1180479447}">
      <formula1>IF($D$8="Tracked",TFrame,IF($D$8="S/Shade",SSFrame,Frame))</formula1>
    </dataValidation>
    <dataValidation type="list" allowBlank="1" showInputMessage="1" showErrorMessage="1" sqref="I26:I28" xr:uid="{22AB9665-1F24-482F-A7D9-70F8E95A834B}">
      <formula1>IF($D$26="Tracked",TFrame,IF($D$26="S/Shade",SSFrame,Frame))</formula1>
    </dataValidation>
    <dataValidation type="list" allowBlank="1" showInputMessage="1" showErrorMessage="1" sqref="I29:I31" xr:uid="{B2BE8DB0-3BBE-419E-B33B-F453548435EA}">
      <formula1>IF($D$29="Tracked",TFrame,IF($D$29="S/Shade",SSFrame,Frame))</formula1>
    </dataValidation>
    <dataValidation type="list" allowBlank="1" showInputMessage="1" showErrorMessage="1" sqref="I32:I34" xr:uid="{8B2E7202-7F69-4549-8FAE-ACBCF62AE6A7}">
      <formula1>IF($D$32="Tracked",TFrame,IF($D$32="S/Shade",SSFrame,Frame))</formula1>
    </dataValidation>
    <dataValidation type="list" allowBlank="1" showInputMessage="1" showErrorMessage="1" sqref="I35:I37" xr:uid="{98062B70-DDCD-45D6-981A-CE55A73FFA0B}">
      <formula1>IF($D$35="Tracked",TFrame,IF($D$35="S/Shade",SSFrame,Frame))</formula1>
    </dataValidation>
    <dataValidation type="list" allowBlank="1" showInputMessage="1" showErrorMessage="1" sqref="I38:I40" xr:uid="{629847EF-21B2-415A-82AB-B0E75787D145}">
      <formula1>IF($D$38="Tracked",TFrame,IF($D$38="S/Shade",SSFrame,Frame))</formula1>
    </dataValidation>
    <dataValidation type="list" allowBlank="1" showInputMessage="1" showErrorMessage="1" sqref="I41:I43" xr:uid="{C6B02707-6558-49FA-AD13-A8BE563DA043}">
      <formula1>IF($D$41="Tracked",TFrame,IF($D$41="S/Shade",SSFrame,Frame))</formula1>
    </dataValidation>
    <dataValidation type="list" allowBlank="1" showInputMessage="1" showErrorMessage="1" sqref="I44:I46" xr:uid="{3B951A23-7CB8-4564-844E-57FDF3EAACC0}">
      <formula1>IF($D$44="Tracked",TFrame,IF($D$44="S/Shade",SSFrame,Frame))</formula1>
    </dataValidation>
    <dataValidation type="list" allowBlank="1" showInputMessage="1" showErrorMessage="1" sqref="I47:I49" xr:uid="{107B4D85-6614-431C-B264-09CB67B3A8F3}">
      <formula1>IF($D$47="Tracked",TFrame,IF($D$47="S/Shade",SSFrame,Frame))</formula1>
    </dataValidation>
    <dataValidation type="list" allowBlank="1" showInputMessage="1" showErrorMessage="1" sqref="E26:E28" xr:uid="{5ED457E5-A549-4799-9FB8-1443C28F0F2D}">
      <formula1>IF(OR($D$26="Shape",$D$26="French Door Cutout"),Shapes,MMaterial)</formula1>
    </dataValidation>
    <dataValidation type="list" allowBlank="1" showInputMessage="1" showErrorMessage="1" sqref="E29:E31" xr:uid="{9E62D10A-F12B-4C0F-8D14-DFADB0275201}">
      <formula1>IF(OR($D$29="Shape",$D$29="French Door Cutout"),Shapes,MMaterial)</formula1>
    </dataValidation>
    <dataValidation type="list" allowBlank="1" showInputMessage="1" showErrorMessage="1" sqref="E32:E34" xr:uid="{9E10F44C-5231-476F-80FD-B9EA02D3BFC2}">
      <formula1>IF(OR($D$32="Shape",$D$32="French Door Cutout"),Shapes,MMaterial)</formula1>
    </dataValidation>
    <dataValidation type="list" allowBlank="1" showInputMessage="1" showErrorMessage="1" sqref="E35:E37" xr:uid="{56964DCC-EC55-4BDC-B148-C2EBA06426CE}">
      <formula1>IF(OR($D$35="Shape",$D$35="French Door Cutout"),Shapes,MMaterial)</formula1>
    </dataValidation>
    <dataValidation type="list" allowBlank="1" showInputMessage="1" showErrorMessage="1" sqref="E38:E40" xr:uid="{61EFAFD8-8927-4C12-BD14-D689930DFA28}">
      <formula1>IF(OR($D$38="Shape",$D$38="French Door Cutout"),Shapes,MMaterial)</formula1>
    </dataValidation>
    <dataValidation type="list" allowBlank="1" showInputMessage="1" showErrorMessage="1" sqref="E41:E43" xr:uid="{CCE56C8D-23DA-40F2-A51C-4BF80510F20F}">
      <formula1>IF(OR($D$41="Shape",$D$41="French Door Cutout"),Shapes,MMaterial)</formula1>
    </dataValidation>
    <dataValidation type="list" allowBlank="1" showInputMessage="1" showErrorMessage="1" sqref="E44:E46" xr:uid="{2C528719-439C-4056-883E-822D443357DA}">
      <formula1>IF(OR($D$44="Shape",$D$44="French Door Cutout"),Shapes,MMaterial)</formula1>
    </dataValidation>
    <dataValidation type="list" allowBlank="1" showInputMessage="1" showErrorMessage="1" sqref="E47:E49" xr:uid="{5FB45665-9DC7-464D-B1E0-36406F379363}">
      <formula1>IF(OR($D$47="Shape",$D$47="French Door Cutout"),Shapes,MMaterial)</formula1>
    </dataValidation>
    <dataValidation type="list" allowBlank="1" showInputMessage="1" showErrorMessage="1" sqref="E50:E52" xr:uid="{648AFDE7-8379-4E52-A8A7-6753D4CFFD26}">
      <formula1>IF(OR($D$50="Shape",$D$50="French Door Cutout"),Shapes,MMaterial)</formula1>
    </dataValidation>
    <dataValidation type="list" allowBlank="1" showInputMessage="1" showErrorMessage="1" sqref="M72" xr:uid="{E18CDB86-A40C-4BFC-AE94-341C09C63FAC}">
      <formula1>"Other:,Price Match,Friends &amp; Family,Managers Discretion,10% promo"</formula1>
    </dataValidation>
    <dataValidation type="list" allowBlank="1" showInputMessage="1" showErrorMessage="1" sqref="E62:F63" xr:uid="{EFCCBCB8-ADA8-44E7-ADD0-0D9D24089973}">
      <formula1>SalesTeam</formula1>
    </dataValidation>
    <dataValidation type="list" allowBlank="1" showInputMessage="1" showErrorMessage="1" sqref="W72" xr:uid="{8078021B-DA2A-41F8-A046-2FC154D52608}">
      <formula1>"Please Select:,Yes, No"</formula1>
    </dataValidation>
    <dataValidation type="list" allowBlank="1" showInputMessage="1" showErrorMessage="1" sqref="AC12 AC15 AC18 AC21 AC24 AC27 AC30 AC33 AC36 AC39 AC42 AC45 AC48 AC51 AC9" xr:uid="{AFA4B386-1FD6-4DAE-9803-C520F43BFE07}">
      <formula1>"SQM, 3 for 2"</formula1>
    </dataValidation>
    <dataValidation type="list" allowBlank="1" showInputMessage="1" showErrorMessage="1" sqref="AD70" xr:uid="{BC1B2F22-904A-4889-ADA6-D7FE2F89B42D}">
      <formula1>"Select Method,Card,BACS,Cash"</formula1>
    </dataValidation>
    <dataValidation type="list" allowBlank="1" showInputMessage="1" sqref="AD72" xr:uid="{00692895-6384-480C-83C4-31D16D30FE38}">
      <formula1>"Survey Date:,TBC,ASAP,Building Works"</formula1>
    </dataValidation>
    <dataValidation type="list" showInputMessage="1" showErrorMessage="1" sqref="AC53" xr:uid="{E66F450C-B2E4-4D5F-9343-87E6BAB465F9}">
      <formula1>"3-4-2 SQM, ="""""</formula1>
    </dataValidation>
    <dataValidation type="list" allowBlank="1" showInputMessage="1" showErrorMessage="1" sqref="W63:AC63" xr:uid="{D9710C16-1C22-4222-8D3A-010398101636}">
      <formula1>"Survey &amp; Installation, Survey &amp; Installation 25%"</formula1>
    </dataValidation>
    <dataValidation type="list" allowBlank="1" showInputMessage="1" sqref="M73:N73" xr:uid="{5F0BD275-1019-44A4-AD84-B4ECDE99FC46}">
      <formula1>"Other:,Price Match,Friends &amp; Family,Managers Discretion,10% promo"</formula1>
    </dataValidation>
    <dataValidation type="list" allowBlank="1" showInputMessage="1" showErrorMessage="1" sqref="I11:I13" xr:uid="{116102FF-C58C-410A-8733-CACC1D5FF0D1}">
      <formula1>IF($D$11="Tracked",TFrame,IF($D$11="S/Shade",SSFrame,Frame))</formula1>
    </dataValidation>
    <dataValidation type="list" allowBlank="1" showInputMessage="1" showErrorMessage="1" sqref="I14:I25" xr:uid="{93EE8359-DC1B-44B8-A28D-CF8FA1EE46A2}">
      <formula1>IF($D$14="Tracked",TFrame,IF($D$14="S/Shade",SSFrame,Frame))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691" id="{ADFBC2F2-82A5-4441-A6B3-12BB6E9DF617}">
            <xm:f>AND(L8/LEN(Matrix2!AD22)&gt;600,E8="Antigua",$H8="47mm")</xm:f>
            <x14:dxf>
              <fill>
                <patternFill>
                  <bgColor rgb="FFFF0000"/>
                </patternFill>
              </fill>
            </x14:dxf>
          </x14:cfRule>
          <x14:cfRule type="expression" priority="692" id="{39A37D27-15FD-4596-84FF-C54F02E91117}">
            <xm:f>OR(AND(E8="Bermuda",H8="47mm",((L8-Data!T2)/LEN(Matrix2!AD22))&gt;610),AND(E8="Bermuda",H8&lt;&gt;"47mm",LEN(Matrix2!AD24)=1,L8&gt;915),AND(E8="Bermuda",H8&lt;&gt;"47mm",LEN(Matrix2!AD22)=2,L8&gt;1830),AND(E8="Bermuda",H8&lt;&gt;"47mm",LEN(Matrix2!AD22)&gt;=3,(L8/LEN(Matrix2!AD22)&gt;610)))</xm:f>
            <x14:dxf>
              <fill>
                <patternFill>
                  <bgColor rgb="FFFF0000"/>
                </patternFill>
              </fill>
            </x14:dxf>
          </x14:cfRule>
          <x14:cfRule type="expression" priority="693" id="{40288694-5BF2-43A2-9163-5055328EE2CF}">
            <xm:f>OR(AND(E8="Antigua",H8="47mm",(L8-Data!T2)/LEN(Matrix2!AD22)&gt;600),AND(E8="Antigua",H8&lt;&gt;"47mm",(L8-Data!T2)/LEN(Matrix2!AD22)&gt;750))</xm:f>
            <x14:dxf>
              <fill>
                <patternFill>
                  <bgColor rgb="FFFF0000"/>
                </patternFill>
              </fill>
            </x14:dxf>
          </x14:cfRule>
          <x14:cfRule type="expression" priority="694" id="{E327107C-0370-456E-AC5C-D421EACCEC02}">
            <xm:f>OR(AND(E8="Cuba",H8="47mm",LEN(Matrix2!AD22)=1,(L8-44)&gt;750),AND(E8="Cuba",H8="47mm",LEN(Matrix2!AD22)=2,ISNUMBER(SEARCH("LL",Matrix2!AD22)),(L8-44)&gt;1320),AND(E8="Cuba",H8="47mm",LEN(Matrix2!AD22)=2,ISNUMBER(SEARCH("RR",Matrix2!AD22)),(L8-44)&gt;1320),AND(E8="Cuba",H8&lt;&gt;"47mm",LEN(Matrix2!AD22)=1,(L8-44)&gt;890),AND(E8="Cuba",H8&lt;&gt;"47mm",LEN(Matrix2!AD22)=2,ISNUMBER(SEARCH("LL",Matrix2!AD22)),(L8-44)&gt;1320),AND(E8="Cuba",H8&lt;&gt;"47mm",LEN(Matrix2!AD22)=2,ISNUMBER(SEARCH("RR",Matrix2!AD22)),(L8-44)&gt;1320),AND(LEN(Matrix2!AD22)&gt;=3,D8&lt;&gt;"Tracked",ISERROR(FIND("LLRR",Matrix2!AD22))=FALSE,((L8-44)/LEN(Matrix2!AD22)&gt;660)),AND(E8="Cuba",LEN(Matrix2!AD22)=3,ISNUMBER(SEARCH("LLR",Matrix2!AD22)),(L8-44)/LEN(Matrix2!AD22)&gt;660),AND(E8="Cuba",LEN(Matrix2!AD22)=3,ISNUMBER(SEARCH("LRR",Matrix2!AD22)),(L8-44)/LEN(Matrix2!AD22)&gt;660))</xm:f>
            <x14:dxf>
              <fill>
                <patternFill>
                  <bgColor rgb="FFFF0000"/>
                </patternFill>
              </fill>
            </x14:dxf>
          </x14:cfRule>
          <x14:cfRule type="expression" priority="695" id="{076E3094-62A1-43CB-9BF9-98EBAAE1AC4C}">
            <xm:f>OR(AND(E8="Fiji",H8="47mm",LEN(Matrix2!AD24)=1,(L8-44)&gt;750),AND(E8="Fiji",H8="47mm",LEN(Matrix2!AD24)=2,ISNUMBER(SEARCH("LL",Matrix2!AD24)),(L8-44)&gt;1320),AND(E8="Fiji",H8="47mm",LEN(Matrix2!AD24)=2,ISNUMBER(SEARCH("RR",Matrix2!AD24)),(L8-44)&gt;1320),AND(E8="Fiji",H8&lt;&gt;"47mm",H8&lt;&gt;"89mm",H8&lt;&gt;"114mm",LEN(Matrix2!AD24)=1,(L8-44)&gt;890),AND(E8="Fiji",H8&lt;&gt;"47mm",H8&lt;&gt;"89mm",H8&lt;&gt;"114mm",LEN(Matrix2!AD24)=2,ISNUMBER(SEARCH("LL",Matrix2!AD24)),(L8-44)&gt;1320),AND(E8="Fiji",H8&lt;&gt;"47mm",H8&lt;&gt;"89mm",H8&lt;&gt;"114mm",LEN(Matrix2!AD24)=2,ISNUMBER(SEARCH("RR",Matrix2!AD24)),(L8-44)&gt;1320),AND(E8="Fiji",H8&lt;&gt;"47mm",H8&lt;&gt;"63mm",H8&lt;&gt;"76mm",LEN(Matrix2!AD24)=1,(L8-44)&gt;1047),AND(E8="Fiji",H8&lt;&gt;"47mm",H8&lt;&gt;"63mm",H8&lt;&gt;"76mm",LEN(Matrix2!AD24)=2,ISNUMBER(SEARCH("LL",Matrix2!AD24)),(L8-44)&gt;1320),AND(E8="Fiji",H8&lt;&gt;"47mm",H8&lt;&gt;"63mm",H8&lt;&gt;"76mm",LEN(Matrix2!AD24)=2,ISNUMBER(SEARCH("RR",Matrix2!AD24)),(L8-44)&gt;1320),AND(LEN(Matrix2!AD24)&gt;=3,D8&lt;&gt;"Tracked",ISERROR(FIND("LLRR",Matrix2!AD24))=FALSE,((L8-44)/LEN(Matrix2!AD24)&gt;660)),AND(E8="Fiji",LEN(Matrix2!AD24)=3,ISNUMBER(SEARCH("LLR",Matrix2!AD24)),(L8-44)/LEN(Matrix2!AD24)&gt;660),AND(E8="Fiji",LEN(Matrix2!AD24)=3,ISNUMBER(SEARCH("LRR",Matrix2!AD24)),(L8-44)/LEN(Matrix2!AD24)&gt;660),AND(LEN(Matrix2!AD24)&gt;=3,D8="Tracked",I8="Top Track Only",((L8-44)/LEN(Matrix2!AD24)&gt;550)),AND(LEN(Matrix2!AD24)&gt;=3,D8="Tracked",I8&lt;&gt;"Top Track Only",((L8-44)/LEN(Matrix2!AD24)&gt;660)))</xm:f>
            <x14:dxf>
              <fill>
                <patternFill>
                  <bgColor rgb="FFFF0000"/>
                </patternFill>
              </fill>
            </x14:dxf>
          </x14:cfRule>
          <x14:cfRule type="expression" priority="1016" id="{5567A35A-AE19-4CF5-AE2B-87761C84A5F2}">
            <xm:f>OR(AND(E8="Samoa",H8="47mm",LEN(Matrix2!AD24)=1,(L8-44)&gt;762),AND(E8="Samoa",H8="47mm",LEN(Matrix2!AD24)=2,ISNUMBER(SEARCH("LL",Matrix2!AD24)),(L8-44)&gt;1320.8),AND(E8="Samoa",H8="47mm",LEN(Matrix2!AD24)=2,ISNUMBER(SEARCH("RR",Matrix2!AD24)),(L8-44)&gt;1320.8),AND(E8="Samoa",H8&lt;&gt;"47mm",H8&lt;&gt;"89mm",H8&lt;&gt;"114mm",LEN(Matrix2!AD24)=1,(L8-44)&gt;914.4),AND(E8="Samoa",H8&lt;&gt;"47mm",H8&lt;&gt;"89mm",H8&lt;&gt;"114mm",LEN(Matrix2!AD24)=2,ISNUMBER(SEARCH("LL",Matrix2!AD24)),(L8-44)&gt;1320.8),AND(E8="Samoa",H8&lt;&gt;"47mm",H8&lt;&gt;"89mm",H8&lt;&gt;"114mm",LEN(Matrix2!AD24)=2,ISNUMBER(SEARCH("RR",Matrix2!AD24)),(L8-44)&gt;1320.8),AND(E8="Samoa",H8&lt;&gt;"47mm",H8&lt;&gt;"63mm",H8&lt;&gt;"76mm",LEN(Matrix2!AD24)=1,(L8-44)&gt;1219.2),AND(E8="Samoa",H8&lt;&gt;"47mm",H8&lt;&gt;"63mm",H8&lt;&gt;"76mm",LEN(Matrix2!AD24)=2,ISNUMBER(SEARCH("LL",Matrix2!AD24)),(L8-44)&gt;1320.8), AND(E8="Samoa",H8&lt;&gt;"47mm",H8&lt;&gt;"63mm",H8&lt;&gt;"76mm",LEN(Matrix2!AD24)=2,ISNUMBER(SEARCH("RR",Matrix2!AD24)),(L8-44)&gt;1320.8),AND(LEN(Matrix2!AD24)&gt;=3,D8&lt;&gt;"Tracked",ISERROR(FIND("LLRR",Matrix2!AD24))=FALSE,((L8-44)/LEN(Matrix2!AD24)&gt;660.4)),AND(E8="Samoa",LEN(Matrix2!AD24)=3,ISNUMBER(SEARCH("LLR",Matrix2!AD24)),(L8-44)/LEN(Matrix2!AD24)&gt;508),AND(E8="Samoa",LEN(Matrix2!AD24)=3,ISNUMBER(SEARCH("LRR",Matrix2!AD24)),(L8-44)/LEN(Matrix2!AD24)&gt;508),AND(LEN(Matrix2!AD24)&gt;=3,D8="Tracked",I8="Top Track Only",((L8-44)/LEN(Matrix2!AD24)&gt;550)),AND(LEN(Matrix2!AD24)&gt;=3,D8="Tracked",I8&lt;&gt;"Top Track Only",((L8-44)/LEN(Matrix2!AD24)&gt;660)))</xm:f>
            <x14:dxf>
              <fill>
                <patternFill>
                  <bgColor rgb="FFFF0000"/>
                </patternFill>
              </fill>
            </x14:dxf>
          </x14:cfRule>
          <xm:sqref>L8</xm:sqref>
        </x14:conditionalFormatting>
        <x14:conditionalFormatting xmlns:xm="http://schemas.microsoft.com/office/excel/2006/main">
          <x14:cfRule type="expression" priority="371" id="{DE62018C-85D7-4AC2-BB1A-3D6C341E479D}">
            <xm:f>OR(AND(E14="Samoa",H14="47mm",LEN(Matrix2!AD24)=1,(L14-44)&gt;762),AND(E14="Samoa",H14="47mm",LEN(Matrix2!AD24)=2,ISNUMBER(SEARCH("LL",Matrix2!AD24)),(L14-44)&gt;1320.8),AND(E14="Samoa",H14="47mm",LEN(Matrix2!AD24)=2,ISNUMBER(SEARCH("RR",Matrix2!AD24)),(L14-44)&gt;1320.8),AND(E14="Samoa",H14&lt;&gt;"47mm",H14&lt;&gt;"89mm",H14&lt;&gt;"114mm",LEN(Matrix2!AD24)=1,(L14-44)&gt;914.4),AND(E14="Samoa",H14&lt;&gt;"47mm",H14&lt;&gt;"89mm",H14&lt;&gt;"114mm",LEN(Matrix2!AD24)=2,ISNUMBER(SEARCH("LL",Matrix2!AD24)),(L14-44)&gt;1320.8),AND(E14="Samoa",H14&lt;&gt;"47mm",H14&lt;&gt;"89mm",H14&lt;&gt;"114mm",LEN(Matrix2!AD24)=2,ISNUMBER(SEARCH("RR",Matrix2!AD24)),(L14-44)&gt;1320.8),AND(E14="Samoa",H14&lt;&gt;"47mm",H14&lt;&gt;"63mm",H14&lt;&gt;"76mm",LEN(Matrix2!AD24)=1,(L14-44)&gt;1219.2),AND(E14="Samoa",H14&lt;&gt;"47mm",H14&lt;&gt;"63mm",H14&lt;&gt;"76mm",LEN(Matrix2!AD24)=2,ISNUMBER(SEARCH("LL",Matrix2!AD24)),(L14-44)&gt;1320.8), AND(E14="Samoa",H14&lt;&gt;"47mm",H14&lt;&gt;"63mm",H14&lt;&gt;"76mm",LEN(Matrix2!AD24)=2,ISNUMBER(SEARCH("RR",Matrix2!AD24)),(L14-44)&gt;1320.8),AND(LEN(Matrix2!AD24)&gt;=3,D14&lt;&gt;"Tracked",ISERROR(FIND("LLRR",Matrix2!AD24))=FALSE,((L14-44)/LEN(Matrix2!AD24)&gt;660.4)),AND(E14="Samoa",LEN(Matrix2!AD24)=3,ISNUMBER(SEARCH("LLR",Matrix2!AD24)),(L14-44)/LEN(Matrix2!AD24)&gt;508),AND(E14="Samoa",LEN(Matrix2!AD24)=3,ISNUMBER(SEARCH("LRR",Matrix2!AD24)),(L14-44)/LEN(Matrix2!AD24)&gt;508),AND(LEN(Matrix2!AD24)&gt;=3,D14="Tracked",I14="Top Track Only",((L14-44)/LEN(Matrix2!AD24)&gt;550)),AND(LEN(Matrix2!AD24)&gt;=3,D14="Tracked",I14&lt;&gt;"Top Track Only",((L14-44)/LEN(Matrix2!AD24)&gt;660)))</xm:f>
            <x14:dxf>
              <fill>
                <patternFill>
                  <bgColor rgb="FFFF0000"/>
                </patternFill>
              </fill>
            </x14:dxf>
          </x14:cfRule>
          <x14:cfRule type="expression" priority="372" id="{5D8DA89F-F5A1-4104-9D8D-B5FC59A331BD}">
            <xm:f>OR(AND(E14="Fiji",H14="47mm",LEN(Matrix2!AD24)=1,(L14-44)&gt;750),AND(E14="Fiji",H14="47mm",LEN(Matrix2!AD24)=2,ISNUMBER(SEARCH("LL",Matrix2!AD24)),(L14-44)&gt;1320),AND(E14="Fiji",H14="47mm",LEN(Matrix2!AD24)=2,ISNUMBER(SEARCH("RR",Matrix2!AD24)),(L14-44)&gt;1320),AND(E14="Fiji",H14&lt;&gt;"47mm",H14&lt;&gt;"89mm",H14&lt;&gt;"114mm",LEN(Matrix2!AD24)=1,(L14-44)&gt;890),AND(E14="Fiji",H14&lt;&gt;"47mm",H14&lt;&gt;"89mm",H14&lt;&gt;"114mm",LEN(Matrix2!AD24)=2,ISNUMBER(SEARCH("LL",Matrix2!AD24)),(L14-44)&gt;1320),AND(E14="Fiji",H14&lt;&gt;"47mm",H14&lt;&gt;"89mm",H14&lt;&gt;"114mm",LEN(Matrix2!AD24)=2,ISNUMBER(SEARCH("RR",Matrix2!AD24)),(L14-44)&gt;1320),AND(E14="Fiji",H14&lt;&gt;"47mm",H14&lt;&gt;"63mm",H14&lt;&gt;"76mm",LEN(Matrix2!AD24)=1,(L14-44)&gt;1047),AND(E14="Fiji",H14&lt;&gt;"47mm",H14&lt;&gt;"63mm",H14&lt;&gt;"76mm",LEN(Matrix2!AD24)=2,ISNUMBER(SEARCH("LL",Matrix2!AD24)),(L14-44)&gt;1320),AND(E14="Fiji",H14&lt;&gt;"47mm",H14&lt;&gt;"63mm",H14&lt;&gt;"76mm",LEN(Matrix2!AD24)=2,ISNUMBER(SEARCH("RR",Matrix2!AD24)),(L14-44)&gt;1320),AND(LEN(Matrix2!AD24)&gt;=3,D14&lt;&gt;"Tracked",ISERROR(FIND("LLRR",Matrix2!AD24))=FALSE,((L14-44)/LEN(Matrix2!AD24)&gt;660)),AND(E14="Fiji",LEN(Matrix2!AD24)=3,ISNUMBER(SEARCH("LLR",Matrix2!AD24)),(L14-44)/LEN(Matrix2!AD24)&gt;660),AND(E14="Fiji",LEN(Matrix2!AD24)=3,ISNUMBER(SEARCH("LRR",Matrix2!AD24)),(L14-44)/LEN(Matrix2!AD24)&gt;660),AND(LEN(Matrix2!AD24)&gt;=3,D14="Tracked",I14="Top Track Only",((L14-44)/LEN(Matrix2!AD24)&gt;550)),AND(LEN(Matrix2!AD24)&gt;=3,D14="Tracked",I14&lt;&gt;"Top Track Only",((L14-44)/LEN(Matrix2!AD24)&gt;660)))</xm:f>
            <x14:dxf>
              <fill>
                <patternFill>
                  <bgColor rgb="FFFF0000"/>
                </patternFill>
              </fill>
            </x14:dxf>
          </x14:cfRule>
          <x14:cfRule type="expression" priority="373" id="{4B7F08B3-51C4-4965-8C51-1FA9FFA90374}">
            <xm:f>OR(AND(E14="Cuba",H14="47mm",LEN(Matrix2!AD24)=1,(L14-44)&gt;750),AND(E14="Cuba",H14="47mm",LEN(Matrix2!AD24)=2,ISNUMBER(SEARCH("LL",Matrix2!AD24)),(L14-44)&gt;1320),AND(E14="Cuba",H14="47mm",LEN(Matrix2!AD24)=2,ISNUMBER(SEARCH("RR",Matrix2!AD24)),(L14-44)&gt;1320),AND(E14="Cuba",H14&lt;&gt;"47mm",LEN(Matrix2!AD24)=1,(L14-44)&gt;890),AND(E14="Cuba",H14&lt;&gt;"47mm",LEN(Matrix2!AD24)=2,ISNUMBER(SEARCH("LL",Matrix2!AD24)),(L14-44)&gt;1320),AND(E14="Cuba",H14&lt;&gt;"47mm",LEN(Matrix2!AD24)=2,ISNUMBER(SEARCH("RR",Matrix2!AD24)),(L14-44)&gt;1320),AND(LEN(Matrix2!AD24)&gt;=3,D14&lt;&gt;"Tracked",ISERROR(FIND("LLRR",Matrix2!AD24))=FALSE,((L14-44)/LEN(Matrix2!AD24)&gt;660)),AND(E14="Cuba",LEN(Matrix2!AD24)=3,ISNUMBER(SEARCH("LLR",Matrix2!AD24)),(L14-44)/LEN(Matrix2!AD24)&gt;660),AND(E14="Cuba",LEN(Matrix2!AD24)=3,ISNUMBER(SEARCH("LRR",Matrix2!AD24)),(L14-44)/LEN(Matrix2!AD24)&gt;660))</xm:f>
            <x14:dxf>
              <fill>
                <patternFill>
                  <bgColor rgb="FFFF0000"/>
                </patternFill>
              </fill>
            </x14:dxf>
          </x14:cfRule>
          <x14:cfRule type="expression" priority="374" id="{3469ED4A-2F68-49AC-8A4F-DEC23649F369}">
            <xm:f>OR(AND(E14="Antigua",H14="47mm",(L14-Data!T2)/LEN(Matrix2!AD24)&gt;600),AND(E14="Antigua",H14&lt;&gt;"47mm",(L14-Data!T2)/LEN(Matrix2!AD24)&gt;750))</xm:f>
            <x14:dxf>
              <fill>
                <patternFill>
                  <bgColor rgb="FFFF0000"/>
                </patternFill>
              </fill>
            </x14:dxf>
          </x14:cfRule>
          <x14:cfRule type="expression" priority="375" id="{A83B3373-DFB5-4912-8B8D-AE1196B46060}">
            <xm:f>OR(AND(E14="Bermuda",H14="47mm",(L14-Data!T2)/LEN(Matrix2!AD24)&gt;610),AND(E14="Bermuda",H14&lt;&gt;"47mm",LEN(Matrix2!AD24)=1,L14&gt;915),AND(E14="Bermuda",H14&lt;&gt;"47mm",LEN(Matrix2!AD24)=2,L14&gt;1830),AND(E14="Bermuda",H14&lt;&gt;"47mm",LEN(Matrix2!AD24)&gt;=3,L14/LEN(Matrix2!AD24)&gt;915))</xm:f>
            <x14:dxf>
              <fill>
                <patternFill>
                  <bgColor rgb="FFFF0000"/>
                </patternFill>
              </fill>
            </x14:dxf>
          </x14:cfRule>
          <x14:cfRule type="expression" priority="674" id="{DD4009BF-A5CA-4D0D-8E00-6FC2C11C0B06}">
            <xm:f>AND(L14/LEN(Matrix2!AD24)&gt;600,E14="Antigua",$H14="47mm")</xm:f>
            <x14:dxf>
              <fill>
                <patternFill>
                  <bgColor rgb="FFFF0000"/>
                </patternFill>
              </fill>
            </x14:dxf>
          </x14:cfRule>
          <xm:sqref>L14:L16</xm:sqref>
        </x14:conditionalFormatting>
        <x14:conditionalFormatting xmlns:xm="http://schemas.microsoft.com/office/excel/2006/main">
          <x14:cfRule type="expression" priority="364" id="{25A4A49D-BF19-4D38-95C6-2C086E6312FC}">
            <xm:f>OR(AND(E17="Samoa",H17="47mm",LEN(Matrix2!AD25)=1,(L17-44)&gt;762),AND(E17="Samoa",H17="47mm",LEN(Matrix2!AD25)=2,ISNUMBER(SEARCH("LL",Matrix2!AD25)),(L17-44)&gt;1320.8),AND(E17="Samoa",H17="47mm",LEN(Matrix2!AD25)=2,ISNUMBER(SEARCH("RR",Matrix2!AD25)),(L17-44)&gt;1320.8),AND(E17="Samoa",H17&lt;&gt;"47mm",H17&lt;&gt;"89mm",H17&lt;&gt;"114mm",LEN(Matrix2!AD25)=1,(L17-44)&gt;914.4),AND(E17="Samoa",H17&lt;&gt;"47mm",H17&lt;&gt;"89mm",H17&lt;&gt;"114mm",LEN(Matrix2!AD25)=2,ISNUMBER(SEARCH("LL",Matrix2!AD25)),(L17-44)&gt;1320.8),AND(E17="Samoa",H17&lt;&gt;"47mm",H17&lt;&gt;"89mm",H17&lt;&gt;"114mm",LEN(Matrix2!AD25)=2,ISNUMBER(SEARCH("RR",Matrix2!AD25)),(L17-44)&gt;1320.8),AND(E17="Samoa",H17&lt;&gt;"47mm",H17&lt;&gt;"63mm",H17&lt;&gt;"76mm",LEN(Matrix2!AD25)=1,(L17-44)&gt;1219.2),AND(E17="Samoa",H17&lt;&gt;"47mm",H17&lt;&gt;"63mm",H17&lt;&gt;"76mm",LEN(Matrix2!AD25)=2,ISNUMBER(SEARCH("LL",Matrix2!AD25)),(L17-44)&gt;1320.8), AND(E17="Samoa",H17&lt;&gt;"47mm",H17&lt;&gt;"63mm",H17&lt;&gt;"76mm",LEN(Matrix2!AD25)=2,ISNUMBER(SEARCH("RR",Matrix2!AD25)),(L17-44)&gt;1320.8),AND(LEN(Matrix2!AD25)&gt;=3,D17&lt;&gt;"Tracked",ISERROR(FIND("LLRR",Matrix2!AD25))=FALSE,((L17-44)/LEN(Matrix2!AD25)&gt;660.4)),AND(E17="Samoa",LEN(Matrix2!AD25)=3,ISNUMBER(SEARCH("LLR",Matrix2!AD25)),(L17-44)/LEN(Matrix2!AD25)&gt;508),AND(E17="Samoa",LEN(Matrix2!AD25)=3,ISNUMBER(SEARCH("LRR",Matrix2!AD25)),(L17-44)/LEN(Matrix2!AD25)&gt;508),AND(LEN(Matrix2!AD25)&gt;=3,D17="Tracked",I17="Top Track Only",((L17-44)/LEN(Matrix2!AD25)&gt;550)),AND(LEN(Matrix2!AD25)&gt;=3,D17="Tracked",I17&lt;&gt;"Top Track Only",((L17-44)/LEN(Matrix2!AD25)&gt;660)))</xm:f>
            <x14:dxf>
              <fill>
                <patternFill>
                  <bgColor rgb="FFFF0000"/>
                </patternFill>
              </fill>
            </x14:dxf>
          </x14:cfRule>
          <x14:cfRule type="expression" priority="365" id="{A95FDA78-FAA9-453B-AECC-02089978F5D5}">
            <xm:f>OR(AND(E17="Fiji",H17="47mm",LEN(Matrix2!AD25)=1,(L17-44)&gt;750),AND(E17="Fiji",H17="47mm",LEN(Matrix2!AD25)=2,ISNUMBER(SEARCH("LL",Matrix2!AD25)),(L17-44)&gt;1320),AND(E17="Fiji",H17="47mm",LEN(Matrix2!AD25)=2,ISNUMBER(SEARCH("RR",Matrix2!AD25)),(L17-44)&gt;1320),AND(E17="Fiji",H17&lt;&gt;"47mm",H17&lt;&gt;"89mm",H17&lt;&gt;"114mm",LEN(Matrix2!AD25)=1,(L17-44)&gt;890),AND(E17="Fiji",H17&lt;&gt;"47mm",H17&lt;&gt;"89mm",H17&lt;&gt;"114mm",LEN(Matrix2!AD25)=2,ISNUMBER(SEARCH("LL",Matrix2!AD25)),(L17-44)&gt;1320),AND(E17="Fiji",H17&lt;&gt;"47mm",H17&lt;&gt;"89mm",H17&lt;&gt;"114mm",LEN(Matrix2!AD25)=2,ISNUMBER(SEARCH("RR",Matrix2!AD25)),(L17-44)&gt;1320),AND(E17="Fiji",H17&lt;&gt;"47mm",H17&lt;&gt;"63mm",H17&lt;&gt;"76mm",LEN(Matrix2!AD25)=1,(L17-44)&gt;1047),AND(E17="Fiji",H17&lt;&gt;"47mm",H17&lt;&gt;"63mm",H17&lt;&gt;"76mm",LEN(Matrix2!AD25)=2,ISNUMBER(SEARCH("LL",Matrix2!AD25)),(L17-44)&gt;1320),AND(E17="Fiji",H17&lt;&gt;"47mm",H17&lt;&gt;"63mm",H17&lt;&gt;"76mm",LEN(Matrix2!AD25)=2,ISNUMBER(SEARCH("RR",Matrix2!AD25)),(L17-44)&gt;1320),AND(LEN(Matrix2!AD25)&gt;=3,D17&lt;&gt;"Tracked",ISERROR(FIND("LLRR",Matrix2!AD25))=FALSE,((L17-44)/LEN(Matrix2!AD25)&gt;660)),AND(E17="Fiji",LEN(Matrix2!AD25)=3,ISNUMBER(SEARCH("LLR",Matrix2!AD25)),(L17-44)/LEN(Matrix2!AD25)&gt;660),AND(E17="Fiji",LEN(Matrix2!AD25)=3,ISNUMBER(SEARCH("LRR",Matrix2!AD25)),(L17-44)/LEN(Matrix2!AD25)&gt;660),AND(LEN(Matrix2!AD25)&gt;=3,D17="Tracked",I17="Top Track Only",((L17-44)/LEN(Matrix2!AD25)&gt;550)),AND(LEN(Matrix2!AD25)&gt;=3,D17="Tracked",I17&lt;&gt;"Top Track Only",((L17-44)/LEN(Matrix2!AD25)&gt;660)))</xm:f>
            <x14:dxf>
              <fill>
                <patternFill>
                  <bgColor rgb="FFFF0000"/>
                </patternFill>
              </fill>
            </x14:dxf>
          </x14:cfRule>
          <x14:cfRule type="expression" priority="366" id="{665C29D6-63E1-475B-870B-F5180E341782}">
            <xm:f>OR(AND(E17="Cuba",H17="47mm",LEN(Matrix2!AD25)=1,(L17-44)&gt;750),AND(E17="Cuba",H17="47mm",LEN(Matrix2!AD25)=2,ISNUMBER(SEARCH("LL",Matrix2!AD25)),(L17-44)&gt;1320),AND(E17="Cuba",H17="47mm",LEN(Matrix2!AD25)=2,ISNUMBER(SEARCH("RR",Matrix2!AD25)),(L17-44)&gt;1320),AND(E17="Cuba",H17&lt;&gt;"47mm",LEN(Matrix2!AD25)=1,(L17-44)&gt;890),AND(E17="Cuba",H17&lt;&gt;"47mm",LEN(Matrix2!AD25)=2,ISNUMBER(SEARCH("LL",Matrix2!AD25)),(L17-44)&gt;1320),AND(E17="Cuba",H17&lt;&gt;"47mm",LEN(Matrix2!AD25)=2,ISNUMBER(SEARCH("RR",Matrix2!AD25)),(L17-44)&gt;1320),AND(LEN(Matrix2!AD25)&gt;=3,D18&lt;&gt;"Tracked",ISERROR(FIND("LLRR",Matrix2!AD25))=FALSE,((L17-44)/LEN(Matrix2!AD25)&gt;660)),AND(E17="Cuba",LEN(Matrix2!AD25)=3,ISNUMBER(SEARCH("LLR",Matrix2!AD25)),(L17-44)/LEN(Matrix2!AD25)&gt;660),AND(E17="Cuba",LEN(Matrix2!AD25)=3,ISNUMBER(SEARCH("LRR",Matrix2!AD25)),(L17-44)/LEN(Matrix2!AD25)&gt;660))</xm:f>
            <x14:dxf>
              <fill>
                <patternFill>
                  <bgColor rgb="FFFF0000"/>
                </patternFill>
              </fill>
            </x14:dxf>
          </x14:cfRule>
          <x14:cfRule type="expression" priority="367" id="{BD775905-81F6-445C-B804-0C66AC88AF8B}">
            <xm:f>OR(AND(E17="Antigua",H17="47mm",(L17-Data!T2)/LEN(Matrix2!AD25)&gt;600),AND(E17="Antigua",H17&lt;&gt;"47mm",(L17-Data!T2)/LEN(Matrix2!AD25)&gt;750))</xm:f>
            <x14:dxf>
              <fill>
                <patternFill>
                  <bgColor rgb="FFFF0000"/>
                </patternFill>
              </fill>
            </x14:dxf>
          </x14:cfRule>
          <x14:cfRule type="expression" priority="368" id="{852CA11A-5E09-4C6A-9C1A-F61AF26206F4}">
            <xm:f>OR(AND(E17="Bermuda",H17="47mm",(L17-Data!T2)/LEN(Matrix2!AD25)&gt;610),AND(E17="Bermuda",H17&lt;&gt;"47mm",LEN(Matrix2!AD25)=1,L17&gt;915),AND(E17="Bermuda",H17&lt;&gt;"47mm",LEN(Matrix2!AD25)=2,L17&gt;1830),AND(E17="Bermuda",H17&lt;&gt;"47mm",LEN(Matrix2!AD25)&gt;=3,L17/LEN(Matrix2!AD25)&gt;915))</xm:f>
            <x14:dxf>
              <fill>
                <patternFill>
                  <bgColor rgb="FFFF0000"/>
                </patternFill>
              </fill>
            </x14:dxf>
          </x14:cfRule>
          <x14:cfRule type="expression" priority="666" id="{63034BC5-84FC-46D7-8E2C-B35344137EA0}">
            <xm:f>AND(L17/LEN(Matrix2!AD25)&gt;600,E17="Antigua",$H17="47mm")</xm:f>
            <x14:dxf>
              <fill>
                <patternFill>
                  <bgColor rgb="FFFF0000"/>
                </patternFill>
              </fill>
            </x14:dxf>
          </x14:cfRule>
          <xm:sqref>L17:L19</xm:sqref>
        </x14:conditionalFormatting>
        <x14:conditionalFormatting xmlns:xm="http://schemas.microsoft.com/office/excel/2006/main">
          <x14:cfRule type="expression" priority="350" id="{99BE39CC-AE43-487F-932B-F02C5F98AC93}">
            <xm:f>OR(AND(E23="Samoa",H23="47mm",LEN(Matrix2!AD27)=1,(L23-44)&gt;762),AND(E23="Samoa",H23="47mm",LEN(Matrix2!AD27)=2,ISNUMBER(SEARCH("LL",Matrix2!AD27)),(L23-44)&gt;1320.8),AND(E23="Samoa",H23="47mm",LEN(Matrix2!AD27)=2,ISNUMBER(SEARCH("RR",Matrix2!AD27)),(L23-44)&gt;1320.8),AND(E23="Samoa",H23&lt;&gt;"47mm",H23&lt;&gt;"89mm",H23&lt;&gt;"114mm",LEN(Matrix2!AD27)=1,(L23-44)&gt;914.4),AND(E23="Samoa",H23&lt;&gt;"47mm",H23&lt;&gt;"89mm",H23&lt;&gt;"114mm",LEN(Matrix2!AD27)=2,ISNUMBER(SEARCH("LL",Matrix2!AD27)),(L23-44)&gt;1320.8),AND(E23="Samoa",H23&lt;&gt;"47mm",H23&lt;&gt;"89mm",H23&lt;&gt;"114mm",LEN(Matrix2!AD27)=2,ISNUMBER(SEARCH("RR",Matrix2!AD27)),(L23-44)&gt;1320.8),AND(E23="Samoa",H23&lt;&gt;"47mm",H23&lt;&gt;"63mm",H23&lt;&gt;"76mm",LEN(Matrix2!AD27)=1,(L23-44)&gt;1219.2),AND(E23="Samoa",H23&lt;&gt;"47mm",H23&lt;&gt;"63mm",H23&lt;&gt;"76mm",LEN(Matrix2!AD27)=2,ISNUMBER(SEARCH("LL",Matrix2!AD27)),(L23-44)&gt;1320.8), AND(E23="Samoa",H23&lt;&gt;"47mm",H23&lt;&gt;"63mm",H23&lt;&gt;"76mm",LEN(Matrix2!AD27)=2,ISNUMBER(SEARCH("RR",Matrix2!AD27)),(L23-44)&gt;1320.8),AND(LEN(Matrix2!AD27)&gt;=3,D23&lt;&gt;"Tracked",ISERROR(FIND("LLRR",Matrix2!AD27))=FALSE,((L23-44)/LEN(Matrix2!AD27)&gt;660.4)),AND(E23="Samoa",LEN(Matrix2!AD27)=3,ISNUMBER(SEARCH("LLR",Matrix2!AD27)),(L23-44)/LEN(Matrix2!AD27)&gt;508),AND(E23="Samoa",LEN(Matrix2!AD27)=3,ISNUMBER(SEARCH("LRR",Matrix2!AD27)),(L23-44)/LEN(Matrix2!AD27)&gt;508),AND(LEN(Matrix2!AD27)&gt;=3,D23="Tracked",I23="Top Track Only",((L23-44)/LEN(Matrix2!AD27)&gt;550)),AND(LEN(Matrix2!AD27)&gt;=3,D23="Tracked",I23&lt;&gt;"Top Track Only",((L23-44)/LEN(Matrix2!AD27)&gt;660)))</xm:f>
            <x14:dxf>
              <fill>
                <patternFill>
                  <bgColor rgb="FFFF0000"/>
                </patternFill>
              </fill>
            </x14:dxf>
          </x14:cfRule>
          <x14:cfRule type="expression" priority="351" id="{FB96B29F-4250-4B05-AE06-CA274F16803E}">
            <xm:f>OR(AND(E23="Fiji",H23="47mm",LEN(Matrix2!AD27)=1,(L23-44)&gt;750),AND(E23="Fiji",H23="47mm",LEN(Matrix2!AD27)=2,ISNUMBER(SEARCH("LL",Matrix2!AD27)),(L23-44)&gt;1320),AND(E23="Fiji",H23="47mm",LEN(Matrix2!AD27)=2,ISNUMBER(SEARCH("RR",Matrix2!AD27)),(L23-44)&gt;1320),AND(E23="Fiji",H23&lt;&gt;"47mm",H23&lt;&gt;"89mm",H23&lt;&gt;"114mm",LEN(Matrix2!AD27)=1,(L23-44)&gt;890),AND(E23="Fiji",H23&lt;&gt;"47mm",H23&lt;&gt;"89mm",H23&lt;&gt;"114mm",LEN(Matrix2!AD27)=2,ISNUMBER(SEARCH("LL",Matrix2!AD27)),(L23-44)&gt;1320),AND(E23="Fiji",H23&lt;&gt;"47mm",H23&lt;&gt;"89mm",H23&lt;&gt;"114mm",LEN(Matrix2!AD27)=2,ISNUMBER(SEARCH("RR",Matrix2!AD27)),(L23-44)&gt;1320),AND(E23="Fiji",H23&lt;&gt;"47mm",H23&lt;&gt;"63mm",H23&lt;&gt;"76mm",LEN(Matrix2!AD27)=1,(L23-44)&gt;1047),AND(E23="Fiji",H23&lt;&gt;"47mm",H23&lt;&gt;"63mm",H23&lt;&gt;"76mm",LEN(Matrix2!AD27)=2,ISNUMBER(SEARCH("LL",Matrix2!AD27)),(L23-44)&gt;1320),AND(E23="Fiji",H23&lt;&gt;"47mm",H23&lt;&gt;"63mm",H23&lt;&gt;"76mm",LEN(Matrix2!AD27)=2,ISNUMBER(SEARCH("RR",Matrix2!AD27)),(L23-44)&gt;1320),AND(LEN(Matrix2!AD27)&gt;=3,D23&lt;&gt;"Tracked",ISERROR(FIND("LLRR",Matrix2!AD27))=FALSE,((L23-44)/LEN(Matrix2!AD27)&gt;660)),AND(E23="Fiji",LEN(Matrix2!AD27)=3,ISNUMBER(SEARCH("LLR",Matrix2!AD27)),(L23-44)/LEN(Matrix2!AD27)&gt;660),AND(E23="Fiji",LEN(Matrix2!AD27)=3,ISNUMBER(SEARCH("LRR",Matrix2!AD27)),(L23-44)/LEN(Matrix2!AD27)&gt;660),AND(LEN(Matrix2!AD27)&gt;=3,D23="Tracked",I23="Top Track Only",((L23-44)/LEN(Matrix2!AD27)&gt;550)),AND(LEN(Matrix2!AD27)&gt;=3,D23="Tracked",I23&lt;&gt;"Top Track Only",((L23-44)/LEN(Matrix2!AD27)&gt;660)))</xm:f>
            <x14:dxf>
              <fill>
                <patternFill>
                  <bgColor rgb="FFFF0000"/>
                </patternFill>
              </fill>
            </x14:dxf>
          </x14:cfRule>
          <x14:cfRule type="expression" priority="352" id="{BEDE1601-FF08-4CB6-BFD5-15CB2985FAE2}">
            <xm:f>OR(AND(E23="Cuba",H23="47mm",LEN(Matrix2!AD27)=1,(L23-44)&gt;750),AND(E23="Cuba",H23="47mm",LEN(Matrix2!AD27)=2,ISNUMBER(SEARCH("LL",Matrix2!AD27)),(L23-44)&gt;1320),AND(E23="Cuba",H23="47mm",LEN(Matrix2!AD27)=2,ISNUMBER(SEARCH("RR",Matrix2!AD27)),(L23-44)&gt;1320),AND(E23="Cuba",H23&lt;&gt;"47mm",LEN(Matrix2!AD27)=1,(L23-44)&gt;890),AND(E23="Cuba",H23&lt;&gt;"47mm",LEN(Matrix2!AD27)=2,ISNUMBER(SEARCH("LL",Matrix2!AD27)),(L23-44)&gt;1320),AND(E23="Cuba",H23&lt;&gt;"47mm",LEN(Matrix2!AD27)=2,ISNUMBER(SEARCH("RR",Matrix2!AD27)),(L23-44)&gt;1320),AND(LEN(Matrix2!AD27)&gt;=3,D23&lt;&gt;"Tracked",ISERROR(FIND("LLRR",Matrix2!AD27))=FALSE,((L23-44)/LEN(Matrix2!AD27)&gt;660)),AND(E23="Cuba",LEN(Matrix2!AD27)=3,ISNUMBER(SEARCH("LLR",Matrix2!AD27)),(L23-44)/LEN(Matrix2!AD27)&gt;660),AND(E23="Cuba",LEN(Matrix2!AD27)=3,ISNUMBER(SEARCH("LRR",Matrix2!AD27)),(L23-44)/LEN(Matrix2!AD27)&gt;660))</xm:f>
            <x14:dxf>
              <fill>
                <patternFill>
                  <bgColor rgb="FFFF0000"/>
                </patternFill>
              </fill>
            </x14:dxf>
          </x14:cfRule>
          <x14:cfRule type="expression" priority="353" id="{1299C99E-77C9-4CF9-A817-246AAF65BAB6}">
            <xm:f>OR(AND(E23="Antigua",H23="47mm",(L23-Data!T2)/LEN(Matrix2!AD27)&gt;600),AND(E23="Antigua",H23&lt;&gt;"47mm",(L23-Data!T2)/LEN(Matrix2!AD27)&gt;750))</xm:f>
            <x14:dxf>
              <fill>
                <patternFill>
                  <bgColor rgb="FFFF0000"/>
                </patternFill>
              </fill>
            </x14:dxf>
          </x14:cfRule>
          <x14:cfRule type="expression" priority="354" id="{7DC6464D-18C0-4858-864D-394DB57CA589}">
            <xm:f>OR(AND(E23="Bermuda",H23="47mm",(L23-Data!T2)/LEN(Matrix2!AD27)&gt;610),AND(E23="Bermuda",H23&lt;&gt;"47mm",LEN(Matrix2!AD27)=1,L23&gt;915),AND(E23="Bermuda",H23&lt;&gt;"47mm",LEN(Matrix2!AD27)=2,L23&gt;1830),AND(E23="Bermuda",H23&lt;&gt;"47mm",LEN(Matrix2!AD27)&gt;=3,L23/LEN(Matrix2!AD27)&gt;915))</xm:f>
            <x14:dxf>
              <fill>
                <patternFill>
                  <bgColor rgb="FFFF0000"/>
                </patternFill>
              </fill>
            </x14:dxf>
          </x14:cfRule>
          <x14:cfRule type="expression" priority="650" id="{1922EDE5-CA4E-4CC2-9568-36673B61F7D5}">
            <xm:f>AND(L23/LEN(Matrix2!AD27)&gt;600,E23="Antigua",$H23="47mm")</xm:f>
            <x14:dxf>
              <fill>
                <patternFill>
                  <bgColor rgb="FFFF0000"/>
                </patternFill>
              </fill>
            </x14:dxf>
          </x14:cfRule>
          <xm:sqref>L23:L25</xm:sqref>
        </x14:conditionalFormatting>
        <x14:conditionalFormatting xmlns:xm="http://schemas.microsoft.com/office/excel/2006/main">
          <x14:cfRule type="expression" priority="328" id="{E2F409BE-B42B-4211-951F-11781E561F2F}">
            <xm:f>OR(AND(E26="Samoa",H26="47mm",LEN(Matrix2!AD28)=1,(L26-44)&gt;762),AND(E26="Samoa",H26="47mm",LEN(Matrix2!AD28)=2,ISNUMBER(SEARCH("LL",Matrix2!AD28)),(L26-44)&gt;1320.8),AND(E26="Samoa",H26="47mm",LEN(Matrix2!AD28)=2,ISNUMBER(SEARCH("RR",Matrix2!AD28)),(L26-44)&gt;1320.8),AND(E26="Samoa",H26&lt;&gt;"47mm",H26&lt;&gt;"89mm",H26&lt;&gt;"114mm",LEN(Matrix2!AD28)=1,(L26-44)&gt;914.4),AND(E26="Samoa",H26&lt;&gt;"47mm",H26&lt;&gt;"89mm",H26&lt;&gt;"114mm",LEN(Matrix2!AD28)=2,ISNUMBER(SEARCH("LL",Matrix2!AD28)),(L26-44)&gt;1320.8),AND(E26="Samoa",H26&lt;&gt;"47mm",H26&lt;&gt;"89mm",H26&lt;&gt;"114mm",LEN(Matrix2!AD28)=2,ISNUMBER(SEARCH("RR",Matrix2!AD28)),(L26-44)&gt;1320.8),AND(E26="Samoa",H26&lt;&gt;"47mm",H26&lt;&gt;"63mm",H26&lt;&gt;"76mm",LEN(Matrix2!AD28)=1,(L26-44)&gt;1219.2),AND(E26="Samoa",H26&lt;&gt;"47mm",H26&lt;&gt;"63mm",H26&lt;&gt;"76mm",LEN(Matrix2!AD28)=2,ISNUMBER(SEARCH("LL",Matrix2!AD28)),(L26-44)&gt;1320.8), AND(E26="Samoa",H26&lt;&gt;"47mm",H26&lt;&gt;"63mm",H26&lt;&gt;"76mm",LEN(Matrix2!AD28)=2,ISNUMBER(SEARCH("RR",Matrix2!AD28)),(L26-44)&gt;1320.8),AND(LEN(Matrix2!AD28)&gt;=3,D26&lt;&gt;"Tracked",ISERROR(FIND("LLRR",Matrix2!AD28))=FALSE,((L26-44)/LEN(Matrix2!AD28)&gt;660.4)),AND(E26="Samoa",LEN(Matrix2!AD28)=3,ISNUMBER(SEARCH("LLR",Matrix2!AD28)),(L26-44)/LEN(Matrix2!AD28)&gt;508),AND(E26="Samoa",LEN(Matrix2!AD28)=3,ISNUMBER(SEARCH("LRR",Matrix2!AD28)),(L26-44)/LEN(Matrix2!AD28)&gt;508),AND(LEN(Matrix2!AD28)&gt;=3,D26="Tracked",I26="Top Track Only",((L26-44)/LEN(Matrix2!AD28)&gt;550)),AND(LEN(Matrix2!AD28)&gt;=3,D26="Tracked",I26&lt;&gt;"Top Track Only",((L26-44)/LEN(Matrix2!AD28)&gt;660)))</xm:f>
            <x14:dxf>
              <fill>
                <patternFill>
                  <bgColor rgb="FFFF0000"/>
                </patternFill>
              </fill>
            </x14:dxf>
          </x14:cfRule>
          <x14:cfRule type="expression" priority="329" id="{75BD5474-1373-4EFF-91FA-FC0244B392A7}">
            <xm:f>OR(AND(E26="Fiji",H26="47mm",LEN(Matrix2!AD28)=1,(L26-44)&gt;750),AND(E26="Fiji",H26="47mm",LEN(Matrix2!AD28)=2,ISNUMBER(SEARCH("LL",Matrix2!AD28)),(L26-44)&gt;1320),AND(E26="Fiji",H26="47mm",LEN(Matrix2!AD28)=2,ISNUMBER(SEARCH("RR",Matrix2!AD28)),(L26-44)&gt;1320),AND(E26="Fiji",H26&lt;&gt;"47mm",H26&lt;&gt;"89mm",H26&lt;&gt;"114mm",LEN(Matrix2!AD28)=1,(L26-44)&gt;890),AND(E26="Fiji",H26&lt;&gt;"47mm",H26&lt;&gt;"89mm",H26&lt;&gt;"114mm",LEN(Matrix2!AD28)=2,ISNUMBER(SEARCH("LL",Matrix2!AD28)),(L26-44)&gt;1320),AND(E26="Fiji",H26&lt;&gt;"47mm",H26&lt;&gt;"89mm",H26&lt;&gt;"114mm",LEN(Matrix2!AD28)=2,ISNUMBER(SEARCH("RR",Matrix2!AD28)),(L26-44)&gt;1320),AND(E26="Fiji",H26&lt;&gt;"47mm",H26&lt;&gt;"63mm",H26&lt;&gt;"76mm",LEN(Matrix2!AD28)=1,(L26-44)&gt;1047),AND(E26="Fiji",H26&lt;&gt;"47mm",H26&lt;&gt;"63mm",H26&lt;&gt;"76mm",LEN(Matrix2!AD28)=2,ISNUMBER(SEARCH("LL",Matrix2!AD28)),(L26-44)&gt;1320),AND(E26="Fiji",H26&lt;&gt;"47mm",H26&lt;&gt;"63mm",H26&lt;&gt;"76mm",LEN(Matrix2!AD28)=2,ISNUMBER(SEARCH("RR",Matrix2!AD28)),(L26-44)&gt;1320),AND(LEN(Matrix2!AD28)&gt;=3,D26&lt;&gt;"Tracked",ISERROR(FIND("LLRR",Matrix2!AD28))=FALSE,((L26-44)/LEN(Matrix2!AD28)&gt;660)),AND(E26="Fiji",LEN(Matrix2!AD28)=3,ISNUMBER(SEARCH("LLR",Matrix2!AD28)),(L26-44)/LEN(Matrix2!AD28)&gt;660),AND(E26="Fiji",LEN(Matrix2!AD28)=3,ISNUMBER(SEARCH("LRR",Matrix2!AD28)),(L26-44)/LEN(Matrix2!AD28)&gt;660),AND(LEN(Matrix2!AD28)&gt;=3,D26="Tracked",I26="Top Track Only",((L26-44)/LEN(Matrix2!AD28)&gt;550)),AND(LEN(Matrix2!AD28)&gt;=3,D26="Tracked",I26&lt;&gt;"Top Track Only",((L26-44)/LEN(Matrix2!AD28)&gt;660)))</xm:f>
            <x14:dxf>
              <fill>
                <patternFill>
                  <bgColor rgb="FFFF0000"/>
                </patternFill>
              </fill>
            </x14:dxf>
          </x14:cfRule>
          <x14:cfRule type="expression" priority="330" id="{BC44C330-4842-4F73-9627-5C90ED399CA3}">
            <xm:f>OR(AND(E26="Cuba",H26="47mm",LEN(Matrix2!AD28)=1,(L26-44)&gt;750),AND(E26="Cuba",H26="47mm",LEN(Matrix2!AD28)=2,ISNUMBER(SEARCH("LL",Matrix2!AD28)),(L26-44)&gt;1320),AND(E26="Cuba",H26="47mm",LEN(Matrix2!AD28)=2,ISNUMBER(SEARCH("RR",Matrix2!AD28)),(L26-44)&gt;1320),AND(E26="Cuba",H26&lt;&gt;"47mm",LEN(Matrix2!AD28)=1,(L26-44)&gt;890),AND(E26="Cuba",H26&lt;&gt;"47mm",LEN(Matrix2!AD28)=2,ISNUMBER(SEARCH("LL",Matrix2!AD28)),(L26-44)&gt;1320),AND(E26="Cuba",H26&lt;&gt;"47mm",LEN(Matrix2!AD28)=2,ISNUMBER(SEARCH("RR",Matrix2!AD28)),(L26-44)&gt;1320),AND(LEN(Matrix2!AD28)&gt;=3,D26&lt;&gt;"Tracked",ISERROR(FIND("LLRR",Matrix2!AD28))=FALSE,((L26-44)/LEN(Matrix2!AD28)&gt;660)),AND(E26="Cuba",LEN(Matrix2!AD28)=3,ISNUMBER(SEARCH("LLR",Matrix2!AD28)),(L26-44)/LEN(Matrix2!AD28)&gt;660),AND(E26="Cuba",LEN(Matrix2!AD28)=3,ISNUMBER(SEARCH("LRR",Matrix2!AD28)),(L26-44)/LEN(Matrix2!AD28)&gt;660))</xm:f>
            <x14:dxf>
              <fill>
                <patternFill>
                  <bgColor rgb="FFFF0000"/>
                </patternFill>
              </fill>
            </x14:dxf>
          </x14:cfRule>
          <x14:cfRule type="expression" priority="331" id="{530B2008-06FC-4372-BCF8-F2EB467C7382}">
            <xm:f>OR(AND(E26="Antigua",H26="47mm",(L26-Data!T2)/LEN(Matrix2!AD28)&gt;600),AND(E26="Antigua",H26&lt;&gt;"47mm",(L26-Data!T2)/LEN(Matrix2!AD28)&gt;750))</xm:f>
            <x14:dxf>
              <fill>
                <patternFill>
                  <bgColor rgb="FFFF0000"/>
                </patternFill>
              </fill>
            </x14:dxf>
          </x14:cfRule>
          <x14:cfRule type="expression" priority="332" id="{D00D3D44-D937-4F9E-BF08-A119824E0F82}">
            <xm:f>OR(AND(E26="Bermuda",H26="47mm",(L26-Data!T2)/LEN(Matrix2!AD28)&gt;610),AND(E26="Bermuda",H26&lt;&gt;"47mm",LEN(Matrix2!AD28)=1,L26&gt;915),AND(E26="Bermuda",H26&lt;&gt;"47mm",LEN(Matrix2!AD28)=2,L26&gt;1830),AND(E26="Bermuda",H26&lt;&gt;"47mm",LEN(Matrix2!AD28)&gt;=3,L26/LEN(Matrix2!AD28)&gt;915))</xm:f>
            <x14:dxf>
              <fill>
                <patternFill>
                  <bgColor rgb="FFFF0000"/>
                </patternFill>
              </fill>
            </x14:dxf>
          </x14:cfRule>
          <x14:cfRule type="expression" priority="340" id="{0383FAB9-56D9-45F0-9FEA-3FEC1FC03C29}">
            <xm:f>AND(L26/LEN(Matrix2!AD28)&gt;600,E26="Antigua",$H26="47mm")</xm:f>
            <x14:dxf>
              <fill>
                <patternFill>
                  <bgColor rgb="FFFF0000"/>
                </patternFill>
              </fill>
            </x14:dxf>
          </x14:cfRule>
          <xm:sqref>L26:L28</xm:sqref>
        </x14:conditionalFormatting>
        <x14:conditionalFormatting xmlns:xm="http://schemas.microsoft.com/office/excel/2006/main">
          <x14:cfRule type="expression" priority="321" id="{FAD934FE-BFA3-48AD-94A5-8999A06C20CF}">
            <xm:f>OR(AND(E29="Samoa",H29="47mm",LEN(Matrix2!AD29)=1,(L29-44)&gt;762),AND(E29="Samoa",H29="47mm",LEN(Matrix2!AD29)=2,ISNUMBER(SEARCH("LL",Matrix2!AD29)),(L29-44)&gt;1320.8),AND(E29="Samoa",H29="47mm",LEN(Matrix2!AD29)=2,ISNUMBER(SEARCH("RR",Matrix2!AD29)),(L29-44)&gt;1320.8),AND(E29="Samoa",H29&lt;&gt;"47mm",H29&lt;&gt;"89mm",H29&lt;&gt;"114mm",LEN(Matrix2!AD29)=1,(L29-44)&gt;914.4),AND(E29="Samoa",H29&lt;&gt;"47mm",H29&lt;&gt;"89mm",H29&lt;&gt;"114mm",LEN(Matrix2!AD29)=2,ISNUMBER(SEARCH("LL",Matrix2!AD29)),(L29-44)&gt;1320.8),AND(E29="Samoa",H29&lt;&gt;"47mm",H29&lt;&gt;"89mm",H29&lt;&gt;"114mm",LEN(Matrix2!AD29)=2,ISNUMBER(SEARCH("RR",Matrix2!AD29)),(L29-44)&gt;1320.8),AND(E29="Samoa",H29&lt;&gt;"47mm",H29&lt;&gt;"63mm",H29&lt;&gt;"76mm",LEN(Matrix2!AD29)=1,(L29-44)&gt;1219.2),AND(E29="Samoa",H29&lt;&gt;"47mm",H29&lt;&gt;"63mm",H29&lt;&gt;"76mm",LEN(Matrix2!AD29)=2,ISNUMBER(SEARCH("LL",Matrix2!AD29)),(L29-44)&gt;1320.8), AND(E29="Samoa",H29&lt;&gt;"47mm",H29&lt;&gt;"63mm",H29&lt;&gt;"76mm",LEN(Matrix2!AD29)=2,ISNUMBER(SEARCH("RR",Matrix2!AD29)),(L29-44)&gt;1320.8),AND(LEN(Matrix2!AD29)&gt;=3,D29&lt;&gt;"Tracked",ISERROR(FIND("LLRR",Matrix2!AD29))=FALSE,((L29-44)/LEN(Matrix2!AD29)&gt;660.4)),AND(E29="Samoa",LEN(Matrix2!AD29)=3,ISNUMBER(SEARCH("LLR",Matrix2!AD29)),(L29-44)/LEN(Matrix2!AD29)&gt;508),AND(E29="Samoa",LEN(Matrix2!AD29)=3,ISNUMBER(SEARCH("LRR",Matrix2!AD29)),(L29-44)/LEN(Matrix2!AD29)&gt;508),AND(LEN(Matrix2!AD29)&gt;=3,D29="Tracked",I29="Top Track Only",((L29-44)/LEN(Matrix2!AD29)&gt;550)),AND(LEN(Matrix2!AD29)&gt;=3,D29="Tracked",I29&lt;&gt;"Top Track Only",((L29-44)/LEN(Matrix2!AD29)&gt;660)))</xm:f>
            <x14:dxf>
              <fill>
                <patternFill>
                  <bgColor rgb="FFFF0000"/>
                </patternFill>
              </fill>
            </x14:dxf>
          </x14:cfRule>
          <x14:cfRule type="expression" priority="322" id="{3376F62A-5AC8-4563-AD03-D3A67DBBEE51}">
            <xm:f>OR(AND(E29="Fiji",H29="47mm",LEN(Matrix2!AD29)=1,(L29-44)&gt;750),AND(E29="Fiji",H29="47mm",LEN(Matrix2!AD29)=2,ISNUMBER(SEARCH("LL",Matrix2!AD29)),(L29-44)&gt;1320),AND(E29="Fiji",H29="47mm",LEN(Matrix2!AD29)=2,ISNUMBER(SEARCH("RR",Matrix2!AD29)),(L29-44)&gt;1320),AND(E29="Fiji",H29&lt;&gt;"47mm",H29&lt;&gt;"89mm",H29&lt;&gt;"114mm",LEN(Matrix2!AD29)=1,(L29-44)&gt;890),AND(E29="Fiji",H29&lt;&gt;"47mm",H29&lt;&gt;"89mm",H29&lt;&gt;"114mm",LEN(Matrix2!AD29)=2,ISNUMBER(SEARCH("LL",Matrix2!AD29)),(L29-44)&gt;1320),AND(E29="Fiji",H29&lt;&gt;"47mm",H29&lt;&gt;"89mm",H29&lt;&gt;"114mm",LEN(Matrix2!AD29)=2,ISNUMBER(SEARCH("RR",Matrix2!AD29)),(L29-44)&gt;1320),AND(E29="Fiji",H29&lt;&gt;"47mm",H29&lt;&gt;"63mm",H29&lt;&gt;"76mm",LEN(Matrix2!AD29)=1,(L29-44)&gt;1047),AND(E29="Fiji",H29&lt;&gt;"47mm",H29&lt;&gt;"63mm",H29&lt;&gt;"76mm",LEN(Matrix2!AD29)=2,ISNUMBER(SEARCH("LL",Matrix2!AD29)),(L29-44)&gt;1320),AND(E29="Fiji",H29&lt;&gt;"47mm",H29&lt;&gt;"63mm",H29&lt;&gt;"76mm",LEN(Matrix2!AD29)=2,ISNUMBER(SEARCH("RR",Matrix2!AD29)),(L29-44)&gt;1320),AND(LEN(Matrix2!AD29)&gt;=3,D29&lt;&gt;"Tracked",ISERROR(FIND("LLRR",Matrix2!AD29))=FALSE,((L29-44)/LEN(Matrix2!AD29)&gt;660)),AND(E29="Fiji",LEN(Matrix2!AD29)=3,ISNUMBER(SEARCH("LLR",Matrix2!AD29)),(L29-44)/LEN(Matrix2!AD29)&gt;660),AND(E29="Fiji",LEN(Matrix2!AD29)=3,ISNUMBER(SEARCH("LRR",Matrix2!AD29)),(L29-44)/LEN(Matrix2!AD29)&gt;660),AND(LEN(Matrix2!AD29)&gt;=3,D29="Tracked",I29="Top Track Only",((L29-44)/LEN(Matrix2!AD29)&gt;550)),AND(LEN(Matrix2!AD29)&gt;=3,D29="Tracked",I29&lt;&gt;"Top Track Only",((L29-44)/LEN(Matrix2!AD29)&gt;660)))</xm:f>
            <x14:dxf>
              <fill>
                <patternFill>
                  <bgColor rgb="FFFF0000"/>
                </patternFill>
              </fill>
            </x14:dxf>
          </x14:cfRule>
          <x14:cfRule type="expression" priority="323" id="{4E017A2F-D9E5-45DC-8530-E06E2B71E2D1}">
            <xm:f>OR(AND(E29="Cuba",H29="47mm",LEN(Matrix2!AD29)=1,(L29-44)&gt;750),AND(E29="Cuba",H29="47mm",LEN(Matrix2!AD29)=2,ISNUMBER(SEARCH("LL",Matrix2!AD29)),(L29-44)&gt;1320),AND(E29="Cuba",H29="47mm",LEN(Matrix2!AD29)=2,ISNUMBER(SEARCH("RR",Matrix2!AD29)),(L29-44)&gt;1320),AND(E29="Cuba",H29&lt;&gt;"47mm",LEN(Matrix2!AD29)=1,(L29-44)&gt;890),AND(E29="Cuba",H29&lt;&gt;"47mm",LEN(Matrix2!AD29)=2,ISNUMBER(SEARCH("LL",Matrix2!AD29)),(L29-44)&gt;1320),AND(E29="Cuba",H29&lt;&gt;"47mm",LEN(Matrix2!AD29)=2,ISNUMBER(SEARCH("RR",Matrix2!AD29)),(L29-44)&gt;1320),AND(LEN(Matrix2!AD29)&gt;=3,D29&lt;&gt;"Tracked",ISERROR(FIND("LLRR",Matrix2!AD29))=FALSE,((L29-44)/LEN(Matrix2!AD29)&gt;660)),AND(E29="Cuba",LEN(Matrix2!AD29)=3,ISNUMBER(SEARCH("LLR",Matrix2!AD29)),(L29-44)/LEN(Matrix2!AD29)&gt;660),AND(E29="Cuba",LEN(Matrix2!AD29)=3,ISNUMBER(SEARCH("LRR",Matrix2!AD29)),(L29-44)/LEN(Matrix2!AD29)&gt;660))</xm:f>
            <x14:dxf>
              <fill>
                <patternFill>
                  <bgColor rgb="FFFF0000"/>
                </patternFill>
              </fill>
            </x14:dxf>
          </x14:cfRule>
          <x14:cfRule type="expression" priority="324" id="{2B7A0EDD-B272-4A09-B5F2-26E371312CB6}">
            <xm:f>OR(AND(E29="Antigua",H29="47mm",(L29-Data!T2)/LEN(Matrix2!AD29)&gt;600),AND(E29="Antigua",H29&lt;&gt;"47mm",(L29-Data!T2)/LEN(Matrix2!AD29)&gt;750))</xm:f>
            <x14:dxf>
              <fill>
                <patternFill>
                  <bgColor rgb="FFFF0000"/>
                </patternFill>
              </fill>
            </x14:dxf>
          </x14:cfRule>
          <x14:cfRule type="expression" priority="325" id="{6B316164-C098-447A-BCEF-3C8997A1E7A2}">
            <xm:f>OR(AND(E29="Bermuda",H29="47mm",(L29-Data!T2)/LEN(Matrix2!AD29)&gt;610),AND(E29="Bermuda",H29&lt;&gt;"47mm",LEN(Matrix2!AD29)=1,L29&gt;915),AND(E29="Bermuda",H29&lt;&gt;"47mm",LEN(Matrix2!AD29)=2,L29&gt;1830),AND(E29="Bermuda",H29&lt;&gt;"47mm",LEN(Matrix2!AD29)&gt;=3,L29/LEN(Matrix2!AD29)&gt;915))</xm:f>
            <x14:dxf>
              <fill>
                <patternFill>
                  <bgColor rgb="FFFF0000"/>
                </patternFill>
              </fill>
            </x14:dxf>
          </x14:cfRule>
          <x14:cfRule type="expression" priority="333" id="{41762E60-0078-4C0A-8929-27DCF74C17AC}">
            <xm:f>AND(L29/LEN(Matrix2!AD29)&gt;600,E29="Antigua",$H29="47mm")</xm:f>
            <x14:dxf>
              <fill>
                <patternFill>
                  <bgColor rgb="FFFF0000"/>
                </patternFill>
              </fill>
            </x14:dxf>
          </x14:cfRule>
          <xm:sqref>L29:L31</xm:sqref>
        </x14:conditionalFormatting>
        <x14:conditionalFormatting xmlns:xm="http://schemas.microsoft.com/office/excel/2006/main">
          <x14:cfRule type="expression" priority="309" id="{46FF77C8-0C94-48DE-AB76-4D4BD7A1C197}">
            <xm:f>OR(AND(E32="Samoa",H32="47mm",LEN(Matrix2!AD30)=1,(L32-44)&gt;762),AND(E32="Samoa",H32="47mm",LEN(Matrix2!AD30)=2,ISNUMBER(SEARCH("LL",Matrix2!AD30)),(L32-44)&gt;1320.8),AND(E32="Samoa",H32="47mm",LEN(Matrix2!AD30)=2,ISNUMBER(SEARCH("RR",Matrix2!AD30)),(L32-44)&gt;1320.8),AND(E32="Samoa",H32&lt;&gt;"47mm",H32&lt;&gt;"89mm",H32&lt;&gt;"114mm",LEN(Matrix2!AD30)=1,(L32-44)&gt;914.4),AND(E32="Samoa",H32&lt;&gt;"47mm",H32&lt;&gt;"89mm",H32&lt;&gt;"114mm",LEN(Matrix2!AD30)=2,ISNUMBER(SEARCH("LL",Matrix2!AD30)),(L32-44)&gt;1320.8),AND(E32="Samoa",H32&lt;&gt;"47mm",H32&lt;&gt;"89mm",H32&lt;&gt;"114mm",LEN(Matrix2!AD30)=2,ISNUMBER(SEARCH("RR",Matrix2!AD30)),(L32-44)&gt;1320.8),AND(E32="Samoa",H32&lt;&gt;"47mm",H32&lt;&gt;"63mm",H32&lt;&gt;"76mm",LEN(Matrix2!AD30)=1,(L32-44)&gt;1219.2),AND(E32="Samoa",H32&lt;&gt;"47mm",H32&lt;&gt;"63mm",H32&lt;&gt;"76mm",LEN(Matrix2!AD30)=2,ISNUMBER(SEARCH("LL",Matrix2!AD30)),(L32-44)&gt;1320.8), AND(E32="Samoa",H32&lt;&gt;"47mm",H32&lt;&gt;"63mm",H32&lt;&gt;"76mm",LEN(Matrix2!AD30)=2,ISNUMBER(SEARCH("RR",Matrix2!AD30)),(L32-44)&gt;1320.8),AND(LEN(Matrix2!AD30)&gt;=3,D32&lt;&gt;"Tracked",ISERROR(FIND("LLRR",Matrix2!AD30))=FALSE,((L32-44)/LEN(Matrix2!AD30)&gt;660.4)),AND(E32="Samoa",LEN(Matrix2!AD30)=3,ISNUMBER(SEARCH("LLR",Matrix2!AD30)),(L32-44)/LEN(Matrix2!AD30)&gt;508),AND(E32="Samoa",LEN(Matrix2!AD30)=3,ISNUMBER(SEARCH("LRR",Matrix2!AD30)),(L32-44)/LEN(Matrix2!AD30)&gt;508),AND(LEN(Matrix2!AD30)&gt;=3,D32="Tracked",I32="Top Track Only",((L32-44)/LEN(Matrix2!AD30)&gt;550)),AND(LEN(Matrix2!AD30)&gt;=3,D32="Tracked",I32&lt;&gt;"Top Track Only",((L32-44)/LEN(Matrix2!AD30)&gt;660)))</xm:f>
            <x14:dxf>
              <fill>
                <patternFill>
                  <bgColor rgb="FFFF0000"/>
                </patternFill>
              </fill>
            </x14:dxf>
          </x14:cfRule>
          <x14:cfRule type="expression" priority="310" id="{D893DE70-826F-48DE-951B-5B38FF7FDB28}">
            <xm:f>OR(AND(E32="Fiji",H32="47mm",LEN(Matrix2!AD30)=1,(L32-44)&gt;750),AND(E32="Fiji",H32="47mm",LEN(Matrix2!AD30)=2,ISNUMBER(SEARCH("LL",Matrix2!AD30)),(L32-44)&gt;1320),AND(E32="Fiji",H32="47mm",LEN(Matrix2!AD30)=2,ISNUMBER(SEARCH("RR",Matrix2!AD30)),(L32-44)&gt;1320),AND(E32="Fiji",H32&lt;&gt;"47mm",H32&lt;&gt;"89mm",H32&lt;&gt;"114mm",LEN(Matrix2!AD30)=1,(L32-44)&gt;890),AND(E32="Fiji",H32&lt;&gt;"47mm",H32&lt;&gt;"89mm",H32&lt;&gt;"114mm",LEN(Matrix2!AD30)=2,ISNUMBER(SEARCH("LL",Matrix2!AD30)),(L32-44)&gt;1320),AND(E32="Fiji",H32&lt;&gt;"47mm",H32&lt;&gt;"89mm",H32&lt;&gt;"114mm",LEN(Matrix2!AD30)=2,ISNUMBER(SEARCH("RR",Matrix2!AD30)),(L32-44)&gt;1320),AND(E32="Fiji",H32&lt;&gt;"47mm",H32&lt;&gt;"63mm",H32&lt;&gt;"76mm",LEN(Matrix2!AD30)=1,(L32-44)&gt;1047),AND(E32="Fiji",H32&lt;&gt;"47mm",H32&lt;&gt;"63mm",H32&lt;&gt;"76mm",LEN(Matrix2!AD30)=2,ISNUMBER(SEARCH("LL",Matrix2!AD30)),(L32-44)&gt;1320),AND(E32="Fiji",H32&lt;&gt;"47mm",H32&lt;&gt;"63mm",H32&lt;&gt;"76mm",LEN(Matrix2!AD30)=2,ISNUMBER(SEARCH("RR",Matrix2!AD30)),(L32-44)&gt;1320),AND(LEN(Matrix2!AD30)&gt;=3,D32&lt;&gt;"Tracked",ISERROR(FIND("LLRR",Matrix2!AD30))=FALSE,((L32-44)/LEN(Matrix2!AD30)&gt;660)),AND(E32="Fiji",LEN(Matrix2!AD30)=3,ISNUMBER(SEARCH("LLR",Matrix2!AD30)),(L32-44)/LEN(Matrix2!AD30)&gt;660),AND(E32="Fiji",LEN(Matrix2!AD30)=3,ISNUMBER(SEARCH("LRR",Matrix2!AD30)),(L32-44)/LEN(Matrix2!AD30)&gt;660),AND(LEN(Matrix2!AD30)&gt;=3,D32="Tracked",I32="Top Track Only",((L32-44)/LEN(Matrix2!AD30)&gt;550)),AND(LEN(Matrix2!AD30)&gt;=3,D32="Tracked",I32&lt;&gt;"Top Track Only",((L32-44)/LEN(Matrix2!AD30)&gt;660)))</xm:f>
            <x14:dxf>
              <fill>
                <patternFill>
                  <bgColor rgb="FFFF0000"/>
                </patternFill>
              </fill>
            </x14:dxf>
          </x14:cfRule>
          <x14:cfRule type="expression" priority="311" id="{35726770-5E43-4BD4-9887-91564FDA8ADF}">
            <xm:f>OR(AND(E32="Cuba",H32="47mm",LEN(Matrix2!AD30)=1,(L32-44)&gt;750),AND(E32="Cuba",H32="47mm",LEN(Matrix2!AD30)=2,ISNUMBER(SEARCH("LL",Matrix2!AD30)),(L32-44)&gt;1320),AND(E32="Cuba",H32="47mm",LEN(Matrix2!AD30)=2,ISNUMBER(SEARCH("RR",Matrix2!AD30)),(L32-44)&gt;1320),AND(E32="Cuba",H32&lt;&gt;"47mm",LEN(Matrix2!AD30)=1,(L32-44)&gt;890),AND(E32="Cuba",H32&lt;&gt;"47mm",LEN(Matrix2!AD30)=2,ISNUMBER(SEARCH("LL",Matrix2!AD30)),(L32-44)&gt;1320),AND(E32="Cuba",H32&lt;&gt;"47mm",LEN(Matrix2!AD30)=2,ISNUMBER(SEARCH("RR",Matrix2!AD30)),(L32-44)&gt;1320),AND(LEN(Matrix2!AD30)&gt;=3,D32&lt;&gt;"Tracked",ISERROR(FIND("LLRR",Matrix2!AD30))=FALSE,((L32-44)/LEN(Matrix2!AD30)&gt;660)),AND(E32="Cuba",LEN(Matrix2!AD30)=3,ISNUMBER(SEARCH("LLR",Matrix2!AD30)),(L32-44)/LEN(Matrix2!AD30)&gt;660),AND(E32="Cuba",LEN(Matrix2!AD30)=3,ISNUMBER(SEARCH("LRR",Matrix2!AD30)),(L32-44)/LEN(Matrix2!AD30)&gt;660))</xm:f>
            <x14:dxf>
              <fill>
                <patternFill>
                  <bgColor rgb="FFFF0000"/>
                </patternFill>
              </fill>
            </x14:dxf>
          </x14:cfRule>
          <x14:cfRule type="expression" priority="312" id="{6564DDDB-551D-484E-9FBF-140959C53440}">
            <xm:f>OR(AND(E32="Antigua",H32="47mm",(L32-Data!T2)/LEN(Matrix2!AD30)&gt;600),AND(E32="Antigua",H32&lt;&gt;"47mm",(L32-Data!T2)/LEN(Matrix2!AD30)&gt;750))</xm:f>
            <x14:dxf>
              <fill>
                <patternFill>
                  <bgColor rgb="FFFF0000"/>
                </patternFill>
              </fill>
            </x14:dxf>
          </x14:cfRule>
          <x14:cfRule type="expression" priority="313" id="{6D6AB742-8A1D-4315-A7F1-6032B4A17E80}">
            <xm:f>OR(AND(E32="Bermuda",H32="47mm",(L32-Data!T2)/LEN(Matrix2!AD30)&gt;610),AND(E32="Bermuda",H32&lt;&gt;"47mm",LEN(Matrix2!AD30)=1,L32&gt;915),AND(E32="Bermuda",H32&lt;&gt;"47mm",LEN(Matrix2!AD30)=2,L32&gt;1830),AND(E32="Bermuda",H32&lt;&gt;"47mm",LEN(Matrix2!AD30)&gt;=3,L32/LEN(Matrix2!AD30)&gt;915))</xm:f>
            <x14:dxf>
              <fill>
                <patternFill>
                  <bgColor rgb="FFFF0000"/>
                </patternFill>
              </fill>
            </x14:dxf>
          </x14:cfRule>
          <x14:cfRule type="expression" priority="314" id="{AAD70538-926F-4AF6-9612-AA737CB5335D}">
            <xm:f>AND(L32/LEN(Matrix2!AD30)&gt;600,E32="Antigua",$H32="47mm")</xm:f>
            <x14:dxf>
              <fill>
                <patternFill>
                  <bgColor rgb="FFFF0000"/>
                </patternFill>
              </fill>
            </x14:dxf>
          </x14:cfRule>
          <xm:sqref>L32:L34</xm:sqref>
        </x14:conditionalFormatting>
        <x14:conditionalFormatting xmlns:xm="http://schemas.microsoft.com/office/excel/2006/main">
          <x14:cfRule type="expression" priority="288" id="{4D79D8C9-D18C-48E7-A7D1-4DC1028ED287}">
            <xm:f>OR(AND(E35="Samoa",H35="47mm",LEN(Matrix2!AD31)=1,(L35-44)&gt;762),AND(E35="Samoa",H35="47mm",LEN(Matrix2!AD31)=2,ISNUMBER(SEARCH("LL",Matrix2!AD31)),(L35-44)&gt;1320.8),AND(E35="Samoa",H35="47mm",LEN(Matrix2!AD31)=2,ISNUMBER(SEARCH("RR",Matrix2!AD31)),(L35-44)&gt;1320.8),AND(E35="Samoa",H35&lt;&gt;"47mm",H35&lt;&gt;"89mm",H35&lt;&gt;"114mm",LEN(Matrix2!AD32)=1,(L35-44)&gt;914.4),AND(E35="Samoa",H35&lt;&gt;"47mm",H35&lt;&gt;"89mm",H35&lt;&gt;"114mm",LEN(Matrix2!AD32)=2,ISNUMBER(SEARCH("LL",Matrix2!AD31)),(L35-44)&gt;1320.8),AND(E35="Samoa",H35&lt;&gt;"47mm",H35&lt;&gt;"89mm",H35&lt;&gt;"114mm",LEN(Matrix2!AD31)=2,ISNUMBER(SEARCH("RR",Matrix2!AD31)),(L35-44)&gt;1320.8),AND(E35="Samoa",H35&lt;&gt;"47mm",H35&lt;&gt;"63mm",H35&lt;&gt;"76mm",LEN(Matrix2!AD31)=1,(L35-44)&gt;1219.2),AND(E35="Samoa",H35&lt;&gt;"47mm",H35&lt;&gt;"63mm",H35&lt;&gt;"76mm",LEN(Matrix2!AD31)=2,ISNUMBER(SEARCH("LL",Matrix2!AD31)),(L35-44)&gt;1320.8), AND(E35="Samoa",H35&lt;&gt;"47mm",H35&lt;&gt;"63mm",H35&lt;&gt;"76mm",LEN(Matrix2!AD31)=2,ISNUMBER(SEARCH("RR",Matrix2!AD31)),(L35-44)&gt;1320.8),AND(LEN(Matrix2!AD31)&gt;=3,D35&lt;&gt;"Tracked",ISERROR(FIND("LLRR",Matrix2!AD31))=FALSE,((L35-44)/LEN(Matrix2!AD32)&gt;660.4)),AND(E35="Samoa",LEN(Matrix2!AD31)=3,ISNUMBER(SEARCH("LLR",Matrix2!AD31)),(L35-44)/LEN(Matrix2!AD31)&gt;508),AND(E35="Samoa",LEN(Matrix2!AD31)=3,ISNUMBER(SEARCH("LRR",Matrix2!AD31)),(L35-44)/LEN(Matrix2!AD31)&gt;508),AND(LEN(Matrix2!AD31)&gt;=3,D35="Tracked",I35="Top Track Only",((L35-44)/LEN(Matrix2!AD31)&gt;550)),AND(LEN(Matrix2!AD31)&gt;=3,D35="Tracked",I35&lt;&gt;"Top Track Only",((L35-44)/LEN(Matrix2!AD31)&gt;660)))</xm:f>
            <x14:dxf>
              <fill>
                <patternFill>
                  <bgColor rgb="FFFF0000"/>
                </patternFill>
              </fill>
            </x14:dxf>
          </x14:cfRule>
          <x14:cfRule type="expression" priority="289" id="{B3BB00DD-6D57-4E64-8BBE-925A2B8150E1}">
            <xm:f>OR(AND(E35="Fiji",H35="47mm",LEN(Matrix2!AD31)=1,(L35-44)&gt;750),AND(E35="Fiji",H35="47mm",LEN(Matrix2!AD31)=2,ISNUMBER(SEARCH("LL",Matrix2!AD31)),(L35-44)&gt;1320),AND(E35="Fiji",H35="47mm",LEN(Matrix2!AD31)=2,ISNUMBER(SEARCH("RR",Matrix2!AD31)),(L35-44)&gt;1320),AND(E35="Fiji",H35&lt;&gt;"47mm",H35&lt;&gt;"89mm",H35&lt;&gt;"114mm",LEN(Matrix2!AD31)=1,(L35-44)&gt;890),AND(E35="Fiji",H35&lt;&gt;"47mm",H35&lt;&gt;"89mm",H35&lt;&gt;"114mm",LEN(Matrix2!AD31)=2,ISNUMBER(SEARCH("LL",Matrix2!AD31)),(L35-44)&gt;1320),AND(E35="Fiji",H35&lt;&gt;"47mm",H35&lt;&gt;"89mm",H35&lt;&gt;"114mm",LEN(Matrix2!AD31)=2,ISNUMBER(SEARCH("RR",Matrix2!AD31)),(L35-44)&gt;1320),AND(E35="Fiji",H35&lt;&gt;"47mm",H35&lt;&gt;"63mm",H35&lt;&gt;"76mm",LEN(Matrix2!AD31)=1,(L35-44)&gt;1047),AND(E35="Fiji",H35&lt;&gt;"47mm",H35&lt;&gt;"63mm",H35&lt;&gt;"76mm",LEN(Matrix2!AD31)=2,ISNUMBER(SEARCH("LL",Matrix2!AD31)),(L35-44)&gt;1320),AND(E35="Fiji",H35&lt;&gt;"47mm",H35&lt;&gt;"63mm",H35&lt;&gt;"76mm",LEN(Matrix2!AD31)=2,ISNUMBER(SEARCH("RR",Matrix2!AD31)),(L35-44)&gt;1320),AND(LEN(Matrix2!AD31)&gt;=3,D35&lt;&gt;"Tracked",ISERROR(FIND("LLRR",Matrix2!AD31))=FALSE,((L35-44)/LEN(Matrix2!AD31)&gt;660)),AND(E35="Fiji",LEN(Matrix2!AD31)=3,ISNUMBER(SEARCH("LLR",Matrix2!AD31)),(L35-44)/LEN(Matrix2!AD31)&gt;660),AND(E35="Fiji",LEN(Matrix2!AD31)=3,ISNUMBER(SEARCH("LRR",Matrix2!AD31)),(L35-44)/LEN(Matrix2!AD31)&gt;660),AND(LEN(Matrix2!AD31)&gt;=3,D35="Tracked",I35="Top Track Only",((L35-44)/LEN(Matrix2!AD31)&gt;550)),AND(LEN(Matrix2!AD31)&gt;=3,D35="Tracked",I35&lt;&gt;"Top Track Only",((L35-44)/LEN(Matrix2!AD31)&gt;660)))</xm:f>
            <x14:dxf>
              <fill>
                <patternFill>
                  <bgColor rgb="FFFF0000"/>
                </patternFill>
              </fill>
            </x14:dxf>
          </x14:cfRule>
          <x14:cfRule type="expression" priority="290" id="{A88DC6D1-764E-4770-9DDA-2D2EED05C796}">
            <xm:f>OR(AND(E35="Cuba",H35="47mm",LEN(Matrix2!AD31)=1,(L35-44)&gt;750),AND(E35="Cuba",H35="47mm",LEN(Matrix2!AD31)=2,ISNUMBER(SEARCH("LL",Matrix2!AD31)),(L35-44)&gt;1320),AND(E35="Cuba",H35="47mm",LEN(Matrix2!AD31)=2,ISNUMBER(SEARCH("RR",Matrix2!AD31)),(L35-44)&gt;1320),AND(E35="Cuba",H35&lt;&gt;"47mm",LEN(Matrix2!AD31)=1,(L35-44)&gt;890),AND(E35="Cuba",H35&lt;&gt;"47mm",LEN(Matrix2!AD31)=2,ISNUMBER(SEARCH("LL",Matrix2!AD31)),(L35-44)&gt;1320),AND(E35="Cuba",H35&lt;&gt;"47mm",LEN(Matrix2!AD31)=2,ISNUMBER(SEARCH("RR",Matrix2!AD31)),(L35-44)&gt;1320),AND(LEN(Matrix2!AD31)&gt;=3,D35&lt;&gt;"Tracked",ISERROR(FIND("LLRR",Matrix2!AD31))=FALSE,((L35-44)/LEN(Matrix2!AD31)&gt;660)),AND(E35="Cuba",LEN(Matrix2!AD31)=3,ISNUMBER(SEARCH("LLR",Matrix2!AD31)),(L35-44)/LEN(Matrix2!AD31)&gt;660),AND(E35="Cuba",LEN(Matrix2!AD31)=3,ISNUMBER(SEARCH("LRR",Matrix2!AD31)),(L35-44)/LEN(Matrix2!AD31)&gt;660))</xm:f>
            <x14:dxf>
              <fill>
                <patternFill>
                  <bgColor rgb="FFFF0000"/>
                </patternFill>
              </fill>
            </x14:dxf>
          </x14:cfRule>
          <x14:cfRule type="expression" priority="291" id="{1832E9EB-CDD2-45B7-ACAC-E433BFD8EBBA}">
            <xm:f>OR(AND(E35="Antigua",H35="47mm",(L35-Data!T2)/LEN(Matrix2!AD31)&gt;600),AND(E35="Antigua",H35&lt;&gt;"47mm",(L35-Data!T2)/LEN(Matrix2!AD31)&gt;750))</xm:f>
            <x14:dxf>
              <fill>
                <patternFill>
                  <bgColor rgb="FFFF0000"/>
                </patternFill>
              </fill>
            </x14:dxf>
          </x14:cfRule>
          <x14:cfRule type="expression" priority="292" id="{144CB769-BA1D-4FE4-B41D-4FFD119ABB9E}">
            <xm:f>OR(AND(E35="Bermuda",H35="47mm",(L35-Data!T2)/LEN(Matrix2!AD31)&gt;610),AND(E35="Bermuda",H35&lt;&gt;"47mm",LEN(Matrix2!AD35)=1,L35&gt;915),AND(E35="Bermuda",H35&lt;&gt;"47mm",LEN(Matrix2!AD31)=2,L35&gt;1830),AND(E35="Bermuda",H35&lt;&gt;"47mm",LEN(Matrix2!AD31)&gt;=3,L35/LEN(Matrix2!AD31)&gt;915))</xm:f>
            <x14:dxf>
              <fill>
                <patternFill>
                  <bgColor rgb="FFFF0000"/>
                </patternFill>
              </fill>
            </x14:dxf>
          </x14:cfRule>
          <x14:cfRule type="expression" priority="293" id="{C2AAD43B-2174-43B1-99ED-ABED80EC3AE2}">
            <xm:f>AND(L35/LEN(Matrix2!AD35)&gt;600,E35="Antigua",$H35="47mm")</xm:f>
            <x14:dxf>
              <fill>
                <patternFill>
                  <bgColor rgb="FFFF0000"/>
                </patternFill>
              </fill>
            </x14:dxf>
          </x14:cfRule>
          <xm:sqref>L35:L37</xm:sqref>
        </x14:conditionalFormatting>
        <x14:conditionalFormatting xmlns:xm="http://schemas.microsoft.com/office/excel/2006/main">
          <x14:cfRule type="expression" priority="281" id="{A01EBED2-05E8-4793-A05C-248289D29CAB}">
            <xm:f>OR(AND(E41="Samoa",H41="47mm",LEN(Matrix2!AD33)=1,(L41-44)&gt;762),AND(E41="Samoa",H41="47mm",LEN(Matrix2!AD33)=2,ISNUMBER(SEARCH("LL",Matrix2!AD33)),(L41-44)&gt;1320.8),AND(E41="Samoa",H41="47mm",LEN(Matrix2!AD33)=2,ISNUMBER(SEARCH("RR",Matrix2!AD33)),(L41-44)&gt;1320.8),AND(E41="Samoa",H41&lt;&gt;"47mm",H41&lt;&gt;"89mm",H41&lt;&gt;"114mm",LEN(Matrix2!AD33)=1,(L41-44)&gt;914.4),AND(E41="Samoa",H41&lt;&gt;"47mm",H41&lt;&gt;"89mm",H41&lt;&gt;"114mm",LEN(Matrix2!AD33)=2,ISNUMBER(SEARCH("LL",Matrix2!AD33)),(L41-44)&gt;1320.8),AND(E41="Samoa",H41&lt;&gt;"47mm",H41&lt;&gt;"89mm",H41&lt;&gt;"114mm",LEN(Matrix2!AD33)=2,ISNUMBER(SEARCH("RR",Matrix2!AD33)),(L41-44)&gt;1320.8),AND(E41="Samoa",H41&lt;&gt;"47mm",H41&lt;&gt;"63mm",H41&lt;&gt;"76mm",LEN(Matrix2!AD33)=1,(L41-44)&gt;1219.2),AND(E41="Samoa",H41&lt;&gt;"47mm",H41&lt;&gt;"63mm",H41&lt;&gt;"76mm",LEN(Matrix2!AD33)=2,ISNUMBER(SEARCH("LL",Matrix2!AD33)),(L41-44)&gt;1320.8), AND(E41="Samoa",H41&lt;&gt;"47mm",H41&lt;&gt;"63mm",H41&lt;&gt;"76mm",LEN(Matrix2!AD33)=2,ISNUMBER(SEARCH("RR",Matrix2!AD33)),(L41-44)&gt;1320.8),AND(LEN(Matrix2!AD33)&gt;=3,D41&lt;&gt;"Tracked",ISERROR(FIND("LLRR",Matrix2!AD33))=FALSE,((L41-44)/LEN(Matrix2!AD33)&gt;660.4)),AND(E41="Samoa",LEN(Matrix2!AD33)=3,ISNUMBER(SEARCH("LLR",Matrix2!AD33)),(L41-44)/LEN(Matrix2!AD33)&gt;508),AND(E41="Samoa",LEN(Matrix2!AD33)=3,ISNUMBER(SEARCH("LRR",Matrix2!AD33)),(L41-44)/LEN(Matrix2!AD33)&gt;508),AND(LEN(Matrix2!AD33)&gt;=3,D41="Tracked",I41="Top Track Only",((L41-44)/LEN(Matrix2!AD33)&gt;550)),AND(LEN(Matrix2!AD33)&gt;=3,D41="Tracked",I41&lt;&gt;"Top Track Only",((L41-44)/LEN(Matrix2!AD33)&gt;660)))</xm:f>
            <x14:dxf>
              <fill>
                <patternFill>
                  <bgColor rgb="FFFF0000"/>
                </patternFill>
              </fill>
            </x14:dxf>
          </x14:cfRule>
          <x14:cfRule type="expression" priority="282" id="{40ADC22A-FF1A-4249-9BE3-6C1533A0B1A7}">
            <xm:f>OR(AND(E41="Fiji",H41="47mm",LEN(Matrix2!AD33)=1,(L41-44)&gt;750),AND(E41="Fiji",H41="47mm",LEN(Matrix2!AD33)=2,ISNUMBER(SEARCH("LL",Matrix2!AD33)),(L41-44)&gt;1320),AND(E41="Fiji",H41="47mm",LEN(Matrix2!AD33)=2,ISNUMBER(SEARCH("RR",Matrix2!AD33)),(L41-44)&gt;1320),AND(E41="Fiji",H41&lt;&gt;"47mm",H41&lt;&gt;"89mm",H41&lt;&gt;"114mm",LEN(Matrix2!AD33)=1,(L41-44)&gt;890),AND(E41="Fiji",H41&lt;&gt;"47mm",H41&lt;&gt;"89mm",H41&lt;&gt;"114mm",LEN(Matrix2!AD33)=2,ISNUMBER(SEARCH("LL",Matrix2!AD33)),(L41-44)&gt;1320),AND(E41="Fiji",H41&lt;&gt;"47mm",H41&lt;&gt;"89mm",H41&lt;&gt;"114mm",LEN(Matrix2!AD33)=2,ISNUMBER(SEARCH("RR",Matrix2!AD33)),(L41-44)&gt;1320),AND(E41="Fiji",H41&lt;&gt;"47mm",H41&lt;&gt;"63mm",H41&lt;&gt;"76mm",LEN(Matrix2!AD33)=1,(L41-44)&gt;1047),AND(E41="Fiji",H41&lt;&gt;"47mm",H41&lt;&gt;"63mm",H41&lt;&gt;"76mm",LEN(Matrix2!AD33)=2,ISNUMBER(SEARCH("LL",Matrix2!AD33)),(L41-44)&gt;1320),AND(E41="Fiji",H41&lt;&gt;"47mm",H41&lt;&gt;"63mm",H41&lt;&gt;"76mm",LEN(Matrix2!AD33)=2,ISNUMBER(SEARCH("RR",Matrix2!AD33)),(L41-44)&gt;1320),AND(LEN(Matrix2!AD33)&gt;=3,D41&lt;&gt;"Tracked",ISERROR(FIND("LLRR",Matrix2!AD33))=FALSE,((L41-44)/LEN(Matrix2!AD33)&gt;660)),AND(E41="Fiji",LEN(Matrix2!AD33)=3,ISNUMBER(SEARCH("LLR",Matrix2!AD33)),(L41-44)/LEN(Matrix2!AD33)&gt;660),AND(E41="Fiji",LEN(Matrix2!AD33)=3,ISNUMBER(SEARCH("LRR",Matrix2!AD33)),(L41-44)/LEN(Matrix2!AD33)&gt;660),AND(LEN(Matrix2!AD33)&gt;=3,D41="Tracked",I41="Top Track Only",((L41-44)/LEN(Matrix2!AD33)&gt;550)),AND(LEN(Matrix2!AD33)&gt;=3,D41="Tracked",I41&lt;&gt;"Top Track Only",((L41-44)/LEN(Matrix2!AD33)&gt;660)))</xm:f>
            <x14:dxf>
              <fill>
                <patternFill>
                  <bgColor rgb="FFFF0000"/>
                </patternFill>
              </fill>
            </x14:dxf>
          </x14:cfRule>
          <x14:cfRule type="expression" priority="283" id="{9070B460-5FB0-4BE8-A71E-89BBBD48C80E}">
            <xm:f>OR(AND(E41="Cuba",H41="47mm",LEN(Matrix2!AD33)=1,(L41-44)&gt;750),AND(E41="Cuba",H41="47mm",LEN(Matrix2!AD33)=2,ISNUMBER(SEARCH("LL",Matrix2!AD33)),(L41-44)&gt;1320),AND(E41="Cuba",H41="47mm",LEN(Matrix2!AD33)=2,ISNUMBER(SEARCH("RR",Matrix2!AD33)),(L41-44)&gt;1320),AND(E41="Cuba",H41&lt;&gt;"47mm",LEN(Matrix2!AD33)=1,(L41-44)&gt;890),AND(E41="Cuba",H41&lt;&gt;"47mm",LEN(Matrix2!AD33)=2,ISNUMBER(SEARCH("LL",Matrix2!AD33)),(L41-44)&gt;1320),AND(E41="Cuba",H41&lt;&gt;"47mm",LEN(Matrix2!AD33)=2,ISNUMBER(SEARCH("RR",Matrix2!AD33)),(L41-44)&gt;1320),AND(LEN(Matrix2!AD33)&gt;=3,D41&lt;&gt;"Tracked",ISERROR(FIND("LLRR",Matrix2!AD33))=FALSE,((L41-44)/LEN(Matrix2!AD33)&gt;660)),AND(E41="Cuba",LEN(Matrix2!AD33)=3,ISNUMBER(SEARCH("LLR",Matrix2!AD33)),(L41-44)/LEN(Matrix2!AD33)&gt;660),AND(E41="Cuba",LEN(Matrix2!AD33)=3,ISNUMBER(SEARCH("LRR",Matrix2!AD33)),(L41-44)/LEN(Matrix2!AD33)&gt;660))</xm:f>
            <x14:dxf>
              <fill>
                <patternFill>
                  <bgColor rgb="FFFF0000"/>
                </patternFill>
              </fill>
            </x14:dxf>
          </x14:cfRule>
          <x14:cfRule type="expression" priority="284" id="{D734FBF2-E5A5-4575-BE4E-8942C88B277D}">
            <xm:f>OR(AND(E41="Antigua",H41="47mm",(L41-Data!T2)/LEN(Matrix2!AD33)&gt;600),AND(E41="Antigua",H41&lt;&gt;"47mm",(L41-Data!T2)/LEN(Matrix2!AD33)&gt;750))</xm:f>
            <x14:dxf>
              <fill>
                <patternFill>
                  <bgColor rgb="FFFF0000"/>
                </patternFill>
              </fill>
            </x14:dxf>
          </x14:cfRule>
          <x14:cfRule type="expression" priority="285" id="{5CA22447-E508-4C54-B6A7-61A752DC0F37}">
            <xm:f>OR(AND(E41="Bermuda",H41="47mm",(L41-Data!T2)/LEN(Matrix2!AD33)&gt;610),AND(E41="Bermuda",H41&lt;&gt;"47mm",LEN(Matrix2!AD33)=1,L41&gt;915),AND(E41="Bermuda",H41&lt;&gt;"47mm",LEN(Matrix2!AD33)=2,L41&gt;1830),AND(E41="Bermuda",H41&lt;&gt;"47mm",LEN(Matrix2!AD33)&gt;=3,L41/LEN(Matrix2!AD33)&gt;915))</xm:f>
            <x14:dxf>
              <fill>
                <patternFill>
                  <bgColor rgb="FFFF0000"/>
                </patternFill>
              </fill>
            </x14:dxf>
          </x14:cfRule>
          <x14:cfRule type="expression" priority="578" id="{AE86DB55-1752-4002-ABEF-0F7866D1DEF7}">
            <xm:f>AND(L41/LEN(Matrix2!AD33)&gt;600,E41="Antigua",$H41="47mm")</xm:f>
            <x14:dxf>
              <fill>
                <patternFill>
                  <bgColor rgb="FFFF0000"/>
                </patternFill>
              </fill>
            </x14:dxf>
          </x14:cfRule>
          <xm:sqref>L41:L43</xm:sqref>
        </x14:conditionalFormatting>
        <x14:conditionalFormatting xmlns:xm="http://schemas.microsoft.com/office/excel/2006/main">
          <x14:cfRule type="expression" priority="274" id="{7496CD67-D3C2-4CDE-9A58-797582375766}">
            <xm:f>OR(AND(E44="Samoa",H44="47mm",LEN(Matrix2!AD34)=1,(L44-44)&gt;762),AND(E44="Samoa",H44="47mm",LEN(Matrix2!AD34)=2,ISNUMBER(SEARCH("LL",Matrix2!AD34)),(L44-44)&gt;1320.8),AND(E44="Samoa",H44="47mm",LEN(Matrix2!AD34)=2,ISNUMBER(SEARCH("RR",Matrix2!AD34)),(L44-44)&gt;1320.8),AND(E44="Samoa",H44&lt;&gt;"47mm",H44&lt;&gt;"89mm",H44&lt;&gt;"114mm",LEN(Matrix2!AD34)=1,(L44-44)&gt;914.4),AND(E44="Samoa",H44&lt;&gt;"47mm",H44&lt;&gt;"89mm",H44&lt;&gt;"114mm",LEN(Matrix2!AD34)=2,ISNUMBER(SEARCH("LL",Matrix2!AD34)),(L44-44)&gt;1320.8),AND(E44="Samoa",H44&lt;&gt;"47mm",H44&lt;&gt;"89mm",H44&lt;&gt;"114mm",LEN(Matrix2!AD34)=2,ISNUMBER(SEARCH("RR",Matrix2!AD34)),(L44-44)&gt;1320.8),AND(E44="Samoa",H44&lt;&gt;"47mm",H44&lt;&gt;"63mm",H44&lt;&gt;"76mm",LEN(Matrix2!AD34)=1,(L44-44)&gt;1219.2),AND(E44="Samoa",H44&lt;&gt;"47mm",H44&lt;&gt;"63mm",H44&lt;&gt;"76mm",LEN(Matrix2!AD34)=2,ISNUMBER(SEARCH("LL",Matrix2!AD34)),(L44-44)&gt;1320.8), AND(E44="Samoa",H44&lt;&gt;"47mm",H44&lt;&gt;"63mm",H44&lt;&gt;"76mm",LEN(Matrix2!AD34)=2,ISNUMBER(SEARCH("RR",Matrix2!AD34)),(L44-44)&gt;1320.8),AND(LEN(Matrix2!AD34)&gt;=3,D44&lt;&gt;"Tracked",ISERROR(FIND("LLRR",Matrix2!AD34))=FALSE,((L44-44)/LEN(Matrix2!AD34)&gt;660.4)),AND(E44="Samoa",LEN(Matrix2!AD34)=3,ISNUMBER(SEARCH("LLR",Matrix2!AD34)),(L44-44)/LEN(Matrix2!AD34)&gt;508),AND(E44="Samoa",LEN(Matrix2!AD34)=3,ISNUMBER(SEARCH("LRR",Matrix2!AD34)),(L44-44)/LEN(Matrix2!AD34)&gt;508),AND(LEN(Matrix2!AD34)&gt;=3,D44="Tracked",I44="Top Track Only",((L44-44)/LEN(Matrix2!AD34)&gt;550)),AND(LEN(Matrix2!AD34)&gt;=3,D44="Tracked",I44&lt;&gt;"Top Track Only",((L44-44)/LEN(Matrix2!AD34)&gt;660)))</xm:f>
            <x14:dxf>
              <fill>
                <patternFill>
                  <bgColor rgb="FFFF0000"/>
                </patternFill>
              </fill>
            </x14:dxf>
          </x14:cfRule>
          <x14:cfRule type="expression" priority="275" id="{73A6967B-BAF3-4D2C-93CA-598963B2B6E4}">
            <xm:f>OR(AND(E44="Fiji",H44="47mm",LEN(Matrix2!AD34)=1,(L44-44)&gt;750),AND(E44="Fiji",H44="47mm",LEN(Matrix2!AD34)=2,ISNUMBER(SEARCH("LL",Matrix2!AD34)),(L44-44)&gt;1320),AND(E44="Fiji",H44="47mm",LEN(Matrix2!AD34)=2,ISNUMBER(SEARCH("RR",Matrix2!AD34)),(L44-44)&gt;1320),AND(E44="Fiji",H44&lt;&gt;"47mm",H44&lt;&gt;"89mm",H44&lt;&gt;"114mm",LEN(Matrix2!AD34)=1,(L44-44)&gt;890),AND(E44="Fiji",H44&lt;&gt;"47mm",H44&lt;&gt;"89mm",H44&lt;&gt;"114mm",LEN(Matrix2!AD34)=2,ISNUMBER(SEARCH("LL",Matrix2!AD34)),(L44-44)&gt;1320),AND(E44="Fiji",H44&lt;&gt;"47mm",H44&lt;&gt;"89mm",H44&lt;&gt;"114mm",LEN(Matrix2!AD34)=2,ISNUMBER(SEARCH("RR",Matrix2!AD34)),(L44-44)&gt;1320),AND(E44="Fiji",H44&lt;&gt;"47mm",H44&lt;&gt;"63mm",H44&lt;&gt;"76mm",LEN(Matrix2!AD34)=1,(L44-44)&gt;1047),AND(E44="Fiji",H44&lt;&gt;"47mm",H44&lt;&gt;"63mm",H44&lt;&gt;"76mm",LEN(Matrix2!AD34)=2,ISNUMBER(SEARCH("LL",Matrix2!AD34)),(L44-44)&gt;1320),AND(E44="Fiji",H44&lt;&gt;"47mm",H44&lt;&gt;"63mm",H44&lt;&gt;"76mm",LEN(Matrix2!AD34)=2,ISNUMBER(SEARCH("RR",Matrix2!AD34)),(L44-44)&gt;1320),AND(LEN(Matrix2!AD34)&gt;=3,D44&lt;&gt;"Tracked",ISERROR(FIND("LLRR",Matrix2!AD34))=FALSE,((L44-44)/LEN(Matrix2!AD34)&gt;660)),AND(E44="Fiji",LEN(Matrix2!AD34)=3,ISNUMBER(SEARCH("LLR",Matrix2!AD34)),(L44-44)/LEN(Matrix2!AD34)&gt;660),AND(E44="Fiji",LEN(Matrix2!AD34)=3,ISNUMBER(SEARCH("LRR",Matrix2!AD34)),(L44-44)/LEN(Matrix2!AD34)&gt;660),AND(LEN(Matrix2!AD34)&gt;=3,D44="Tracked",I44="Top Track Only",((L44-44)/LEN(Matrix2!AD34)&gt;550)),AND(LEN(Matrix2!AD34)&gt;=3,D44="Tracked",I44&lt;&gt;"Top Track Only",((L44-44)/LEN(Matrix2!AD34)&gt;660)))</xm:f>
            <x14:dxf>
              <fill>
                <patternFill>
                  <bgColor rgb="FFFF0000"/>
                </patternFill>
              </fill>
            </x14:dxf>
          </x14:cfRule>
          <x14:cfRule type="expression" priority="276" id="{DDEE9CDD-B4DD-4234-8E59-BE0AC1C9EE55}">
            <xm:f>OR(AND(E44="Cuba",H44="47mm",LEN(Matrix2!AD34)=1,(L44-44)&gt;750),AND(E44="Cuba",H44="47mm",LEN(Matrix2!AD34)=2,ISNUMBER(SEARCH("LL",Matrix2!AD34)),(L44-44)&gt;1320),AND(E44="Cuba",H44="47mm",LEN(Matrix2!AD34)=2,ISNUMBER(SEARCH("RR",Matrix2!AD34)),(L44-44)&gt;1320),AND(E44="Cuba",H44&lt;&gt;"47mm",LEN(Matrix2!AD34)=1,(L44-44)&gt;890),AND(E44="Cuba",H44&lt;&gt;"47mm",LEN(Matrix2!AD34)=2,ISNUMBER(SEARCH("LL",Matrix2!AD34)),(L44-44)&gt;1320),AND(E44="Cuba",H44&lt;&gt;"47mm",LEN(Matrix2!AD34)=2,ISNUMBER(SEARCH("RR",Matrix2!AD34)),(L44-44)&gt;1320),AND(LEN(Matrix2!AD34)&gt;=3,D44&lt;&gt;"Tracked",ISERROR(FIND("LLRR",Matrix2!AD34))=FALSE,((L44-44)/LEN(Matrix2!AD34)&gt;660)),AND(E44="Cuba",LEN(Matrix2!AD34)=3,ISNUMBER(SEARCH("LLR",Matrix2!AD34)),(L44-44)/LEN(Matrix2!AD34)&gt;660),AND(E44="Cuba",LEN(Matrix2!AD34)=3,ISNUMBER(SEARCH("LRR",Matrix2!AD34)),(L44-44)/LEN(Matrix2!AD34)&gt;660))</xm:f>
            <x14:dxf>
              <fill>
                <patternFill>
                  <bgColor rgb="FFFF0000"/>
                </patternFill>
              </fill>
            </x14:dxf>
          </x14:cfRule>
          <x14:cfRule type="expression" priority="277" id="{F7ABBA84-5780-4DD1-97AC-9EDA269589A4}">
            <xm:f>OR(AND(E44="Antigua",H44="47mm",(L44-Data!T2)/LEN(Matrix2!AD34)&gt;600),AND(E44="Antigua",H44&lt;&gt;"47mm",(L44-Data!T2)/LEN(Matrix2!AD34)&gt;750))</xm:f>
            <x14:dxf>
              <fill>
                <patternFill>
                  <bgColor rgb="FFFF0000"/>
                </patternFill>
              </fill>
            </x14:dxf>
          </x14:cfRule>
          <x14:cfRule type="expression" priority="278" id="{FC658F9F-D5E3-4A2F-8391-6D42F72D7DFE}">
            <xm:f>OR(AND(E44="Bermuda",H44="47mm",(L44-Data!T2)/LEN(Matrix2!AD34)&gt;610),AND(E44="Bermuda",H44&lt;&gt;"47mm",LEN(Matrix2!AD34)=1,L44&gt;915),AND(E44="Bermuda",H44&lt;&gt;"47mm",LEN(Matrix2!AD34)=2,L44&gt;1830),AND(E44="Bermuda",H44&lt;&gt;"47mm",LEN(Matrix2!AD34)&gt;=3,L44/LEN(Matrix2!AD34)&gt;915))</xm:f>
            <x14:dxf>
              <fill>
                <patternFill>
                  <bgColor rgb="FFFF0000"/>
                </patternFill>
              </fill>
            </x14:dxf>
          </x14:cfRule>
          <x14:cfRule type="expression" priority="570" id="{16F001C4-3B88-40D4-8937-8622861590DC}">
            <xm:f>AND(L44/LEN(Matrix2!AD34)&gt;600,E44="Antigua",$H44="47mm")</xm:f>
            <x14:dxf>
              <fill>
                <patternFill>
                  <bgColor rgb="FFFF0000"/>
                </patternFill>
              </fill>
            </x14:dxf>
          </x14:cfRule>
          <xm:sqref>L44:L46</xm:sqref>
        </x14:conditionalFormatting>
        <x14:conditionalFormatting xmlns:xm="http://schemas.microsoft.com/office/excel/2006/main">
          <x14:cfRule type="expression" priority="260" id="{61880D9A-BA82-4C74-B7CF-5EFEFABDDBC1}">
            <xm:f>OR(AND(E47="Samoa",H47="47mm",LEN(Matrix2!AD35)=1,(L47-44)&gt;762),AND(E47="Samoa",H47="47mm",LEN(Matrix2!AD35)=2,ISNUMBER(SEARCH("LL",Matrix2!AD35)),(L47-44)&gt;1320.8),AND(E47="Samoa",H47="47mm",LEN(Matrix2!AD35)=2,ISNUMBER(SEARCH("RR",Matrix2!AD35)),(L47-44)&gt;1320.8),AND(E47="Samoa",H47&lt;&gt;"47mm",H47&lt;&gt;"89mm",H47&lt;&gt;"114mm",LEN(Matrix2!AD35)=1,(L47-44)&gt;914.4),AND(E47="Samoa",H47&lt;&gt;"47mm",H47&lt;&gt;"89mm",H47&lt;&gt;"114mm",LEN(Matrix2!AD35)=2,ISNUMBER(SEARCH("LL",Matrix2!AD35)),(L47-44)&gt;1320.8),AND(E47="Samoa",H47&lt;&gt;"47mm",H47&lt;&gt;"89mm",H47&lt;&gt;"114mm",LEN(Matrix2!AD35)=2,ISNUMBER(SEARCH("RR",Matrix2!AD35)),(L47-44)&gt;1320.8),AND(E47="Samoa",H47&lt;&gt;"47mm",H47&lt;&gt;"63mm",H47&lt;&gt;"76mm",LEN(Matrix2!AD35)=1,(L47-44)&gt;1219.2),AND(E47="Samoa",H47&lt;&gt;"47mm",H47&lt;&gt;"63mm",H47&lt;&gt;"76mm",LEN(Matrix2!AD35)=2,ISNUMBER(SEARCH("LL",Matrix2!AD35)),(L47-44)&gt;1320.8), AND(E47="Samoa",H47&lt;&gt;"47mm",H47&lt;&gt;"63mm",H47&lt;&gt;"76mm",LEN(Matrix2!AD35)=2,ISNUMBER(SEARCH("RR",Matrix2!AD35)),(L47-44)&gt;1320.8),AND(LEN(Matrix2!AD35)&gt;=3,D47&lt;&gt;"Tracked",ISERROR(FIND("LLRR",Matrix2!AD35))=FALSE,((L47-44)/LEN(Matrix2!AD35)&gt;660.4)),AND(E47="Samoa",LEN(Matrix2!AD35)=3,ISNUMBER(SEARCH("LLR",Matrix2!AD35)),(L47-44)/LEN(Matrix2!AD35)&gt;508),AND(E47="Samoa",LEN(Matrix2!AD35)=3,ISNUMBER(SEARCH("LRR",Matrix2!AD35)),(L47-44)/LEN(Matrix2!AD35)&gt;508),AND(LEN(Matrix2!AD35)&gt;=3,D47="Tracked",I47="Top Track Only",((L47-44)/LEN(Matrix2!AD35)&gt;550)),AND(LEN(Matrix2!AD35)&gt;=3,D47="Tracked",I47&lt;&gt;"Top Track Only",((L47-44)/LEN(Matrix2!AD35)&gt;660)))</xm:f>
            <x14:dxf>
              <fill>
                <patternFill>
                  <bgColor rgb="FFFF0000"/>
                </patternFill>
              </fill>
            </x14:dxf>
          </x14:cfRule>
          <x14:cfRule type="expression" priority="261" id="{B7F54FE1-1E86-4B57-9658-67406AF7E4B5}">
            <xm:f>OR(AND(E47="Fiji",H47="47mm",LEN(Matrix2!AD35)=1,(L47-44)&gt;750),AND(E47="Fiji",H47="47mm",LEN(Matrix2!AD35)=2,ISNUMBER(SEARCH("LL",Matrix2!AD35)),(L47-44)&gt;1320),AND(E47="Fiji",H47="47mm",LEN(Matrix2!AD35)=2,ISNUMBER(SEARCH("RR",Matrix2!AD35)),(L47-44)&gt;1320),AND(E47="Fiji",H47&lt;&gt;"47mm",H47&lt;&gt;"89mm",H47&lt;&gt;"114mm",LEN(Matrix2!AD35)=1,(L47-44)&gt;890),AND(E47="Fiji",H47&lt;&gt;"47mm",H47&lt;&gt;"89mm",H47&lt;&gt;"114mm",LEN(Matrix2!AD35)=2,ISNUMBER(SEARCH("LL",Matrix2!AD35)),(L47-44)&gt;1320),AND(E47="Fiji",H47&lt;&gt;"47mm",H47&lt;&gt;"89mm",H47&lt;&gt;"114mm",LEN(Matrix2!AD35)=2,ISNUMBER(SEARCH("RR",Matrix2!AD35)),(L47-44)&gt;1320),AND(E47="Fiji",H47&lt;&gt;"47mm",H47&lt;&gt;"63mm",H47&lt;&gt;"76mm",LEN(Matrix2!AD35)=1,(L47-44)&gt;1047),AND(E47="Fiji",H47&lt;&gt;"47mm",H47&lt;&gt;"63mm",H47&lt;&gt;"76mm",LEN(Matrix2!AD35)=2,ISNUMBER(SEARCH("LL",Matrix2!AD35)),(L47-44)&gt;1320),AND(E47="Fiji",H47&lt;&gt;"47mm",H47&lt;&gt;"63mm",H47&lt;&gt;"76mm",LEN(Matrix2!AD35)=2,ISNUMBER(SEARCH("RR",Matrix2!AD35)),(L47-44)&gt;1320),AND(LEN(Matrix2!AD35)&gt;=3,D47&lt;&gt;"Tracked",ISERROR(FIND("LLRR",Matrix2!AD35))=FALSE,((L47-44)/LEN(Matrix2!AD35)&gt;660)),AND(E47="Fiji",LEN(Matrix2!AD35)=3,ISNUMBER(SEARCH("LLR",Matrix2!AD35)),(L47-44)/LEN(Matrix2!AD35)&gt;660),AND(E47="Fiji",LEN(Matrix2!AD35)=3,ISNUMBER(SEARCH("LRR",Matrix2!AD35)),(L47-44)/LEN(Matrix2!AD35)&gt;660),AND(LEN(Matrix2!AD35)&gt;=3,D47="Tracked",I47="Top Track Only",((L47-44)/LEN(Matrix2!AD35)&gt;550)),AND(LEN(Matrix2!AD35)&gt;=3,D47="Tracked",I47&lt;&gt;"Top Track Only",((L47-44)/LEN(Matrix2!AD35)&gt;660)))</xm:f>
            <x14:dxf>
              <fill>
                <patternFill>
                  <bgColor rgb="FFFF0000"/>
                </patternFill>
              </fill>
            </x14:dxf>
          </x14:cfRule>
          <x14:cfRule type="expression" priority="262" id="{3CDEA32C-8744-45BF-B8FF-850F8E8BAA8E}">
            <xm:f>OR(AND(E47="Cuba",H47="47mm",LEN(Matrix2!AD35)=1,(L47-44)&gt;750),AND(E47="Cuba",H47="47mm",LEN(Matrix2!AD35)=2,ISNUMBER(SEARCH("LL",Matrix2!AD35)),(L47-44)&gt;1320),AND(E47="Cuba",H47="47mm",LEN(Matrix2!AD35)=2,ISNUMBER(SEARCH("RR",Matrix2!AD35)),(L47-44)&gt;1320),AND(E47="Cuba",H47&lt;&gt;"47mm",LEN(Matrix2!AD35)=1,(L47-44)&gt;890),AND(E47="Cuba",H47&lt;&gt;"47mm",LEN(Matrix2!AD35)=2,ISNUMBER(SEARCH("LL",Matrix2!AD35)),(L47-44)&gt;1320),AND(E47="Cuba",H47&lt;&gt;"47mm",LEN(Matrix2!AD35)=2,ISNUMBER(SEARCH("RR",Matrix2!AD35)),(L47-44)&gt;1320),AND(LEN(Matrix2!AD35)&gt;=3,D47&lt;&gt;"Tracked",ISERROR(FIND("LLRR",Matrix2!AD35))=FALSE,((L47-44)/LEN(Matrix2!AD35)&gt;660)),AND(E47="Cuba",LEN(Matrix2!AD35)=3,ISNUMBER(SEARCH("LLR",Matrix2!AD35)),(L47-44)/LEN(Matrix2!AD35)&gt;660),AND(E47="Cuba",LEN(Matrix2!AD35)=3,ISNUMBER(SEARCH("LRR",Matrix2!AD35)),(L47-44)/LEN(Matrix2!AD35)&gt;660))</xm:f>
            <x14:dxf>
              <fill>
                <patternFill>
                  <bgColor rgb="FFFF0000"/>
                </patternFill>
              </fill>
            </x14:dxf>
          </x14:cfRule>
          <x14:cfRule type="expression" priority="263" id="{B6F55197-5C04-4029-B267-B4FC6B29F5FE}">
            <xm:f>OR(AND(E47="Antigua",H47="47mm",(L47-Data!T2)/LEN(Matrix2!AD35)&gt;600),AND(E47="Antigua",H47&lt;&gt;"47mm",(L47-Data!T2)/LEN(Matrix2!AD35)&gt;750))</xm:f>
            <x14:dxf>
              <fill>
                <patternFill>
                  <bgColor rgb="FFFF0000"/>
                </patternFill>
              </fill>
            </x14:dxf>
          </x14:cfRule>
          <x14:cfRule type="expression" priority="264" id="{693E9333-30DE-4119-AC17-40D4DA15E04C}">
            <xm:f>OR(AND(E47="Bermuda",H47="47mm",(L47-Data!T2)/LEN(Matrix2!AD35)&gt;610),AND(E47="Bermuda",H47&lt;&gt;"47mm",LEN(Matrix2!AD35)=1,L47&gt;915),AND(E47="Bermuda",H47&lt;&gt;"47mm",LEN(Matrix2!AD35)=2,L47&gt;1830),AND(E47="Bermuda",H47&lt;&gt;"47mm",LEN(Matrix2!AD35)&gt;=3,L47/LEN(Matrix2!AD35)&gt;915))</xm:f>
            <x14:dxf>
              <fill>
                <patternFill>
                  <bgColor rgb="FFFF0000"/>
                </patternFill>
              </fill>
            </x14:dxf>
          </x14:cfRule>
          <x14:cfRule type="expression" priority="265" id="{08AF4D35-0E6F-427C-96EC-3EBFC48E3B89}">
            <xm:f>AND(L47/LEN(Matrix2!AD35)&gt;600,E47="Antigua",$H47="47mm")</xm:f>
            <x14:dxf>
              <fill>
                <patternFill>
                  <bgColor rgb="FFFF0000"/>
                </patternFill>
              </fill>
            </x14:dxf>
          </x14:cfRule>
          <xm:sqref>L47:L49</xm:sqref>
        </x14:conditionalFormatting>
        <x14:conditionalFormatting xmlns:xm="http://schemas.microsoft.com/office/excel/2006/main">
          <x14:cfRule type="expression" priority="246" id="{D4D35D47-48E0-4F6C-9F5E-F01F07399AEC}">
            <xm:f>OR(AND(E50="Samoa",H50="47mm",LEN(Matrix2!AD36)=1,(L50-44)&gt;762),AND(E50="Samoa",H50="47mm",LEN(Matrix2!AD36)=2,ISNUMBER(SEARCH("LL",Matrix2!AD36)),(L50-44)&gt;1320.8),AND(E50="Samoa",H50="47mm",LEN(Matrix2!AD36)=2,ISNUMBER(SEARCH("RR",Matrix2!AD36)),(L50-44)&gt;1320.8),AND(E50="Samoa",H50&lt;&gt;"47mm",H50&lt;&gt;"89mm",H50&lt;&gt;"114mm",LEN(Matrix2!AD36)=1,(L50-44)&gt;914.4),AND(E50="Samoa",H50&lt;&gt;"47mm",H50&lt;&gt;"89mm",H50&lt;&gt;"114mm",LEN(Matrix2!AD36)=2,ISNUMBER(SEARCH("LL",Matrix2!AD36)),(L50-44)&gt;1320.8),AND(E50="Samoa",H50&lt;&gt;"47mm",H50&lt;&gt;"89mm",H50&lt;&gt;"114mm",LEN(Matrix2!AD36)=2,ISNUMBER(SEARCH("RR",Matrix2!AD36)),(L50-44)&gt;1320.8),AND(E50="Samoa",H50&lt;&gt;"47mm",H50&lt;&gt;"63mm",H50&lt;&gt;"76mm",LEN(Matrix2!AD36)=1,(L50-44)&gt;1219.2),AND(E50="Samoa",H50&lt;&gt;"47mm",H50&lt;&gt;"63mm",H50&lt;&gt;"76mm",LEN(Matrix2!AD36)=2,ISNUMBER(SEARCH("LL",Matrix2!AD36)),(L50-44)&gt;1320.8), AND(E50="Samoa",H50&lt;&gt;"47mm",H50&lt;&gt;"63mm",H50&lt;&gt;"76mm",LEN(Matrix2!AD36)=2,ISNUMBER(SEARCH("RR",Matrix2!AD36)),(L50-44)&gt;1320.8),AND(LEN(Matrix2!AD36)&gt;=3,D50&lt;&gt;"Tracked",ISERROR(FIND("LLRR",Matrix2!AD36))=FALSE,((L50-44)/LEN(Matrix2!AD36)&gt;660.4)),AND(E50="Samoa",LEN(Matrix2!AD36)=3,ISNUMBER(SEARCH("LLR",Matrix2!AD36)),(L50-44)/LEN(Matrix2!AD36)&gt;508),AND(E50="Samoa",LEN(Matrix2!AD36)=3,ISNUMBER(SEARCH("LRR",Matrix2!AD36)),(L50-44)/LEN(Matrix2!AD36)&gt;508),AND(LEN(Matrix2!AD36)&gt;=3,D50="Tracked",I50="Top Track Only",((L50-44)/LEN(Matrix2!AD36)&gt;550)),AND(LEN(Matrix2!AD36)&gt;=3,D50="Tracked",I50&lt;&gt;"Top Track Only",((L50-44)/LEN(Matrix2!AD36)&gt;660)))</xm:f>
            <x14:dxf>
              <fill>
                <patternFill>
                  <bgColor rgb="FFFF0000"/>
                </patternFill>
              </fill>
            </x14:dxf>
          </x14:cfRule>
          <x14:cfRule type="expression" priority="247" id="{B15E5911-C7D3-44EF-ADEC-EF1929764DE4}">
            <xm:f>OR(AND(E50="Fiji",H50="47mm",LEN(Matrix2!AD36)=1,(L50-44)&gt;750),AND(E50="Fiji",H50="47mm",LEN(Matrix2!AD36)=2,ISNUMBER(SEARCH("LL",Matrix2!AD36)),(L50-44)&gt;1320),AND(E50="Fiji",H50="47mm",LEN(Matrix2!AD36)=2,ISNUMBER(SEARCH("RR",Matrix2!AD36)),(L50-44)&gt;1320),AND(E50="Fiji",H50&lt;&gt;"47mm",H50&lt;&gt;"89mm",H50&lt;&gt;"114mm",LEN(Matrix2!AD36)=1,(L50-44)&gt;890),AND(E50="Fiji",H50&lt;&gt;"47mm",H50&lt;&gt;"89mm",H50&lt;&gt;"114mm",LEN(Matrix2!AD36)=2,ISNUMBER(SEARCH("LL",Matrix2!AD36)),(L50-44)&gt;1320),AND(E50="Fiji",H50&lt;&gt;"47mm",H50&lt;&gt;"89mm",H50&lt;&gt;"114mm",LEN(Matrix2!AD36)=2,ISNUMBER(SEARCH("RR",Matrix2!AD36)),(L50-44)&gt;1320),AND(E50="Fiji",H50&lt;&gt;"47mm",H50&lt;&gt;"63mm",H50&lt;&gt;"76mm",LEN(Matrix2!AD36)=1,(L50-44)&gt;1047),AND(E50="Fiji",H50&lt;&gt;"47mm",H50&lt;&gt;"63mm",H50&lt;&gt;"76mm",LEN(Matrix2!AD36)=2,ISNUMBER(SEARCH("LL",Matrix2!AD36)),(L50-44)&gt;1320),AND(E50="Fiji",H50&lt;&gt;"47mm",H50&lt;&gt;"63mm",H50&lt;&gt;"76mm",LEN(Matrix2!AD36)=2,ISNUMBER(SEARCH("RR",Matrix2!AD36)),(L50-44)&gt;1320),AND(LEN(Matrix2!AD36)&gt;=3,D50&lt;&gt;"Tracked",ISERROR(FIND("LLRR",Matrix2!AD36))=FALSE,((L50-44)/LEN(Matrix2!AD36)&gt;660)),AND(E50="Fiji",LEN(Matrix2!AD36)=3,ISNUMBER(SEARCH("LLR",Matrix2!AD36)),(L50-44)/LEN(Matrix2!AD36)&gt;660),AND(E50="Fiji",LEN(Matrix2!AD36)=3,ISNUMBER(SEARCH("LRR",Matrix2!AD36)),(L50-44)/LEN(Matrix2!AD36)&gt;660),AND(LEN(Matrix2!AD36)&gt;=3,D50="Tracked",I50="Top Track Only",((L50-44)/LEN(Matrix2!AD36)&gt;550)),AND(LEN(Matrix2!AD36)&gt;=3,D50="Tracked",I50&lt;&gt;"Top Track Only",((L50-44)/LEN(Matrix2!AD36)&gt;660)))</xm:f>
            <x14:dxf>
              <fill>
                <patternFill>
                  <bgColor rgb="FFFF0000"/>
                </patternFill>
              </fill>
            </x14:dxf>
          </x14:cfRule>
          <x14:cfRule type="expression" priority="248" id="{0F639DFA-F980-48FB-AE08-FFE298DB58A6}">
            <xm:f>OR(AND(E50="Cuba",H50="47mm",LEN(Matrix2!AD36)=1,(L50-44)&gt;750),AND(E50="Cuba",H50="47mm",LEN(Matrix2!AD36)=2,ISNUMBER(SEARCH("LL",Matrix2!AD36)),(L50-44)&gt;1320),AND(E50="Cuba",H50="47mm",LEN(Matrix2!AD36)=2,ISNUMBER(SEARCH("RR",Matrix2!AD36)),(L50-44)&gt;1320),AND(E50="Cuba",H50&lt;&gt;"47mm",LEN(Matrix2!AD36)=1,(L50-44)&gt;890),AND(E50="Cuba",H50&lt;&gt;"47mm",LEN(Matrix2!AD36)=2,ISNUMBER(SEARCH("LL",Matrix2!AD36)),(L50-44)&gt;1320),AND(E50="Cuba",H50&lt;&gt;"47mm",LEN(Matrix2!AD36)=2,ISNUMBER(SEARCH("RR",Matrix2!AD36)),(L50-44)&gt;1320),AND(LEN(Matrix2!AD36)&gt;=3,D50&lt;&gt;"Tracked",ISERROR(FIND("LLRR",Matrix2!AD36))=FALSE,((L50-44)/LEN(Matrix2!AD36)&gt;660)),AND(E50="Cuba",LEN(Matrix2!AD36)=3,ISNUMBER(SEARCH("LLR",Matrix2!AD36)),(L50-44)/LEN(Matrix2!AD36)&gt;660),AND(E50="Cuba",LEN(Matrix2!AD36)=3,ISNUMBER(SEARCH("LRR",Matrix2!AD36)),(L50-44)/LEN(Matrix2!AD36)&gt;660))</xm:f>
            <x14:dxf>
              <fill>
                <patternFill>
                  <bgColor rgb="FFFF0000"/>
                </patternFill>
              </fill>
            </x14:dxf>
          </x14:cfRule>
          <x14:cfRule type="expression" priority="249" id="{3E224052-B679-4194-8E26-2948D16C5812}">
            <xm:f>OR(AND(E50="Antigua",H50="47mm",(L50-Data!T2)/LEN(Matrix2!AD36)&gt;600),AND(E50="Antigua",H50&lt;&gt;"47mm",(L50-Data!T2)/LEN(Matrix2!AD36)&gt;750))</xm:f>
            <x14:dxf>
              <fill>
                <patternFill>
                  <bgColor rgb="FFFF0000"/>
                </patternFill>
              </fill>
            </x14:dxf>
          </x14:cfRule>
          <x14:cfRule type="expression" priority="250" id="{CAB57AFF-6E56-4BA7-ACE6-E33CB1D6BAD0}">
            <xm:f>OR(AND(E50="Bermuda",H50="47mm",(L50-Data!T2)/LEN(Matrix2!AD36)&gt;610),AND(E50="Bermuda",H47&lt;&gt;"47mm",LEN(Matrix2!AD36)=1,L50&gt;915),AND(E50="Bermuda",H50&lt;&gt;"47mm",LEN(Matrix2!AD36)=2,L50&gt;1830),AND(E50="Bermuda",H50&lt;&gt;"47mm",LEN(Matrix2!AD36)&gt;=3,L50/LEN(Matrix2!AD36)&gt;915))</xm:f>
            <x14:dxf>
              <fill>
                <patternFill>
                  <bgColor rgb="FFFF0000"/>
                </patternFill>
              </fill>
            </x14:dxf>
          </x14:cfRule>
          <x14:cfRule type="expression" priority="251" id="{32BF17CB-7F8A-4FEB-B3FF-45FC6D2A1BF2}">
            <xm:f>AND(L50/LEN(Matrix2!AD36)&gt;600,E50="Antigua",$H50="47mm")</xm:f>
            <x14:dxf>
              <fill>
                <patternFill>
                  <bgColor rgb="FFFF0000"/>
                </patternFill>
              </fill>
            </x14:dxf>
          </x14:cfRule>
          <xm:sqref>L50:L52</xm:sqref>
        </x14:conditionalFormatting>
        <x14:conditionalFormatting xmlns:xm="http://schemas.microsoft.com/office/excel/2006/main">
          <x14:cfRule type="expression" priority="542" id="{52634E5F-D356-4F41-843B-8D0D154EF8C1}">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Q11</xm:sqref>
        </x14:conditionalFormatting>
        <x14:conditionalFormatting xmlns:xm="http://schemas.microsoft.com/office/excel/2006/main">
          <x14:cfRule type="expression" priority="690" id="{1A6C6CA7-7A43-4F72-8808-F4D4F1E974B4}">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Q8</xm:sqref>
        </x14:conditionalFormatting>
        <x14:conditionalFormatting xmlns:xm="http://schemas.microsoft.com/office/excel/2006/main">
          <x14:cfRule type="expression" priority="552" id="{21037937-5412-403C-A228-74B4C7AAE700}">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R8</xm:sqref>
        </x14:conditionalFormatting>
        <x14:conditionalFormatting xmlns:xm="http://schemas.microsoft.com/office/excel/2006/main">
          <x14:cfRule type="expression" priority="551" id="{FC81298E-92EE-4C75-B213-AD59DD8672AF}">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S8</xm:sqref>
        </x14:conditionalFormatting>
        <x14:conditionalFormatting xmlns:xm="http://schemas.microsoft.com/office/excel/2006/main">
          <x14:cfRule type="expression" priority="553" id="{F8CBABF1-E192-4902-ABA2-754763827C28}">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T8</xm:sqref>
        </x14:conditionalFormatting>
        <x14:conditionalFormatting xmlns:xm="http://schemas.microsoft.com/office/excel/2006/main">
          <x14:cfRule type="expression" priority="550" id="{B8595216-DF30-4958-B082-4A5BF2375F5C}">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U8</xm:sqref>
        </x14:conditionalFormatting>
        <x14:conditionalFormatting xmlns:xm="http://schemas.microsoft.com/office/excel/2006/main">
          <x14:cfRule type="expression" priority="548" id="{2A9F4683-33CD-4C7D-95A5-0D6250E88A5E}">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V8</xm:sqref>
        </x14:conditionalFormatting>
        <x14:conditionalFormatting xmlns:xm="http://schemas.microsoft.com/office/excel/2006/main">
          <x14:cfRule type="expression" priority="547" id="{48751584-FEE5-4097-BC2C-B6AA0C4528BA}">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W8</xm:sqref>
        </x14:conditionalFormatting>
        <x14:conditionalFormatting xmlns:xm="http://schemas.microsoft.com/office/excel/2006/main">
          <x14:cfRule type="expression" priority="546" id="{7FF7FCB4-B738-4276-B70B-03F65C087AFE}">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X8</xm:sqref>
        </x14:conditionalFormatting>
        <x14:conditionalFormatting xmlns:xm="http://schemas.microsoft.com/office/excel/2006/main">
          <x14:cfRule type="expression" priority="545" id="{04EA4C36-4243-458D-97EC-DF9E02C4A91B}">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Y8</xm:sqref>
        </x14:conditionalFormatting>
        <x14:conditionalFormatting xmlns:xm="http://schemas.microsoft.com/office/excel/2006/main">
          <x14:cfRule type="expression" priority="549" id="{7E865B6E-7BB0-4365-A28A-D422D37B7AEE}">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Z8</xm:sqref>
        </x14:conditionalFormatting>
        <x14:conditionalFormatting xmlns:xm="http://schemas.microsoft.com/office/excel/2006/main">
          <x14:cfRule type="expression" priority="543" id="{341EF8FB-0D2E-4C18-9F64-CA8F3C666AA3}">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AA8</xm:sqref>
        </x14:conditionalFormatting>
        <x14:conditionalFormatting xmlns:xm="http://schemas.microsoft.com/office/excel/2006/main">
          <x14:cfRule type="expression" priority="541" id="{0001AE95-8EDE-451C-A74D-8FCC082A14D1}">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R11</xm:sqref>
        </x14:conditionalFormatting>
        <x14:conditionalFormatting xmlns:xm="http://schemas.microsoft.com/office/excel/2006/main">
          <x14:cfRule type="expression" priority="538" id="{7B5FCA93-6B33-49D8-ADA4-050FEAC0E6F9}">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T11</xm:sqref>
        </x14:conditionalFormatting>
        <x14:conditionalFormatting xmlns:xm="http://schemas.microsoft.com/office/excel/2006/main">
          <x14:cfRule type="expression" priority="536" id="{209DF384-20BF-4DF5-BE97-DE974AE36863}">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V11</xm:sqref>
        </x14:conditionalFormatting>
        <x14:conditionalFormatting xmlns:xm="http://schemas.microsoft.com/office/excel/2006/main">
          <x14:cfRule type="expression" priority="535" id="{01BCCBD2-B16C-42E2-9581-A98C68D4454F}">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W11</xm:sqref>
        </x14:conditionalFormatting>
        <x14:conditionalFormatting xmlns:xm="http://schemas.microsoft.com/office/excel/2006/main">
          <x14:cfRule type="expression" priority="534" id="{935C0877-0DF9-4CBB-AA5D-840C7ADD39D5}">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X11</xm:sqref>
        </x14:conditionalFormatting>
        <x14:conditionalFormatting xmlns:xm="http://schemas.microsoft.com/office/excel/2006/main">
          <x14:cfRule type="expression" priority="696" id="{55E206D3-3A7C-4F6A-891D-A81A78FEF4CA}">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Y11</xm:sqref>
        </x14:conditionalFormatting>
        <x14:conditionalFormatting xmlns:xm="http://schemas.microsoft.com/office/excel/2006/main">
          <x14:cfRule type="expression" priority="532" id="{3385914A-45E5-415A-A97C-DE46FED845A2}">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Z11</xm:sqref>
        </x14:conditionalFormatting>
        <x14:conditionalFormatting xmlns:xm="http://schemas.microsoft.com/office/excel/2006/main">
          <x14:cfRule type="expression" priority="529" id="{052EF87B-112E-46E9-B779-BD070A792BEB}">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S11</xm:sqref>
        </x14:conditionalFormatting>
        <x14:conditionalFormatting xmlns:xm="http://schemas.microsoft.com/office/excel/2006/main">
          <x14:cfRule type="expression" priority="527" id="{BECB0FCA-0B64-47F3-AC1B-88358E585DBA}">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U11</xm:sqref>
        </x14:conditionalFormatting>
        <x14:conditionalFormatting xmlns:xm="http://schemas.microsoft.com/office/excel/2006/main">
          <x14:cfRule type="expression" priority="526" id="{6EB1955F-73C4-4E05-A10B-3B798342EFCC}">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AA11</xm:sqref>
        </x14:conditionalFormatting>
        <x14:conditionalFormatting xmlns:xm="http://schemas.microsoft.com/office/excel/2006/main">
          <x14:cfRule type="expression" priority="525" id="{E8332A99-9E7D-4725-9928-D86CB2087A99}">
            <xm:f>OR(AND(E14="Antigua",ISNUMBER(SEARCH("LLL",Matrix2!AD24))),AND(E14="Antigua",ISNUMBER(SEARCH("RRR",Matrix2!AD24))),AND(E14="Bermuda",ISNUMBER(SEARCH("LLL",Matrix2!AD24))),AND(E14="Bermuda",ISNUMBER(SEARCH("RRR",Matrix2!AD24))),AND(E14="Cuba",ISNUMBER(SEARCH("LLL",Matrix2!AD24)),D14&lt;&gt;"Tracked"),AND(E14="Cuba",ISNUMBER(SEARCH("RRR",Matrix2!AD24)),D14&lt;&gt;"Tracked"),AND(E14="Java",ISNUMBER(SEARCH("LLL",Matrix2!AD24))),AND(E14="Java",ISNUMBER(SEARCH("RRR",Matrix2!AD24))),AND(E14="Fiji",ISNUMBER(SEARCH("LLL",Matrix2!AD24)),D14&lt;&gt;"Tracked"),AND(E14="Fiji",ISNUMBER(SEARCH("RRR",Matrix2!AD24)),D14&lt;&gt;"Tracked"),AND(E14="Fiji",ISNUMBER(SEARCH("LLLL",Matrix2!AD24)),D14="Tracked",I14&lt;&gt;"Top Track Only"),AND(E14="Fiji",ISNUMBER(SEARCH("RRRR",Matrix2!AD24)),D14="Tracked",I14&lt;&gt;"Top Track Only"),AND(E14="Samoa",ISNUMBER(SEARCH("LLL",Matrix2!AD24)),D14&lt;&gt;"Tracked"),AND(E14="Samoa",ISNUMBER(SEARCH("RRR",Matrix2!AD24)),D14&lt;&gt;"Tracked"),AND(E14="Samoa",ISNUMBER(SEARCH("LLLL",Matrix2!AD24)),D14="Tracked",I14&lt;&gt;"Top Track Only"),AND(E14="Samoa",ISNUMBER(SEARCH("RRRR",Matrix2!AD24)),D14="Tracked",I14&lt;&gt;"Top Track Only"))</xm:f>
            <x14:dxf>
              <fill>
                <patternFill>
                  <bgColor rgb="FFFF0000"/>
                </patternFill>
              </fill>
            </x14:dxf>
          </x14:cfRule>
          <xm:sqref>Q14</xm:sqref>
        </x14:conditionalFormatting>
        <x14:conditionalFormatting xmlns:xm="http://schemas.microsoft.com/office/excel/2006/main">
          <x14:cfRule type="expression" priority="524" id="{BF08B70D-EC19-463C-A12D-039214AD7F4A}">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R14:S14</xm:sqref>
        </x14:conditionalFormatting>
        <x14:conditionalFormatting xmlns:xm="http://schemas.microsoft.com/office/excel/2006/main">
          <x14:cfRule type="expression" priority="523" id="{D790B38C-8EBA-4D6B-98F7-16059238FD70}">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S14</xm:sqref>
        </x14:conditionalFormatting>
        <x14:conditionalFormatting xmlns:xm="http://schemas.microsoft.com/office/excel/2006/main">
          <x14:cfRule type="expression" priority="522" id="{ADF94653-5A82-47E4-BBD9-353504423B75}">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T14</xm:sqref>
        </x14:conditionalFormatting>
        <x14:conditionalFormatting xmlns:xm="http://schemas.microsoft.com/office/excel/2006/main">
          <x14:cfRule type="expression" priority="521" id="{F53D206F-46FE-46B3-AFEF-D3C6C5B7FE7D}">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U14</xm:sqref>
        </x14:conditionalFormatting>
        <x14:conditionalFormatting xmlns:xm="http://schemas.microsoft.com/office/excel/2006/main">
          <x14:cfRule type="expression" priority="520" id="{7F3EE65D-397E-4CA5-B7FE-40C89CEB6FEB}">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V14</xm:sqref>
        </x14:conditionalFormatting>
        <x14:conditionalFormatting xmlns:xm="http://schemas.microsoft.com/office/excel/2006/main">
          <x14:cfRule type="expression" priority="519" id="{96266DDD-A4B1-4EC4-8D7A-265A74970451}">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X14</xm:sqref>
        </x14:conditionalFormatting>
        <x14:conditionalFormatting xmlns:xm="http://schemas.microsoft.com/office/excel/2006/main">
          <x14:cfRule type="expression" priority="518" id="{34B20254-03FE-44C2-AC9D-83B5F91F1B2D}">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W14</xm:sqref>
        </x14:conditionalFormatting>
        <x14:conditionalFormatting xmlns:xm="http://schemas.microsoft.com/office/excel/2006/main">
          <x14:cfRule type="expression" priority="517" id="{2C0E53C7-F84A-4CBB-A649-A7F1AB4C8852}">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Y14</xm:sqref>
        </x14:conditionalFormatting>
        <x14:conditionalFormatting xmlns:xm="http://schemas.microsoft.com/office/excel/2006/main">
          <x14:cfRule type="expression" priority="516" id="{2B12EB8C-EBD8-42D3-B398-52598AEB7B90}">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Z14</xm:sqref>
        </x14:conditionalFormatting>
        <x14:conditionalFormatting xmlns:xm="http://schemas.microsoft.com/office/excel/2006/main">
          <x14:cfRule type="expression" priority="515" id="{75D02030-B41D-4FBC-9219-6C194406375D}">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AA14</xm:sqref>
        </x14:conditionalFormatting>
        <x14:conditionalFormatting xmlns:xm="http://schemas.microsoft.com/office/excel/2006/main">
          <x14:cfRule type="expression" priority="514" id="{8BAFEC6D-ADCA-4833-AD1A-08CA582ED968}">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Q17</xm:sqref>
        </x14:conditionalFormatting>
        <x14:conditionalFormatting xmlns:xm="http://schemas.microsoft.com/office/excel/2006/main">
          <x14:cfRule type="expression" priority="513" id="{10BEF919-8BE6-48C8-8A4D-24EB5FF571E0}">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R17</xm:sqref>
        </x14:conditionalFormatting>
        <x14:conditionalFormatting xmlns:xm="http://schemas.microsoft.com/office/excel/2006/main">
          <x14:cfRule type="expression" priority="512" id="{4BD5080F-665F-41D6-A688-49D18AB09103}">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S17</xm:sqref>
        </x14:conditionalFormatting>
        <x14:conditionalFormatting xmlns:xm="http://schemas.microsoft.com/office/excel/2006/main">
          <x14:cfRule type="expression" priority="511" id="{A6C9963D-DFDF-487B-9D1D-5E5B0B612E4A}">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T17</xm:sqref>
        </x14:conditionalFormatting>
        <x14:conditionalFormatting xmlns:xm="http://schemas.microsoft.com/office/excel/2006/main">
          <x14:cfRule type="expression" priority="510" id="{1A79977E-D22D-49B7-92B8-1BCEA617E843}">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U17</xm:sqref>
        </x14:conditionalFormatting>
        <x14:conditionalFormatting xmlns:xm="http://schemas.microsoft.com/office/excel/2006/main">
          <x14:cfRule type="expression" priority="509" id="{0E1FFBF7-012A-4099-A10C-4064D1590400}">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V17</xm:sqref>
        </x14:conditionalFormatting>
        <x14:conditionalFormatting xmlns:xm="http://schemas.microsoft.com/office/excel/2006/main">
          <x14:cfRule type="expression" priority="508" id="{2C1C0F9F-D44D-4C63-B1F2-4F794FDED647}">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W17</xm:sqref>
        </x14:conditionalFormatting>
        <x14:conditionalFormatting xmlns:xm="http://schemas.microsoft.com/office/excel/2006/main">
          <x14:cfRule type="expression" priority="507" id="{DBF5B2A0-1462-4206-A08D-CCA470DF5D06}">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X17</xm:sqref>
        </x14:conditionalFormatting>
        <x14:conditionalFormatting xmlns:xm="http://schemas.microsoft.com/office/excel/2006/main">
          <x14:cfRule type="expression" priority="506" id="{E82511AD-C4D6-45FF-9312-ACE06B4DDA4C}">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Y17</xm:sqref>
        </x14:conditionalFormatting>
        <x14:conditionalFormatting xmlns:xm="http://schemas.microsoft.com/office/excel/2006/main">
          <x14:cfRule type="expression" priority="505" id="{3DC83603-A2FB-49FD-935B-FBF4CF08276E}">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Z17</xm:sqref>
        </x14:conditionalFormatting>
        <x14:conditionalFormatting xmlns:xm="http://schemas.microsoft.com/office/excel/2006/main">
          <x14:cfRule type="expression" priority="504" id="{33D910E6-CAF2-4CAB-8285-AC646E169E3B}">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AA17</xm:sqref>
        </x14:conditionalFormatting>
        <x14:conditionalFormatting xmlns:xm="http://schemas.microsoft.com/office/excel/2006/main">
          <x14:cfRule type="expression" priority="503" id="{5ADD70D2-253E-4B1E-8406-6ADE0682BA82}">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Q20</xm:sqref>
        </x14:conditionalFormatting>
        <x14:conditionalFormatting xmlns:xm="http://schemas.microsoft.com/office/excel/2006/main">
          <x14:cfRule type="expression" priority="502" id="{99F93728-6620-4548-9D59-7156BB4EFBDB}">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R20</xm:sqref>
        </x14:conditionalFormatting>
        <x14:conditionalFormatting xmlns:xm="http://schemas.microsoft.com/office/excel/2006/main">
          <x14:cfRule type="expression" priority="501" id="{1CDA1583-70FE-4AC5-A2A9-F5248D39CA79}">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S20</xm:sqref>
        </x14:conditionalFormatting>
        <x14:conditionalFormatting xmlns:xm="http://schemas.microsoft.com/office/excel/2006/main">
          <x14:cfRule type="expression" priority="500" id="{B62A763E-CC8F-44D1-9B6C-E2B125C27D06}">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T20</xm:sqref>
        </x14:conditionalFormatting>
        <x14:conditionalFormatting xmlns:xm="http://schemas.microsoft.com/office/excel/2006/main">
          <x14:cfRule type="expression" priority="499" id="{381846A0-89C1-4A96-BCE4-8B48DB0DC799}">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U20</xm:sqref>
        </x14:conditionalFormatting>
        <x14:conditionalFormatting xmlns:xm="http://schemas.microsoft.com/office/excel/2006/main">
          <x14:cfRule type="expression" priority="498" id="{5B1958FE-5050-4EA1-8BC5-8F29991C77E4}">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V20</xm:sqref>
        </x14:conditionalFormatting>
        <x14:conditionalFormatting xmlns:xm="http://schemas.microsoft.com/office/excel/2006/main">
          <x14:cfRule type="expression" priority="497" id="{6518B25F-DD09-4280-9F42-8AA8E054E037}">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W20</xm:sqref>
        </x14:conditionalFormatting>
        <x14:conditionalFormatting xmlns:xm="http://schemas.microsoft.com/office/excel/2006/main">
          <x14:cfRule type="expression" priority="496" id="{5217AAC0-96CD-4325-822F-FC9D50C00273}">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X20</xm:sqref>
        </x14:conditionalFormatting>
        <x14:conditionalFormatting xmlns:xm="http://schemas.microsoft.com/office/excel/2006/main">
          <x14:cfRule type="expression" priority="495" id="{EB040094-B41E-4F5C-866B-438C0EBE29F8}">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Y20</xm:sqref>
        </x14:conditionalFormatting>
        <x14:conditionalFormatting xmlns:xm="http://schemas.microsoft.com/office/excel/2006/main">
          <x14:cfRule type="expression" priority="494" id="{FBAD67A4-5644-40AB-ADFF-EE2C0F9572B0}">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Z20</xm:sqref>
        </x14:conditionalFormatting>
        <x14:conditionalFormatting xmlns:xm="http://schemas.microsoft.com/office/excel/2006/main">
          <x14:cfRule type="expression" priority="493" id="{2A80F8D3-B282-4F72-B55A-9B2FF959B1B7}">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AA20</xm:sqref>
        </x14:conditionalFormatting>
        <x14:conditionalFormatting xmlns:xm="http://schemas.microsoft.com/office/excel/2006/main">
          <x14:cfRule type="expression" priority="492" id="{F1AAD5A9-0AF8-4D49-A799-D77678A77DAC}">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Q23</xm:sqref>
        </x14:conditionalFormatting>
        <x14:conditionalFormatting xmlns:xm="http://schemas.microsoft.com/office/excel/2006/main">
          <x14:cfRule type="expression" priority="491" id="{C59DB6EF-6D12-422F-B91C-06ECA8B5D613}">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R23</xm:sqref>
        </x14:conditionalFormatting>
        <x14:conditionalFormatting xmlns:xm="http://schemas.microsoft.com/office/excel/2006/main">
          <x14:cfRule type="expression" priority="490" id="{357603BB-8DE5-41BE-9788-FD403946A0D0}">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S23</xm:sqref>
        </x14:conditionalFormatting>
        <x14:conditionalFormatting xmlns:xm="http://schemas.microsoft.com/office/excel/2006/main">
          <x14:cfRule type="expression" priority="489" id="{81D7050C-7817-4B4F-8963-AE4E4FDBAF5D}">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T23</xm:sqref>
        </x14:conditionalFormatting>
        <x14:conditionalFormatting xmlns:xm="http://schemas.microsoft.com/office/excel/2006/main">
          <x14:cfRule type="expression" priority="488" id="{CD7591FB-49CE-4E69-B3EC-D792150FF34D}">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U23</xm:sqref>
        </x14:conditionalFormatting>
        <x14:conditionalFormatting xmlns:xm="http://schemas.microsoft.com/office/excel/2006/main">
          <x14:cfRule type="expression" priority="487" id="{7FC2B7AE-1B06-4119-B310-D78534DD4F75}">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V23</xm:sqref>
        </x14:conditionalFormatting>
        <x14:conditionalFormatting xmlns:xm="http://schemas.microsoft.com/office/excel/2006/main">
          <x14:cfRule type="expression" priority="486" id="{DC225069-73C1-425B-B23A-37CDF2A768E9}">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W23</xm:sqref>
        </x14:conditionalFormatting>
        <x14:conditionalFormatting xmlns:xm="http://schemas.microsoft.com/office/excel/2006/main">
          <x14:cfRule type="expression" priority="485" id="{B0DA3466-36E5-49FB-8D5B-434D21745CE7}">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X23</xm:sqref>
        </x14:conditionalFormatting>
        <x14:conditionalFormatting xmlns:xm="http://schemas.microsoft.com/office/excel/2006/main">
          <x14:cfRule type="expression" priority="484" id="{7595524A-BA28-4769-AA8C-B0974BF05F50}">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Y23</xm:sqref>
        </x14:conditionalFormatting>
        <x14:conditionalFormatting xmlns:xm="http://schemas.microsoft.com/office/excel/2006/main">
          <x14:cfRule type="expression" priority="483" id="{89C81747-8145-4534-A911-1A50C6006A61}">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Z23</xm:sqref>
        </x14:conditionalFormatting>
        <x14:conditionalFormatting xmlns:xm="http://schemas.microsoft.com/office/excel/2006/main">
          <x14:cfRule type="expression" priority="482" id="{23B3C229-BEDB-4875-B4F0-FB20C13AFC23}">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AA23</xm:sqref>
        </x14:conditionalFormatting>
        <x14:conditionalFormatting xmlns:xm="http://schemas.microsoft.com/office/excel/2006/main">
          <x14:cfRule type="expression" priority="481" id="{41E99D1B-F1EB-4796-A7EE-52136435D14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Q26</xm:sqref>
        </x14:conditionalFormatting>
        <x14:conditionalFormatting xmlns:xm="http://schemas.microsoft.com/office/excel/2006/main">
          <x14:cfRule type="expression" priority="480" id="{DE935C45-DE30-4CA3-9A87-024276B7E15C}">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R26</xm:sqref>
        </x14:conditionalFormatting>
        <x14:conditionalFormatting xmlns:xm="http://schemas.microsoft.com/office/excel/2006/main">
          <x14:cfRule type="expression" priority="479" id="{7153C7A6-B805-4AA4-9113-D0395A2E2EAF}">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S26</xm:sqref>
        </x14:conditionalFormatting>
        <x14:conditionalFormatting xmlns:xm="http://schemas.microsoft.com/office/excel/2006/main">
          <x14:cfRule type="expression" priority="478" id="{534373AA-C424-49A0-8565-14CB4625B6F9}">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T26</xm:sqref>
        </x14:conditionalFormatting>
        <x14:conditionalFormatting xmlns:xm="http://schemas.microsoft.com/office/excel/2006/main">
          <x14:cfRule type="expression" priority="477" id="{BF65B685-78EC-4C7E-BC38-EEF3D991F1D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U26</xm:sqref>
        </x14:conditionalFormatting>
        <x14:conditionalFormatting xmlns:xm="http://schemas.microsoft.com/office/excel/2006/main">
          <x14:cfRule type="expression" priority="476" id="{112DE2C4-E459-4D71-ACDD-8C4753B4CB92}">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V26</xm:sqref>
        </x14:conditionalFormatting>
        <x14:conditionalFormatting xmlns:xm="http://schemas.microsoft.com/office/excel/2006/main">
          <x14:cfRule type="expression" priority="475" id="{9DB992E8-F81C-4E7B-8545-D3827468DA83}">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W26</xm:sqref>
        </x14:conditionalFormatting>
        <x14:conditionalFormatting xmlns:xm="http://schemas.microsoft.com/office/excel/2006/main">
          <x14:cfRule type="expression" priority="474" id="{76922B63-A143-470C-989F-1CD71E25B460}">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X26</xm:sqref>
        </x14:conditionalFormatting>
        <x14:conditionalFormatting xmlns:xm="http://schemas.microsoft.com/office/excel/2006/main">
          <x14:cfRule type="expression" priority="473" id="{963365BD-3BE3-4EE0-A912-E8E755AE26FA}">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Y26</xm:sqref>
        </x14:conditionalFormatting>
        <x14:conditionalFormatting xmlns:xm="http://schemas.microsoft.com/office/excel/2006/main">
          <x14:cfRule type="expression" priority="472" id="{D9AF4DF9-5FE4-457D-AA6C-E4E34280CE8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Z26</xm:sqref>
        </x14:conditionalFormatting>
        <x14:conditionalFormatting xmlns:xm="http://schemas.microsoft.com/office/excel/2006/main">
          <x14:cfRule type="expression" priority="471" id="{257A8007-075B-4EFB-821B-37DC07B3D5B9}">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AA26</xm:sqref>
        </x14:conditionalFormatting>
        <x14:conditionalFormatting xmlns:xm="http://schemas.microsoft.com/office/excel/2006/main">
          <x14:cfRule type="expression" priority="470" id="{AC0C3276-7AC2-42A8-AF5C-08A4F8F9AB6A}">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Q29</xm:sqref>
        </x14:conditionalFormatting>
        <x14:conditionalFormatting xmlns:xm="http://schemas.microsoft.com/office/excel/2006/main">
          <x14:cfRule type="expression" priority="469" id="{CF724A67-BD76-4319-9F9F-0E2838ACB1E0}">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R29</xm:sqref>
        </x14:conditionalFormatting>
        <x14:conditionalFormatting xmlns:xm="http://schemas.microsoft.com/office/excel/2006/main">
          <x14:cfRule type="expression" priority="468" id="{588F79D6-F109-442D-9786-66817B9E6105}">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S29</xm:sqref>
        </x14:conditionalFormatting>
        <x14:conditionalFormatting xmlns:xm="http://schemas.microsoft.com/office/excel/2006/main">
          <x14:cfRule type="expression" priority="467" id="{7504FDA8-EE85-4F7E-B631-CC5C7A39475F}">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T29</xm:sqref>
        </x14:conditionalFormatting>
        <x14:conditionalFormatting xmlns:xm="http://schemas.microsoft.com/office/excel/2006/main">
          <x14:cfRule type="expression" priority="466" id="{D20D0101-FD48-47B8-95C5-604E5CD3F8C2}">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U29</xm:sqref>
        </x14:conditionalFormatting>
        <x14:conditionalFormatting xmlns:xm="http://schemas.microsoft.com/office/excel/2006/main">
          <x14:cfRule type="expression" priority="465" id="{0C4E70F7-C737-436B-A7E3-70D0F4B6B3C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V29</xm:sqref>
        </x14:conditionalFormatting>
        <x14:conditionalFormatting xmlns:xm="http://schemas.microsoft.com/office/excel/2006/main">
          <x14:cfRule type="expression" priority="464" id="{72F8B9D5-6259-42BB-BBD2-D07D4941D987}">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W29</xm:sqref>
        </x14:conditionalFormatting>
        <x14:conditionalFormatting xmlns:xm="http://schemas.microsoft.com/office/excel/2006/main">
          <x14:cfRule type="expression" priority="463" id="{96F98ABA-9CB5-4BA0-982C-18AE95B5D2C0}">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X29</xm:sqref>
        </x14:conditionalFormatting>
        <x14:conditionalFormatting xmlns:xm="http://schemas.microsoft.com/office/excel/2006/main">
          <x14:cfRule type="expression" priority="462" id="{D9932ABD-3B48-4B5D-A33E-BE0B4A724BC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Y29</xm:sqref>
        </x14:conditionalFormatting>
        <x14:conditionalFormatting xmlns:xm="http://schemas.microsoft.com/office/excel/2006/main">
          <x14:cfRule type="expression" priority="461" id="{EB035E2E-5F8D-485A-9CC0-D8C2AF8AF8B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Z29</xm:sqref>
        </x14:conditionalFormatting>
        <x14:conditionalFormatting xmlns:xm="http://schemas.microsoft.com/office/excel/2006/main">
          <x14:cfRule type="expression" priority="460" id="{FDF41600-1769-49D7-8F99-F0B992B1E55C}">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AA29</xm:sqref>
        </x14:conditionalFormatting>
        <x14:conditionalFormatting xmlns:xm="http://schemas.microsoft.com/office/excel/2006/main">
          <x14:cfRule type="expression" priority="459" id="{195068C2-C823-4A2A-A75E-54C9C3DF9F95}">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Q32</xm:sqref>
        </x14:conditionalFormatting>
        <x14:conditionalFormatting xmlns:xm="http://schemas.microsoft.com/office/excel/2006/main">
          <x14:cfRule type="expression" priority="458" id="{AF78C327-C0CA-4DE4-BE51-048F140EBEE7}">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R32</xm:sqref>
        </x14:conditionalFormatting>
        <x14:conditionalFormatting xmlns:xm="http://schemas.microsoft.com/office/excel/2006/main">
          <x14:cfRule type="expression" priority="457" id="{9A606C4E-A09C-4789-9111-32E09F816651}">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S32</xm:sqref>
        </x14:conditionalFormatting>
        <x14:conditionalFormatting xmlns:xm="http://schemas.microsoft.com/office/excel/2006/main">
          <x14:cfRule type="expression" priority="456" id="{30428958-37BF-49F6-8C76-8CBFE8E0CF5D}">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T32</xm:sqref>
        </x14:conditionalFormatting>
        <x14:conditionalFormatting xmlns:xm="http://schemas.microsoft.com/office/excel/2006/main">
          <x14:cfRule type="expression" priority="455" id="{6C83176B-708C-42EE-A1DF-2FF6D2956591}">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U32</xm:sqref>
        </x14:conditionalFormatting>
        <x14:conditionalFormatting xmlns:xm="http://schemas.microsoft.com/office/excel/2006/main">
          <x14:cfRule type="expression" priority="454" id="{C91E80C2-B310-4A6E-9D40-148DB493C11C}">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V32</xm:sqref>
        </x14:conditionalFormatting>
        <x14:conditionalFormatting xmlns:xm="http://schemas.microsoft.com/office/excel/2006/main">
          <x14:cfRule type="expression" priority="453" id="{63BACDCB-2356-4356-B10A-F99F32332C34}">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W32</xm:sqref>
        </x14:conditionalFormatting>
        <x14:conditionalFormatting xmlns:xm="http://schemas.microsoft.com/office/excel/2006/main">
          <x14:cfRule type="expression" priority="452" id="{9A634AFB-1ED5-45E1-B18D-E6D86E5495C2}">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X32</xm:sqref>
        </x14:conditionalFormatting>
        <x14:conditionalFormatting xmlns:xm="http://schemas.microsoft.com/office/excel/2006/main">
          <x14:cfRule type="expression" priority="451" id="{2C6F9F03-C1C5-4F04-91A7-BFE065B5DA8D}">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Y32</xm:sqref>
        </x14:conditionalFormatting>
        <x14:conditionalFormatting xmlns:xm="http://schemas.microsoft.com/office/excel/2006/main">
          <x14:cfRule type="expression" priority="450" id="{4EFF1413-2CB9-4201-AC23-110A294987FE}">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Z32</xm:sqref>
        </x14:conditionalFormatting>
        <x14:conditionalFormatting xmlns:xm="http://schemas.microsoft.com/office/excel/2006/main">
          <x14:cfRule type="expression" priority="449" id="{D211ECCF-0016-4FF5-9519-F37BF51BEC04}">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AA32</xm:sqref>
        </x14:conditionalFormatting>
        <x14:conditionalFormatting xmlns:xm="http://schemas.microsoft.com/office/excel/2006/main">
          <x14:cfRule type="expression" priority="448" id="{01A1ADF0-284A-4E24-8454-661A891CDF19}">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Q35</xm:sqref>
        </x14:conditionalFormatting>
        <x14:conditionalFormatting xmlns:xm="http://schemas.microsoft.com/office/excel/2006/main">
          <x14:cfRule type="expression" priority="447" id="{6C25472D-A0B2-4A6B-8844-63F5A9EDF25B}">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R35</xm:sqref>
        </x14:conditionalFormatting>
        <x14:conditionalFormatting xmlns:xm="http://schemas.microsoft.com/office/excel/2006/main">
          <x14:cfRule type="expression" priority="446" id="{6BE15B72-E47A-43FF-A913-1D8782E80D85}">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S35</xm:sqref>
        </x14:conditionalFormatting>
        <x14:conditionalFormatting xmlns:xm="http://schemas.microsoft.com/office/excel/2006/main">
          <x14:cfRule type="expression" priority="445" id="{F339BEA5-0475-4FC0-8DA9-535B77FB75C3}">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T35</xm:sqref>
        </x14:conditionalFormatting>
        <x14:conditionalFormatting xmlns:xm="http://schemas.microsoft.com/office/excel/2006/main">
          <x14:cfRule type="expression" priority="444" id="{1C6AC1B7-2E35-4E43-9241-1706DF79AE5E}">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U35</xm:sqref>
        </x14:conditionalFormatting>
        <x14:conditionalFormatting xmlns:xm="http://schemas.microsoft.com/office/excel/2006/main">
          <x14:cfRule type="expression" priority="443" id="{620FF90B-3575-4D82-BE91-D76FD1032C3F}">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V35</xm:sqref>
        </x14:conditionalFormatting>
        <x14:conditionalFormatting xmlns:xm="http://schemas.microsoft.com/office/excel/2006/main">
          <x14:cfRule type="expression" priority="442" id="{B820895B-CDA6-4CD2-9347-443BFC0B29B3}">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W35</xm:sqref>
        </x14:conditionalFormatting>
        <x14:conditionalFormatting xmlns:xm="http://schemas.microsoft.com/office/excel/2006/main">
          <x14:cfRule type="expression" priority="441" id="{A7D64A06-8939-40C0-9899-9651409772B8}">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X35</xm:sqref>
        </x14:conditionalFormatting>
        <x14:conditionalFormatting xmlns:xm="http://schemas.microsoft.com/office/excel/2006/main">
          <x14:cfRule type="expression" priority="440" id="{83869E92-A36D-4F11-8D2F-F7F56378BB9F}">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Y35</xm:sqref>
        </x14:conditionalFormatting>
        <x14:conditionalFormatting xmlns:xm="http://schemas.microsoft.com/office/excel/2006/main">
          <x14:cfRule type="expression" priority="439" id="{6B748819-0436-48C0-989C-926D722A9444}">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Z35</xm:sqref>
        </x14:conditionalFormatting>
        <x14:conditionalFormatting xmlns:xm="http://schemas.microsoft.com/office/excel/2006/main">
          <x14:cfRule type="expression" priority="438" id="{23619727-A0FB-4A00-9808-926175877C04}">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AA35</xm:sqref>
        </x14:conditionalFormatting>
        <x14:conditionalFormatting xmlns:xm="http://schemas.microsoft.com/office/excel/2006/main">
          <x14:cfRule type="expression" priority="437" id="{B259CF95-BE19-430E-BB45-D88B0F5B1EE1}">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Q38</xm:sqref>
        </x14:conditionalFormatting>
        <x14:conditionalFormatting xmlns:xm="http://schemas.microsoft.com/office/excel/2006/main">
          <x14:cfRule type="expression" priority="436" id="{BFEDA031-CBB1-46AC-A102-3F4E84423D5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R38</xm:sqref>
        </x14:conditionalFormatting>
        <x14:conditionalFormatting xmlns:xm="http://schemas.microsoft.com/office/excel/2006/main">
          <x14:cfRule type="expression" priority="435" id="{2F37FC38-EDCD-4D0C-93D0-3F990B8B8C0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S38</xm:sqref>
        </x14:conditionalFormatting>
        <x14:conditionalFormatting xmlns:xm="http://schemas.microsoft.com/office/excel/2006/main">
          <x14:cfRule type="expression" priority="434" id="{C27EF72C-19C8-4243-AF9F-10A8202F181D}">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T38</xm:sqref>
        </x14:conditionalFormatting>
        <x14:conditionalFormatting xmlns:xm="http://schemas.microsoft.com/office/excel/2006/main">
          <x14:cfRule type="expression" priority="433" id="{5F6C6CF5-14FA-45DD-A75B-F9FB6926706C}">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U38</xm:sqref>
        </x14:conditionalFormatting>
        <x14:conditionalFormatting xmlns:xm="http://schemas.microsoft.com/office/excel/2006/main">
          <x14:cfRule type="expression" priority="432" id="{BC8AE110-1F82-4FF8-8989-BD443C9B622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V38</xm:sqref>
        </x14:conditionalFormatting>
        <x14:conditionalFormatting xmlns:xm="http://schemas.microsoft.com/office/excel/2006/main">
          <x14:cfRule type="expression" priority="431" id="{B5B0596C-34A8-4F8E-994F-16E53717D17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W38</xm:sqref>
        </x14:conditionalFormatting>
        <x14:conditionalFormatting xmlns:xm="http://schemas.microsoft.com/office/excel/2006/main">
          <x14:cfRule type="expression" priority="430" id="{2F168033-65E7-4483-AB5E-3BAFD366D7FE}">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X38</xm:sqref>
        </x14:conditionalFormatting>
        <x14:conditionalFormatting xmlns:xm="http://schemas.microsoft.com/office/excel/2006/main">
          <x14:cfRule type="expression" priority="429" id="{62C2CE59-0E96-4C3A-9C47-AADBA2DE994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Y38</xm:sqref>
        </x14:conditionalFormatting>
        <x14:conditionalFormatting xmlns:xm="http://schemas.microsoft.com/office/excel/2006/main">
          <x14:cfRule type="expression" priority="428" id="{25CAF8FB-D4FA-4640-BF5A-76EDCC58D0E3}">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Z38</xm:sqref>
        </x14:conditionalFormatting>
        <x14:conditionalFormatting xmlns:xm="http://schemas.microsoft.com/office/excel/2006/main">
          <x14:cfRule type="expression" priority="427" id="{77E1FF81-07B0-4CBC-84AC-782BAAB6909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AA38</xm:sqref>
        </x14:conditionalFormatting>
        <x14:conditionalFormatting xmlns:xm="http://schemas.microsoft.com/office/excel/2006/main">
          <x14:cfRule type="expression" priority="426" id="{A8FCE09A-1489-4FB5-A775-6A138E45717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Q41</xm:sqref>
        </x14:conditionalFormatting>
        <x14:conditionalFormatting xmlns:xm="http://schemas.microsoft.com/office/excel/2006/main">
          <x14:cfRule type="expression" priority="425" id="{DEF96822-B45E-4D4B-A85C-3AB5C72A03E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R41</xm:sqref>
        </x14:conditionalFormatting>
        <x14:conditionalFormatting xmlns:xm="http://schemas.microsoft.com/office/excel/2006/main">
          <x14:cfRule type="expression" priority="424" id="{1AE6E0BB-B9ED-4CA6-8D68-5EE2E91D10FA}">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S41</xm:sqref>
        </x14:conditionalFormatting>
        <x14:conditionalFormatting xmlns:xm="http://schemas.microsoft.com/office/excel/2006/main">
          <x14:cfRule type="expression" priority="423" id="{63CB0FDE-E2E6-4881-84A9-DCB520B0F624}">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T41</xm:sqref>
        </x14:conditionalFormatting>
        <x14:conditionalFormatting xmlns:xm="http://schemas.microsoft.com/office/excel/2006/main">
          <x14:cfRule type="expression" priority="422" id="{D2CF90C7-81E9-42BC-8516-DEF9DD399409}">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U41</xm:sqref>
        </x14:conditionalFormatting>
        <x14:conditionalFormatting xmlns:xm="http://schemas.microsoft.com/office/excel/2006/main">
          <x14:cfRule type="expression" priority="421" id="{D7B56F08-B371-4C9E-917D-7D68C07E1429}">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V41</xm:sqref>
        </x14:conditionalFormatting>
        <x14:conditionalFormatting xmlns:xm="http://schemas.microsoft.com/office/excel/2006/main">
          <x14:cfRule type="expression" priority="420" id="{E646A45D-5203-4E25-A1D1-CA46717E6AEA}">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W41</xm:sqref>
        </x14:conditionalFormatting>
        <x14:conditionalFormatting xmlns:xm="http://schemas.microsoft.com/office/excel/2006/main">
          <x14:cfRule type="expression" priority="419" id="{4DA95435-5CE9-47EF-8AA6-6D1BF9A31EE2}">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X41</xm:sqref>
        </x14:conditionalFormatting>
        <x14:conditionalFormatting xmlns:xm="http://schemas.microsoft.com/office/excel/2006/main">
          <x14:cfRule type="expression" priority="418" id="{345C6244-CC2B-45D2-835F-D98949379C9D}">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Y41</xm:sqref>
        </x14:conditionalFormatting>
        <x14:conditionalFormatting xmlns:xm="http://schemas.microsoft.com/office/excel/2006/main">
          <x14:cfRule type="expression" priority="417" id="{38F41F8A-522C-4897-9ECC-F4FBD985B3E1}">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Z41</xm:sqref>
        </x14:conditionalFormatting>
        <x14:conditionalFormatting xmlns:xm="http://schemas.microsoft.com/office/excel/2006/main">
          <x14:cfRule type="expression" priority="416" id="{2E0C6624-5303-4730-A09A-5C2FCEBC64F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AA41</xm:sqref>
        </x14:conditionalFormatting>
        <x14:conditionalFormatting xmlns:xm="http://schemas.microsoft.com/office/excel/2006/main">
          <x14:cfRule type="expression" priority="415" id="{9FA3DAEA-738D-4389-B3F6-8128D820972B}">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Q44</xm:sqref>
        </x14:conditionalFormatting>
        <x14:conditionalFormatting xmlns:xm="http://schemas.microsoft.com/office/excel/2006/main">
          <x14:cfRule type="expression" priority="414" id="{0DB56D43-54BE-4ECB-9D92-1E0646815C4C}">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R44</xm:sqref>
        </x14:conditionalFormatting>
        <x14:conditionalFormatting xmlns:xm="http://schemas.microsoft.com/office/excel/2006/main">
          <x14:cfRule type="expression" priority="413" id="{83D85008-FA7A-447C-A16C-F180612E112C}">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S44</xm:sqref>
        </x14:conditionalFormatting>
        <x14:conditionalFormatting xmlns:xm="http://schemas.microsoft.com/office/excel/2006/main">
          <x14:cfRule type="expression" priority="412" id="{F543706D-4E86-4E96-B46C-D92CB3589726}">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T44</xm:sqref>
        </x14:conditionalFormatting>
        <x14:conditionalFormatting xmlns:xm="http://schemas.microsoft.com/office/excel/2006/main">
          <x14:cfRule type="expression" priority="411" id="{C5BDC2D3-4C19-4DED-8F44-E14CD554285F}">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U44</xm:sqref>
        </x14:conditionalFormatting>
        <x14:conditionalFormatting xmlns:xm="http://schemas.microsoft.com/office/excel/2006/main">
          <x14:cfRule type="expression" priority="410" id="{8D14D3F6-D73C-4774-8AAE-708FF2710F82}">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V44</xm:sqref>
        </x14:conditionalFormatting>
        <x14:conditionalFormatting xmlns:xm="http://schemas.microsoft.com/office/excel/2006/main">
          <x14:cfRule type="expression" priority="409" id="{676FA150-2D5F-447B-A855-E0B3860E07B3}">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W44</xm:sqref>
        </x14:conditionalFormatting>
        <x14:conditionalFormatting xmlns:xm="http://schemas.microsoft.com/office/excel/2006/main">
          <x14:cfRule type="expression" priority="408" id="{F736CB21-275B-4A2B-A133-469B2ED14410}">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X44</xm:sqref>
        </x14:conditionalFormatting>
        <x14:conditionalFormatting xmlns:xm="http://schemas.microsoft.com/office/excel/2006/main">
          <x14:cfRule type="expression" priority="407" id="{02D94AC6-B376-4669-8B36-C416268437F2}">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Y44</xm:sqref>
        </x14:conditionalFormatting>
        <x14:conditionalFormatting xmlns:xm="http://schemas.microsoft.com/office/excel/2006/main">
          <x14:cfRule type="expression" priority="406" id="{E0287128-91CC-4B75-BB68-5458BD0459D4}">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Z44</xm:sqref>
        </x14:conditionalFormatting>
        <x14:conditionalFormatting xmlns:xm="http://schemas.microsoft.com/office/excel/2006/main">
          <x14:cfRule type="expression" priority="405" id="{EA889066-4E4E-4B29-AB8E-A8F224FEEC97}">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AA44</xm:sqref>
        </x14:conditionalFormatting>
        <x14:conditionalFormatting xmlns:xm="http://schemas.microsoft.com/office/excel/2006/main">
          <x14:cfRule type="expression" priority="404" id="{3868D5F5-CF25-4355-AB63-472ECE235A6B}">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Q47</xm:sqref>
        </x14:conditionalFormatting>
        <x14:conditionalFormatting xmlns:xm="http://schemas.microsoft.com/office/excel/2006/main">
          <x14:cfRule type="expression" priority="403" id="{3F606B56-0829-4442-9949-5809053ED56A}">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R47</xm:sqref>
        </x14:conditionalFormatting>
        <x14:conditionalFormatting xmlns:xm="http://schemas.microsoft.com/office/excel/2006/main">
          <x14:cfRule type="expression" priority="402" id="{C643A933-53C4-4A95-ABBA-FDD4FA28AA35}">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S47</xm:sqref>
        </x14:conditionalFormatting>
        <x14:conditionalFormatting xmlns:xm="http://schemas.microsoft.com/office/excel/2006/main">
          <x14:cfRule type="expression" priority="401" id="{24F0CFA7-96B5-4DE1-9A75-77EBE14FF12D}">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T47</xm:sqref>
        </x14:conditionalFormatting>
        <x14:conditionalFormatting xmlns:xm="http://schemas.microsoft.com/office/excel/2006/main">
          <x14:cfRule type="expression" priority="400" id="{B9099462-E6AB-4E70-8747-899661A5EAC3}">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U47</xm:sqref>
        </x14:conditionalFormatting>
        <x14:conditionalFormatting xmlns:xm="http://schemas.microsoft.com/office/excel/2006/main">
          <x14:cfRule type="expression" priority="399" id="{38849CE0-BEB9-489A-8C9E-D21A85EBBA9D}">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V47</xm:sqref>
        </x14:conditionalFormatting>
        <x14:conditionalFormatting xmlns:xm="http://schemas.microsoft.com/office/excel/2006/main">
          <x14:cfRule type="expression" priority="398" id="{37549575-EB06-4B6F-92D5-971F1D543FE1}">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W47</xm:sqref>
        </x14:conditionalFormatting>
        <x14:conditionalFormatting xmlns:xm="http://schemas.microsoft.com/office/excel/2006/main">
          <x14:cfRule type="expression" priority="397" id="{D0337FA4-E216-40AA-8BAB-EE9733F53682}">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X47</xm:sqref>
        </x14:conditionalFormatting>
        <x14:conditionalFormatting xmlns:xm="http://schemas.microsoft.com/office/excel/2006/main">
          <x14:cfRule type="expression" priority="396" id="{9688D68A-3000-4420-8855-54F9582204A4}">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Y47</xm:sqref>
        </x14:conditionalFormatting>
        <x14:conditionalFormatting xmlns:xm="http://schemas.microsoft.com/office/excel/2006/main">
          <x14:cfRule type="expression" priority="395" id="{32356D47-70EA-435F-A732-FCB755A4D40A}">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Z47</xm:sqref>
        </x14:conditionalFormatting>
        <x14:conditionalFormatting xmlns:xm="http://schemas.microsoft.com/office/excel/2006/main">
          <x14:cfRule type="expression" priority="394" id="{47B12EBC-A19F-4332-8540-9872876BCF29}">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AA47</xm:sqref>
        </x14:conditionalFormatting>
        <x14:conditionalFormatting xmlns:xm="http://schemas.microsoft.com/office/excel/2006/main">
          <x14:cfRule type="expression" priority="393" id="{061AC11D-AAC4-4116-B835-FC22B1FEC3D5}">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Q50</xm:sqref>
        </x14:conditionalFormatting>
        <x14:conditionalFormatting xmlns:xm="http://schemas.microsoft.com/office/excel/2006/main">
          <x14:cfRule type="expression" priority="392" id="{A40D8CC1-3E1B-4D9A-A124-1430E38B0F4A}">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R50</xm:sqref>
        </x14:conditionalFormatting>
        <x14:conditionalFormatting xmlns:xm="http://schemas.microsoft.com/office/excel/2006/main">
          <x14:cfRule type="expression" priority="391" id="{011C25F5-C4D0-4FC7-A56D-94B9D071FE32}">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S50</xm:sqref>
        </x14:conditionalFormatting>
        <x14:conditionalFormatting xmlns:xm="http://schemas.microsoft.com/office/excel/2006/main">
          <x14:cfRule type="expression" priority="390" id="{051232D6-3C56-442D-B4A3-48D3B40F6E80}">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T50</xm:sqref>
        </x14:conditionalFormatting>
        <x14:conditionalFormatting xmlns:xm="http://schemas.microsoft.com/office/excel/2006/main">
          <x14:cfRule type="expression" priority="389" id="{C899D7BF-3D38-40B3-A7ED-C0B6097F3697}">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U50</xm:sqref>
        </x14:conditionalFormatting>
        <x14:conditionalFormatting xmlns:xm="http://schemas.microsoft.com/office/excel/2006/main">
          <x14:cfRule type="expression" priority="388" id="{FF1872B1-7A9A-4F2B-B0AC-4E36302031E3}">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V50</xm:sqref>
        </x14:conditionalFormatting>
        <x14:conditionalFormatting xmlns:xm="http://schemas.microsoft.com/office/excel/2006/main">
          <x14:cfRule type="expression" priority="387" id="{8A68324A-C47C-4869-A822-E166EDECC5C3}">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W50</xm:sqref>
        </x14:conditionalFormatting>
        <x14:conditionalFormatting xmlns:xm="http://schemas.microsoft.com/office/excel/2006/main">
          <x14:cfRule type="expression" priority="386" id="{2371AD05-840F-4C6E-90DC-77DBF46CB6D2}">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X50</xm:sqref>
        </x14:conditionalFormatting>
        <x14:conditionalFormatting xmlns:xm="http://schemas.microsoft.com/office/excel/2006/main">
          <x14:cfRule type="expression" priority="385" id="{244C3EAB-0B74-44AD-A6BF-229D59484A50}">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Y50</xm:sqref>
        </x14:conditionalFormatting>
        <x14:conditionalFormatting xmlns:xm="http://schemas.microsoft.com/office/excel/2006/main">
          <x14:cfRule type="expression" priority="384" id="{D3E7C001-E01B-4A13-ACDB-3E2DC14622FD}">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Z50</xm:sqref>
        </x14:conditionalFormatting>
        <x14:conditionalFormatting xmlns:xm="http://schemas.microsoft.com/office/excel/2006/main">
          <x14:cfRule type="expression" priority="383" id="{BB9E31AA-B857-4FD5-BA06-A722F006672E}">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AA50</xm:sqref>
        </x14:conditionalFormatting>
        <x14:conditionalFormatting xmlns:xm="http://schemas.microsoft.com/office/excel/2006/main">
          <x14:cfRule type="expression" priority="357" id="{F70F30D0-6737-4154-AAA6-73DA1E91541A}">
            <xm:f>OR(AND(E20="Samoa",H20="47mm",LEN(Matrix2!AD26)=1,(L20-44)&gt;762),AND(E20="Samoa",H20="47mm",LEN(Matrix2!AD26)=2,ISNUMBER(SEARCH("LL",Matrix2!AD26)),(L20-44)&gt;1320.8),AND(E20="Samoa",H20="47mm",LEN(Matrix2!AD26)=2,ISNUMBER(SEARCH("RR",Matrix2!AD26)),(L20-44)&gt;1320.8),AND(E20="Samoa",H20&lt;&gt;"47mm",H20&lt;&gt;"89mm",H20&lt;&gt;"114mm",LEN(Matrix2!AD26)=1,(L20-44)&gt;914.4),AND(E20="Samoa",H20&lt;&gt;"47mm",H20&lt;&gt;"89mm",H20&lt;&gt;"114mm",LEN(Matrix2!AD26)=2,ISNUMBER(SEARCH("LL",Matrix2!AD26)),(L20-44)&gt;1320.8),AND(E20="Samoa",H20&lt;&gt;"47mm",H20&lt;&gt;"89mm",H20&lt;&gt;"114mm",LEN(Matrix2!AD26)=2,ISNUMBER(SEARCH("RR",Matrix2!AD26)),(L20-44)&gt;1320.8),AND(E20="Samoa",H20&lt;&gt;"47mm",H20&lt;&gt;"63mm",H20&lt;&gt;"76mm",LEN(Matrix2!AD26)=1,(L20-44)&gt;1219.2),AND(E20="Samoa",H20&lt;&gt;"47mm",H20&lt;&gt;"63mm",H20&lt;&gt;"76mm",LEN(Matrix2!AD26)=2,ISNUMBER(SEARCH("LL",Matrix2!AD26)),(L20-44)&gt;1320.8), AND(E20="Samoa",H20&lt;&gt;"47mm",H20&lt;&gt;"63mm",H20&lt;&gt;"76mm",LEN(Matrix2!AD26)=2,ISNUMBER(SEARCH("RR",Matrix2!AD26)),(L20-44)&gt;1320.8),AND(LEN(Matrix2!AD26)&gt;=3,D20&lt;&gt;"Tracked",ISERROR(FIND("LLRR",Matrix2!AD26))=FALSE,((L20-44)/LEN(Matrix2!AD26)&gt;660.4)),AND(E20="Samoa",LEN(Matrix2!AD26)=3,ISNUMBER(SEARCH("LLR",Matrix2!AD26)),(L20-44)/LEN(Matrix2!AD26)&gt;508),AND(E20="Samoa",LEN(Matrix2!AD26)=3,ISNUMBER(SEARCH("LRR",Matrix2!AD26)),(L20-44)/LEN(Matrix2!AD26)&gt;508),AND(LEN(Matrix2!AD26)&gt;=3,D20="Tracked",I20="Top Track Only",((L20-44)/LEN(Matrix2!AD26)&gt;550)),AND(LEN(Matrix2!AD26)&gt;=3,D20="Tracked",I20&lt;&gt;"Top Track Only",((L20-44)/LEN(Matrix2!AD26)&gt;660)))</xm:f>
            <x14:dxf>
              <fill>
                <patternFill>
                  <bgColor rgb="FFFF0000"/>
                </patternFill>
              </fill>
            </x14:dxf>
          </x14:cfRule>
          <x14:cfRule type="expression" priority="358" id="{A3353058-0EFF-48BD-BB67-D15DA53D6B37}">
            <xm:f>OR(AND(E20="Fiji",H20="47mm",LEN(Matrix2!AD26)=1,(L20-44)&gt;750),AND(E20="Fiji",H20="47mm",LEN(Matrix2!AD26)=2,ISNUMBER(SEARCH("LL",Matrix2!AD26)),(L20-44)&gt;1320),AND(E20="Fiji",H20="47mm",LEN(Matrix2!AD26)=2,ISNUMBER(SEARCH("RR",Matrix2!AD26)),(L20-44)&gt;1320),AND(E20="Fiji",H20&lt;&gt;"47mm",H20&lt;&gt;"89mm",H20&lt;&gt;"114mm",LEN(Matrix2!AD26)=1,(L20-44)&gt;890),AND(E20="Fiji",H20&lt;&gt;"47mm",H20&lt;&gt;"89mm",H20&lt;&gt;"114mm",LEN(Matrix2!AD26)=2,ISNUMBER(SEARCH("LL",Matrix2!AD26)),(L20-44)&gt;1320),AND(E20="Fiji",H20&lt;&gt;"47mm",H20&lt;&gt;"89mm",H20&lt;&gt;"114mm",LEN(Matrix2!AD26)=2,ISNUMBER(SEARCH("RR",Matrix2!AD26)),(L20-44)&gt;1320),AND(E20="Fiji",H20&lt;&gt;"47mm",H20&lt;&gt;"63mm",H20&lt;&gt;"76mm",LEN(Matrix2!AD26)=1,(L20-44)&gt;1047),AND(E20="Fiji",H20&lt;&gt;"47mm",H20&lt;&gt;"63mm",H20&lt;&gt;"76mm",LEN(Matrix2!AD26)=2,ISNUMBER(SEARCH("LL",Matrix2!AD26)),(L20-44)&gt;1320),AND(E20="Fiji",H20&lt;&gt;"47mm",H20&lt;&gt;"63mm",H20&lt;&gt;"76mm",LEN(Matrix2!AD26)=2,ISNUMBER(SEARCH("RR",Matrix2!AD26)),(L20-44)&gt;1320),AND(LEN(Matrix2!AD26)&gt;=3,D20&lt;&gt;"Tracked",ISERROR(FIND("LLRR",Matrix2!AD26))=FALSE,((L20-44)/LEN(Matrix2!AD26)&gt;660)),AND(E20="Fiji",LEN(Matrix2!AD26)=3,ISNUMBER(SEARCH("LLR",Matrix2!AD26)),(L20-44)/LEN(Matrix2!AD26)&gt;660),AND(E20="Fiji",LEN(Matrix2!AD26)=3,ISNUMBER(SEARCH("LRR",Matrix2!AD26)),(L20-44)/LEN(Matrix2!AD26)&gt;660),AND(LEN(Matrix2!AD26)&gt;=3,D20="Tracked",I20="Top Track Only",((L20-44)/LEN(Matrix2!AD26)&gt;550)),AND(LEN(Matrix2!AD26)&gt;=3,D20="Tracked",I20&lt;&gt;"Top Track Only",((L20-44)/LEN(Matrix2!AD26)&gt;660)))</xm:f>
            <x14:dxf>
              <fill>
                <patternFill>
                  <bgColor rgb="FFFF0000"/>
                </patternFill>
              </fill>
            </x14:dxf>
          </x14:cfRule>
          <x14:cfRule type="expression" priority="359" id="{6C465440-76E8-42AB-B6AC-244C37066236}">
            <xm:f>OR(AND(E20="Cuba",H20="47mm",LEN(Matrix2!AD26)=1,(L20-44)&gt;750),AND(E20="Cuba",H20="47mm",LEN(Matrix2!AD26)=2,ISNUMBER(SEARCH("LL",Matrix2!AD26)),(L20-44)&gt;1320),AND(E20="Cuba",H20="47mm",LEN(Matrix2!AD26)=2,ISNUMBER(SEARCH("RR",Matrix2!AD26)),(L20-44)&gt;1320),AND(E20="Cuba",H20&lt;&gt;"47mm",LEN(Matrix2!AD26)=1,(L20-44)&gt;890),AND(E20="Cuba",H20&lt;&gt;"47mm",LEN(Matrix2!AD26)=2,ISNUMBER(SEARCH("LL",Matrix2!AD26)),(L20-44)&gt;1320),AND(E20="Cuba",H20&lt;&gt;"47mm",LEN(Matrix2!AD26)=2,ISNUMBER(SEARCH("RR",Matrix2!AD26)),(L20-44)&gt;1320),AND(LEN(Matrix2!AD26)&gt;=3,D20&lt;&gt;"Tracked",ISERROR(FIND("LLRR",Matrix2!AD26))=FALSE,((L20-44)/LEN(Matrix2!AD26)&gt;660)),AND(E20="Cuba",LEN(Matrix2!AD26)=3,ISNUMBER(SEARCH("LLR",Matrix2!AD26)),(L20-44)/LEN(Matrix2!AD26)&gt;660),AND(E20="Cuba",LEN(Matrix2!AD26)=3,ISNUMBER(SEARCH("LRR",Matrix2!AD26)),(L20-44)/LEN(Matrix2!AD26)&gt;660))</xm:f>
            <x14:dxf>
              <fill>
                <patternFill>
                  <bgColor rgb="FFFF0000"/>
                </patternFill>
              </fill>
            </x14:dxf>
          </x14:cfRule>
          <x14:cfRule type="expression" priority="360" id="{A57BB1E8-4933-4317-97AD-C1B93275F93A}">
            <xm:f>OR(AND(E20="Antigua",H20="47mm",(L20-Data!T2)/LEN(Matrix2!AD26)&gt;600),AND(E20="Antigua",H20&lt;&gt;"47mm",(L20-Data!T2)/LEN(Matrix2!AD26)&gt;750))</xm:f>
            <x14:dxf>
              <fill>
                <patternFill>
                  <bgColor rgb="FFFF0000"/>
                </patternFill>
              </fill>
            </x14:dxf>
          </x14:cfRule>
          <x14:cfRule type="expression" priority="361" id="{99D6CCFA-01C4-47E5-9BE0-81B4BB8A9A44}">
            <xm:f>OR(AND(E20="Bermuda",H20="47mm",(L20-Data!T2)/LEN(Matrix2!AD26)&gt;610),AND(E20="Bermuda",H20&lt;&gt;"47mm",LEN(Matrix2!AD26)=1,L20&gt;915),AND(E20="Bermuda",H20&lt;&gt;"47mm",LEN(Matrix2!AD26)=2,L20&gt;1830),AND(E20="Bermuda",H20&lt;&gt;"47mm",LEN(Matrix2!AD26)&gt;=3,L20/LEN(Matrix2!AD26)&gt;915))</xm:f>
            <x14:dxf>
              <fill>
                <patternFill>
                  <bgColor rgb="FFFF0000"/>
                </patternFill>
              </fill>
            </x14:dxf>
          </x14:cfRule>
          <x14:cfRule type="expression" priority="658" id="{E69BCBEC-1026-4929-A7DD-6593AA3FD39C}">
            <xm:f>AND(L20/LEN(Matrix2!AD26)&gt;600,E20="Antigua",$H20="47mm")</xm:f>
            <x14:dxf>
              <fill>
                <patternFill>
                  <bgColor rgb="FFFF0000"/>
                </patternFill>
              </fill>
            </x14:dxf>
          </x14:cfRule>
          <xm:sqref>L20:L22</xm:sqref>
        </x14:conditionalFormatting>
        <x14:conditionalFormatting xmlns:xm="http://schemas.microsoft.com/office/excel/2006/main">
          <x14:cfRule type="expression" priority="191" id="{F70F74DA-4485-4971-9554-DCA750213D47}">
            <xm:f>OR(AND(E38="Bermuda",H38="47mm",(L38-Data!T2)/LEN(Matrix2!AD32)&gt;610),AND(E38="Bermuda",H38&lt;&gt;"47mm",LEN(Matrix2!AD32)=1,L38&gt;915),AND(E38="Bermuda",H38&lt;&gt;"47mm",LEN(Matrix2!AD32)=2,L38&gt;1830),AND(E38="Bermuda",H38&lt;&gt;"47mm",LEN(Matrix2!AD32)&gt;=3,L38/LEN(Matrix2!AD32)&gt;915))</xm:f>
            <x14:dxf>
              <fill>
                <patternFill>
                  <bgColor rgb="FFFF0000"/>
                </patternFill>
              </fill>
            </x14:dxf>
          </x14:cfRule>
          <x14:cfRule type="expression" priority="192" id="{2CE42B1D-4998-47E8-A1DF-E872C9D36DC7}">
            <xm:f>OR(AND(E38="Antigua",H38="47mm",(L38-Data!T2)/LEN(Matrix2!AD32)&gt;600),AND(E38="Antigua",H38&lt;&gt;"47mm",(L38-Data!T2)/LEN(Matrix2!AD32)&gt;750))</xm:f>
            <x14:dxf>
              <fill>
                <patternFill>
                  <bgColor rgb="FFFF0000"/>
                </patternFill>
              </fill>
            </x14:dxf>
          </x14:cfRule>
          <x14:cfRule type="expression" priority="193" id="{25C8747D-3D75-4CA5-BF4F-36BD1446C410}">
            <xm:f>OR(AND(E38="Cuba",H38="47mm",LEN(Matrix2!AD32)=1,(L38-44)&gt;750),AND(E38="Cuba",H38="47mm",LEN(Matrix2!AD32)=2,ISNUMBER(SEARCH("LL",Matrix2!AD32)),(L38-44)&gt;1320),AND(E38="Cuba",H38="47mm",LEN(Matrix2!AD32)=2,ISNUMBER(SEARCH("RR",Matrix2!AD32)),(L38-44)&gt;1320),AND(E38="Cuba",H38&lt;&gt;"47mm",LEN(Matrix2!AD32)=1,(L38-44)&gt;890),AND(E38="Cuba",H38&lt;&gt;"47mm",LEN(Matrix2!AD32)=2,ISNUMBER(SEARCH("LL",Matrix2!AD32)),(L38-44)&gt;1320),AND(E38="Cuba",H38&lt;&gt;"47mm",LEN(Matrix2!AD32)=2,ISNUMBER(SEARCH("RR",Matrix2!AD32)),(L38-44)&gt;1320),AND(LEN(Matrix2!AD32)&gt;=3,D38&lt;&gt;"Tracked",ISERROR(FIND("LLRR",Matrix2!AD32))=FALSE,((L38-44)/LEN(Matrix2!AD32)&gt;660)),AND(E38="Cuba",LEN(Matrix2!AD32)=3,ISNUMBER(SEARCH("LLR",Matrix2!AD32)),(L38-44)/LEN(Matrix2!AD32)&gt;660),AND(E38="Cuba",LEN(Matrix2!AD32)=3,ISNUMBER(SEARCH("LRR",Matrix2!AD32)),(L38-44)/LEN(Matrix2!AD32)&gt;660))</xm:f>
            <x14:dxf>
              <fill>
                <patternFill>
                  <bgColor rgb="FFFF0000"/>
                </patternFill>
              </fill>
            </x14:dxf>
          </x14:cfRule>
          <x14:cfRule type="expression" priority="194" id="{046A47AA-3FD6-4FC4-ACE2-402FA8B9ADE4}">
            <xm:f>OR(AND(E38="Fiji",H38="47mm",LEN(Matrix2!AD32)=1,(L38-44)&gt;750),AND(E38="Fiji",H38="47mm",LEN(Matrix2!AD32)=2,ISNUMBER(SEARCH("LL",Matrix2!AD32)),(L38-44)&gt;1320),AND(E38="Fiji",H38="47mm",LEN(Matrix2!AD32)=2,ISNUMBER(SEARCH("RR",Matrix2!AD32)),(L38-44)&gt;1320),AND(E38="Fiji",H38&lt;&gt;"47mm",H38&lt;&gt;"89mm",H38&lt;&gt;"114mm",LEN(Matrix2!AD32)=1,(L38-44)&gt;890),AND(E38="Fiji",H38&lt;&gt;"47mm",H38&lt;&gt;"89mm",H38&lt;&gt;"114mm",LEN(Matrix2!AD32)=2,ISNUMBER(SEARCH("LL",Matrix2!AD32)),(L38-44)&gt;1320),AND(E38="Fiji",H38&lt;&gt;"47mm",H38&lt;&gt;"89mm",H38&lt;&gt;"114mm",LEN(Matrix2!AD32)=2,ISNUMBER(SEARCH("RR",Matrix2!AD32)),(L38-44)&gt;1320),AND(E38="Fiji",H38&lt;&gt;"47mm",H38&lt;&gt;"63mm",H38&lt;&gt;"76mm",LEN(Matrix2!AD32)=1,(L38-44)&gt;1047),AND(E38="Fiji",H38&lt;&gt;"47mm",H38&lt;&gt;"63mm",H38&lt;&gt;"76mm",LEN(Matrix2!AD32)=2,ISNUMBER(SEARCH("LL",Matrix2!AD32)),(L38-44)&gt;1320),AND(E38="Fiji",H38&lt;&gt;"47mm",H38&lt;&gt;"63mm",H38&lt;&gt;"76mm",LEN(Matrix2!AD32)=2,ISNUMBER(SEARCH("RR",Matrix2!AD32)),(L38-44)&gt;1320),AND(LEN(Matrix2!AD32)&gt;=3,D38&lt;&gt;"Tracked",ISERROR(FIND("LLRR",Matrix2!AD32))=FALSE,((L38-44)/LEN(Matrix2!AD32)&gt;660)),AND(E38="Fiji",LEN(Matrix2!AD32)=3,ISNUMBER(SEARCH("LLR",Matrix2!AD32)),(L38-44)/LEN(Matrix2!AD32)&gt;660),AND(E38="Fiji",LEN(Matrix2!AD32)=3,ISNUMBER(SEARCH("LRR",Matrix2!AD32)),(L38-44)/LEN(Matrix2!AD32)&gt;660),AND(LEN(Matrix2!AD32)&gt;=3,D38="Tracked",I38="Top Track Only",((L38-44)/LEN(Matrix2!AD32)&gt;550)),AND(LEN(Matrix2!AD32)&gt;=3,D38="Tracked",I38&lt;&gt;"Top Track Only",((L38-44)/LEN(Matrix2!AD32)&gt;660)))</xm:f>
            <x14:dxf>
              <fill>
                <patternFill>
                  <bgColor rgb="FFFF0000"/>
                </patternFill>
              </fill>
            </x14:dxf>
          </x14:cfRule>
          <x14:cfRule type="expression" priority="195" id="{FDA2CEEB-BA64-4A03-A1CA-C6F16F0039E2}">
            <xm:f>OR(AND(E38="Samoa",H38="47mm",LEN(Matrix2!AD32)=1,(L38-44)&gt;762),AND(E38="Samoa",H38="47mm",LEN(Matrix2!AD32)=2,ISNUMBER(SEARCH("LL",Matrix2!AD32)),(L38-44)&gt;1320.8),AND(E38="Samoa",H38="47mm",LEN(Matrix2!AD32)=2,ISNUMBER(SEARCH("RR",Matrix2!AD32)),(L38-44)&gt;1320.8),AND(E38="Samoa",H38&lt;&gt;"47mm",H38&lt;&gt;"89mm",H38&lt;&gt;"114mm",LEN(Matrix2!AD32)=1,(L38-44)&gt;914.4),AND(E38="Samoa",H38&lt;&gt;"47mm",H38&lt;&gt;"89mm",H38&lt;&gt;"114mm",LEN(Matrix2!AD32)=2,ISNUMBER(SEARCH("LL",Matrix2!AD32)),(L38-44)&gt;1320.8),AND(E38="Samoa",H38&lt;&gt;"47mm",H38&lt;&gt;"89mm",H38&lt;&gt;"114mm",LEN(Matrix2!AD32)=2,ISNUMBER(SEARCH("RR",Matrix2!AD32)),(L38-44)&gt;1320.8),AND(E38="Samoa",H38&lt;&gt;"47mm",H38&lt;&gt;"63mm",H38&lt;&gt;"76mm",LEN(Matrix2!AD32)=1,(L38-44)&gt;1219.2),AND(E38="Samoa",H38&lt;&gt;"47mm",H38&lt;&gt;"63mm",H38&lt;&gt;"76mm",LEN(Matrix2!AD32)=2,ISNUMBER(SEARCH("LL",Matrix2!AD32)),(L38-44)&gt;1320.8), AND(E38="Samoa",H38&lt;&gt;"47mm",H38&lt;&gt;"63mm",H38&lt;&gt;"76mm",LEN(Matrix2!AD32)=2,ISNUMBER(SEARCH("RR",Matrix2!AD32)),(L38-44)&gt;1320.8),AND(LEN(Matrix2!AD32)&gt;=3,D38&lt;&gt;"Tracked",ISERROR(FIND("LLRR",Matrix2!AD32))=FALSE,((L38-44)/LEN(Matrix2!AD32)&gt;660.4)),AND(E38="Samoa",LEN(Matrix2!AD32)=3,ISNUMBER(SEARCH("LLR",Matrix2!AD32)),(L38-44)/LEN(Matrix2!AD32)&gt;508),AND(E38="Samoa",LEN(Matrix2!AD32)=3,ISNUMBER(SEARCH("LRR",Matrix2!AD32)),(L38-44)/LEN(Matrix2!AD32)&gt;508),AND(LEN(Matrix2!AD32)&gt;=3,D38="Tracked",I38="Top Track Only",((L38-44)/LEN(Matrix2!AD32)&gt;550)),AND(LEN(Matrix2!AD32)&gt;=3,D38="Tracked",I38&lt;&gt;"Top Track Only",((L38-44)/LEN(Matrix2!AD32)&gt;660)))</xm:f>
            <x14:dxf>
              <fill>
                <patternFill>
                  <bgColor rgb="FFFF0000"/>
                </patternFill>
              </fill>
            </x14:dxf>
          </x14:cfRule>
          <xm:sqref>L38:L40</xm:sqref>
        </x14:conditionalFormatting>
        <x14:conditionalFormatting xmlns:xm="http://schemas.microsoft.com/office/excel/2006/main">
          <x14:cfRule type="expression" priority="378" id="{35BCEE3A-D2A1-48F9-8096-B8ECA270E306}">
            <xm:f>OR(AND(E11="Samoa",H11="47mm",LEN(Matrix2!AD23)=1,(L11-44)&gt;762),AND(E11="Samoa",H11="47mm",LEN(Matrix2!AD23)=2,ISNUMBER(SEARCH("LL",Matrix2!AD23)),(L11-44)&gt;1320.8),AND(E11="Samoa",H11="47mm",LEN(Matrix2!AD23)=2,ISNUMBER(SEARCH("RR",Matrix2!AD23)),(L11-44)&gt;1320.8),AND(E11="Samoa",H11&lt;&gt;"47mm",H11&lt;&gt;"89mm",H11&lt;&gt;"114mm",LEN(Matrix2!AD23)=1,(L11-44)&gt;914.4),AND(E11="Samoa",H11&lt;&gt;"47mm",H11&lt;&gt;"89mm",H11&lt;&gt;"114mm",LEN(Matrix2!AD23)=2,ISNUMBER(SEARCH("LL",Matrix2!AD23)),(L11-44)&gt;1320.8),AND(E11="Samoa",H11&lt;&gt;"47mm",H11&lt;&gt;"89mm",H11&lt;&gt;"114mm",LEN(Matrix2!AD23)=2,ISNUMBER(SEARCH("RR",Matrix2!AD23)),(L11-44)&gt;1320.8),AND(E11="Samoa",H11&lt;&gt;"47mm",H11&lt;&gt;"63mm",H11&lt;&gt;"76mm",LEN(Matrix2!AD23)=1,(L11-44)&gt;1219.2),AND(E11="Samoa",H11&lt;&gt;"47mm",H11&lt;&gt;"63mm",H11&lt;&gt;"76mm",LEN(Matrix2!AD23)=2,ISNUMBER(SEARCH("LL",Matrix2!AD23)),(L11-44)&gt;1320.8), AND(E11="Samoa",H11&lt;&gt;"47mm",H11&lt;&gt;"63mm",H11&lt;&gt;"76mm",LEN(Matrix2!AD23)=2,ISNUMBER(SEARCH("RR",Matrix2!AD23)),(L11-44)&gt;1320.8),AND(LEN(Matrix2!AD23)&gt;=3,D11&lt;&gt;"Tracked",ISERROR(FIND("LLRR",Matrix2!AD23))=FALSE,((L11-44)/LEN(Matrix2!AD23)&gt;660.4)),AND(E11="Samoa",LEN(Matrix2!AD23)=3,ISNUMBER(SEARCH("LLR",Matrix2!AD23)),(L11-44)/LEN(Matrix2!AD23)&gt;508),AND(E11="Samoa",LEN(Matrix2!AD23)=3,ISNUMBER(SEARCH("LRR",Matrix2!AD23)),(L11-44)/LEN(Matrix2!AD23)&gt;508),AND(LEN(Matrix2!AD23)&gt;=3,D11="Tracked",I8="Top Track Only",((L11-44)/LEN(Matrix2!AD23)&gt;550)),AND(LEN(Matrix2!AD23)&gt;=3,D11="Tracked",I11&lt;&gt;"Top Track Only",((L11-44)/LEN(Matrix2!AD23)&gt;660)))</xm:f>
            <x14:dxf>
              <fill>
                <patternFill>
                  <bgColor rgb="FFFF0000"/>
                </patternFill>
              </fill>
            </x14:dxf>
          </x14:cfRule>
          <x14:cfRule type="expression" priority="379" id="{23A1FAA5-3E77-410A-B769-691E26CFBAA8}">
            <xm:f>OR(AND(E11="Fiji",H11="47mm",LEN(Matrix2!AD23)=1,(L11-44)&gt;750),AND(E11="Fiji",H11="47mm",LEN(Matrix2!AD23)=2,ISNUMBER(SEARCH("LL",Matrix2!AD23)),(L11-44)&gt;1320),AND(E11="Fiji",H11="47mm",LEN(Matrix2!AD23)=2,ISNUMBER(SEARCH("RR",Matrix2!AD23)),(L11-44)&gt;1320),AND(E11="Fiji",H11&lt;&gt;"47mm",H11&lt;&gt;"89mm",H11&lt;&gt;"114mm",LEN(Matrix2!AD23)=1,(L11-44)&gt;890),AND(E11="Fiji",H11&lt;&gt;"47mm",H11&lt;&gt;"89mm",H11&lt;&gt;"114mm",LEN(Matrix2!AD23)=2,ISNUMBER(SEARCH("LL",Matrix2!AD23)),(L11-44)&gt;1320),AND(E11="Fiji",H11&lt;&gt;"47mm",H11&lt;&gt;"89mm",H11&lt;&gt;"114mm",LEN(Matrix2!AD23)=2,ISNUMBER(SEARCH("RR",Matrix2!AD23)),(L11-44)&gt;1320),AND(E11="Fiji",H11&lt;&gt;"47mm",H11&lt;&gt;"63mm",H11&lt;&gt;"76mm",LEN(Matrix2!AD23)=1,(L11-44)&gt;1047),AND(E11="Fiji",H11&lt;&gt;"47mm",H11&lt;&gt;"63mm",H11&lt;&gt;"76mm",LEN(Matrix2!AD23)=2,ISNUMBER(SEARCH("LL",Matrix2!AD23)),(L11-44)&gt;1320),AND(E11="Fiji",H11&lt;&gt;"47mm",H11&lt;&gt;"63mm",H11&lt;&gt;"76mm",LEN(Matrix2!AD23)=2,ISNUMBER(SEARCH("RR",Matrix2!AD23)),(L11-44)&gt;1320),AND(LEN(Matrix2!AD23)&gt;=3,D11&lt;&gt;"Tracked",ISERROR(FIND("LLRR",Matrix2!AD23))=FALSE,((L11-44)/LEN(Matrix2!AD23)&gt;660)),AND(E11="Fiji",LEN(Matrix2!AD23)=3,ISNUMBER(SEARCH("LLR",Matrix2!AD23)),(L11-44)/LEN(Matrix2!AD23)&gt;660),AND(E11="Fiji",LEN(Matrix2!AD23)=3,ISNUMBER(SEARCH("LRR",Matrix2!AD23)),(L11-44)/LEN(Matrix2!AD23)&gt;660),AND(LEN(Matrix2!AD23)&gt;=3,D11="Tracked",I8="Top Track Only",((L11-44)/LEN(Matrix2!AD23)&gt;550)),AND(LEN(Matrix2!AD23)&gt;=3,D11="Tracked",I11&lt;&gt;"Top Track Only",((L11-44)/LEN(Matrix2!AD23)&gt;660)))</xm:f>
            <x14:dxf>
              <fill>
                <patternFill>
                  <bgColor rgb="FFFF0000"/>
                </patternFill>
              </fill>
            </x14:dxf>
          </x14:cfRule>
          <x14:cfRule type="expression" priority="380" id="{E516B26B-B5EA-47F5-8725-0BD825405715}">
            <xm:f>OR(AND(E11="Cuba",H11="47mm",LEN(Matrix2!AD23)=1,(L11-44)&gt;750),AND(E11="Cuba",H11="47mm",LEN(Matrix2!AD23)=2,ISNUMBER(SEARCH("LL",Matrix2!AD23)),(L11-44)&gt;1320),AND(E11="Cuba",H11="47mm",LEN(Matrix2!AD23)=2,ISNUMBER(SEARCH("RR",Matrix2!AD23)),(L11-44)&gt;1320),AND(E11="Cuba",H11&lt;&gt;"47mm",LEN(Matrix2!AD23)=1,(L11-44)&gt;890),AND(E11="Cuba",H11&lt;&gt;"47mm",LEN(Matrix2!AD23)=2,ISNUMBER(SEARCH("LL",Matrix2!AD23)),(L11-44)&gt;1320),AND(E11="Cuba",H11&lt;&gt;"47mm",LEN(Matrix2!AD23)=2,ISNUMBER(SEARCH("RR",Matrix2!AD23)),(L11-44)&gt;1320),AND(LEN(Matrix2!AD23)&gt;=3,D11&lt;&gt;"Tracked",ISERROR(FIND("LLRR",Matrix2!AD23))=FALSE,((L11-44)/LEN(Matrix2!AD23)&gt;660)),AND(E11="Cuba",LEN(Matrix2!AD23)=3,ISNUMBER(SEARCH("LLR",Matrix2!AD23)),(L11-44)/LEN(Matrix2!AD23)&gt;660),AND(E11="Cuba",LEN(Matrix2!AD23)=3,ISNUMBER(SEARCH("LRR",Matrix2!AD23)),(L11-44)/LEN(Matrix2!AD23)&gt;660))</xm:f>
            <x14:dxf>
              <fill>
                <patternFill>
                  <bgColor rgb="FFFF0000"/>
                </patternFill>
              </fill>
            </x14:dxf>
          </x14:cfRule>
          <x14:cfRule type="expression" priority="381" id="{E0C99CA3-E259-488D-9C5F-5EE3A2C2EB61}">
            <xm:f>OR(AND(E11="Antigua",H11="47mm",(L11-Data!T2)/LEN(Matrix2!AD23)&gt;600),AND(E11="Antigua",H11&lt;&gt;"47mm",(L11-Data!T2)/LEN(Matrix2!AD23)&gt;750))</xm:f>
            <x14:dxf>
              <fill>
                <patternFill>
                  <bgColor rgb="FFFF0000"/>
                </patternFill>
              </fill>
            </x14:dxf>
          </x14:cfRule>
          <x14:cfRule type="expression" priority="382" id="{455AE046-F9AD-4ACC-B4C6-3F8CF6AAB734}">
            <xm:f>OR(AND(E11="Bermuda",H11="47mm",((L11-Data!T2)/LEN(Matrix2!AD23))&gt;610),AND(E11="Bermuda",H11&lt;&gt;"47mm",LEN(Matrix2!AD23)=1,L11&gt;915),AND(E11="Bermuda",H11&lt;&gt;"47mm",LEN(Matrix2!AD23)=2,L11&gt;1830),AND(E11="Bermuda",H11&lt;&gt;"47mm",LEN(Matrix2!AD23)&gt;=3,(L11/LEN(Matrix2!AD23)&gt;915)))</xm:f>
            <x14:dxf>
              <fill>
                <patternFill>
                  <bgColor rgb="FFFF0000"/>
                </patternFill>
              </fill>
            </x14:dxf>
          </x14:cfRule>
          <x14:cfRule type="expression" priority="682" id="{8593D631-AC23-47E9-AED8-347FC1E56E25}">
            <xm:f>AND(L11/LEN(Matrix2!AD23)&gt;600,E11="Antigua",$H11="47mm")</xm:f>
            <x14:dxf>
              <fill>
                <patternFill>
                  <bgColor rgb="FFFF0000"/>
                </patternFill>
              </fill>
            </x14:dxf>
          </x14:cfRule>
          <xm:sqref>L11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64" zoomScaleNormal="100" workbookViewId="0">
      <selection activeCell="M18" sqref="M18"/>
    </sheetView>
  </sheetViews>
  <sheetFormatPr defaultRowHeight="15" x14ac:dyDescent="0.25"/>
  <cols>
    <col min="2" max="2" width="24.28515625" bestFit="1" customWidth="1"/>
    <col min="3" max="3" width="9.140625" style="68"/>
    <col min="5" max="5" width="30.7109375" bestFit="1" customWidth="1"/>
    <col min="7" max="7" width="13.5703125" bestFit="1" customWidth="1"/>
    <col min="8" max="8" width="14.42578125" bestFit="1" customWidth="1"/>
    <col min="11" max="11" width="12.85546875" bestFit="1" customWidth="1"/>
    <col min="12" max="12" width="9.140625" bestFit="1" customWidth="1"/>
    <col min="16" max="16" width="9.140625" bestFit="1" customWidth="1"/>
    <col min="17" max="17" width="10.140625" bestFit="1" customWidth="1"/>
    <col min="18" max="18" width="9.140625" bestFit="1" customWidth="1"/>
    <col min="19" max="19" width="10.28515625" bestFit="1" customWidth="1"/>
    <col min="27" max="27" width="12.7109375" bestFit="1" customWidth="1"/>
    <col min="28" max="28" width="10.28515625" bestFit="1" customWidth="1"/>
    <col min="30" max="30" width="13.7109375" customWidth="1"/>
    <col min="31" max="31" width="12.7109375" customWidth="1"/>
    <col min="32" max="32" width="11" customWidth="1"/>
    <col min="41" max="41" width="15.42578125" customWidth="1"/>
    <col min="45" max="45" width="10.85546875" bestFit="1" customWidth="1"/>
  </cols>
  <sheetData>
    <row r="2" spans="1:56" x14ac:dyDescent="0.25">
      <c r="B2" t="s">
        <v>43</v>
      </c>
      <c r="C2" s="68">
        <v>340</v>
      </c>
      <c r="D2" s="68"/>
      <c r="E2" s="7" t="s">
        <v>194</v>
      </c>
      <c r="F2" s="68">
        <v>125</v>
      </c>
      <c r="I2" s="836" t="s">
        <v>560</v>
      </c>
      <c r="J2" s="837"/>
      <c r="K2" s="837"/>
      <c r="L2" s="837"/>
      <c r="M2" s="837"/>
      <c r="N2" s="837"/>
      <c r="O2" s="837"/>
      <c r="P2" s="837"/>
      <c r="Q2" s="837"/>
      <c r="R2" s="837"/>
      <c r="S2" s="837"/>
      <c r="T2" s="837"/>
      <c r="U2" s="837"/>
      <c r="V2" s="837"/>
      <c r="W2" s="837"/>
      <c r="X2" s="837"/>
      <c r="AB2" s="67" t="s">
        <v>177</v>
      </c>
      <c r="AC2" s="67" t="s">
        <v>178</v>
      </c>
      <c r="AD2" s="67" t="s">
        <v>179</v>
      </c>
      <c r="AE2" s="67" t="s">
        <v>180</v>
      </c>
      <c r="AF2" s="67" t="s">
        <v>181</v>
      </c>
      <c r="AG2" s="67" t="s">
        <v>182</v>
      </c>
      <c r="AH2" s="67" t="s">
        <v>183</v>
      </c>
      <c r="AI2" s="67" t="s">
        <v>184</v>
      </c>
      <c r="AJ2" s="67" t="s">
        <v>185</v>
      </c>
      <c r="AK2" s="67"/>
      <c r="AL2" s="67"/>
    </row>
    <row r="3" spans="1:56" x14ac:dyDescent="0.25">
      <c r="B3" t="s">
        <v>45</v>
      </c>
      <c r="C3" s="68">
        <v>35</v>
      </c>
      <c r="D3" s="68"/>
      <c r="E3" s="4" t="s">
        <v>208</v>
      </c>
      <c r="F3" s="68">
        <v>195</v>
      </c>
      <c r="G3" t="s">
        <v>209</v>
      </c>
      <c r="I3" s="34"/>
      <c r="J3" s="69" t="s">
        <v>178</v>
      </c>
      <c r="K3" s="69" t="s">
        <v>179</v>
      </c>
      <c r="L3" s="69" t="s">
        <v>180</v>
      </c>
      <c r="M3" s="69" t="s">
        <v>181</v>
      </c>
      <c r="N3" s="69" t="s">
        <v>182</v>
      </c>
      <c r="O3" s="69" t="s">
        <v>183</v>
      </c>
      <c r="P3" s="69" t="s">
        <v>184</v>
      </c>
      <c r="Q3" s="69" t="s">
        <v>185</v>
      </c>
      <c r="R3" s="69" t="s">
        <v>186</v>
      </c>
      <c r="S3" s="69" t="s">
        <v>187</v>
      </c>
      <c r="T3" s="69" t="s">
        <v>188</v>
      </c>
      <c r="U3" s="69" t="s">
        <v>189</v>
      </c>
      <c r="V3" s="69" t="s">
        <v>190</v>
      </c>
      <c r="W3" s="69" t="s">
        <v>191</v>
      </c>
      <c r="X3" s="69" t="s">
        <v>192</v>
      </c>
      <c r="Y3" s="103" t="s">
        <v>62</v>
      </c>
      <c r="AB3" s="70" t="s">
        <v>196</v>
      </c>
      <c r="AC3" s="4">
        <f>COUNTIFS(Pricing!$Q$8:$AA$8,AB3)</f>
        <v>1</v>
      </c>
      <c r="AD3" s="4">
        <f>COUNTIFS(Pricing!$Q$11:$AA$11,AB3)</f>
        <v>0</v>
      </c>
      <c r="AE3" s="4">
        <f>COUNTIFS(Pricing!$Q$14:$AA$14,AB3)</f>
        <v>0</v>
      </c>
      <c r="AF3" s="4">
        <f>COUNTIFS(Pricing!$Q$17:$AA$17,AB3)</f>
        <v>0</v>
      </c>
      <c r="AG3" s="4">
        <f>COUNTIFS(Pricing!$Q$20:$AA$20,AB3)</f>
        <v>0</v>
      </c>
      <c r="AH3" s="4">
        <f>COUNTIFS(Pricing!$Q$23:$AA$23,AB3)</f>
        <v>0</v>
      </c>
      <c r="AI3" s="4">
        <f>COUNTIFS(Pricing!$Q$26:$AA$26,AB3)</f>
        <v>0</v>
      </c>
      <c r="AJ3" s="4">
        <f>COUNTIFS(Pricing!$Q$29:$AA$29,AB3)</f>
        <v>0</v>
      </c>
      <c r="AK3" s="4"/>
      <c r="AL3" s="4"/>
    </row>
    <row r="4" spans="1:56" x14ac:dyDescent="0.25">
      <c r="B4" t="s">
        <v>48</v>
      </c>
      <c r="C4" s="68">
        <v>65</v>
      </c>
      <c r="D4" s="68"/>
      <c r="E4" t="s">
        <v>211</v>
      </c>
      <c r="F4" s="68">
        <v>285</v>
      </c>
      <c r="H4" t="s">
        <v>561</v>
      </c>
      <c r="I4" s="71" t="s">
        <v>43</v>
      </c>
      <c r="J4" s="72">
        <f>$C$2</f>
        <v>340</v>
      </c>
      <c r="K4" s="72">
        <f>$C2</f>
        <v>340</v>
      </c>
      <c r="L4" s="72">
        <f>$C$2</f>
        <v>340</v>
      </c>
      <c r="M4" s="72">
        <f>$C$2</f>
        <v>340</v>
      </c>
      <c r="N4" s="72">
        <f>$C$2</f>
        <v>340</v>
      </c>
      <c r="O4" s="72">
        <f>$C$2</f>
        <v>340</v>
      </c>
      <c r="P4" s="72">
        <f>$C$2</f>
        <v>340</v>
      </c>
      <c r="Q4" s="72">
        <f t="shared" ref="Q4:X4" si="0">$C$2</f>
        <v>340</v>
      </c>
      <c r="R4" s="72">
        <f t="shared" si="0"/>
        <v>340</v>
      </c>
      <c r="S4" s="72">
        <f t="shared" si="0"/>
        <v>340</v>
      </c>
      <c r="T4" s="72">
        <f t="shared" si="0"/>
        <v>340</v>
      </c>
      <c r="U4" s="72">
        <f t="shared" si="0"/>
        <v>340</v>
      </c>
      <c r="V4" s="72">
        <f t="shared" si="0"/>
        <v>340</v>
      </c>
      <c r="W4" s="72">
        <f t="shared" si="0"/>
        <v>340</v>
      </c>
      <c r="X4" s="72">
        <f t="shared" si="0"/>
        <v>340</v>
      </c>
      <c r="Y4" s="68">
        <f>SUM(J4:X4)</f>
        <v>5100</v>
      </c>
      <c r="AB4" s="4" t="s">
        <v>210</v>
      </c>
      <c r="AC4" s="4">
        <f>COUNTIFS(Pricing!$Q$8:$AA$8,AB4)</f>
        <v>0</v>
      </c>
      <c r="AD4" s="4">
        <f>COUNTIFS(Pricing!$Q$11:$AA$11,AB4)</f>
        <v>0</v>
      </c>
      <c r="AE4" s="4">
        <f>COUNTIFS(Pricing!$Q$14:$AA$14,AB4)</f>
        <v>1</v>
      </c>
      <c r="AF4" s="4">
        <f>COUNTIFS(Pricing!$Q$17:$AA$17,AB4)</f>
        <v>0</v>
      </c>
      <c r="AG4" s="4">
        <f>COUNTIFS(Pricing!$Q$20:$AA$20,AB4)</f>
        <v>0</v>
      </c>
      <c r="AH4" s="4">
        <f>COUNTIFS(Pricing!$Q$23:$AA$23,AB4)</f>
        <v>0</v>
      </c>
      <c r="AI4" s="4">
        <f>COUNTIFS(Pricing!$Q$26:$AA$26,AB4)</f>
        <v>0</v>
      </c>
      <c r="AJ4" s="4">
        <f>COUNTIFS(Pricing!$Q$29:$AA$29,AB4)</f>
        <v>0</v>
      </c>
      <c r="AK4" s="4"/>
      <c r="AL4" s="4"/>
    </row>
    <row r="5" spans="1:56" x14ac:dyDescent="0.25">
      <c r="B5" t="s">
        <v>54</v>
      </c>
      <c r="C5" s="68">
        <v>105</v>
      </c>
      <c r="D5" s="68"/>
      <c r="E5" t="s">
        <v>215</v>
      </c>
      <c r="F5" s="68">
        <v>29</v>
      </c>
      <c r="I5" s="71" t="s">
        <v>45</v>
      </c>
      <c r="J5" s="72">
        <f>$C3</f>
        <v>35</v>
      </c>
      <c r="K5" s="72">
        <f t="shared" ref="K5:X9" si="1">$C3</f>
        <v>35</v>
      </c>
      <c r="L5" s="72">
        <f t="shared" si="1"/>
        <v>35</v>
      </c>
      <c r="M5" s="72">
        <f t="shared" si="1"/>
        <v>35</v>
      </c>
      <c r="N5" s="72">
        <f t="shared" si="1"/>
        <v>35</v>
      </c>
      <c r="O5" s="72">
        <f t="shared" si="1"/>
        <v>35</v>
      </c>
      <c r="P5" s="72">
        <f t="shared" si="1"/>
        <v>35</v>
      </c>
      <c r="Q5" s="72">
        <f t="shared" si="1"/>
        <v>35</v>
      </c>
      <c r="R5" s="72">
        <f t="shared" si="1"/>
        <v>35</v>
      </c>
      <c r="S5" s="72">
        <f t="shared" si="1"/>
        <v>35</v>
      </c>
      <c r="T5" s="72">
        <f t="shared" si="1"/>
        <v>35</v>
      </c>
      <c r="U5" s="72">
        <f t="shared" si="1"/>
        <v>35</v>
      </c>
      <c r="V5" s="72">
        <f t="shared" si="1"/>
        <v>35</v>
      </c>
      <c r="W5" s="72">
        <f t="shared" si="1"/>
        <v>35</v>
      </c>
      <c r="X5" s="72">
        <f t="shared" si="1"/>
        <v>35</v>
      </c>
      <c r="Y5" s="68">
        <f>SUM(J5:X5)</f>
        <v>525</v>
      </c>
      <c r="AB5" s="4" t="s">
        <v>213</v>
      </c>
      <c r="AC5" s="4">
        <f>COUNTIFS(Pricing!$Q$8:$AA$8,AB5)*2</f>
        <v>0</v>
      </c>
      <c r="AD5" s="4">
        <f>COUNTIFS(Pricing!$Q$11:$AA$11,AB5)*2</f>
        <v>2</v>
      </c>
      <c r="AE5" s="4">
        <f>COUNTIFS(Pricing!$Q$14:$AA$14,AB5)*2</f>
        <v>0</v>
      </c>
      <c r="AF5" s="4">
        <f>COUNTIFS(Pricing!$Q$17:$AA$17,AB5)*2</f>
        <v>2</v>
      </c>
      <c r="AG5" s="4">
        <f>COUNTIFS(Pricing!$Q$20:$AA$20,AB5)*2</f>
        <v>2</v>
      </c>
      <c r="AH5" s="4">
        <f>COUNTIFS(Pricing!$Q$23:$AA$23,AB5)*2</f>
        <v>2</v>
      </c>
      <c r="AI5" s="4">
        <f>COUNTIFS(Pricing!$Q$26:$AA$26,AB5)*2</f>
        <v>2</v>
      </c>
      <c r="AJ5" s="4">
        <f>COUNTIFS(Pricing!$Q$29:$AA$29,AB5)*2</f>
        <v>0</v>
      </c>
      <c r="AK5" s="4"/>
      <c r="AL5" s="4"/>
    </row>
    <row r="6" spans="1:56" x14ac:dyDescent="0.25">
      <c r="B6" t="s">
        <v>52</v>
      </c>
      <c r="C6" s="68">
        <v>145</v>
      </c>
      <c r="D6" s="68"/>
      <c r="E6" t="s">
        <v>218</v>
      </c>
      <c r="F6" s="68">
        <v>29</v>
      </c>
      <c r="I6" s="71" t="s">
        <v>48</v>
      </c>
      <c r="J6" s="72">
        <f>$C4</f>
        <v>65</v>
      </c>
      <c r="K6" s="72">
        <f t="shared" si="1"/>
        <v>65</v>
      </c>
      <c r="L6" s="72">
        <f t="shared" si="1"/>
        <v>65</v>
      </c>
      <c r="M6" s="72">
        <f t="shared" si="1"/>
        <v>65</v>
      </c>
      <c r="N6" s="72">
        <f t="shared" si="1"/>
        <v>65</v>
      </c>
      <c r="O6" s="72">
        <f t="shared" si="1"/>
        <v>65</v>
      </c>
      <c r="P6" s="72">
        <f t="shared" si="1"/>
        <v>65</v>
      </c>
      <c r="Q6" s="72">
        <f t="shared" si="1"/>
        <v>65</v>
      </c>
      <c r="R6" s="72">
        <f t="shared" si="1"/>
        <v>65</v>
      </c>
      <c r="S6" s="72">
        <f t="shared" si="1"/>
        <v>65</v>
      </c>
      <c r="T6" s="72">
        <f t="shared" si="1"/>
        <v>65</v>
      </c>
      <c r="U6" s="72">
        <f t="shared" si="1"/>
        <v>65</v>
      </c>
      <c r="V6" s="72">
        <f t="shared" si="1"/>
        <v>65</v>
      </c>
      <c r="W6" s="72">
        <f t="shared" si="1"/>
        <v>65</v>
      </c>
      <c r="X6" s="72">
        <f t="shared" si="1"/>
        <v>65</v>
      </c>
      <c r="Y6" s="68">
        <f t="shared" ref="Y6:Y9" si="2">SUM(J6:X6)</f>
        <v>975</v>
      </c>
      <c r="AB6" s="4" t="s">
        <v>216</v>
      </c>
      <c r="AC6" s="4">
        <f>COUNTIFS(Pricing!$Q$8:$AA$8,AB6)*2</f>
        <v>0</v>
      </c>
      <c r="AD6" s="4">
        <f>COUNTIFS(Pricing!$Q$11:$AA$11,AB6)*2</f>
        <v>2</v>
      </c>
      <c r="AE6" s="4">
        <f>COUNTIFS(Pricing!$Q$14:$AA$14,AB6)*2</f>
        <v>0</v>
      </c>
      <c r="AF6" s="4">
        <f>COUNTIFS(Pricing!$Q$17:$AA$17,AB6)*2</f>
        <v>2</v>
      </c>
      <c r="AG6" s="4">
        <f>COUNTIFS(Pricing!$Q$20:$AA$20,AB6)*2</f>
        <v>2</v>
      </c>
      <c r="AH6" s="4">
        <f>COUNTIFS(Pricing!$Q$23:$AA$23,AB6)*2</f>
        <v>2</v>
      </c>
      <c r="AI6" s="4">
        <f>COUNTIFS(Pricing!$Q$26:$AA$26,AB6)*2</f>
        <v>2</v>
      </c>
      <c r="AJ6" s="4">
        <f>COUNTIFS(Pricing!$Q$29:$AA$29,AB6)*2</f>
        <v>0</v>
      </c>
      <c r="AK6" s="4"/>
      <c r="AL6" s="4"/>
    </row>
    <row r="7" spans="1:56" x14ac:dyDescent="0.25">
      <c r="B7" t="s">
        <v>57</v>
      </c>
      <c r="C7" s="68">
        <v>195</v>
      </c>
      <c r="D7" s="68"/>
      <c r="E7" t="s">
        <v>220</v>
      </c>
      <c r="F7" s="68">
        <v>50</v>
      </c>
      <c r="I7" s="71" t="s">
        <v>54</v>
      </c>
      <c r="J7" s="72">
        <f>$C5</f>
        <v>105</v>
      </c>
      <c r="K7" s="72">
        <f t="shared" si="1"/>
        <v>105</v>
      </c>
      <c r="L7" s="72">
        <f t="shared" si="1"/>
        <v>105</v>
      </c>
      <c r="M7" s="72">
        <f t="shared" si="1"/>
        <v>105</v>
      </c>
      <c r="N7" s="72">
        <f t="shared" si="1"/>
        <v>105</v>
      </c>
      <c r="O7" s="72">
        <f t="shared" si="1"/>
        <v>105</v>
      </c>
      <c r="P7" s="72">
        <f t="shared" si="1"/>
        <v>105</v>
      </c>
      <c r="Q7" s="72">
        <f t="shared" si="1"/>
        <v>105</v>
      </c>
      <c r="R7" s="72">
        <f t="shared" si="1"/>
        <v>105</v>
      </c>
      <c r="S7" s="72">
        <f t="shared" si="1"/>
        <v>105</v>
      </c>
      <c r="T7" s="72">
        <f t="shared" si="1"/>
        <v>105</v>
      </c>
      <c r="U7" s="72">
        <f t="shared" si="1"/>
        <v>105</v>
      </c>
      <c r="V7" s="72">
        <f t="shared" si="1"/>
        <v>105</v>
      </c>
      <c r="W7" s="72">
        <f t="shared" si="1"/>
        <v>105</v>
      </c>
      <c r="X7" s="72">
        <f t="shared" si="1"/>
        <v>105</v>
      </c>
      <c r="Y7" s="68">
        <f t="shared" si="2"/>
        <v>1575</v>
      </c>
      <c r="AB7" s="4" t="s">
        <v>562</v>
      </c>
      <c r="AC7" s="4">
        <f>COUNTIFS(Pricing!$Q$8:$AA$8,AB7)</f>
        <v>0</v>
      </c>
      <c r="AD7" s="4">
        <f>COUNTIFS(Pricing!$Q$11:$AA$11,AB7)</f>
        <v>0</v>
      </c>
      <c r="AE7" s="4">
        <f>COUNTIFS(Pricing!$Q$14:$AA$14,AB7)</f>
        <v>0</v>
      </c>
      <c r="AF7" s="4">
        <f>COUNTIFS(Pricing!$Q$17:$AA$17,AB7)</f>
        <v>0</v>
      </c>
      <c r="AG7" s="4">
        <f>COUNTIFS(Pricing!$Q$20:$AA$20,AB7)</f>
        <v>0</v>
      </c>
      <c r="AH7" s="4">
        <f>COUNTIFS(Pricing!$Q$23:$AA$23,AB7)</f>
        <v>0</v>
      </c>
      <c r="AI7" s="4">
        <f>COUNTIFS(Pricing!$Q$26:$AA$26,AB7)</f>
        <v>0</v>
      </c>
      <c r="AJ7" s="4">
        <f>COUNTIFS(Pricing!$Q$29:$AA$29,AB7)</f>
        <v>0</v>
      </c>
      <c r="AK7" s="4"/>
      <c r="AL7" s="4"/>
    </row>
    <row r="8" spans="1:56" x14ac:dyDescent="0.25">
      <c r="B8" t="s">
        <v>222</v>
      </c>
      <c r="C8" s="68">
        <v>20</v>
      </c>
      <c r="E8" t="s">
        <v>223</v>
      </c>
      <c r="F8" s="68">
        <v>200</v>
      </c>
      <c r="I8" s="71" t="s">
        <v>52</v>
      </c>
      <c r="J8" s="72">
        <f>$C6</f>
        <v>145</v>
      </c>
      <c r="K8" s="72">
        <f t="shared" si="1"/>
        <v>145</v>
      </c>
      <c r="L8" s="72">
        <f t="shared" si="1"/>
        <v>145</v>
      </c>
      <c r="M8" s="72">
        <f t="shared" si="1"/>
        <v>145</v>
      </c>
      <c r="N8" s="72">
        <f t="shared" si="1"/>
        <v>145</v>
      </c>
      <c r="O8" s="72">
        <f t="shared" si="1"/>
        <v>145</v>
      </c>
      <c r="P8" s="72">
        <f t="shared" si="1"/>
        <v>145</v>
      </c>
      <c r="Q8" s="72">
        <f t="shared" si="1"/>
        <v>145</v>
      </c>
      <c r="R8" s="72">
        <f t="shared" si="1"/>
        <v>145</v>
      </c>
      <c r="S8" s="72">
        <f t="shared" si="1"/>
        <v>145</v>
      </c>
      <c r="T8" s="72">
        <f t="shared" si="1"/>
        <v>145</v>
      </c>
      <c r="U8" s="72">
        <f t="shared" si="1"/>
        <v>145</v>
      </c>
      <c r="V8" s="72">
        <f t="shared" si="1"/>
        <v>145</v>
      </c>
      <c r="W8" s="72">
        <f t="shared" si="1"/>
        <v>145</v>
      </c>
      <c r="X8" s="72">
        <f t="shared" si="1"/>
        <v>145</v>
      </c>
      <c r="Y8" s="68">
        <f t="shared" si="2"/>
        <v>2175</v>
      </c>
      <c r="AB8" s="4" t="s">
        <v>219</v>
      </c>
      <c r="AC8" s="4">
        <f>COUNTIFS(Pricing!$Q$8:$AA$8,AB8)*2</f>
        <v>0</v>
      </c>
      <c r="AD8" s="4">
        <f>COUNTIFS(Pricing!$Q$11:$AA$11,AB8)*2</f>
        <v>0</v>
      </c>
      <c r="AE8" s="4">
        <f>COUNTIFS(Pricing!$Q$14:$AA$14,AB8)*2</f>
        <v>0</v>
      </c>
      <c r="AF8" s="4">
        <f>COUNTIFS(Pricing!$Q$17:$AA$17,AB8)*2</f>
        <v>0</v>
      </c>
      <c r="AG8" s="4">
        <f>COUNTIFS(Pricing!$Q$20:$AA$20,AB8)*2</f>
        <v>0</v>
      </c>
      <c r="AH8" s="4">
        <f>COUNTIFS(Pricing!$Q$23:$AA$23,AB8)*2</f>
        <v>0</v>
      </c>
      <c r="AI8" s="4">
        <f>COUNTIFS(Pricing!$Q$26:$AA$26,AB8)*2</f>
        <v>0</v>
      </c>
      <c r="AJ8" s="4">
        <f>COUNTIFS(Pricing!$Q$29:$AA$29,AB8)*2</f>
        <v>0</v>
      </c>
      <c r="AK8" s="4"/>
      <c r="AL8" s="4"/>
    </row>
    <row r="9" spans="1:56" x14ac:dyDescent="0.25">
      <c r="B9" t="s">
        <v>226</v>
      </c>
      <c r="C9" s="68">
        <v>35</v>
      </c>
      <c r="D9" s="68"/>
      <c r="E9" t="s">
        <v>227</v>
      </c>
      <c r="F9" s="68">
        <v>75</v>
      </c>
      <c r="I9" s="71" t="s">
        <v>57</v>
      </c>
      <c r="J9" s="72">
        <f>$C7</f>
        <v>195</v>
      </c>
      <c r="K9" s="72">
        <f t="shared" si="1"/>
        <v>195</v>
      </c>
      <c r="L9" s="72">
        <f t="shared" si="1"/>
        <v>195</v>
      </c>
      <c r="M9" s="72">
        <f t="shared" si="1"/>
        <v>195</v>
      </c>
      <c r="N9" s="72">
        <f t="shared" si="1"/>
        <v>195</v>
      </c>
      <c r="O9" s="72">
        <f t="shared" si="1"/>
        <v>195</v>
      </c>
      <c r="P9" s="72">
        <f t="shared" si="1"/>
        <v>195</v>
      </c>
      <c r="Q9" s="72">
        <f t="shared" si="1"/>
        <v>195</v>
      </c>
      <c r="R9" s="72">
        <f t="shared" si="1"/>
        <v>195</v>
      </c>
      <c r="S9" s="72">
        <f t="shared" si="1"/>
        <v>195</v>
      </c>
      <c r="T9" s="72">
        <f t="shared" si="1"/>
        <v>195</v>
      </c>
      <c r="U9" s="72">
        <f t="shared" si="1"/>
        <v>195</v>
      </c>
      <c r="V9" s="72">
        <f t="shared" si="1"/>
        <v>195</v>
      </c>
      <c r="W9" s="72">
        <f t="shared" si="1"/>
        <v>195</v>
      </c>
      <c r="X9" s="72">
        <f t="shared" si="1"/>
        <v>195</v>
      </c>
      <c r="Y9" s="68">
        <f t="shared" si="2"/>
        <v>2925</v>
      </c>
      <c r="AB9" s="73" t="s">
        <v>62</v>
      </c>
      <c r="AC9" s="73">
        <f>SUM(AC3:AC8)</f>
        <v>1</v>
      </c>
      <c r="AD9" s="73">
        <f>SUM(AD3:AD8)</f>
        <v>4</v>
      </c>
      <c r="AE9" s="73">
        <f t="shared" ref="AE9:AJ9" si="3">SUM(AE3:AE8)</f>
        <v>1</v>
      </c>
      <c r="AF9" s="73">
        <f t="shared" si="3"/>
        <v>4</v>
      </c>
      <c r="AG9" s="73">
        <f t="shared" si="3"/>
        <v>4</v>
      </c>
      <c r="AH9" s="73">
        <f t="shared" si="3"/>
        <v>4</v>
      </c>
      <c r="AI9" s="73">
        <f t="shared" si="3"/>
        <v>4</v>
      </c>
      <c r="AJ9" s="73">
        <f t="shared" si="3"/>
        <v>0</v>
      </c>
      <c r="AK9" s="73"/>
      <c r="AL9" s="73"/>
    </row>
    <row r="10" spans="1:56" x14ac:dyDescent="0.25">
      <c r="B10" s="104" t="s">
        <v>563</v>
      </c>
      <c r="C10" s="105">
        <v>0.25</v>
      </c>
      <c r="E10" t="s">
        <v>229</v>
      </c>
      <c r="F10" s="68">
        <v>100</v>
      </c>
      <c r="AB10" s="4"/>
      <c r="AI10" s="4" t="s">
        <v>167</v>
      </c>
      <c r="AJ10" t="s">
        <v>564</v>
      </c>
      <c r="AK10" t="s">
        <v>565</v>
      </c>
      <c r="AS10" t="s">
        <v>566</v>
      </c>
    </row>
    <row r="11" spans="1:56" x14ac:dyDescent="0.25">
      <c r="B11" t="s">
        <v>231</v>
      </c>
      <c r="C11" s="68">
        <v>100</v>
      </c>
      <c r="D11" t="s">
        <v>195</v>
      </c>
      <c r="E11" t="s">
        <v>232</v>
      </c>
      <c r="F11" s="68">
        <v>266</v>
      </c>
      <c r="I11" s="836" t="str">
        <f>C10 &amp; " % Discounted with Bay Posts"</f>
        <v>0.25 % Discounted with Bay Posts</v>
      </c>
      <c r="J11" s="837"/>
      <c r="K11" s="837"/>
      <c r="L11" s="837"/>
      <c r="M11" s="837"/>
      <c r="N11" s="837"/>
      <c r="O11" s="837"/>
      <c r="P11" s="837"/>
      <c r="Q11" s="837"/>
      <c r="R11" s="837"/>
      <c r="S11" s="837"/>
      <c r="T11" s="837"/>
      <c r="U11" s="837"/>
      <c r="V11" s="837"/>
      <c r="W11" s="837"/>
      <c r="X11" s="837"/>
      <c r="AA11" s="875" t="s">
        <v>567</v>
      </c>
      <c r="AB11" s="876"/>
      <c r="AD11" s="607" t="s">
        <v>568</v>
      </c>
      <c r="AE11" s="607"/>
      <c r="AF11" s="839" t="str">
        <f>TRIM('Survey Front'!S12 &amp; " " &amp; 'Survey Front'!T12 &amp; " " &amp; 'Survey Front'!U12 &amp; " " &amp; 'Survey Front'!V12 &amp; " " &amp; 'Survey Front'!W12 &amp; " " &amp; 'Survey Front'!AB12 &amp; " " &amp; 'Survey Front'!AC12)</f>
        <v>L</v>
      </c>
      <c r="AG11" s="839"/>
      <c r="AH11" s="839"/>
      <c r="AI11" s="4">
        <f>SUMPRODUCT(LEN(AF11)-LEN(SUBSTITUTE(AF11,"L",""))+LEN(AF11)-LEN(SUBSTITUTE(AF11,"R",""))+LEN(AF11)-LEN(SUBSTITUTE(AF11,"FF","")))</f>
        <v>1</v>
      </c>
      <c r="AJ11" s="4">
        <f>SUMPRODUCT(LEN(AF11)-LEN(SUBSTITUTE(AF11,"(","")))</f>
        <v>0</v>
      </c>
      <c r="AK11" s="4" t="e">
        <f>OR(IF(AND('Survey Front'!E12="Antigua",('Survey Front'!M12/Matrix!AI11)&gt;750),IF(AJ11-(LEN(AF11)-LEN(SUBSTITUTE(AF11,"G","")))&gt;1,"False","True")),IF(AND('Survey Front'!E12="Bermuda",'Survey Front'!M12/Matrix!AI11&gt;610,AI11&gt;1),IF(AJ11-(LEN(AF11)-LEN(SUBSTITUTE(AF11,"G","")))&gt;=1,"False","True")))</f>
        <v>#VALUE!</v>
      </c>
      <c r="AN11" s="897" t="s">
        <v>569</v>
      </c>
      <c r="AO11" s="899"/>
      <c r="AP11" s="897" t="b">
        <v>0</v>
      </c>
      <c r="AQ11" s="898"/>
      <c r="AR11" s="899"/>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5">
      <c r="E12" t="s">
        <v>236</v>
      </c>
      <c r="F12" s="68">
        <v>20</v>
      </c>
      <c r="G12" t="s">
        <v>209</v>
      </c>
      <c r="I12" s="34"/>
      <c r="J12" s="69" t="s">
        <v>178</v>
      </c>
      <c r="K12" s="69" t="s">
        <v>179</v>
      </c>
      <c r="L12" s="69" t="s">
        <v>180</v>
      </c>
      <c r="M12" s="69" t="s">
        <v>181</v>
      </c>
      <c r="N12" s="69" t="s">
        <v>182</v>
      </c>
      <c r="O12" s="69" t="s">
        <v>183</v>
      </c>
      <c r="P12" s="69" t="s">
        <v>184</v>
      </c>
      <c r="Q12" s="69" t="s">
        <v>185</v>
      </c>
      <c r="R12" s="69" t="s">
        <v>186</v>
      </c>
      <c r="S12" s="69" t="s">
        <v>187</v>
      </c>
      <c r="T12" s="69" t="s">
        <v>188</v>
      </c>
      <c r="U12" s="69" t="s">
        <v>189</v>
      </c>
      <c r="V12" s="69" t="s">
        <v>190</v>
      </c>
      <c r="W12" s="69" t="s">
        <v>191</v>
      </c>
      <c r="X12" s="69" t="s">
        <v>192</v>
      </c>
      <c r="AA12" s="900" t="s">
        <v>570</v>
      </c>
      <c r="AB12" s="901"/>
      <c r="AD12" s="607" t="s">
        <v>571</v>
      </c>
      <c r="AE12" s="607"/>
      <c r="AF12" s="839" t="str">
        <f>TRIM('Survey Front'!S15 &amp; " " &amp; 'Survey Front'!T15 &amp; " " &amp; 'Survey Front'!U15 &amp; " " &amp; 'Survey Front'!V15 &amp; " " &amp; 'Survey Front'!W15 &amp; " " &amp; 'Survey Front'!AB15 &amp; " " &amp; 'Survey Front'!AC15)</f>
        <v>LL RR</v>
      </c>
      <c r="AG12" s="839"/>
      <c r="AH12" s="839"/>
      <c r="AN12" s="898" t="s">
        <v>572</v>
      </c>
      <c r="AO12" s="898"/>
      <c r="AP12" s="902"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902"/>
      <c r="AR12" s="902"/>
      <c r="AT12" s="4"/>
      <c r="AU12" s="4"/>
      <c r="AV12" s="4"/>
      <c r="AW12" s="4"/>
      <c r="AX12" s="4"/>
      <c r="AY12" s="4"/>
      <c r="AZ12" s="4"/>
      <c r="BA12" s="4"/>
      <c r="BB12" s="4"/>
      <c r="BC12" s="4"/>
      <c r="BD12" s="4"/>
    </row>
    <row r="13" spans="1:56" x14ac:dyDescent="0.25">
      <c r="A13" t="s">
        <v>212</v>
      </c>
      <c r="B13" t="s">
        <v>239</v>
      </c>
      <c r="C13" s="68">
        <v>35</v>
      </c>
      <c r="E13" t="s">
        <v>240</v>
      </c>
      <c r="F13" s="68">
        <v>20</v>
      </c>
      <c r="G13" t="s">
        <v>209</v>
      </c>
      <c r="I13" s="34" t="s">
        <v>43</v>
      </c>
      <c r="J13" s="72">
        <f>($J$4*$E$21)-(($J$4*$E$21)*$C$10)+($D$21*$E$21)</f>
        <v>168.86099999999999</v>
      </c>
      <c r="K13" s="72">
        <f>($K$4*$E$22)-(($K$4*$E$22)*$C$10)+($D$22*$E$22)</f>
        <v>463.38599999999997</v>
      </c>
      <c r="L13" s="72">
        <f>($L$4*$E$23)-(($L$4*$E$23)*$C$10)+($D$23*$E$23)</f>
        <v>168.86099999999999</v>
      </c>
      <c r="M13" s="72">
        <f>($M$4*$E$24)-(($M$4*$E$24)*$C$10)+($D$24*$E$24)</f>
        <v>448.18800000000005</v>
      </c>
      <c r="N13" s="72">
        <f>($N$4*$E$25)-(($N$4*$E$25)*$C$10)+($D$25*$E$25)</f>
        <v>291.71999999999997</v>
      </c>
      <c r="O13" s="72">
        <f>($O$4*$E$26)-(($O$4*$E$26)*$C$10)+($D$26*$E$26)</f>
        <v>291.71999999999997</v>
      </c>
      <c r="P13" s="72">
        <f>($P$4*$E$27)-(($P$4*$E$27)*$C$10)+($D$27*$E$27)</f>
        <v>393.97499999999997</v>
      </c>
      <c r="Q13" s="72">
        <f>($Q$4*$E$28)-(($Q$4*$E$28)*$C$10)+($D$28*$E$28)</f>
        <v>0</v>
      </c>
      <c r="R13" s="72">
        <f>($R$4*$E$29)-(($R$4*$E$29)*$C$10)+($D$29*$E$29)</f>
        <v>0</v>
      </c>
      <c r="S13" s="72">
        <f>($S$4*$E$30)-(($S$4*$E$30)*$C$10)+($D$30*$E$30)</f>
        <v>0</v>
      </c>
      <c r="T13" s="72">
        <f>($T$4*$E$31)-(($T$4*$E$31)*$C$10)+($D$31*$E$31)</f>
        <v>0</v>
      </c>
      <c r="U13" s="72">
        <f>($U$4*$E$32)-(($U$4*$E$32)*$C$10)+($D$32*$E$32)</f>
        <v>0</v>
      </c>
      <c r="V13" s="72">
        <f>($V$4*$E$33)-(($V$4*$E$33)*$C$10)+($D$33*$E$33)</f>
        <v>0</v>
      </c>
      <c r="W13" s="72">
        <f>($W$4*$E$34)-(($W$4*$E$34)*$C$10)+($D$34*$E$34)</f>
        <v>0</v>
      </c>
      <c r="X13" s="72">
        <f>($X$4*$E$34)-(($X$4*$E$34)*$C$10)+($D$34*$E$34)</f>
        <v>0</v>
      </c>
      <c r="AA13" s="903">
        <f>Pricing!Y58</f>
        <v>0</v>
      </c>
      <c r="AB13" s="904"/>
      <c r="AD13" s="607" t="s">
        <v>573</v>
      </c>
      <c r="AE13" s="607"/>
      <c r="AF13" s="839" t="str">
        <f>TRIM('Survey Front'!S18 &amp; " " &amp; 'Survey Front'!T18 &amp; " " &amp; 'Survey Front'!U18 &amp; " " &amp; 'Survey Front'!V18 &amp; " " &amp; 'Survey Front'!W18 &amp; " " &amp; 'Survey Front'!AB18 &amp; " " &amp; 'Survey Front'!AC18)</f>
        <v>L RR</v>
      </c>
      <c r="AG13" s="839"/>
      <c r="AH13" s="839"/>
      <c r="AN13" s="905" t="s">
        <v>574</v>
      </c>
      <c r="AO13" s="906"/>
      <c r="AP13" s="905" t="s">
        <v>575</v>
      </c>
      <c r="AQ13" s="907"/>
      <c r="AR13" s="906"/>
      <c r="AT13" s="106" t="str">
        <f>IF(LEN(Drawing!AC17)&gt;1,MID(Matrix!AP13,1,LEN(Drawing!AC17)),MID(AP13,1,1))</f>
        <v>(</v>
      </c>
      <c r="AU13" s="106"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5">
      <c r="B14" t="s">
        <v>438</v>
      </c>
      <c r="C14" s="74">
        <v>0.1</v>
      </c>
      <c r="E14" t="s">
        <v>243</v>
      </c>
      <c r="F14" s="68">
        <v>12.5</v>
      </c>
      <c r="G14" t="s">
        <v>209</v>
      </c>
      <c r="I14" s="34" t="s">
        <v>45</v>
      </c>
      <c r="J14" s="72">
        <f>($J$4*$E$21)-(($J$4*$E$21)*$C$10)+($D$21*$E$21)+(J5*E21)</f>
        <v>192.03799999999998</v>
      </c>
      <c r="K14" s="72">
        <f>($K$4*$E$22)-(($K$4*$E$22)*$C$10)+($D$22*$E$22)+(E22*K5)</f>
        <v>526.98799999999994</v>
      </c>
      <c r="L14" s="72">
        <f>($L$4*$E$23)-(($L$4*$E$23)*$C$10)+($D$23*$E$23)+(L5*E23)</f>
        <v>192.03799999999998</v>
      </c>
      <c r="M14" s="72">
        <f>($M$4*$E$24)-(($M$4*$E$24)*$C$10)+($D$24*$E$24)+($M5*$E$24)</f>
        <v>509.70400000000006</v>
      </c>
      <c r="N14" s="72">
        <f>($N$4*$E$25)-(($N$4*$E$25)*$C$10)+($D$25*$E$25)+(N5*E26)</f>
        <v>331.76</v>
      </c>
      <c r="O14" s="72">
        <f>($O$4*$E$26)-(($O$4*$E$26)*$C$10)+($D$26*$E$26)+(O5*E26)</f>
        <v>331.76</v>
      </c>
      <c r="P14" s="72">
        <f>($P$4*$E$27)-(($P$4*$E$27)*$C$10)+($D$27*$E$27)+(P5*E27)</f>
        <v>448.04999999999995</v>
      </c>
      <c r="Q14" s="72">
        <f>($Q$4*$E$28)-(($Q$4*$E$28)*$C$10)+($D$28*$E$28)+(Q5*E28)</f>
        <v>0</v>
      </c>
      <c r="R14" s="72">
        <f>($R$4*$E$29)-(($R$4*$E$29)*$C$10)+($D$29*$E$29)+(R5*E29)</f>
        <v>0</v>
      </c>
      <c r="S14" s="72">
        <f>($S$4*$E$30)-(($S$4*$E$30)*$C$10)+($D$30*$E$30)+(S5*E30)</f>
        <v>0</v>
      </c>
      <c r="T14" s="72">
        <f>($T$4*$E$31)-(($T$4*$E$31)*$C$10)+($D$31*$E$31)+(T5*E31)</f>
        <v>0</v>
      </c>
      <c r="U14" s="72">
        <f>($U$4*$E$32)-(($U$4*$E$32)*$C$10)+($D$32*$E$32)+(U5*E32)</f>
        <v>0</v>
      </c>
      <c r="V14" s="72">
        <f>($V$4*$E$33)-(($V$4*$E$33)*$C$10)+($D$33*$E$33)+(V5*E33)</f>
        <v>0</v>
      </c>
      <c r="W14" s="72">
        <f>($W$4*$E$34)-(($W$4*$E$34)*$C$10)+($D$34*$E$34)+(W5*E34)</f>
        <v>0</v>
      </c>
      <c r="X14" s="72">
        <f>($X$4*$E$35)-(($X$4*$E$35)*$C$10)+($D$35*$E$35)+(X5*E35)</f>
        <v>0</v>
      </c>
      <c r="AA14" s="908" t="s">
        <v>576</v>
      </c>
      <c r="AB14" s="909"/>
      <c r="AD14" s="607" t="s">
        <v>577</v>
      </c>
      <c r="AE14" s="607"/>
      <c r="AF14" s="839" t="str">
        <f>TRIM('Survey Front'!S21 &amp; " " &amp; 'Survey Front'!T21 &amp; " " &amp; 'Survey Front'!U21 &amp; " " &amp; 'Survey Front'!V21 &amp; " " &amp; 'Survey Front'!W21 &amp; " " &amp; 'Survey Front'!AB21 &amp; " " &amp; 'Survey Front'!AC21)</f>
        <v>LL RR</v>
      </c>
      <c r="AG14" s="839"/>
      <c r="AH14" s="839"/>
      <c r="AN14" s="907" t="s">
        <v>578</v>
      </c>
      <c r="AO14" s="907"/>
      <c r="AP14" s="910"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910"/>
      <c r="AR14" s="910"/>
      <c r="AT14" s="4"/>
      <c r="AU14" s="4"/>
      <c r="AV14" s="4"/>
      <c r="AW14" s="4"/>
      <c r="AX14" s="4"/>
      <c r="AY14" s="4"/>
      <c r="AZ14" s="4"/>
      <c r="BA14" s="4"/>
      <c r="BB14" s="4"/>
      <c r="BC14" s="4"/>
      <c r="BD14" s="4"/>
    </row>
    <row r="15" spans="1:56" x14ac:dyDescent="0.25">
      <c r="B15" t="s">
        <v>246</v>
      </c>
      <c r="C15" s="68">
        <v>100</v>
      </c>
      <c r="E15" t="s">
        <v>247</v>
      </c>
      <c r="F15" s="68">
        <v>5</v>
      </c>
      <c r="I15" s="34" t="s">
        <v>48</v>
      </c>
      <c r="J15" s="72">
        <f>($J$4*$E$21)-(($J$4*$E$21)*$C$10)+($D$21*$E$21)+(J6*E21)</f>
        <v>211.904</v>
      </c>
      <c r="K15" s="72">
        <f>($K$4*$E$22)-(($K$4*$E$22)*$C$10)+($D$22*$E$22)+(E22*K6)</f>
        <v>581.50399999999991</v>
      </c>
      <c r="L15" s="72">
        <f>($L$4*$E$23)-(($L$4*$E$23)*$C$10)+($D$23*$E$23)+(L6*E23)</f>
        <v>211.904</v>
      </c>
      <c r="M15" s="72">
        <f t="shared" ref="M15:M18" si="4">($M$4*$E$24)-(($M$4*$E$24)*$C$10)+($D$24*$E$24)+($M6*$E$24)</f>
        <v>562.43200000000002</v>
      </c>
      <c r="N15" s="72">
        <f>($N$4*$E$25)-(($N$4*$E$25)*$C$10)+($D$25*$E$25)+(N6*E25)</f>
        <v>366.08</v>
      </c>
      <c r="O15" s="72">
        <f>($O$4*$E$26)-(($O$4*$E$26)*$C$10)+($D$26*$E$26)+(O6*E26)</f>
        <v>366.08</v>
      </c>
      <c r="P15" s="72">
        <f>($P$4*$E$27)-(($P$4*$E$27)*$C$10)+($D$27*$E$27)+(P6*E27)</f>
        <v>494.4</v>
      </c>
      <c r="Q15" s="72">
        <f>($Q$4*$E$28)-(($Q$4*$E$28)*$C$10)+($D$28*$E$28)+(Q6*E28)</f>
        <v>0</v>
      </c>
      <c r="R15" s="72">
        <f>($R$4*$E$29)-(($R$4*$E$29)*$C$10)+($D$29*$E$29)+(R6*E29)</f>
        <v>0</v>
      </c>
      <c r="S15" s="72">
        <f>($S$4*$E$30)-(($S$4*$E$30)*$C$10)+($D$30*$E$30)+(S6*E30)</f>
        <v>0</v>
      </c>
      <c r="T15" s="72">
        <f>($T$4*$E$31)-(($T$4*$E$31)*$C$10)+($D$31*$E$31)+(T6*E31)</f>
        <v>0</v>
      </c>
      <c r="U15" s="72">
        <f>($U$4*$E$32)-(($U$4*$E$32)*$C$10)+($D$32*$E$32)+(U6*E32)</f>
        <v>0</v>
      </c>
      <c r="V15" s="72">
        <f>($V$4*$E$33)-(($V$4*$E$33)*$C$10)+($D$33*$E$33)+(V6*E33)</f>
        <v>0</v>
      </c>
      <c r="W15" s="72">
        <f>($W$4*$E$34)-(($W$4*$E$34)*$C$10)+($D$34*$E$34)+(W6*E34)</f>
        <v>0</v>
      </c>
      <c r="X15" s="72">
        <f>($X$4*$E$35)-(($X$4*$E$35)*$C$10)+($D$35*$E$35)+(X6*E35)</f>
        <v>0</v>
      </c>
      <c r="AA15" s="903">
        <f>AA13-Pricing!AD58</f>
        <v>-0.24997286307053943</v>
      </c>
      <c r="AB15" s="911"/>
      <c r="AD15" s="607" t="s">
        <v>579</v>
      </c>
      <c r="AE15" s="607"/>
      <c r="AF15" s="839" t="str">
        <f>TRIM('Survey Front'!S24 &amp; " " &amp; 'Survey Front'!T24 &amp; " " &amp; 'Survey Front'!U24 &amp; " " &amp; 'Survey Front'!V24 &amp; " " &amp; 'Survey Front'!W24 &amp; " " &amp; 'Survey Front'!AB24 &amp; " " &amp; 'Survey Front'!AC24)</f>
        <v>LL RR</v>
      </c>
      <c r="AG15" s="839"/>
      <c r="AH15" s="839"/>
      <c r="AN15" s="912" t="s">
        <v>580</v>
      </c>
      <c r="AO15" s="913"/>
      <c r="AP15" s="912" t="s">
        <v>581</v>
      </c>
      <c r="AQ15" s="914"/>
      <c r="AR15" s="914"/>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5">
      <c r="A16" t="s">
        <v>249</v>
      </c>
      <c r="B16" t="s">
        <v>250</v>
      </c>
      <c r="C16" s="68">
        <v>330</v>
      </c>
      <c r="E16" t="s">
        <v>251</v>
      </c>
      <c r="F16" s="68">
        <v>5</v>
      </c>
      <c r="I16" s="34" t="s">
        <v>54</v>
      </c>
      <c r="J16" s="72">
        <f>($J$4*$E$21)-(($J$4*$E$21)*$C$10)+($D$21*$E$21)+(J7*E21)</f>
        <v>238.392</v>
      </c>
      <c r="K16" s="72">
        <f>($K$4*$E$22)-(($K$4*$E$22)*$C$10)+($D$22*$E$22)+(K7*E22)</f>
        <v>654.19200000000001</v>
      </c>
      <c r="L16" s="72">
        <f>($L$4*$E$23)-(($L$4*$E$23)*$C$10)+($D$23*$E$23)+(L7*E23)</f>
        <v>238.392</v>
      </c>
      <c r="M16" s="72">
        <f t="shared" si="4"/>
        <v>632.7360000000001</v>
      </c>
      <c r="N16" s="72">
        <f>($N$4*$E$25)-(($N$4*$E$25)*$C$10)+($D$25*$E$25)+(N7*E25)</f>
        <v>411.84</v>
      </c>
      <c r="O16" s="72">
        <f>($O$4*$E$26)-(($O$4*$E$26)*$C$10)+($D$26*$E$26)+(O7*E26)</f>
        <v>411.84</v>
      </c>
      <c r="P16" s="72">
        <f>($P$4*$E$27)-(($P$4*$E$27)*$C$10)+($D$27*$E$27)+(P7*E27)</f>
        <v>556.19999999999993</v>
      </c>
      <c r="Q16" s="72">
        <f>($Q$4*$E$28)-(($Q$4*$E$28)*$C$10)+($D$28*$E$28)+(Q7*E28)</f>
        <v>0</v>
      </c>
      <c r="R16" s="72">
        <f>($R$4*$E$29)-(($R$4*$E$29)*$C$10)+($D$29*$E$29)+(R7*E29)</f>
        <v>0</v>
      </c>
      <c r="S16" s="72">
        <f>($S$4*$E$30)-(($S$4*$E$30)*$C$10)+($D$30*$E$30)+(S7*E30)</f>
        <v>0</v>
      </c>
      <c r="T16" s="72">
        <f>($T$4*$E$31)-(($T$4*$E$31)*$C$10)+($D$31*$E$31)+(T7*E31)</f>
        <v>0</v>
      </c>
      <c r="U16" s="72">
        <f>($U$4*$E$32)-(($U$4*$E$32)*$C$10)+($D$32*$E$32)+(U7*E32)</f>
        <v>0</v>
      </c>
      <c r="V16" s="72">
        <f>($V$4*$E$33)-(($V$4*$E$33)*$C$10)+($D$33*$E$33)+(V7*E33)</f>
        <v>0</v>
      </c>
      <c r="W16" s="72">
        <f>($W$4*$E$34)-(($W$4*$E$34)*$C$10)+($D$34*$E$34)+(W7*E34)</f>
        <v>0</v>
      </c>
      <c r="X16" s="72">
        <f>($X$4*$E$35)-(($X$4*$E$35)*$C$10)+($D$35*$E$35)+(X7*E35)</f>
        <v>0</v>
      </c>
      <c r="AA16" s="908" t="s">
        <v>582</v>
      </c>
      <c r="AB16" s="909"/>
      <c r="AD16" s="607" t="s">
        <v>583</v>
      </c>
      <c r="AE16" s="607"/>
      <c r="AF16" s="839" t="str">
        <f>TRIM('Survey Front'!S27 &amp; " " &amp; 'Survey Front'!T27 &amp; " " &amp; 'Survey Front'!U27 &amp; " " &amp; 'Survey Front'!V27 &amp; " " &amp; 'Survey Front'!W27 &amp; " " &amp; 'Survey Front'!AB27 &amp; " " &amp; 'Survey Front'!AC27)</f>
        <v>LL RR</v>
      </c>
      <c r="AG16" s="839"/>
      <c r="AH16" s="839"/>
      <c r="AN16" s="914" t="s">
        <v>584</v>
      </c>
      <c r="AO16" s="914"/>
      <c r="AP16" s="915"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915"/>
      <c r="AR16" s="915"/>
      <c r="AT16" s="4"/>
      <c r="AU16" s="4"/>
      <c r="AV16" s="4"/>
      <c r="AW16" s="4"/>
      <c r="AX16" s="4"/>
      <c r="AY16" s="4"/>
      <c r="AZ16" s="4"/>
      <c r="BA16" s="4"/>
      <c r="BB16" s="4"/>
      <c r="BC16" s="4"/>
      <c r="BD16" s="4"/>
    </row>
    <row r="17" spans="1:56" x14ac:dyDescent="0.25">
      <c r="A17" t="s">
        <v>212</v>
      </c>
      <c r="B17" t="s">
        <v>253</v>
      </c>
      <c r="C17" s="68">
        <v>115</v>
      </c>
      <c r="E17" t="s">
        <v>254</v>
      </c>
      <c r="F17" s="68">
        <v>20</v>
      </c>
      <c r="I17" s="34" t="s">
        <v>52</v>
      </c>
      <c r="J17" s="72">
        <f>($J$4*$E$21)-(($J$4*$E$21)*$C$10)+($D$21*$E$21)+(J8*E21)</f>
        <v>264.88</v>
      </c>
      <c r="K17" s="72">
        <f>($K$4*$E$22)-(($K$4*$E$22)*$C$10)+($D$22*$E$22)+(K8*E22)</f>
        <v>726.87999999999988</v>
      </c>
      <c r="L17" s="72">
        <f>($L$4*$E$23)-(($L$4*$E$23)*$C$10)+($D$23*$E$23)+(L8*E23)</f>
        <v>264.88</v>
      </c>
      <c r="M17" s="72">
        <f t="shared" si="4"/>
        <v>703.04000000000008</v>
      </c>
      <c r="N17" s="72">
        <f>($N$4*$E$25)-(($N$4*$E$25)*$C$10)+($D$25*$E$25)+(N8*E25)</f>
        <v>457.59999999999997</v>
      </c>
      <c r="O17" s="72">
        <f>($O$4*$E$26)-(($O$4*$E$26)*$C$10)+($D$26*$E$26)+(O8*E26)</f>
        <v>457.59999999999997</v>
      </c>
      <c r="P17" s="72">
        <f>($P$4*$E$27)-(($P$4*$E$27)*$C$10)+($D$27*$E$27)+(P8*E27)</f>
        <v>618</v>
      </c>
      <c r="Q17" s="72">
        <f>($Q$4*$E$28)-(($Q$4*$E$28)*$C$10)+($D$28*$E$28)+(Q8*E28)</f>
        <v>0</v>
      </c>
      <c r="R17" s="72">
        <f>($R$4*$E$29)-(($R$4*$E$29)*$C$10)+($D$29*$E$29)+(R8*E29)</f>
        <v>0</v>
      </c>
      <c r="S17" s="72">
        <f>($S$4*$E$30)-(($S$4*$E$30)*$C$10)+($D$30*$E$30)+(S8*E30)</f>
        <v>0</v>
      </c>
      <c r="T17" s="72">
        <f>($T$4*$E$31)-(($T$4*$E$31)*$C$10)+($D$31*$E$31)+(T8*E31)</f>
        <v>0</v>
      </c>
      <c r="U17" s="72">
        <f>($U$4*$E$32)-(($U$4*$E$31)*$C$10)+($D$32*$E$31)+(U8*E31)</f>
        <v>0</v>
      </c>
      <c r="V17" s="72">
        <f>($V$4*$E$33)-(($V$4*$E$33)*$C$10)+($D$33*$E$33)+(V8*E33)</f>
        <v>0</v>
      </c>
      <c r="W17" s="72">
        <f>($W$4*$E$34)-(($W$4*$E$34)*$C$10)+($D$34*$E$34)+(W8*E34)</f>
        <v>0</v>
      </c>
      <c r="X17" s="72">
        <f>($X$4*$E$35)-(($W$4*$E$35)*$C$10)+($D$35*$E$35)+(X8*E35)</f>
        <v>0</v>
      </c>
      <c r="AA17" s="916" t="e">
        <f>(Pricing!Y58-Pricing!AD58)/Pricing!Y58</f>
        <v>#DIV/0!</v>
      </c>
      <c r="AB17" s="917"/>
      <c r="AD17" s="607" t="s">
        <v>585</v>
      </c>
      <c r="AE17" s="607"/>
      <c r="AF17" s="839" t="str">
        <f>TRIM('Survey Front'!S30 &amp; " " &amp; 'Survey Front'!T30 &amp; " " &amp; 'Survey Front'!U30 &amp; " " &amp; 'Survey Front'!V30 &amp; " " &amp; 'Survey Front'!W30 &amp; " " &amp; 'Survey Front'!AB30 &amp; " " &amp; 'Survey Front'!AC30)</f>
        <v>LL RR</v>
      </c>
      <c r="AG17" s="839"/>
      <c r="AH17" s="839"/>
      <c r="AN17" s="918" t="s">
        <v>586</v>
      </c>
      <c r="AO17" s="919"/>
      <c r="AP17" s="918" t="s">
        <v>587</v>
      </c>
      <c r="AQ17" s="920"/>
      <c r="AR17" s="920"/>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5">
      <c r="B18" t="s">
        <v>256</v>
      </c>
      <c r="C18" s="68">
        <v>400</v>
      </c>
      <c r="I18" s="34" t="s">
        <v>57</v>
      </c>
      <c r="J18" s="72">
        <f>($J$4*$E$21)-(($J$4*$E$21)*$C$10)+($D$21*$E$21)+(J9*E21)</f>
        <v>297.99</v>
      </c>
      <c r="K18" s="72">
        <f>($K$4*$E$22)-(($K$4*$E$22)*$C$10)+($D$22*$E$22)+(K9*E22)</f>
        <v>817.74</v>
      </c>
      <c r="L18" s="72">
        <f>($L$4*$E$23)-(($L$4*$E$23)*$C$10)+($D$23*$E$23)+(L9*E23)</f>
        <v>297.99</v>
      </c>
      <c r="M18" s="72">
        <f t="shared" si="4"/>
        <v>790.92000000000007</v>
      </c>
      <c r="N18" s="72">
        <f>($N$4*$E$25)-(($N$4*$E$25)*$C$10)+($D$25*$E$25)+(N9*E25)</f>
        <v>514.79999999999995</v>
      </c>
      <c r="O18" s="72">
        <f>($O$4*$E$26)-(($O$4*$E$26)*$C$10)+($D$26*$E$26)+(O9*E26)</f>
        <v>514.79999999999995</v>
      </c>
      <c r="P18" s="72">
        <f>($P$4*$E$27)-(($P$4*$E$27)*$C$10)+($D$27*$E$27)+(P9*E27)</f>
        <v>695.25</v>
      </c>
      <c r="Q18" s="72">
        <f>($Q$4*$E$28)-(($Q$4*$E$28)*$C$10)+($D$28*$E$28)+(Q9*E28)</f>
        <v>0</v>
      </c>
      <c r="R18" s="72">
        <f>($R$4*$E$29)-(($R$4*$E$29)*$C$10)+($D$29*$E$29)+(R9*E29)</f>
        <v>0</v>
      </c>
      <c r="S18" s="72">
        <f>($S$4*$E$30)-(($S$4*$E$30)*$C$10)+($D$30*$E$30)+(S9*E30)</f>
        <v>0</v>
      </c>
      <c r="T18" s="72">
        <f>($T$4*$E$31)-(($T$4*$E$31)*$C$10)+($D$31*$E$31)+(T9*E31)</f>
        <v>0</v>
      </c>
      <c r="U18" s="72">
        <f>($U$4*$E$32)-(($U$4*$E$32)*$C$10)+($D$32*$E$32)+(U9*E32)</f>
        <v>0</v>
      </c>
      <c r="V18" s="72">
        <f>($V$4*$E$33)-(($V$4*$E$33)*$C$10)+($D$33*$E$33)+(V9*E33)</f>
        <v>0</v>
      </c>
      <c r="W18" s="72">
        <f>($W$4*$E$34)-(($W$4*$E$34)*$C$10)+($D$34*$E$34)+(W9*E34)</f>
        <v>0</v>
      </c>
      <c r="X18" s="72">
        <f>($X$4*$E$35)-(($X$4*$E$35)*$C$10)+($D$35*$E$35)+(X9*E35)</f>
        <v>0</v>
      </c>
      <c r="AA18" s="34"/>
      <c r="AB18" s="107"/>
      <c r="AD18" s="607" t="s">
        <v>588</v>
      </c>
      <c r="AE18" s="607"/>
      <c r="AF18" s="839" t="str">
        <f>TRIM('Survey Front'!S33 &amp; " " &amp; 'Survey Front'!T33 &amp; " " &amp; 'Survey Front'!U33 &amp; " " &amp; 'Survey Front'!V33 &amp; " " &amp; 'Survey Front'!W33 &amp; " " &amp; 'Survey Front'!AB33 &amp; " " &amp; 'Survey Front'!AC33)</f>
        <v/>
      </c>
      <c r="AG18" s="839"/>
      <c r="AH18" s="839"/>
      <c r="AN18" s="920" t="s">
        <v>589</v>
      </c>
      <c r="AO18" s="920"/>
      <c r="AP18" s="921"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921"/>
      <c r="AR18" s="921"/>
      <c r="AT18" s="108"/>
    </row>
    <row r="19" spans="1:56" x14ac:dyDescent="0.25">
      <c r="J19" s="76"/>
      <c r="K19" s="76"/>
      <c r="L19" s="76"/>
      <c r="M19" s="76"/>
      <c r="N19" s="76"/>
      <c r="O19" s="76"/>
      <c r="P19" s="7"/>
      <c r="Q19" s="7"/>
      <c r="AD19" s="607" t="s">
        <v>590</v>
      </c>
      <c r="AE19" s="607"/>
      <c r="AF19" s="839" t="str">
        <f>TRIM('Survey Front'!S57 &amp; " " &amp; 'Survey Front'!T57 &amp; " " &amp; 'Survey Front'!U57 &amp; " " &amp; 'Survey Front'!V57 &amp; " " &amp; 'Survey Front'!W57 &amp; " " &amp; 'Survey Front'!AB57 &amp; " " &amp; 'Survey Front'!AC57)</f>
        <v/>
      </c>
      <c r="AG19" s="839"/>
      <c r="AH19" s="839"/>
      <c r="AN19" s="926" t="s">
        <v>591</v>
      </c>
      <c r="AO19" s="927"/>
      <c r="AP19" s="926" t="s">
        <v>592</v>
      </c>
      <c r="AQ19" s="928"/>
      <c r="AR19" s="928"/>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5">
      <c r="C20" s="75" t="s">
        <v>263</v>
      </c>
      <c r="D20" s="4" t="s">
        <v>264</v>
      </c>
      <c r="E20" s="4" t="s">
        <v>13</v>
      </c>
      <c r="F20" s="4" t="s">
        <v>226</v>
      </c>
      <c r="G20" s="4" t="s">
        <v>265</v>
      </c>
      <c r="H20" s="4" t="s">
        <v>266</v>
      </c>
      <c r="I20" s="4" t="s">
        <v>208</v>
      </c>
      <c r="J20" s="76" t="s">
        <v>239</v>
      </c>
      <c r="K20" s="76" t="s">
        <v>267</v>
      </c>
      <c r="L20" s="76"/>
      <c r="M20" s="76"/>
      <c r="N20" s="76"/>
      <c r="O20" s="76"/>
      <c r="P20" s="7"/>
      <c r="Q20" s="7"/>
      <c r="AD20" s="607" t="s">
        <v>593</v>
      </c>
      <c r="AE20" s="607"/>
      <c r="AF20" s="839" t="str">
        <f>TRIM('Survey Front'!S60 &amp; " " &amp; 'Survey Front'!T60 &amp; " " &amp; 'Survey Front'!U60 &amp; " " &amp; 'Survey Front'!V60 &amp; " " &amp; 'Survey Front'!W60 &amp; " " &amp; 'Survey Front'!AB60 &amp; " " &amp; 'Survey Front'!AC60)</f>
        <v/>
      </c>
      <c r="AG20" s="839"/>
      <c r="AH20" s="839"/>
      <c r="AN20" s="928" t="s">
        <v>594</v>
      </c>
      <c r="AO20" s="928"/>
      <c r="AP20" s="929"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929"/>
      <c r="AR20" s="929"/>
    </row>
    <row r="21" spans="1:56" x14ac:dyDescent="0.25">
      <c r="B21" t="s">
        <v>178</v>
      </c>
      <c r="C21" s="77">
        <f>COUNTIFS(Pricing!Q8:AA8,"(CB)")</f>
        <v>0</v>
      </c>
      <c r="D21" s="4">
        <f>IF(C21&gt;0,20,)</f>
        <v>0</v>
      </c>
      <c r="E21" s="78">
        <f>IF(Pricing!AD8="Quoted",,IF(Pricing!E8="",,Pricing!L8*Pricing!M8/1000000))</f>
        <v>0.66220000000000001</v>
      </c>
      <c r="F21" s="75">
        <f>IF(Pricing!AD8="Quoted",IF(Pricing!J8 = "Silent",$E$21*$C$9,0),)</f>
        <v>0</v>
      </c>
      <c r="G21" s="75">
        <f>IF(Pricing!AD8="Quoted",IF(Pricing!D8="Tracked",$F$2*H21+$C$11,0),)</f>
        <v>0</v>
      </c>
      <c r="H21" s="79">
        <f>CONVERT(Pricing!L8,"mm","m")</f>
        <v>0.43</v>
      </c>
      <c r="I21" s="75">
        <f>IF(Pricing!D8="S/Shade",$F$3*E21,0)</f>
        <v>0</v>
      </c>
      <c r="J21" s="68">
        <f>AC9*C13</f>
        <v>35</v>
      </c>
      <c r="K21" s="4">
        <f>IF(I21&gt;0,E21,)</f>
        <v>0</v>
      </c>
      <c r="AD21" s="607" t="s">
        <v>595</v>
      </c>
      <c r="AE21" s="607"/>
      <c r="AF21" s="839" t="str">
        <f>TRIM('Survey Front'!S63 &amp; " " &amp; 'Survey Front'!T63 &amp; " " &amp; 'Survey Front'!U63 &amp; " " &amp; 'Survey Front'!V63 &amp; " " &amp; 'Survey Front'!W63 &amp; " " &amp; 'Survey Front'!AB63 &amp; " " &amp; 'Survey Front'!AC63)</f>
        <v/>
      </c>
      <c r="AG21" s="839"/>
      <c r="AH21" s="839"/>
      <c r="AN21" s="922" t="s">
        <v>583</v>
      </c>
      <c r="AO21" s="923"/>
      <c r="AP21" s="922" t="s">
        <v>596</v>
      </c>
      <c r="AQ21" s="924"/>
      <c r="AR21" s="924"/>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5">
      <c r="B22" t="s">
        <v>179</v>
      </c>
      <c r="C22" s="77">
        <f>COUNTIFS(Pricing!Q11:AA11,"(CB)")</f>
        <v>0</v>
      </c>
      <c r="D22" s="4">
        <f t="shared" ref="D22:D35" si="5">IF(C22&gt;0,20,)</f>
        <v>0</v>
      </c>
      <c r="E22" s="78">
        <f>IF(Pricing!AD11="Quoted",,IF(Pricing!E11="",,Pricing!L11*Pricing!M11/1000000))</f>
        <v>1.8171999999999999</v>
      </c>
      <c r="F22" s="75">
        <f>IF(Pricing!AD11="Quoted",IF(Pricing!J11 = "Silent",$E$22*$C$9,0),)</f>
        <v>0</v>
      </c>
      <c r="G22" s="75">
        <f>IF(Pricing!AD11="Quoted",IF(Pricing!D11="Tracked",$F$2*H22+$C$11,0),)</f>
        <v>0</v>
      </c>
      <c r="H22" s="79">
        <f>IF(Pricing!D11="Tracked",CONVERT(Pricing!L11,"mm","m"),)</f>
        <v>0</v>
      </c>
      <c r="I22" s="75">
        <f>IF(Pricing!D11="S/Shade",$F$3*E22,0)</f>
        <v>0</v>
      </c>
      <c r="K22" s="4">
        <f t="shared" ref="K22:K35" si="6">IF(I22&gt;0,E22,)</f>
        <v>0</v>
      </c>
      <c r="AD22" s="607" t="s">
        <v>597</v>
      </c>
      <c r="AE22" s="607"/>
      <c r="AF22" s="839" t="str">
        <f>TRIM('Survey Front'!S66 &amp; " " &amp; 'Survey Front'!T66 &amp; " " &amp; 'Survey Front'!U66 &amp; " " &amp; 'Survey Front'!V66 &amp; " " &amp; 'Survey Front'!W66 &amp; " " &amp; 'Survey Front'!AB66 &amp; " " &amp; 'Survey Front'!AC66)</f>
        <v/>
      </c>
      <c r="AG22" s="839"/>
      <c r="AH22" s="839"/>
      <c r="AN22" s="924" t="s">
        <v>598</v>
      </c>
      <c r="AO22" s="924"/>
      <c r="AP22" s="925"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925"/>
      <c r="AR22" s="925"/>
    </row>
    <row r="23" spans="1:56" x14ac:dyDescent="0.25">
      <c r="B23" t="s">
        <v>180</v>
      </c>
      <c r="C23" s="77">
        <f>COUNTIFS(Pricing!Q14:AA14,"(CB)")</f>
        <v>0</v>
      </c>
      <c r="D23" s="4">
        <f t="shared" si="5"/>
        <v>0</v>
      </c>
      <c r="E23" s="78">
        <f>IF(Pricing!AD14="Quoted",,IF(Pricing!E14="",,Pricing!L14*Pricing!M14/1000000))</f>
        <v>0.66220000000000001</v>
      </c>
      <c r="F23" s="75">
        <f>IF(Pricing!AD14="Quoted",IF(Pricing!J14 = "Silent",$E$23*$C$9,0),)</f>
        <v>0</v>
      </c>
      <c r="G23" s="75">
        <f>IF(Pricing!AD14="Quoted",IF(Pricing!D14="Tracked",$F$2*H23+$C$11,0),)</f>
        <v>0</v>
      </c>
      <c r="H23" s="79">
        <f>IF(Pricing!D14="Tracked",CONVERT(Pricing!L14,"mm","m"),)</f>
        <v>0</v>
      </c>
      <c r="I23" s="75">
        <f>IF(Pricing!D14="S/Shade",$F$3*E23,0)</f>
        <v>0</v>
      </c>
      <c r="K23" s="4">
        <f t="shared" si="6"/>
        <v>0</v>
      </c>
      <c r="AD23" s="607" t="s">
        <v>599</v>
      </c>
      <c r="AE23" s="607"/>
      <c r="AF23" s="839" t="str">
        <f>TRIM('Survey Front'!S69 &amp; " " &amp; 'Survey Front'!T69 &amp; " " &amp; 'Survey Front'!U69 &amp; " " &amp; 'Survey Front'!V69 &amp; " " &amp; 'Survey Front'!W69 &amp; " " &amp; 'Survey Front'!AB69 &amp; " " &amp; 'Survey Front'!AC69)</f>
        <v/>
      </c>
      <c r="AG23" s="839"/>
      <c r="AH23" s="839"/>
      <c r="AN23" s="934" t="s">
        <v>585</v>
      </c>
      <c r="AO23" s="935"/>
      <c r="AP23" s="934" t="s">
        <v>600</v>
      </c>
      <c r="AQ23" s="936"/>
      <c r="AR23" s="936"/>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5">
      <c r="B24" t="s">
        <v>181</v>
      </c>
      <c r="C24" s="77">
        <f>COUNTIFS(Pricing!Q17:AA17,"(CB)")</f>
        <v>0</v>
      </c>
      <c r="D24" s="4">
        <f t="shared" si="5"/>
        <v>0</v>
      </c>
      <c r="E24" s="78">
        <f>IF(Pricing!AD7="Quoted",,IF(Pricing!E17="",,Pricing!L17*Pricing!M17/1000000))</f>
        <v>1.7576000000000001</v>
      </c>
      <c r="F24" s="75">
        <f>IF(Pricing!AD17="Quoted",IF(Pricing!J17 = "Silent",$E$24*$C$9,0),)</f>
        <v>0</v>
      </c>
      <c r="G24" s="75">
        <f>IF(Pricing!AD17="Quoted",IF(Pricing!D17="Tracked",$F$2*H24+$C$11,0),)</f>
        <v>0</v>
      </c>
      <c r="H24" s="79">
        <f>IF(Pricing!D17="Tracked",CONVERT(Pricing!L17,"mm","m"),)</f>
        <v>0</v>
      </c>
      <c r="I24" s="75">
        <f>IF(Pricing!D17="S/Shade",$F$3*E24,0)</f>
        <v>0</v>
      </c>
      <c r="K24" s="4">
        <f t="shared" si="6"/>
        <v>0</v>
      </c>
      <c r="AD24" s="607" t="s">
        <v>601</v>
      </c>
      <c r="AE24" s="607"/>
      <c r="AF24" s="839" t="str">
        <f>TRIM('Survey Front'!S72 &amp; " " &amp; 'Survey Front'!T72 &amp; " " &amp; 'Survey Front'!U72 &amp; " " &amp; 'Survey Front'!V72 &amp; " " &amp; 'Survey Front'!W72 &amp; " " &amp; 'Survey Front'!AB72 &amp; " " &amp; 'Survey Front'!AC72)</f>
        <v/>
      </c>
      <c r="AG24" s="839"/>
      <c r="AH24" s="839"/>
      <c r="AN24" s="936" t="s">
        <v>602</v>
      </c>
      <c r="AO24" s="936"/>
      <c r="AP24" s="937"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937"/>
      <c r="AR24" s="937"/>
    </row>
    <row r="25" spans="1:56" x14ac:dyDescent="0.25">
      <c r="B25" t="s">
        <v>182</v>
      </c>
      <c r="C25" s="77">
        <f>COUNTIFS(Pricing!Q20:AA20,"(CB)")</f>
        <v>0</v>
      </c>
      <c r="D25" s="4">
        <f t="shared" si="5"/>
        <v>0</v>
      </c>
      <c r="E25" s="78">
        <f>IF(Pricing!AD20="Quoted",,IF(Pricing!E20="",,Pricing!L20*Pricing!M20/1000000))</f>
        <v>1.1439999999999999</v>
      </c>
      <c r="F25" s="75">
        <f>IF(Pricing!AD20="Quoted",IF(Pricing!J20 = "Silent",$E$25*$C$9,0),)</f>
        <v>0</v>
      </c>
      <c r="G25" s="75">
        <f>IF(Pricing!AD20="Quoted",IF(Pricing!D20="Tracked",$F$2*H25+$C$11,0),)</f>
        <v>0</v>
      </c>
      <c r="H25" s="79">
        <f>IF(Pricing!D20="Tracked",CONVERT(Pricing!L20,"mm","m"),)</f>
        <v>0</v>
      </c>
      <c r="I25" s="75">
        <f>IF(Pricing!D20="S/Shade",$F$3*E25,0)</f>
        <v>0</v>
      </c>
      <c r="K25" s="4">
        <f t="shared" si="6"/>
        <v>0</v>
      </c>
      <c r="AD25" s="607" t="s">
        <v>603</v>
      </c>
      <c r="AE25" s="607"/>
      <c r="AF25" s="839" t="str">
        <f>TRIM('Survey Front'!S75 &amp; " " &amp; 'Survey Front'!T75 &amp; " " &amp; 'Survey Front'!U75 &amp; " " &amp; 'Survey Front'!V75 &amp; " " &amp; 'Survey Front'!W75 &amp; " " &amp; 'Survey Front'!AB75 &amp; " " &amp; 'Survey Front'!AC75)</f>
        <v/>
      </c>
      <c r="AG25" s="839"/>
      <c r="AH25" s="839"/>
      <c r="AN25" s="930" t="s">
        <v>588</v>
      </c>
      <c r="AO25" s="931"/>
      <c r="AP25" s="930" t="b">
        <v>0</v>
      </c>
      <c r="AQ25" s="932"/>
      <c r="AR25" s="932"/>
    </row>
    <row r="26" spans="1:56" x14ac:dyDescent="0.25">
      <c r="B26" t="s">
        <v>183</v>
      </c>
      <c r="C26" s="77">
        <f>COUNTIFS(Pricing!Q23:AA23,"(CB)")</f>
        <v>0</v>
      </c>
      <c r="D26" s="4">
        <f t="shared" si="5"/>
        <v>0</v>
      </c>
      <c r="E26" s="78">
        <f>IF(Pricing!AD23="Quoted",,IF(Pricing!E23="",,Pricing!L23*Pricing!M23/1000000))</f>
        <v>1.1439999999999999</v>
      </c>
      <c r="F26" s="75">
        <f>IF(Pricing!AD23="Quoted",IF(Pricing!J23 = "Silent",$E$26*$C$9,0),)</f>
        <v>0</v>
      </c>
      <c r="G26" s="75">
        <f>IF(Pricing!AD23="Quoted",IF(Pricing!D23="Tracked",$F$2*H26+$C$11,0),)</f>
        <v>0</v>
      </c>
      <c r="H26" s="79">
        <f>IF(Pricing!D23="Tracked",CONVERT(Pricing!L23,"mm","m"),)</f>
        <v>0</v>
      </c>
      <c r="I26" s="75">
        <f>IF(Pricing!D23="S/Shade",$F$3*E26,0)</f>
        <v>0</v>
      </c>
      <c r="K26" s="4">
        <f t="shared" si="6"/>
        <v>0</v>
      </c>
      <c r="AN26" s="932" t="s">
        <v>604</v>
      </c>
      <c r="AO26" s="932"/>
      <c r="AP26" s="933"/>
      <c r="AQ26" s="933"/>
      <c r="AR26" s="933"/>
    </row>
    <row r="27" spans="1:56" x14ac:dyDescent="0.25">
      <c r="B27" t="s">
        <v>184</v>
      </c>
      <c r="C27" s="77">
        <f>COUNTIFS(Pricing!Q26:AA26,"(CB)")</f>
        <v>0</v>
      </c>
      <c r="D27" s="4">
        <f t="shared" si="5"/>
        <v>0</v>
      </c>
      <c r="E27" s="78">
        <f>IF(Pricing!AD26="Quoted",,IF(Pricing!E26="",,Pricing!L26*Pricing!M26/1000000))</f>
        <v>1.5449999999999999</v>
      </c>
      <c r="F27" s="75">
        <f>IF(Pricing!AD26="Quoted",IF(Pricing!J26 = "Silent",$E$27*$C$9,0),)</f>
        <v>0</v>
      </c>
      <c r="G27" s="75">
        <f>IF(Pricing!AD26="Quoted",IF(Pricing!D26="Tracked",$F$2*H27+$C$11,0),)</f>
        <v>0</v>
      </c>
      <c r="H27" s="79">
        <f>IF(Pricing!D26="Tracked",CONVERT(Pricing!L26,"mm","m"),)</f>
        <v>0</v>
      </c>
      <c r="I27" s="75">
        <f>IF(Pricing!D26="S/Shade",$F$3*E27,0)</f>
        <v>0</v>
      </c>
      <c r="K27" s="4">
        <f t="shared" si="6"/>
        <v>0</v>
      </c>
      <c r="AN27" s="941" t="s">
        <v>590</v>
      </c>
      <c r="AO27" s="942"/>
      <c r="AP27" s="941" t="b">
        <v>0</v>
      </c>
      <c r="AQ27" s="943"/>
      <c r="AR27" s="943"/>
    </row>
    <row r="28" spans="1:56" x14ac:dyDescent="0.25">
      <c r="B28" t="s">
        <v>185</v>
      </c>
      <c r="C28" s="77">
        <f>COUNTIFS(Pricing!Q29:AA29,"(CB)")</f>
        <v>0</v>
      </c>
      <c r="D28" s="4">
        <f t="shared" si="5"/>
        <v>0</v>
      </c>
      <c r="E28" s="78">
        <f>IF(Pricing!AD29="Quoted",,IF(Pricing!E29="",,Pricing!L29*Pricing!M29/1000000))</f>
        <v>0</v>
      </c>
      <c r="F28" s="75">
        <f>IF(Pricing!AD29="Quoted",IF(Pricing!J29 = "Silent",$E28*$C$9,0),)</f>
        <v>0</v>
      </c>
      <c r="G28" s="75">
        <f>IF(Pricing!AD29="Quoted",IF(Pricing!D29="Tracked",$F$2*H28+$C$11,0),)</f>
        <v>0</v>
      </c>
      <c r="H28" s="79">
        <f>IF(Pricing!D29="Tracked",CONVERT(Pricing!L29,"mm","m"),)</f>
        <v>0</v>
      </c>
      <c r="I28" s="75">
        <f>IF(Pricing!D29="S/Shade",$F$3*E28,0)</f>
        <v>0</v>
      </c>
      <c r="K28" s="4">
        <f t="shared" si="6"/>
        <v>0</v>
      </c>
      <c r="AN28" s="943" t="s">
        <v>605</v>
      </c>
      <c r="AO28" s="943"/>
      <c r="AP28" s="109"/>
      <c r="AQ28" s="109"/>
      <c r="AR28" s="109"/>
    </row>
    <row r="29" spans="1:56" x14ac:dyDescent="0.25">
      <c r="B29" t="s">
        <v>186</v>
      </c>
      <c r="C29" s="77">
        <f>COUNTIFS(Pricing!Q30:AA30,"(CB)")</f>
        <v>0</v>
      </c>
      <c r="D29" s="4">
        <f t="shared" si="5"/>
        <v>0</v>
      </c>
      <c r="E29" s="78">
        <f>IF(Pricing!AD32="Quoted",,IF(Pricing!E32="",,Pricing!L32*Pricing!M32/1000000))</f>
        <v>0</v>
      </c>
      <c r="F29" s="75">
        <f>IF(Pricing!AD32="Quoted",IF(Pricing!J32 = "Silent",$E29*$C$9,0),)</f>
        <v>0</v>
      </c>
      <c r="G29" s="75">
        <f>IF(Pricing!AD32="Quoted",IF(Pricing!D32="Tracked",$F$2*H29+$C$11,0),)</f>
        <v>0</v>
      </c>
      <c r="H29" s="79">
        <f>IF(Pricing!D32="Tracked",CONVERT(Pricing!L32,"mm","m"),)</f>
        <v>0</v>
      </c>
      <c r="I29" s="75">
        <f>IF(Pricing!D32="S/Shade",$F$3*E29,0)</f>
        <v>0</v>
      </c>
      <c r="K29" s="4">
        <f t="shared" si="6"/>
        <v>0</v>
      </c>
      <c r="AN29" s="944" t="s">
        <v>593</v>
      </c>
      <c r="AO29" s="945"/>
      <c r="AP29" s="944" t="b">
        <v>0</v>
      </c>
      <c r="AQ29" s="946"/>
      <c r="AR29" s="946"/>
    </row>
    <row r="30" spans="1:56" x14ac:dyDescent="0.25">
      <c r="B30" t="s">
        <v>187</v>
      </c>
      <c r="C30" s="77">
        <f>COUNTIFS(Pricing!Q35:AA35,"(CB)")</f>
        <v>0</v>
      </c>
      <c r="D30" s="4">
        <f t="shared" si="5"/>
        <v>0</v>
      </c>
      <c r="E30" s="78">
        <f>IF(Pricing!AD35="Quoted",,IF(Pricing!E35="",,Pricing!L35*Pricing!M35/1000000))</f>
        <v>0</v>
      </c>
      <c r="F30" s="75">
        <f>IF(Pricing!AD35="Quoted",IF(Pricing!J35 = "Silent",$E30*$C$9,0),)</f>
        <v>0</v>
      </c>
      <c r="G30" s="75">
        <f>IF(Pricing!AD35="Quoted",IF(Pricing!D35="Tracked",$F$2*H30+$C$11,0),)</f>
        <v>0</v>
      </c>
      <c r="H30" s="79">
        <f>IF(Pricing!D35="Tracked",CONVERT(Pricing!L35,"mm","m"),)</f>
        <v>0</v>
      </c>
      <c r="I30" s="75">
        <f>IF(Pricing!D35="S/Shade",$F$3*E30,0)</f>
        <v>0</v>
      </c>
      <c r="K30" s="4">
        <f t="shared" si="6"/>
        <v>0</v>
      </c>
      <c r="AD30" s="838" t="s">
        <v>274</v>
      </c>
      <c r="AE30" s="838"/>
      <c r="AF30" s="839" t="str">
        <f xml:space="preserve"> TRIM(Pricing!Q8 &amp; " " &amp; Pricing!R8 &amp; " " &amp; Pricing!S8 &amp; " " &amp; Pricing!T8 &amp; " " &amp; Pricing!U8 &amp; " " &amp; Pricing!V8 &amp; " " &amp; Pricing!W8 &amp; " " &amp; Pricing!X8 &amp; " " &amp; Pricing!Y8 &amp; " " &amp; Pricing!Z8 &amp; " " &amp; Pricing!AA8)</f>
        <v>L</v>
      </c>
      <c r="AG30" s="839"/>
      <c r="AH30" s="839"/>
      <c r="AN30" s="946" t="s">
        <v>606</v>
      </c>
      <c r="AO30" s="946"/>
      <c r="AP30" s="110"/>
      <c r="AQ30" s="110"/>
      <c r="AR30" s="110"/>
    </row>
    <row r="31" spans="1:56" x14ac:dyDescent="0.25">
      <c r="B31" t="s">
        <v>188</v>
      </c>
      <c r="C31" s="77">
        <f>COUNTIFS(Pricing!Q38:AA38,"(CB)")</f>
        <v>0</v>
      </c>
      <c r="D31" s="4">
        <f t="shared" si="5"/>
        <v>0</v>
      </c>
      <c r="E31" s="78">
        <f>IF(Pricing!AD38="Quoted",,IF(Pricing!E38="",,Pricing!L38*Pricing!M38/1000000))</f>
        <v>0</v>
      </c>
      <c r="F31" s="75">
        <f>IF(Pricing!AD38="Quoted",IF(Pricing!J38 = "Silent",$E31*$C$9,0),)</f>
        <v>0</v>
      </c>
      <c r="G31" s="75">
        <f>IF(Pricing!AD38="Quoted",IF(Pricing!D38="Tracked",$F$2*H31+$C$11,0),)</f>
        <v>0</v>
      </c>
      <c r="H31" s="79">
        <f>IF(Pricing!D38="Tracked",CONVERT(Pricing!L38,"mm","m"),)</f>
        <v>0</v>
      </c>
      <c r="I31" s="75">
        <f>IF(Pricing!D38="S/Shade",$F$3*E31,0)</f>
        <v>0</v>
      </c>
      <c r="K31" s="4">
        <f t="shared" si="6"/>
        <v>0</v>
      </c>
      <c r="AD31" s="838" t="s">
        <v>276</v>
      </c>
      <c r="AE31" s="838"/>
      <c r="AF31" s="839" t="str">
        <f xml:space="preserve"> TRIM(Pricing!Q11 &amp; " " &amp; Pricing!R11 &amp; " " &amp; Pricing!S11 &amp; " " &amp; Pricing!T11 &amp; " " &amp; Pricing!U11 &amp; " " &amp; Pricing!V11 &amp; " " &amp; Pricing!W11 &amp; " " &amp; Pricing!X11 &amp; " " &amp; Pricing!Y11 &amp; " " &amp; Pricing!Z11 &amp; " " &amp; Pricing!AA11)</f>
        <v>LL RR</v>
      </c>
      <c r="AG31" s="839"/>
      <c r="AH31" s="839"/>
      <c r="AN31" s="938" t="s">
        <v>595</v>
      </c>
      <c r="AO31" s="939"/>
      <c r="AP31" s="938" t="b">
        <v>0</v>
      </c>
      <c r="AQ31" s="940"/>
      <c r="AR31" s="940"/>
    </row>
    <row r="32" spans="1:56" x14ac:dyDescent="0.25">
      <c r="B32" t="s">
        <v>189</v>
      </c>
      <c r="C32" s="77">
        <f>COUNTIFS(Pricing!Q41:AA41,"(CB)")</f>
        <v>0</v>
      </c>
      <c r="D32" s="4">
        <f t="shared" si="5"/>
        <v>0</v>
      </c>
      <c r="E32" s="78">
        <f>IF(Pricing!AD41="Quoted",,IF(Pricing!E41="",,Pricing!L41*Pricing!M41/1000000))</f>
        <v>0</v>
      </c>
      <c r="F32" s="75">
        <f>IF(Pricing!AD41="Quoted",IF(Pricing!J41 = "Silent",$E32*$C$9,0),)</f>
        <v>0</v>
      </c>
      <c r="G32" s="75">
        <f>IF(Pricing!AD41="Quoted",IF(Pricing!D41="Tracked",$F$2*H32+$C$11,0),)</f>
        <v>0</v>
      </c>
      <c r="H32" s="79">
        <f>IF(Pricing!D41="Tracked",CONVERT(Pricing!L41,"mm","m"),)</f>
        <v>0</v>
      </c>
      <c r="I32" s="75">
        <f>IF(Pricing!D41="S/Shade",$F$3*E32,0)</f>
        <v>0</v>
      </c>
      <c r="K32" s="4">
        <f t="shared" si="6"/>
        <v>0</v>
      </c>
      <c r="AD32" s="838" t="s">
        <v>278</v>
      </c>
      <c r="AE32" s="838"/>
      <c r="AF32" s="839" t="str">
        <f xml:space="preserve"> TRIM(Pricing!Q14 &amp; " " &amp; Pricing!R14 &amp; " " &amp; Pricing!S8 &amp; " " &amp; Pricing!T8 &amp; " " &amp; Pricing!U8 &amp; " " &amp; Pricing!V8 &amp; " " &amp; Pricing!W8 &amp; " " &amp; Pricing!X8 &amp; " " &amp; Pricing!Y8 &amp; " " &amp; Pricing!Z8 &amp; " " &amp; Pricing!AA8)</f>
        <v>R</v>
      </c>
      <c r="AG32" s="839"/>
      <c r="AH32" s="839"/>
      <c r="AN32" s="940" t="s">
        <v>607</v>
      </c>
      <c r="AO32" s="940"/>
      <c r="AP32" s="111"/>
      <c r="AQ32" s="111"/>
      <c r="AR32" s="111"/>
    </row>
    <row r="33" spans="2:44" x14ac:dyDescent="0.25">
      <c r="B33" t="s">
        <v>190</v>
      </c>
      <c r="C33" s="77">
        <f>COUNTIFS(Pricing!Q44:AA44,"(CB)")</f>
        <v>0</v>
      </c>
      <c r="D33" s="4">
        <f t="shared" si="5"/>
        <v>0</v>
      </c>
      <c r="E33" s="78">
        <f>IF(Pricing!AD44="Quoted",,IF(Pricing!E44="",,Pricing!L44*Pricing!M44/1000000))</f>
        <v>0</v>
      </c>
      <c r="F33" s="75">
        <f>IF(Pricing!AD44="Quoted",IF(Pricing!J44 = "Silent",$E33*$C$9,0),)</f>
        <v>0</v>
      </c>
      <c r="G33" s="75">
        <f>IF(Pricing!AD44="Quoted",IF(Pricing!D44="Tracked",$F$2*H33+$C$11,0),)</f>
        <v>0</v>
      </c>
      <c r="H33" s="79">
        <f>IF(Pricing!D44="Tracked",CONVERT(Pricing!L44,"mm","m"),)</f>
        <v>0</v>
      </c>
      <c r="I33" s="75">
        <f>IF(Pricing!D44="S/Shade",$F$3*E33,0)</f>
        <v>0</v>
      </c>
      <c r="K33" s="4">
        <f t="shared" si="6"/>
        <v>0</v>
      </c>
      <c r="AD33" s="838" t="s">
        <v>280</v>
      </c>
      <c r="AE33" s="838"/>
      <c r="AF33" s="839" t="str">
        <f xml:space="preserve"> TRIM(Pricing!Q17 &amp; " " &amp; Pricing!R17 &amp; " " &amp; Pricing!S17 &amp; " " &amp; Pricing!T17 &amp; " " &amp; Pricing!U17 &amp; " " &amp; Pricing!V17 &amp; " " &amp; Pricing!W17 &amp; " " &amp; Pricing!X17 &amp; " " &amp; Pricing!Y17 &amp; " " &amp; Pricing!Z17 &amp; " " &amp; Pricing!AA17)</f>
        <v>LL RR</v>
      </c>
      <c r="AG33" s="839"/>
      <c r="AH33" s="839"/>
      <c r="AN33" s="950" t="s">
        <v>597</v>
      </c>
      <c r="AO33" s="951"/>
      <c r="AP33" s="950" t="b">
        <v>0</v>
      </c>
      <c r="AQ33" s="952"/>
      <c r="AR33" s="952"/>
    </row>
    <row r="34" spans="2:44" x14ac:dyDescent="0.25">
      <c r="B34" t="s">
        <v>191</v>
      </c>
      <c r="C34" s="77">
        <f>COUNTIFS(Pricing!Q47:AA47,"(CB)")</f>
        <v>0</v>
      </c>
      <c r="D34" s="4">
        <f t="shared" si="5"/>
        <v>0</v>
      </c>
      <c r="E34" s="78">
        <f>IF(Pricing!AD47="Quoted",,IF(Pricing!E47="",,Pricing!L47*Pricing!M47/1000000))</f>
        <v>0</v>
      </c>
      <c r="F34" s="75">
        <f>IF(Pricing!AD47="Quoted",IF(Pricing!J47 = "Silent",$E34*$C$9,0),)</f>
        <v>0</v>
      </c>
      <c r="G34" s="75">
        <f>IF(Pricing!AD47="Quoted",IF(Pricing!D47="Tracked",$F$2*H34+$C$11,0),)</f>
        <v>0</v>
      </c>
      <c r="H34" s="79">
        <f>IF(Pricing!D47="Tracked",CONVERT(Pricing!L47,"mm","m"),)</f>
        <v>0</v>
      </c>
      <c r="I34" s="75">
        <f>IF(Pricing!D47="S/Shade",$F$3*E34,0)</f>
        <v>0</v>
      </c>
      <c r="K34" s="4">
        <f t="shared" si="6"/>
        <v>0</v>
      </c>
      <c r="AD34" s="838" t="s">
        <v>282</v>
      </c>
      <c r="AE34" s="838"/>
      <c r="AF34" s="839" t="str">
        <f xml:space="preserve"> TRIM(Pricing!Q20 &amp; " " &amp; Pricing!R20 &amp; " " &amp; Pricing!S20 &amp; " " &amp; Pricing!T20 &amp; " " &amp; Pricing!U20 &amp; " " &amp; Pricing!V20 &amp; " " &amp; Pricing!W20 &amp; " " &amp; Pricing!X20 &amp; " " &amp; Pricing!Y20 &amp; " " &amp; Pricing!Z20 &amp; " " &amp; Pricing!AA20)</f>
        <v>LL RR</v>
      </c>
      <c r="AG34" s="839"/>
      <c r="AH34" s="839"/>
      <c r="AN34" s="952" t="s">
        <v>608</v>
      </c>
      <c r="AO34" s="952"/>
      <c r="AP34" s="112"/>
      <c r="AQ34" s="112"/>
      <c r="AR34" s="112"/>
    </row>
    <row r="35" spans="2:44" x14ac:dyDescent="0.25">
      <c r="B35" t="s">
        <v>192</v>
      </c>
      <c r="C35" s="77">
        <f>COUNTIFS(Pricing!Q50:AA50,"(CB)")</f>
        <v>0</v>
      </c>
      <c r="D35" s="4">
        <f t="shared" si="5"/>
        <v>0</v>
      </c>
      <c r="E35" s="78">
        <f>IF(Pricing!AD50="Quoted",,IF(Pricing!E50="",,Pricing!L50*Pricing!M50/1000000))</f>
        <v>0</v>
      </c>
      <c r="F35" s="75">
        <f>IF(Pricing!AD50="Quoted",IF(Pricing!J50 = "Silent",$E35*$C$9,0),)</f>
        <v>0</v>
      </c>
      <c r="G35" s="75">
        <f>IF(Pricing!AD50="Quoted",IF(Pricing!D50="Tracked",$F$2*H35+$C$11,0),)</f>
        <v>0</v>
      </c>
      <c r="H35" s="79">
        <f>IF(Pricing!D50="Tracked",CONVERT(Pricing!L50,"mm","m"),)</f>
        <v>0</v>
      </c>
      <c r="I35" s="75">
        <f>IF(Pricing!D50="S/Shade",$F$3*E35,0)</f>
        <v>0</v>
      </c>
      <c r="K35" s="4">
        <f t="shared" si="6"/>
        <v>0</v>
      </c>
      <c r="AD35" s="838" t="s">
        <v>284</v>
      </c>
      <c r="AE35" s="838"/>
      <c r="AF35" s="839" t="str">
        <f xml:space="preserve"> TRIM(Pricing!Q23 &amp; " " &amp; Pricing!R23 &amp; " " &amp; Pricing!S23 &amp; " " &amp; Pricing!T23 &amp; " " &amp; Pricing!U23 &amp; " " &amp; Pricing!V23 &amp; " " &amp; Pricing!W23 &amp; " " &amp; Pricing!X23 &amp; " " &amp; Pricing!Y23 &amp; " " &amp; Pricing!Z23 &amp; " " &amp; Pricing!AA23)</f>
        <v>LL RR</v>
      </c>
      <c r="AG35" s="839"/>
      <c r="AH35" s="839"/>
      <c r="AN35" s="947" t="s">
        <v>599</v>
      </c>
      <c r="AO35" s="948"/>
      <c r="AP35" s="947" t="b">
        <v>0</v>
      </c>
      <c r="AQ35" s="949"/>
      <c r="AR35" s="949"/>
    </row>
    <row r="36" spans="2:44" x14ac:dyDescent="0.25">
      <c r="AD36" s="838" t="s">
        <v>287</v>
      </c>
      <c r="AE36" s="838"/>
      <c r="AF36" s="839" t="str">
        <f xml:space="preserve"> TRIM(Pricing!Q26 &amp; " " &amp; Pricing!R26 &amp; " " &amp; Pricing!S26 &amp; " " &amp; Pricing!T26 &amp; " " &amp; Pricing!U26 &amp; " " &amp; Pricing!V26 &amp; " " &amp; Pricing!W26 &amp; " " &amp; Pricing!X26 &amp; " " &amp; Pricing!Y26 &amp; " " &amp; Pricing!Z26 &amp; " " &amp; Pricing!AA26)</f>
        <v>LL RR</v>
      </c>
      <c r="AG36" s="839"/>
      <c r="AH36" s="839"/>
      <c r="AN36" s="949" t="s">
        <v>609</v>
      </c>
      <c r="AO36" s="949"/>
      <c r="AP36" s="113"/>
      <c r="AQ36" s="113"/>
      <c r="AR36" s="113"/>
    </row>
    <row r="37" spans="2:44" x14ac:dyDescent="0.25">
      <c r="C37" s="956" t="str">
        <f>"Survey Price with " &amp; C10 &amp; " % Discount"</f>
        <v>Survey Price with 0.25 % Discount</v>
      </c>
      <c r="D37" s="834"/>
      <c r="E37" s="834"/>
      <c r="F37" s="834"/>
      <c r="G37" s="834"/>
      <c r="H37" s="834"/>
      <c r="I37" s="834"/>
      <c r="J37" s="834"/>
      <c r="K37" s="834"/>
      <c r="L37" s="834"/>
      <c r="M37" s="834"/>
      <c r="N37" s="834"/>
      <c r="O37" s="834"/>
      <c r="P37" s="834"/>
      <c r="Q37" s="834"/>
      <c r="R37" s="834"/>
      <c r="S37" s="834"/>
      <c r="T37" s="834"/>
      <c r="U37" s="834"/>
      <c r="V37" s="834"/>
      <c r="W37" s="834"/>
      <c r="X37" s="834"/>
      <c r="Y37" s="834"/>
      <c r="Z37" s="834"/>
      <c r="AD37" s="838" t="s">
        <v>289</v>
      </c>
      <c r="AE37" s="838"/>
      <c r="AF37" s="839" t="str">
        <f xml:space="preserve"> TRIM(Pricing!Q29 &amp; " " &amp; Pricing!R29 &amp; " " &amp; Pricing!S29 &amp; " " &amp; Pricing!T29 &amp; " " &amp; Pricing!U29 &amp; " " &amp; Pricing!V29 &amp; " " &amp; Pricing!W29 &amp; " " &amp; Pricing!X29 &amp; " " &amp; Pricing!Y29 &amp; " " &amp; Pricing!Z29 &amp; " " &amp; Pricing!AA29)</f>
        <v/>
      </c>
      <c r="AG37" s="839"/>
      <c r="AH37" s="839"/>
      <c r="AN37" s="957" t="s">
        <v>601</v>
      </c>
      <c r="AO37" s="958"/>
      <c r="AP37" s="957" t="b">
        <v>0</v>
      </c>
      <c r="AQ37" s="959"/>
      <c r="AR37" s="959"/>
    </row>
    <row r="38" spans="2:44" x14ac:dyDescent="0.25">
      <c r="C38" s="114" t="s">
        <v>263</v>
      </c>
      <c r="D38" s="115" t="s">
        <v>264</v>
      </c>
      <c r="E38" s="115" t="s">
        <v>13</v>
      </c>
      <c r="F38" s="115" t="s">
        <v>226</v>
      </c>
      <c r="G38" s="115" t="s">
        <v>265</v>
      </c>
      <c r="H38" s="115" t="s">
        <v>266</v>
      </c>
      <c r="I38" s="115" t="s">
        <v>208</v>
      </c>
      <c r="J38" s="116" t="s">
        <v>239</v>
      </c>
      <c r="K38" s="117"/>
      <c r="L38" s="80" t="s">
        <v>178</v>
      </c>
      <c r="M38" s="80" t="s">
        <v>179</v>
      </c>
      <c r="N38" s="80" t="s">
        <v>180</v>
      </c>
      <c r="O38" s="80" t="s">
        <v>181</v>
      </c>
      <c r="P38" s="80" t="s">
        <v>182</v>
      </c>
      <c r="Q38" s="80" t="s">
        <v>183</v>
      </c>
      <c r="R38" s="80" t="s">
        <v>184</v>
      </c>
      <c r="S38" s="80" t="s">
        <v>185</v>
      </c>
      <c r="T38" s="80" t="s">
        <v>186</v>
      </c>
      <c r="U38" s="80" t="s">
        <v>187</v>
      </c>
      <c r="V38" s="80" t="s">
        <v>188</v>
      </c>
      <c r="W38" s="80" t="s">
        <v>189</v>
      </c>
      <c r="X38" s="80" t="s">
        <v>190</v>
      </c>
      <c r="Y38" s="80" t="s">
        <v>191</v>
      </c>
      <c r="Z38" s="80" t="s">
        <v>192</v>
      </c>
      <c r="AD38" s="838" t="s">
        <v>291</v>
      </c>
      <c r="AE38" s="838"/>
      <c r="AF38" s="839" t="str">
        <f xml:space="preserve"> TRIM(Pricing!Q31 &amp; " " &amp; Pricing!R31 &amp; " " &amp; Pricing!S31 &amp; " " &amp; Pricing!T31 &amp; " " &amp; Pricing!U31 &amp; " " &amp; Pricing!V31 &amp; " " &amp; Pricing!W31 &amp; " " &amp; Pricing!X31 &amp; " " &amp; Pricing!Y31 &amp; " " &amp; Pricing!Z31 &amp; " " &amp; Pricing!AA31)</f>
        <v/>
      </c>
      <c r="AG38" s="839"/>
      <c r="AH38" s="839"/>
      <c r="AN38" s="959" t="s">
        <v>610</v>
      </c>
      <c r="AO38" s="959"/>
      <c r="AP38" s="118"/>
      <c r="AQ38" s="118"/>
      <c r="AR38" s="118"/>
    </row>
    <row r="39" spans="2:44" x14ac:dyDescent="0.25">
      <c r="B39" t="s">
        <v>178</v>
      </c>
      <c r="C39" s="77">
        <f t="shared" ref="C39:C47" si="7">IF(ISERROR(FIND("(CB)",AF11,1)),0)</f>
        <v>0</v>
      </c>
      <c r="D39" s="4">
        <f>IF(C39=FALSE,20,0)</f>
        <v>0</v>
      </c>
      <c r="E39" s="78">
        <f>IF(ISERROR('Survey Front'!M12*'Survey Front'!N12/1000000),,'Survey Front'!M12*'Survey Front'!N12/1000000)</f>
        <v>0</v>
      </c>
      <c r="F39" s="75">
        <f>IF('Survey Front'!L12 = "Silent",$E$39*$C$9,0)</f>
        <v>0</v>
      </c>
      <c r="G39" s="75">
        <f>IF('Survey Front'!D12="Tracked",$F$2*H39+$C$11,0)</f>
        <v>0</v>
      </c>
      <c r="H39" s="119">
        <f>IF(ISERROR(CONVERT('Survey Front'!M12,"mm","m")),,CONVERT('Survey Front'!M12,"mm","m"))</f>
        <v>0</v>
      </c>
      <c r="I39" s="75">
        <f>IF('Survey Front'!D12="S/Shade",$F$3*E39,0)</f>
        <v>0</v>
      </c>
      <c r="J39" s="68"/>
      <c r="K39" s="34" t="s">
        <v>43</v>
      </c>
      <c r="L39" s="72">
        <f>IF(E39=0,,($C$2*$E$39)-(($C$2*$E$39)*$C$10)+($F$39*E39)+($D$39*$E$39)+$G$39+I39)</f>
        <v>0</v>
      </c>
      <c r="M39" s="72">
        <f>IF(E40=0,,($C$2*$E$40)-(($C$2*$E$40)*$C$10)+($D$40*$E$40)+I40)</f>
        <v>0</v>
      </c>
      <c r="N39" s="72">
        <f>IF(E41=0,,($C$2*$E$41)-(($C$2*$E$41)*$C$10))+($D$41*$E$41)+I41</f>
        <v>0</v>
      </c>
      <c r="O39" s="72">
        <f>IF(E42=0,,($C$2*$E$42)-(($C$2*$E$42)*$C$10)+($D$42*$E$42)+I42)</f>
        <v>0</v>
      </c>
      <c r="P39" s="72">
        <f>IF(E43=0,,($C$2*$E$43)-(($C$2*$E$43)*$C$10)+($D$43*$E$43)+I43)</f>
        <v>0</v>
      </c>
      <c r="Q39" s="72">
        <f>IF(E44=0,,($C$2*$E$44)-(($C$2*$E$44)*$C$10)+($D$44*$E$44))</f>
        <v>0</v>
      </c>
      <c r="R39" s="72">
        <f>IF(E45=0,,($C$2*$E$45)-(($C$2*$E$45)*$C$10)+($D$45*$E$45)+I45)</f>
        <v>0</v>
      </c>
      <c r="S39" s="72">
        <f>IF(E46=0,,($C$2*$E$46)-(($C$2*$E$46)*$C$10)+($D$46*$E$46)+I46)</f>
        <v>0</v>
      </c>
      <c r="T39" s="72">
        <f>IF(E47=0,,($C$2*$E$47)-(($C$2*$E$47)*$C$10)+($D$47*$E$47)+I47)</f>
        <v>0</v>
      </c>
      <c r="U39" s="72">
        <f>IF(E48=0,,($C$2*$E$48)-(($C$2*$E$48)*$C$10)+($D$48*$E$48)+I48)</f>
        <v>0</v>
      </c>
      <c r="V39" s="72">
        <f>IF(E49=0,,($C$2*$E$49)-(($C$2*$E$49)*$C$10)+($D$49*$E$49)+I49)</f>
        <v>0</v>
      </c>
      <c r="W39" s="72">
        <f>IF(E50=0,,($C$2*$E$50)-(($C$2*$E$50)*$C$10)+($D$50*$E$50)+I50)</f>
        <v>0</v>
      </c>
      <c r="X39" s="72">
        <f>IF(E51=0,,($C$2*$E$51)-(($C$2*$E$51)*$C$10)+($D$51*$E$51)+I51)</f>
        <v>0</v>
      </c>
      <c r="Y39" s="72">
        <f>IF(E52=0,,($C$2*$E$52)-(($C$2*$E$52)*$C$10)+($D$52*$E$52)+I52)</f>
        <v>0</v>
      </c>
      <c r="Z39" s="72">
        <f>IF(E53=0,,($C$2*$E$53)-(($C$2*$E$53)*$C$10)+($D$53*$E$53)+I53)</f>
        <v>0</v>
      </c>
      <c r="AD39" s="838" t="s">
        <v>293</v>
      </c>
      <c r="AE39" s="838"/>
      <c r="AF39" s="839" t="str">
        <f xml:space="preserve"> TRIM(Pricing!Q34 &amp; " " &amp; Pricing!R34 &amp; " " &amp; Pricing!S34 &amp; " " &amp; Pricing!T34 &amp; " " &amp; Pricing!U34 &amp; " " &amp; Pricing!V34 &amp; " " &amp; Pricing!W34 &amp; " " &amp; Pricing!X34 &amp; " " &amp; Pricing!Y34 &amp; " " &amp; Pricing!Z34 &amp; " " &amp; Pricing!AA34)</f>
        <v/>
      </c>
      <c r="AG39" s="839"/>
      <c r="AH39" s="839"/>
      <c r="AN39" s="953" t="s">
        <v>603</v>
      </c>
      <c r="AO39" s="954"/>
      <c r="AP39" s="953" t="b">
        <v>0</v>
      </c>
      <c r="AQ39" s="955"/>
      <c r="AR39" s="955"/>
    </row>
    <row r="40" spans="2:44" x14ac:dyDescent="0.25">
      <c r="B40" t="s">
        <v>179</v>
      </c>
      <c r="C40" s="77">
        <f>IF(ISERROR(FIND("(CB)",AF12,1)),0)</f>
        <v>0</v>
      </c>
      <c r="D40" s="4">
        <f t="shared" ref="D40:D53" si="8">IF(C40=FALSE,20,0)</f>
        <v>0</v>
      </c>
      <c r="E40" s="78">
        <f>IF(ISERROR('Survey Front'!M15*'Survey Front'!N15/1000000),,'Survey Front'!M15*'Survey Front'!N15/1000000)</f>
        <v>0</v>
      </c>
      <c r="F40" s="75">
        <f>IF('Survey Front'!L15 = "Silent",$E40*$C$9,0)</f>
        <v>0</v>
      </c>
      <c r="G40" s="75">
        <f>IF('Survey Front'!D15="Tracked",$F$2*H40+$C$11,0)</f>
        <v>0</v>
      </c>
      <c r="H40" s="119">
        <f>IF(ISERROR(CONVERT('Survey Front'!M15,"mm","m")),,CONVERT('Survey Front'!M15,"mm","m"))</f>
        <v>0</v>
      </c>
      <c r="I40" s="75">
        <f>IF('Survey Front'!D15="S/Shade",$F$3*E40,0)</f>
        <v>0</v>
      </c>
      <c r="K40" s="34" t="s">
        <v>45</v>
      </c>
      <c r="L40" s="72">
        <f>IF(E39=0,,($C$2*$E$39)-(($C$2*$E$39)*$C$10)+($D$39*$E$39)+$J$5+I39)</f>
        <v>0</v>
      </c>
      <c r="M40" s="72">
        <f>IF(E40=0,,($C$2*$E$40)-(($C$2*$E$40)*$C$10)+($D$40*$E$40)+$K$5+I40)</f>
        <v>0</v>
      </c>
      <c r="N40" s="72">
        <f>IF(E41=0,,($C$2*$E$41)-(($C$2*$E$41)*$C$10)+($D$41*$E$41)+$L$5+I41)</f>
        <v>0</v>
      </c>
      <c r="O40" s="72">
        <f>IF(E42=0,,($C$2*$E$42)-(($C$2*$E$42)*$C$10)+($D$42*$E$42)+M5+I42)</f>
        <v>0</v>
      </c>
      <c r="P40" s="72">
        <f>IF(E43=0,,($C$2*$E$43)-(($C$2*$E$43)*$C$10)+($D$43*$E$43)+$N$5+I43)</f>
        <v>0</v>
      </c>
      <c r="Q40" s="72">
        <f>IF(E44=0,,($C$2*$E$44)-(($C$2*$E$44)*$C$10)+($D$44*$E$44)+$O$5+I44)</f>
        <v>0</v>
      </c>
      <c r="R40" s="72">
        <f>IF(E45=0,,($C$2*$E$45)-(($C$2*$E$45)*$C$10)+($D$45*$E$45)+$P$5+I45)</f>
        <v>0</v>
      </c>
      <c r="S40" s="72">
        <f>IF(E46=0,,($C$2*$E$46)-(($C$2*$E$46)*$C$10)+($D$46*$E$46)+$Q$5+I46)</f>
        <v>0</v>
      </c>
      <c r="T40" s="72">
        <f>IF(E47=0,,($C$2*$E$47)-(($C$2*$E$47)*$C$10)+($D$47*$E$47)+$R$5+I47)</f>
        <v>0</v>
      </c>
      <c r="U40" s="72">
        <f>IF(E48=0,,($C$2*$E$48)-(($C$2*$E$48)*$C$10)+($D$48*$E$48)+$S$5+I48)</f>
        <v>0</v>
      </c>
      <c r="V40" s="72">
        <f>IF(E49=0,,($C$2*$E$49)-(($C$2*$E$49)*$C$10)+($D$49*$E$49)+$T$5+I49)</f>
        <v>0</v>
      </c>
      <c r="W40" s="72">
        <f>IF(E50=0,,($C$2*$E$50)-(($C$2*$E$50)*$C$10)+($D$50*$E$50)+$U$5+I50)</f>
        <v>0</v>
      </c>
      <c r="X40" s="72">
        <f>IF(E51=0,,($C$2*$E$51)-(($C$2*$E$51)*$C$10)+($D$51*$E$51)+$V$5+I51)</f>
        <v>0</v>
      </c>
      <c r="Y40" s="72">
        <f>IF(E52=0,,($C$2*$E$52)-(($C$2*$E$52)*$C$10)+($D$52*$E$52)+$W$5+I52)</f>
        <v>0</v>
      </c>
      <c r="Z40" s="72">
        <f>IF(E53=0,,($C$2*$E$53)-(($C$2*$E$53)*$C$10)+($D$53*$E$53)+$X$5+I53)</f>
        <v>0</v>
      </c>
      <c r="AD40" s="838" t="s">
        <v>295</v>
      </c>
      <c r="AE40" s="838"/>
      <c r="AF40" s="839" t="str">
        <f xml:space="preserve"> TRIM(Pricing!Q37 &amp; " " &amp; Pricing!R37 &amp; " " &amp; Pricing!S37 &amp; " " &amp; Pricing!T37 &amp; " " &amp; Pricing!U37 &amp; " " &amp; Pricing!V37 &amp; " " &amp; Pricing!W37 &amp; " " &amp; Pricing!X37 &amp; " " &amp; Pricing!Y37 &amp; " " &amp; Pricing!Z37 &amp; " " &amp; Pricing!AA37)</f>
        <v/>
      </c>
      <c r="AG40" s="839"/>
      <c r="AH40" s="839"/>
      <c r="AN40" s="955" t="s">
        <v>611</v>
      </c>
      <c r="AO40" s="955"/>
      <c r="AP40" s="120"/>
      <c r="AQ40" s="120"/>
      <c r="AR40" s="120"/>
    </row>
    <row r="41" spans="2:44" x14ac:dyDescent="0.25">
      <c r="B41" t="s">
        <v>180</v>
      </c>
      <c r="C41" s="77">
        <f t="shared" si="7"/>
        <v>0</v>
      </c>
      <c r="D41" s="4">
        <f t="shared" si="8"/>
        <v>0</v>
      </c>
      <c r="E41" s="78">
        <f>IF(ISERROR('Survey Front'!M18*'Survey Front'!N18/1000000),,'Survey Front'!M18*'Survey Front'!N18/1000000)</f>
        <v>0</v>
      </c>
      <c r="F41" s="75">
        <f>IF('Survey Front'!L18 = "Silent",E41*$C$9,0)</f>
        <v>0</v>
      </c>
      <c r="G41" s="75">
        <f>IF('Survey Front'!D18="Tracked",$F$2*H41+$C$11,0)</f>
        <v>0</v>
      </c>
      <c r="H41" s="119">
        <f>IF(ISERROR(CONVERT('Survey Front'!M18,"mm","m")),,CONVERT('Survey Front'!M18,"mm","m"))</f>
        <v>0</v>
      </c>
      <c r="I41" s="75">
        <f>IF('Survey Front'!D18="S/Shade",$F$3*E41,0)</f>
        <v>0</v>
      </c>
      <c r="K41" s="34" t="s">
        <v>48</v>
      </c>
      <c r="L41" s="72">
        <f>IF(E39=0,,($C$2*$E$39)-(($C$2*$E$39)*$C$10)+($D$39*$E$39)+$J$6+I39)</f>
        <v>0</v>
      </c>
      <c r="M41" s="72">
        <f>IF(E40=0,,($C$2*$E$40)-(($C$2*$E$40)*$C$10)+($D$40*$E$40)+$K$6+I40)</f>
        <v>0</v>
      </c>
      <c r="N41" s="72">
        <f>IF(E41=0,,($C$2*$E$41)-(($C$2*$E$41)*$C$10)+($D$41*$E$41)+$L$6+I41)</f>
        <v>0</v>
      </c>
      <c r="O41" s="72">
        <f>IF(E42=0,,($C$2*$E$42)-(($C$2*$E$42)*$C$10)+($D$42*$E$42)+M6+I42)</f>
        <v>0</v>
      </c>
      <c r="P41" s="72">
        <f>IF(E43=0,,($C$2*$E$43)-(($C$2*$E$43)*$C$10)+($D$43*$E$43)+$N$6+I43)</f>
        <v>0</v>
      </c>
      <c r="Q41" s="72">
        <f>IF(E44=0,,($C$2*$E$44)-(($C$2*$E$44)*$C$10)+($D$44*$E$44)+$O$6)+I44</f>
        <v>0</v>
      </c>
      <c r="R41" s="72">
        <f>IF(E45=0,,($C$2*$E$45)-(($C$2*$E$45)*$C$10)+($D$45*$E$45)+$Q$6+I45)</f>
        <v>0</v>
      </c>
      <c r="S41" s="72">
        <f>IF(E46=0,,($C$2*$E$46)-(($C$2*$E$46)*$C$10)+($D$46*$E$46)+$Q$6+I46)</f>
        <v>0</v>
      </c>
      <c r="T41" s="72">
        <f>IF(E47=0,,($C$2*$E$47)-(($C$2*$E$47)*$C$10)+($D$47*$E$47)+$R$6+I47)</f>
        <v>0</v>
      </c>
      <c r="U41" s="72">
        <f>IF(E48=0,,($C$2*$E$48)-(($C$2*$E$48)*$C$10)+($D$48*$E$48)+$S$6+I48)</f>
        <v>0</v>
      </c>
      <c r="V41" s="72">
        <f>IF(E49=0,,($C$2*$E$49)-(($C$2*$E$49)*$C$10)+($D$49*$E$49)+$T$6+I49)</f>
        <v>0</v>
      </c>
      <c r="W41" s="72">
        <f>IF(E50=0,,($C$2*$E$50)-(($C$2*$E$50)*$C$10)+($D$50*$E$50)+$U$6+I50)</f>
        <v>0</v>
      </c>
      <c r="X41" s="72">
        <f>IF(E51=0,,($C$2*$E$51)-(($C$2*$E$51)*$C$10)+($D$51*$E$51)+$V$6+I51)</f>
        <v>0</v>
      </c>
      <c r="Y41" s="72">
        <f>IF(E52=0,,($C$2*$E$52)-(($C$2*$E$52)*$C$10)+($D$52*$E$52)+$W$6+I52)</f>
        <v>0</v>
      </c>
      <c r="Z41" s="72">
        <f>IF(E53=0,,($C$2*$E$53)-(($C$2*$E$53)*$C$10)+($D$53*$E$53)+$X$6+I53)</f>
        <v>0</v>
      </c>
      <c r="AD41" s="838" t="s">
        <v>297</v>
      </c>
      <c r="AE41" s="838"/>
      <c r="AF41" s="839" t="str">
        <f xml:space="preserve"> TRIM(Pricing!Q41 &amp; " " &amp; Pricing!R41 &amp; " " &amp; Pricing!S41 &amp; " " &amp; Pricing!T41 &amp; " " &amp; Pricing!U41 &amp; " " &amp; Pricing!V41 &amp; " " &amp; Pricing!W41 &amp; " " &amp; Pricing!X41 &amp; " " &amp; Pricing!Y41 &amp; " " &amp; Pricing!Z41 &amp; " " &amp; Pricing!AA41)</f>
        <v/>
      </c>
      <c r="AG41" s="839"/>
      <c r="AH41" s="839"/>
    </row>
    <row r="42" spans="2:44" x14ac:dyDescent="0.25">
      <c r="B42" t="s">
        <v>181</v>
      </c>
      <c r="C42" s="77">
        <f t="shared" si="7"/>
        <v>0</v>
      </c>
      <c r="D42" s="4">
        <f t="shared" si="8"/>
        <v>0</v>
      </c>
      <c r="E42" s="78">
        <f>IF(ISERROR('Survey Front'!M21*'Survey Front'!N21/1000000),,'Survey Front'!M21*'Survey Front'!N21/1000000)</f>
        <v>0</v>
      </c>
      <c r="F42" s="75">
        <f>IF('Survey Front'!L21 = "Silent",$E42*$C$9,0)</f>
        <v>0</v>
      </c>
      <c r="G42" s="75">
        <f>IF('Survey Front'!D21="Tracked",$F$2*H42+$C$11,0)</f>
        <v>0</v>
      </c>
      <c r="H42" s="119">
        <f>IF(ISERROR(CONVERT('Survey Front'!M21,"mm","m")),,CONVERT('Survey Front'!M21,"mm","m"))</f>
        <v>0</v>
      </c>
      <c r="I42" s="75">
        <f>IF('Survey Front'!D21="S/Shade",$F$3*E42,0)</f>
        <v>0</v>
      </c>
      <c r="K42" s="34" t="s">
        <v>54</v>
      </c>
      <c r="L42" s="72">
        <f>IF(E39=0,,($C$2*$E$39)-(($C$2*$E$39)*$C$10)+($D$39*$E$39)+$J$7+I39)</f>
        <v>0</v>
      </c>
      <c r="M42" s="72">
        <f>IF(E40=0,,($C$2*$E$40)-(($C$2*$E$40)*$C$10)+($D$40*$E$40)+$K$7+I40)</f>
        <v>0</v>
      </c>
      <c r="N42" s="72">
        <f>IF(E41=0,,($C$2*$E$41)-(($C$2*$E$41)*$C$10)+($D$41*$E$41)+$L$7+I41)</f>
        <v>0</v>
      </c>
      <c r="O42" s="72">
        <f>IF(E42=0,,($C$2*$E$42)-(($C$2*$E$42)*$C$10)+($D$42*$E$42)+M7+I42)</f>
        <v>0</v>
      </c>
      <c r="P42" s="72">
        <f>IF(E43=0,,($C$2*$E$43)-(($C$2*$E$43)*$C$10)+($D$43*$E$43)+$N$7+I43)</f>
        <v>0</v>
      </c>
      <c r="Q42" s="72">
        <f>IF(E44=0,,($C$2*$E$44)-(($C$2*$E$44)*$C$10)+($D$44*$E$44)+I44+$O$7)</f>
        <v>0</v>
      </c>
      <c r="R42" s="72">
        <f>IF(E45=0,,($C$2*$E$45)-(($C$2*$E$45)*$C$10)+($D$45*$E$45)+$P$7+I45)</f>
        <v>0</v>
      </c>
      <c r="S42" s="72">
        <f>IF(E46=0,,($C$2*$E$46)-(($C$2*$E$46)*$C$10)+($D$46*$E$46)+$Q$7+I46)</f>
        <v>0</v>
      </c>
      <c r="T42" s="72">
        <f>IF(E47=0,,($C$2*$E$47)-(($C$2*$E$47)*$C$10)+($D$47*$E$47)+$J$7)</f>
        <v>0</v>
      </c>
      <c r="U42" s="72">
        <f>IF(E48=0,,($C$2*$E$48)-(($C$2*$E$48)*$C$10)+($D$48*$E$48)+$S$7+I48)</f>
        <v>0</v>
      </c>
      <c r="V42" s="72">
        <f>IF(E49=0,,($C$2*$E$49)-(($C$2*$E$49)*$C$10)+($D$49*$E$49)+$T$7+I49)</f>
        <v>0</v>
      </c>
      <c r="W42" s="72">
        <f>IF(E50=0,,($C$2*$E$50)-(($C$2*$E$50)*$C$10)+($D$50*$E$50)+$U$7+I50)</f>
        <v>0</v>
      </c>
      <c r="X42" s="72">
        <f>IF(E51=0,,($C$2*$E$51)-(($C$2*$E$51)*$C$10)+($D$51*$E$51)+$V$7+I51)</f>
        <v>0</v>
      </c>
      <c r="Y42" s="72">
        <f>IF(E52=0,,($C$2*$E$52)-(($C$2*$E$52)*$C$10)+($D$52*$E$52)+$W$7+I52)</f>
        <v>0</v>
      </c>
      <c r="Z42" s="72">
        <f>IF(E53=0,,($C$2*$E$53)-(($C$2*$E$53)*$C$10)+($D$53*$E$53)+$X$7+I53)</f>
        <v>0</v>
      </c>
      <c r="AD42" s="838" t="s">
        <v>299</v>
      </c>
      <c r="AE42" s="838"/>
      <c r="AF42" s="839" t="str">
        <f xml:space="preserve"> TRIM(Pricing!Q44 &amp; " " &amp; Pricing!R44 &amp; " " &amp; Pricing!S44 &amp; " " &amp; Pricing!T44 &amp; " " &amp; Pricing!U44 &amp; " " &amp; Pricing!V44 &amp; " " &amp; Pricing!W44 &amp; " " &amp; Pricing!X44 &amp; " " &amp; Pricing!Y44 &amp; " " &amp; Pricing!Z44 &amp; " " &amp; Pricing!AA44)</f>
        <v/>
      </c>
      <c r="AG42" s="839"/>
      <c r="AH42" s="839"/>
    </row>
    <row r="43" spans="2:44" ht="15.75" thickBot="1" x14ac:dyDescent="0.3">
      <c r="B43" t="s">
        <v>182</v>
      </c>
      <c r="C43" s="77">
        <f t="shared" si="7"/>
        <v>0</v>
      </c>
      <c r="D43" s="4">
        <f t="shared" si="8"/>
        <v>0</v>
      </c>
      <c r="E43" s="78">
        <f>IF(ISERROR('Survey Front'!M24*'Survey Front'!N24/1000000),,'Survey Front'!M24*'Survey Front'!N24/1000000)</f>
        <v>0</v>
      </c>
      <c r="F43" s="75">
        <f>IF('Survey Front'!L24 = "Silent",E43*$C$9,0)</f>
        <v>0</v>
      </c>
      <c r="G43" s="75">
        <f>IF('Survey Front'!D24="Tracked",$F$2*H43+$C$11,0)</f>
        <v>0</v>
      </c>
      <c r="H43" s="119">
        <f>IF(ISERROR(CONVERT('Survey Front'!M24,"mm","m")),,CONVERT('Survey Front'!M24,"mm","m"))</f>
        <v>0</v>
      </c>
      <c r="I43" s="75">
        <f>IF('Survey Front'!D24="S/Shade",$F$3*E43,0)</f>
        <v>0</v>
      </c>
      <c r="K43" s="34" t="s">
        <v>52</v>
      </c>
      <c r="L43" s="72">
        <f>IF(E39=0,,($C$2*$E$39)-(($C$2*$E$39)*$C$10)+($D$39*$E$39)+$J$8+I39)</f>
        <v>0</v>
      </c>
      <c r="M43" s="72">
        <f>IF(E40=0,,($C$2*$E$40)-(($C$2*$E$40)*$C$10)+($D$40*$E$40)+$K$8+I40)</f>
        <v>0</v>
      </c>
      <c r="N43" s="72">
        <f>IF(E41=0,,($C$2*$E$41)-(($C$2*$E$41)*$C$10)+($D$41*$E$41)+$L$7+I41)</f>
        <v>0</v>
      </c>
      <c r="O43" s="72">
        <f>IF(E42=0,,($C$2*$E$42)-(($C$2*$E$42)*$C$10)+($D$42*$E$42)+M8+I42)</f>
        <v>0</v>
      </c>
      <c r="P43" s="72">
        <f>IF(E43=0,,($C$2*$E$43)-(($C$2*$E$43)*$C$10)+($D$43*$E$43)+$N$8+I43)</f>
        <v>0</v>
      </c>
      <c r="Q43" s="72">
        <f>IF(E44=0,,($C$2*$E$44)-(($C$2*$E$44)*$C$10)+($D$44*$E$44)+I44+$O$8)</f>
        <v>0</v>
      </c>
      <c r="R43" s="72">
        <f>IF(E45=0,,($C$2*$E$45)-(($C$2*$E$45)*$C$10)+($D$45*$E$45)+$P$8+I45)</f>
        <v>0</v>
      </c>
      <c r="S43" s="72">
        <f>IF(E46=0,,($C$2*$E$46)-(($C$2*$E$46)*$C$10)+($D$46*$E$46)+$R$8+I46)</f>
        <v>0</v>
      </c>
      <c r="T43" s="72">
        <f>IF(E47=0,,($C$2*$E$47)-(($C$2*$E$47)*$C$10)+($D$47*$E$47)+$R$8+I47)</f>
        <v>0</v>
      </c>
      <c r="U43" s="72">
        <f>IF(E48=0,,($C$2*$E$48)-(($C$2*$E$48)*$C$10)+($D$48*$E$48)+$S$8+I48)</f>
        <v>0</v>
      </c>
      <c r="V43" s="72">
        <f>IF(E49=0,,($C$2*$E$49)-(($C$2*$E$49)*$C$10)+($D$49*$E$49)+$T$8+I49)</f>
        <v>0</v>
      </c>
      <c r="W43" s="72">
        <f>IF(E50=0,,($C$2*$E$50)-(($C$2*$E$50)*$C$10)+($D$50*$E$50)+$U$8+I50)</f>
        <v>0</v>
      </c>
      <c r="X43" s="72">
        <f>IF(E51=0,,($C$2*$E$51)-(($C$2*$E$51)*$C$10)+($D$51*$E$51)+$V$8+I51)</f>
        <v>0</v>
      </c>
      <c r="Y43" s="72">
        <f>IF(E52=0,,($C$2*$E$52)-(($C$2*$E$52)*$C$10)+($D$52*$E$52)+$W$8+I52)</f>
        <v>0</v>
      </c>
      <c r="Z43" s="72">
        <f>IF(E53=0,,($C$2*$E$53)-(($C$2*$E$53)*$C$10)+($D$53*$E$53)+$X$8+I53)</f>
        <v>0</v>
      </c>
      <c r="AD43" s="838" t="s">
        <v>301</v>
      </c>
      <c r="AE43" s="838"/>
      <c r="AF43" s="839" t="str">
        <f xml:space="preserve"> TRIM(Pricing!Q47 &amp; " " &amp; Pricing!R47 &amp; " " &amp; Pricing!S47 &amp; " " &amp; Pricing!T47 &amp; " " &amp; Pricing!U47 &amp; " " &amp; Pricing!V47 &amp; " " &amp; Pricing!W47 &amp; " " &amp; Pricing!X47 &amp; " " &amp; Pricing!Y47 &amp; " " &amp; Pricing!Z47 &amp; " " &amp; Pricing!AA47)</f>
        <v/>
      </c>
      <c r="AG43" s="839"/>
      <c r="AH43" s="839"/>
    </row>
    <row r="44" spans="2:44" ht="16.5" thickTop="1" thickBot="1" x14ac:dyDescent="0.3">
      <c r="B44" t="s">
        <v>183</v>
      </c>
      <c r="C44" s="77">
        <f t="shared" si="7"/>
        <v>0</v>
      </c>
      <c r="D44" s="4">
        <f t="shared" si="8"/>
        <v>0</v>
      </c>
      <c r="E44" s="78">
        <f>IF(ISERROR('Survey Front'!M27*'Survey Front'!N27/1000000),,'Survey Front'!M27*'Survey Front'!N27/1000000)</f>
        <v>0</v>
      </c>
      <c r="F44" s="75">
        <f>IF('Survey Front'!L27 = "Silent",$E44*$C$9,0)</f>
        <v>0</v>
      </c>
      <c r="G44" s="75">
        <f>IF('Survey Front'!D27="Tracked",$F$2*H44+$C$11,0)</f>
        <v>0</v>
      </c>
      <c r="H44" s="119">
        <f>IF(ISERROR(CONVERT('Survey Front'!M27,"mm","m")),,CONVERT('Survey Front'!M27,"mm","m"))</f>
        <v>0</v>
      </c>
      <c r="I44" s="75">
        <f>IF('Survey Front'!D27="S/Shade",$F$3*E44,0)</f>
        <v>0</v>
      </c>
      <c r="K44" s="36" t="s">
        <v>57</v>
      </c>
      <c r="L44" s="72">
        <f>IF(E39=0,,($C$2*$E$39)-(($C$2*$E$39)*$C$10)+($D$39*$E$39)+$J$9+I39)</f>
        <v>0</v>
      </c>
      <c r="M44" s="72">
        <f>IF(E40=0,,($C$2*$E$40)-(($C$2*$E$40)*$C$10)+($D$40*$E$40)+$K$9+I40)</f>
        <v>0</v>
      </c>
      <c r="N44" s="72">
        <f>IF(E41=0,,($C$2*$E$41)-(($C$2*$E$41)*$C$10)+($D$41*$E$41)+L9+I41)</f>
        <v>0</v>
      </c>
      <c r="O44" s="72">
        <f>IF(E42=0,,($C$2*$E$42)-(($C$2*$E$42)*$C$10)+($D$42*$E$42)+M9+I42)</f>
        <v>0</v>
      </c>
      <c r="P44" s="72">
        <f>IF(E43=0,,($C$2*$E$43)-(($C$2*$E$43)*$C$10)+($D$43*$E$43)+N9+I43)</f>
        <v>0</v>
      </c>
      <c r="Q44" s="72">
        <f>IF(E44=0,,($C$2*$E$44)-(($C$2*$E$44)*$C$10)+($D$44*$E$44)+O9+I44)</f>
        <v>0</v>
      </c>
      <c r="R44" s="72">
        <f>IF(E45=0,,($C$2*$E$45)-(($C$2*$E$45)*$C$10)+($D$45*$E$45)+P9+I45)</f>
        <v>0</v>
      </c>
      <c r="S44" s="72">
        <f>IF(E46=0,,($C$2*$E$46)-(($C$2*$E$46)*$C$10)+($D$46*$E$46)+$Q$9+I46)</f>
        <v>0</v>
      </c>
      <c r="T44" s="72">
        <f>IF(E47=0,,($C$2*$E$47)-(($C$2*$E$47)*$C$10)+($D$47*$E$47)+$R$9+I47)</f>
        <v>0</v>
      </c>
      <c r="U44" s="72">
        <f>IF(E48=0,,($C$2*$E$48)-(($C$2*$E$48)*$C$10)+($D$48*$E$48)+$S$9+I48)</f>
        <v>0</v>
      </c>
      <c r="V44" s="72">
        <f>IF(E49=0,,($C$2*$E$49)-(($C$2*$E$49)*$C$10)+($D$49*$E$49)+$T$9+I49)</f>
        <v>0</v>
      </c>
      <c r="W44" s="72">
        <f>IF(E50=0,,($C$2*$E$50)-(($C$2*$E$50)*$C$10)+($D$50*$E$50)+$U$9+I50)</f>
        <v>0</v>
      </c>
      <c r="X44" s="72">
        <f>IF(E51=0,,($C$2*$E$51)-(($C$2*$E$51)*$C$10)+($D$51*$E$51)+$V$9+I51)</f>
        <v>0</v>
      </c>
      <c r="Y44" s="72">
        <f>IF(E52=0,,($C$2*$E$52)-(($C$2*$E$52)*$C$10)+($D$52*$E$52)+$W$9+I52)</f>
        <v>0</v>
      </c>
      <c r="Z44" s="72">
        <f>IF(E53=0,,($C$2*$E$53)-(($C$2*$E$53)*$C$10)+($D$53*$E$53)+$X$9+I53)</f>
        <v>0</v>
      </c>
      <c r="AA44" s="121" t="s">
        <v>78</v>
      </c>
      <c r="AD44" s="838" t="s">
        <v>303</v>
      </c>
      <c r="AE44" s="838"/>
      <c r="AF44" s="839" t="str">
        <f xml:space="preserve"> TRIM(Pricing!Q50 &amp; " " &amp; Pricing!R50 &amp; " " &amp; Pricing!S50 &amp; " " &amp; Pricing!T50 &amp; " " &amp; Pricing!U50 &amp; " " &amp; Pricing!V50 &amp; " " &amp; Pricing!W50 &amp; " " &amp; Pricing!X50 &amp; " " &amp; Pricing!Y50 &amp; " " &amp; Pricing!Z50 &amp; " " &amp; Pricing!AA50)</f>
        <v/>
      </c>
      <c r="AG44" s="839"/>
      <c r="AH44" s="839"/>
    </row>
    <row r="45" spans="2:44" ht="16.5" thickTop="1" thickBot="1" x14ac:dyDescent="0.3">
      <c r="B45" t="s">
        <v>184</v>
      </c>
      <c r="C45" s="77">
        <f t="shared" si="7"/>
        <v>0</v>
      </c>
      <c r="D45" s="4">
        <f t="shared" si="8"/>
        <v>0</v>
      </c>
      <c r="E45" s="78">
        <f>IF(ISERROR('Survey Front'!M30*'Survey Front'!N30/1000000),,'Survey Front'!M30*'Survey Front'!N30/1000000)</f>
        <v>0</v>
      </c>
      <c r="F45" s="75">
        <f>IF('Survey Front'!L30 = "Silent",$E45*$C$9,0)</f>
        <v>0</v>
      </c>
      <c r="G45" s="75">
        <f>IF('Survey Front'!D30="Tracked",$F$2*H45+$C$11,0)</f>
        <v>0</v>
      </c>
      <c r="H45" s="119">
        <f>IF(ISERROR(CONVERT('Survey Front'!M30,"mm","m")),,CONVERT('Survey Front'!M30,"mm","m"))</f>
        <v>0</v>
      </c>
      <c r="I45" s="75">
        <f>IF('Survey Front'!D30="S/Shade",$F$3*E45,0)</f>
        <v>0</v>
      </c>
      <c r="K45" s="122" t="s">
        <v>612</v>
      </c>
      <c r="L45" s="123">
        <f>IF('Survey Front'!AD12="Q",,IF(ISNA(VLOOKUP('Survey Front'!E12,K39:L45,2,0)),,VLOOKUP('Survey Front'!E12,K39:L45,2,0)))</f>
        <v>0</v>
      </c>
      <c r="M45" s="124">
        <f>IF('Survey Front'!AD15="Q",,IF(ISNA(VLOOKUP('Survey Front'!E15,K39:M44,3,0)),,VLOOKUP('Survey Front'!E15,K39:M44,3,0)))</f>
        <v>0</v>
      </c>
      <c r="N45" s="124">
        <f>IF('Survey Front'!AD18="Q",,IF(ISNA(VLOOKUP('Survey Front'!E18,K39:N44,4,0)),,VLOOKUP('Survey Front'!E18,K39:N44,4,0)))</f>
        <v>0</v>
      </c>
      <c r="O45" s="124">
        <f>IF('Survey Front'!AD21="Q",,IF(ISNA(VLOOKUP('Survey Front'!E21,K39:P44,5,0)),,VLOOKUP('Survey Front'!E21,K39:O44,5,0)))</f>
        <v>0</v>
      </c>
      <c r="P45" s="124">
        <f>IF('Survey Front'!AD24="Q",,IF(ISNA(VLOOKUP('Survey Front'!E24,K39:P44,6,0)),,VLOOKUP('Survey Front'!E24,K39:P44,6,0)))</f>
        <v>0</v>
      </c>
      <c r="Q45" s="124">
        <f>IF('Survey Front'!AD27="Q",,IF(ISNA(VLOOKUP('Survey Front'!E27,K39:Q44,7,0)),,VLOOKUP('Survey Front'!E27,K39:Q44,7,0)))</f>
        <v>0</v>
      </c>
      <c r="R45" s="124">
        <f>IF('Survey Front'!AD30="Q",,IF(ISNA(VLOOKUP('Survey Front'!E30,K39:R44,8,0)),,VLOOKUP('Survey Front'!E30,K39:R44,8,0)))</f>
        <v>0</v>
      </c>
      <c r="S45" s="125">
        <f>IF('Survey Front'!AD33="Q",,IF(ISNA(VLOOKUP('Survey Front'!E33,K39:S44,9,0)),,VLOOKUP('Survey Front'!E33,K39:S44,9,0)))</f>
        <v>0</v>
      </c>
      <c r="T45" s="125">
        <f>IF('Survey Front'!AE33="Q",,IF(ISNA(VLOOKUP('Survey Front'!F33,K39:T44,9,0)),,VLOOKUP('Survey Front'!F33,L39:T44,9,0)))</f>
        <v>0</v>
      </c>
      <c r="U45" s="125">
        <f>IF('Survey Front'!AF33="Q",,IF(ISNA(VLOOKUP('Survey Front'!G33,K39:U44,9,0)),,VLOOKUP('Survey Front'!G33,K39:U44,9,0)))</f>
        <v>0</v>
      </c>
      <c r="V45" s="125">
        <f>IF('Survey Front'!AG33="Q",,IF(ISNA(VLOOKUP('Survey Front'!H33,K39:V44,9,0)),,VLOOKUP('Survey Front'!H33,K39:V44,9,0)))</f>
        <v>0</v>
      </c>
      <c r="W45" s="125">
        <f>IF('Survey Front'!AH33="Q",,IF(ISNA(VLOOKUP('Survey Front'!I33,K39:W44,9,0)),,VLOOKUP('Survey Front'!I33,K39:W44,9,0)))</f>
        <v>0</v>
      </c>
      <c r="X45" s="125">
        <f>IF('Survey Front'!AI33="Q",,IF(ISNA(VLOOKUP('Survey Front'!J33,K39:X44,9,0)),,VLOOKUP('Survey Front'!J33,K39:X44,9,0)))</f>
        <v>0</v>
      </c>
      <c r="Y45" s="125">
        <f>IF('Survey Front'!AJ33="Q",,IF(ISNA(VLOOKUP('Survey Front'!K33,K39:Y44,9,0)),,VLOOKUP('Survey Front'!K33,K39:Y44,9,0)))</f>
        <v>0</v>
      </c>
      <c r="Z45" s="125">
        <f>IF('Survey Front'!AK33="Q",,IF(ISNA(VLOOKUP('Survey Front'!L33,K39:Z44,9,0)),,VLOOKUP('Survey Front'!L33,K39:Z44,9,0)))</f>
        <v>0</v>
      </c>
      <c r="AA45" s="126">
        <f>SUM(L45:Z45)</f>
        <v>0</v>
      </c>
    </row>
    <row r="46" spans="2:44" ht="16.5" thickTop="1" thickBot="1" x14ac:dyDescent="0.3">
      <c r="B46" t="s">
        <v>185</v>
      </c>
      <c r="C46" s="77">
        <f t="shared" si="7"/>
        <v>0</v>
      </c>
      <c r="D46" s="4">
        <f t="shared" si="8"/>
        <v>0</v>
      </c>
      <c r="E46" s="78">
        <f>IF(ISERROR('Survey Front'!M33*'Survey Front'!N33/1000000),,'Survey Front'!M33*'Survey Front'!N33/1000000)</f>
        <v>0</v>
      </c>
      <c r="F46" s="75">
        <f>IF('Survey Front'!L33 = "Silent",$E46*$C$9,0)</f>
        <v>0</v>
      </c>
      <c r="G46" s="75">
        <f>IF('Survey Front'!D33="Tracked",$F$2*H46+$C$11,0)</f>
        <v>0</v>
      </c>
      <c r="H46" s="119">
        <f>IF(ISERROR(CONVERT('Survey Front'!M33,"mm","m")),,CONVERT('Survey Front'!M33,"mm","m"))</f>
        <v>0</v>
      </c>
      <c r="I46" s="75">
        <f>IF('Survey Front'!D33="S/Shade",$F$3*E46,0)</f>
        <v>0</v>
      </c>
      <c r="K46" s="127" t="s">
        <v>613</v>
      </c>
      <c r="L46" s="128">
        <f>IF('Survey Front'!AD12="Q",IF(ISNA(VLOOKUP('Survey Front'!E12,K39:L45,2,0)),,VLOOKUP('Survey Front'!E12,K39:L45,2,0)),)</f>
        <v>0</v>
      </c>
      <c r="M46" s="129">
        <f>IF('Survey Front'!AD15="Q",IF(ISNA(VLOOKUP('Survey Front'!E15,K39:M44,3,0)),,VLOOKUP('Survey Front'!E15,K39:M44,3,0)),)</f>
        <v>0</v>
      </c>
      <c r="N46" s="129">
        <f>IF('Survey Front'!AD18="Q", IF(ISNA(VLOOKUP('Survey Front'!E18,K39:N44,4,0)),,VLOOKUP('Survey Front'!E18,K39:N44,4,0)),)</f>
        <v>0</v>
      </c>
      <c r="O46" s="129">
        <f>IF('Survey Front'!AD21="Q",IF(ISNA(VLOOKUP('Survey Front'!E21,K39:O44,5,0)),,VLOOKUP('Survey Front'!E21,K39:O44,5,0)),)</f>
        <v>0</v>
      </c>
      <c r="P46" s="129">
        <f>IF('Survey Front'!AD24="Q",IF(ISNA(VLOOKUP('Survey Front'!E24,K39:P44,6,0)),,VLOOKUP('Survey Front'!E24,K39:P44,6,0)),)</f>
        <v>0</v>
      </c>
      <c r="Q46" s="129">
        <f>IF('Survey Front'!AD27="Q",IF(ISNA(VLOOKUP('Survey Front'!E27,K39:Q44,7,0)),,VLOOKUP('Survey Front'!E27,K39:Q44,7,0)),)</f>
        <v>0</v>
      </c>
      <c r="R46" s="129">
        <f>IF('Survey Front'!AD30="Q",IF(ISNA(VLOOKUP('Survey Front'!E30,K39:R44,8,0)),,VLOOKUP('Survey Front'!E30,K39:R44,8,0)),)</f>
        <v>0</v>
      </c>
      <c r="S46" s="129">
        <f>IF('Survey Front'!AD33="Q",IF(ISNA(VLOOKUP('Survey Front'!E33,K39:S44,9,0)),,VLOOKUP('Survey Front'!E33,K39:S44,9,0)),)</f>
        <v>0</v>
      </c>
      <c r="T46" s="129">
        <f>IF('Survey Front'!AE33="Q",IF(ISNA(VLOOKUP('Survey Front'!F33,K39:T44,9,0)),,VLOOKUP('Survey Front'!F33,K39:T44,9,0)),)</f>
        <v>0</v>
      </c>
      <c r="U46" s="129">
        <f>IF('Survey Front'!AF33="Q",IF(ISNA(VLOOKUP('Survey Front'!G33,K39:U44,9,0)),,VLOOKUP('Survey Front'!G33,K39:U44,9,0)),)</f>
        <v>0</v>
      </c>
      <c r="V46" s="129">
        <f>IF('Survey Front'!AG33="Q",IF(ISNA(VLOOKUP('Survey Front'!H33,K39:V44,9,0)),,VLOOKUP('Survey Front'!H33,K39:V44,9,0)),)</f>
        <v>0</v>
      </c>
      <c r="W46" s="129">
        <f>IF('Survey Front'!AH33="Q",IF(ISNA(VLOOKUP('Survey Front'!I33,K39:W44,9,0)),,VLOOKUP('Survey Front'!I33,K39:W44,9,0)),)</f>
        <v>0</v>
      </c>
      <c r="X46" s="129">
        <f>IF('Survey Front'!AI33="Q",IF(ISNA(VLOOKUP('Survey Front'!J33,K39:X44,9,0)),,VLOOKUP('Survey Front'!J33,K39:X44,9,0)),)</f>
        <v>0</v>
      </c>
      <c r="Y46" s="129">
        <f>IF('Survey Front'!AJ33="Q",IF(ISNA(VLOOKUP('Survey Front'!K33,K39:Y44,9,0)),,VLOOKUP('Survey Front'!K33,K39:Y44,9,0)),)</f>
        <v>0</v>
      </c>
      <c r="Z46" s="129">
        <f>IF('Survey Front'!AK33="Q",IF(ISNA(VLOOKUP('Survey Front'!L33,K39:Z44,9,0)),,VLOOKUP('Survey Front'!L33,K39:Z44,9,0)),)</f>
        <v>0</v>
      </c>
      <c r="AA46" s="130">
        <f>SUM(L46:Z46)</f>
        <v>0</v>
      </c>
    </row>
    <row r="47" spans="2:44" ht="15.75" thickTop="1" x14ac:dyDescent="0.25">
      <c r="B47" t="s">
        <v>186</v>
      </c>
      <c r="C47" s="77">
        <f t="shared" si="7"/>
        <v>0</v>
      </c>
      <c r="D47" s="4">
        <f t="shared" si="8"/>
        <v>0</v>
      </c>
      <c r="E47" s="78">
        <f>IF(ISERROR('Survey Front'!M57*'Survey Front'!N57/1000000),,'Survey Front'!M57*'Survey Front'!N57/1000000)</f>
        <v>0</v>
      </c>
      <c r="F47" s="75">
        <f>IF('Survey Front'!L57 = "Silent",$E47*$C$9,0)</f>
        <v>0</v>
      </c>
      <c r="G47" s="75">
        <f>IF('Survey Front'!D57="Tracked",$F$2*H47+$C$11,0)</f>
        <v>0</v>
      </c>
      <c r="H47" s="119">
        <f>IF(ISERROR(CONVERT('Survey Front'!M57,"mm","m")),,CONVERT('Survey Front'!M57,"mm","m"))</f>
        <v>0</v>
      </c>
      <c r="I47" s="75">
        <f>IF('Survey Front'!D57="S/Shade",$F$3*E47,0)</f>
        <v>0</v>
      </c>
    </row>
    <row r="48" spans="2:44" ht="15.75" thickBot="1" x14ac:dyDescent="0.3">
      <c r="B48" t="s">
        <v>187</v>
      </c>
      <c r="C48" s="77">
        <f t="shared" ref="C48:C53" si="9">IF(ISERROR(FIND("(CB)",AF30,1)),0)</f>
        <v>0</v>
      </c>
      <c r="D48" s="4">
        <f t="shared" si="8"/>
        <v>0</v>
      </c>
      <c r="E48" s="78">
        <f>IF(ISERROR('Survey Front'!M60*'Survey Front'!N60/1000000),,'Survey Front'!M60*'Survey Front'!N60/1000000)</f>
        <v>0</v>
      </c>
      <c r="F48" s="75">
        <f>IF('Survey Front'!L60 = "Silent",$E48*$C$9,0)</f>
        <v>0</v>
      </c>
      <c r="G48" s="75">
        <f>IF('Survey Front'!D60="Tracked",$F$2*H48+$C$11,0)</f>
        <v>0</v>
      </c>
      <c r="H48" s="119">
        <f>IF(ISERROR(CONVERT('Survey Front'!M60,"mm","m")),,CONVERT('Survey Front'!M60,"mm","m"))</f>
        <v>0</v>
      </c>
      <c r="I48" s="75">
        <f>IF('Survey Front'!D60="S/Shade",$F$3*E48,0)</f>
        <v>0</v>
      </c>
      <c r="K48" s="834" t="s">
        <v>309</v>
      </c>
      <c r="L48" s="834"/>
      <c r="M48" s="834"/>
      <c r="N48" s="834"/>
      <c r="O48" s="834"/>
      <c r="P48" s="834"/>
      <c r="Q48" s="834"/>
      <c r="R48" s="834"/>
      <c r="S48" s="834"/>
      <c r="T48" s="834"/>
      <c r="U48" s="834"/>
      <c r="V48" s="834"/>
      <c r="W48" s="834"/>
      <c r="X48" s="834"/>
      <c r="Y48" s="834"/>
      <c r="Z48" s="834"/>
      <c r="AA48" s="834"/>
    </row>
    <row r="49" spans="2:27" ht="15.75" thickTop="1" x14ac:dyDescent="0.25">
      <c r="B49" t="s">
        <v>188</v>
      </c>
      <c r="C49" s="77">
        <f t="shared" si="9"/>
        <v>0</v>
      </c>
      <c r="D49" s="4">
        <f t="shared" si="8"/>
        <v>0</v>
      </c>
      <c r="E49" s="78">
        <f>IF(ISERROR('Survey Front'!M63*'Survey Front'!N63/1000000),,'Survey Front'!M63*'Survey Front'!N63/1000000)</f>
        <v>0</v>
      </c>
      <c r="F49" s="75">
        <f>IF('Survey Front'!L63 = "Silent",$E49*$C$9,0)</f>
        <v>0</v>
      </c>
      <c r="G49" s="75">
        <f>IF('Survey Front'!D63="Tracked",$F$2*H49+$C$11,0)</f>
        <v>0</v>
      </c>
      <c r="H49" s="119">
        <f>IF(ISERROR(CONVERT('Survey Front'!M63,"mm","m")),,CONVERT('Survey Front'!M63,"mm","m"))</f>
        <v>0</v>
      </c>
      <c r="I49" s="75">
        <f>IF('Survey Front'!D63="S/Shade",$F$3*E49,0)</f>
        <v>0</v>
      </c>
      <c r="L49" s="80" t="s">
        <v>178</v>
      </c>
      <c r="M49" s="80" t="s">
        <v>179</v>
      </c>
      <c r="N49" s="80" t="s">
        <v>180</v>
      </c>
      <c r="O49" s="80" t="s">
        <v>181</v>
      </c>
      <c r="P49" s="80" t="s">
        <v>182</v>
      </c>
      <c r="Q49" s="80" t="s">
        <v>183</v>
      </c>
      <c r="R49" s="80" t="s">
        <v>184</v>
      </c>
      <c r="S49" s="80" t="s">
        <v>185</v>
      </c>
      <c r="T49" s="80" t="s">
        <v>186</v>
      </c>
      <c r="U49" s="80" t="s">
        <v>187</v>
      </c>
      <c r="V49" s="80" t="s">
        <v>188</v>
      </c>
      <c r="W49" s="80" t="s">
        <v>189</v>
      </c>
      <c r="X49" s="80" t="s">
        <v>190</v>
      </c>
      <c r="Y49" s="80" t="s">
        <v>191</v>
      </c>
      <c r="Z49" s="81" t="s">
        <v>192</v>
      </c>
      <c r="AA49" s="82" t="s">
        <v>78</v>
      </c>
    </row>
    <row r="50" spans="2:27" x14ac:dyDescent="0.25">
      <c r="B50" t="s">
        <v>189</v>
      </c>
      <c r="C50" s="77">
        <f t="shared" si="9"/>
        <v>0</v>
      </c>
      <c r="D50" s="4">
        <f t="shared" si="8"/>
        <v>0</v>
      </c>
      <c r="E50" s="78">
        <f>IF(ISERROR('Survey Front'!M66*'Survey Front'!N66/1000000),,'Survey Front'!M66*'Survey Front'!N66/1000000)</f>
        <v>0</v>
      </c>
      <c r="F50" s="75">
        <f>IF('Survey Front'!L66 = "Silent",$E50*$C$9,0)</f>
        <v>0</v>
      </c>
      <c r="G50" s="75">
        <f>IF('Survey Front'!D66="Tracked",$F$2*H50+$C$11,0)</f>
        <v>0</v>
      </c>
      <c r="H50" s="119">
        <f>IF(ISERROR(CONVERT('Survey Front'!M66,"mm","m")),,CONVERT('Survey Front'!M66,"mm","m"))</f>
        <v>0</v>
      </c>
      <c r="I50" s="75">
        <f>IF('Survey Front'!D66="S/Shade",$F$3*E50,0)</f>
        <v>0</v>
      </c>
      <c r="K50" s="34" t="s">
        <v>43</v>
      </c>
      <c r="L50" s="4">
        <f>IF(Pricing!$E$8=Matrix!K50,(Pricing!$L$8*Pricing!$M$8))/1000000</f>
        <v>0.66220000000000001</v>
      </c>
      <c r="M50" s="4">
        <f>IF(Pricing!$E$11=Matrix!K50,(Pricing!$L$11*Pricing!$M$11))/1000000</f>
        <v>1.8171999999999999</v>
      </c>
      <c r="N50" s="4">
        <f>IF(Pricing!$E$14=Matrix!K50,(Pricing!$L$14*Pricing!$M$14))/1000000</f>
        <v>0.66220000000000001</v>
      </c>
      <c r="O50" s="4">
        <f>IF(Pricing!$E$17=Matrix!K50,(Pricing!$L$17*Pricing!$M$17))/1000000</f>
        <v>1.7576000000000001</v>
      </c>
      <c r="P50" s="4">
        <f>IF(Pricing!$E$20=Matrix!K50,(Pricing!$L$20*Pricing!$M$20))/1000000</f>
        <v>1.1439999999999999</v>
      </c>
      <c r="Q50" s="131">
        <f>IF(Pricing!$E$23=Matrix!K50,(Pricing!$L$23*Pricing!$M$23))/1000000</f>
        <v>1.1439999999999999</v>
      </c>
      <c r="R50" s="4">
        <f>IF(Pricing!$E$26=Matrix!K50,(Pricing!$L$26*Pricing!$M$26))/1000000</f>
        <v>1.5449999999999999</v>
      </c>
      <c r="S50" s="4">
        <f>IF(Pricing!$E$29=Matrix!K50,(Pricing!$L$29*Pricing!$M$29))/1000000</f>
        <v>0</v>
      </c>
      <c r="T50" s="4">
        <f>IF(Pricing!$E$32=Matrix!$K50,(Pricing!$L$32*Pricing!$M$32))/1000000</f>
        <v>0</v>
      </c>
      <c r="U50" s="4">
        <f>IF(Pricing!$E$35=Matrix!$K50,(Pricing!$L$35*Pricing!$M$35))/1000000</f>
        <v>0</v>
      </c>
      <c r="V50" s="4">
        <f>IF(Pricing!$E$38=Matrix!$K50,(Pricing!$L$38*Pricing!$M$38))/1000000</f>
        <v>0</v>
      </c>
      <c r="W50" s="4">
        <f>IF(Pricing!$E$41=Matrix!$K50,(Pricing!$L$41*Pricing!$M$41))/1000000</f>
        <v>0</v>
      </c>
      <c r="X50" s="4">
        <f>IF(Pricing!$E$44=Matrix!$K50,(Pricing!$L$44*Pricing!$M$44))/1000000</f>
        <v>0</v>
      </c>
      <c r="Y50" s="4">
        <f>IF(Pricing!$E$47=Matrix!$K50,(Pricing!$L$47*Pricing!$M$47))/1000000</f>
        <v>0</v>
      </c>
      <c r="Z50" s="4">
        <f>IF(Pricing!$E$50=Matrix!$K50,(Pricing!$L$50*Pricing!$M$50))/1000000</f>
        <v>0</v>
      </c>
      <c r="AA50" s="132">
        <f t="shared" ref="AA50:AA55" si="10">SUM(L50:Z50)</f>
        <v>8.7322000000000006</v>
      </c>
    </row>
    <row r="51" spans="2:27" x14ac:dyDescent="0.25">
      <c r="B51" t="s">
        <v>190</v>
      </c>
      <c r="C51" s="77">
        <f t="shared" si="9"/>
        <v>0</v>
      </c>
      <c r="D51" s="4">
        <f t="shared" si="8"/>
        <v>0</v>
      </c>
      <c r="E51" s="78">
        <f>IF(ISERROR('Survey Front'!M69*'Survey Front'!N69/1000000),,'Survey Front'!M69*'Survey Front'!N69/1000000)</f>
        <v>0</v>
      </c>
      <c r="F51" s="75">
        <f>IF('Survey Front'!L69 = "Silent",$E51*$C$9,0)</f>
        <v>0</v>
      </c>
      <c r="G51" s="75">
        <f>IF('Survey Front'!D69="Tracked",$F$2*H51+$C$11,0)</f>
        <v>0</v>
      </c>
      <c r="H51" s="119">
        <f>IF(ISERROR(CONVERT('Survey Front'!M69,"mm","m")),,CONVERT('Survey Front'!M69,"mm","m"))</f>
        <v>0</v>
      </c>
      <c r="I51" s="75">
        <f>IF('Survey Front'!D69="S/Shade",$F$3*E51,0)</f>
        <v>0</v>
      </c>
      <c r="K51" s="34" t="s">
        <v>45</v>
      </c>
      <c r="L51" s="4">
        <f>IF(Pricing!$E$8=Matrix!K51,(Pricing!$L$8*Pricing!$M$8))/1000000</f>
        <v>0</v>
      </c>
      <c r="M51" s="4">
        <f>IF(Pricing!$E$11=Matrix!K51,(Pricing!$L$11*Pricing!$M$11))/1000000</f>
        <v>0</v>
      </c>
      <c r="N51" s="4">
        <f>IF(Pricing!$E$14=Matrix!K51,(Pricing!$L$14*Pricing!$M$14))/1000000</f>
        <v>0</v>
      </c>
      <c r="O51" s="4">
        <f>IF(Pricing!$E$17=Matrix!K51,(Pricing!$L$17*Pricing!$M$17))/1000000</f>
        <v>0</v>
      </c>
      <c r="P51" s="4">
        <f>IF(Pricing!$E$20=Matrix!K51,(Pricing!$L$20*Pricing!$M$20))/1000000</f>
        <v>0</v>
      </c>
      <c r="Q51" s="131">
        <f>IF(Pricing!$E$23=Matrix!K51,(Pricing!$L$23*Pricing!$M$23))/1000000</f>
        <v>0</v>
      </c>
      <c r="R51" s="4">
        <f>IF(Pricing!$E$26=Matrix!K51,(Pricing!$L$26*Pricing!$M$26))/1000000</f>
        <v>0</v>
      </c>
      <c r="S51" s="4">
        <f>IF(Pricing!$E$29=Matrix!K51,(Pricing!$L$29*Pricing!$M$29))/1000000</f>
        <v>0</v>
      </c>
      <c r="T51" s="4">
        <f>IF(Pricing!$E$32=Matrix!$K51,(Pricing!$L$32*Pricing!$M$32))/1000000</f>
        <v>0</v>
      </c>
      <c r="U51" s="4">
        <f>IF(Pricing!$E$35=Matrix!$K51,(Pricing!$L$35*Pricing!$M$35))/1000000</f>
        <v>0</v>
      </c>
      <c r="V51" s="4">
        <f>IF(Pricing!$E$38=Matrix!$K51,(Pricing!$L$38*Pricing!$M$38))/1000000</f>
        <v>0</v>
      </c>
      <c r="W51" s="4">
        <f>IF(Pricing!$E$41=Matrix!$K51,(Pricing!$L$41*Pricing!$M$41))/1000000</f>
        <v>0</v>
      </c>
      <c r="X51" s="4">
        <f>IF(Pricing!$E$44=Matrix!$K51,(Pricing!$L$44*Pricing!$M$44))/1000000</f>
        <v>0</v>
      </c>
      <c r="Y51" s="4">
        <f>IF(Pricing!$E$47=Matrix!$K51,(Pricing!$L$47*Pricing!$M$47))/1000000</f>
        <v>0</v>
      </c>
      <c r="Z51" s="4">
        <f>IF(Pricing!$E$50=Matrix!$K51,(Pricing!$L$50*Pricing!$M$50))/1000000</f>
        <v>0</v>
      </c>
      <c r="AA51" s="132">
        <f t="shared" si="10"/>
        <v>0</v>
      </c>
    </row>
    <row r="52" spans="2:27" x14ac:dyDescent="0.25">
      <c r="B52" t="s">
        <v>191</v>
      </c>
      <c r="C52" s="77">
        <f t="shared" si="9"/>
        <v>0</v>
      </c>
      <c r="D52" s="4">
        <f t="shared" si="8"/>
        <v>0</v>
      </c>
      <c r="E52" s="78">
        <f>IF(ISERROR('Survey Front'!M72*'Survey Front'!N72/1000000),,'Survey Front'!M72*'Survey Front'!N72/1000000)</f>
        <v>0</v>
      </c>
      <c r="F52" s="75">
        <f>IF('Survey Front'!L72 = "Silent",$E52*$C$9,0)</f>
        <v>0</v>
      </c>
      <c r="G52" s="75">
        <f>IF('Survey Front'!D72="Tracked",$F$2*H52+$C$11,0)</f>
        <v>0</v>
      </c>
      <c r="H52" s="119">
        <f>IF(ISERROR(CONVERT('Survey Front'!M72,"mm","m")),,CONVERT('Survey Front'!M72,"mm","m"))</f>
        <v>0</v>
      </c>
      <c r="I52" s="75">
        <f>IF('Survey Front'!D72="S/Shade",$F$3*E52,0)</f>
        <v>0</v>
      </c>
      <c r="K52" s="34" t="s">
        <v>48</v>
      </c>
      <c r="L52" s="4">
        <f>IF(Pricing!$E$8=Matrix!K52,(Pricing!$L$8*Pricing!$M$8))/1000000</f>
        <v>0</v>
      </c>
      <c r="M52" s="4">
        <f>IF(Pricing!$E$11=Matrix!K52,(Pricing!$L$11*Pricing!$M$11))/1000000</f>
        <v>0</v>
      </c>
      <c r="N52" s="4">
        <f>IF(Pricing!$E$14=Matrix!K52,(Pricing!$L$14*Pricing!$M$14))/1000000</f>
        <v>0</v>
      </c>
      <c r="O52" s="4">
        <f>IF(Pricing!$E$17=Matrix!K52,(Pricing!$L$17*Pricing!$M$17))/1000000</f>
        <v>0</v>
      </c>
      <c r="P52" s="4">
        <f>IF(Pricing!$E$20=Matrix!K52,(Pricing!$L$20*Pricing!$M$20))/1000000</f>
        <v>0</v>
      </c>
      <c r="Q52" s="131">
        <f>IF(Pricing!$E$23=Matrix!K52,(Pricing!$L$23*Pricing!$M$23))/1000000</f>
        <v>0</v>
      </c>
      <c r="R52" s="4">
        <f>IF(Pricing!$E$26=Matrix!K52,(Pricing!$L$26*Pricing!$M$26))/1000000</f>
        <v>0</v>
      </c>
      <c r="S52" s="4">
        <f>IF(Pricing!$E$29=Matrix!K52,(Pricing!$L$29*Pricing!$M$29))/1000000</f>
        <v>0</v>
      </c>
      <c r="T52" s="4">
        <f>IF(Pricing!$E$32=Matrix!$K52,(Pricing!$L$32*Pricing!$M$32))/1000000</f>
        <v>0</v>
      </c>
      <c r="U52" s="4">
        <f>IF(Pricing!$E$35=Matrix!$K52,(Pricing!$L$35*Pricing!$M$35))/1000000</f>
        <v>0</v>
      </c>
      <c r="V52" s="4">
        <f>IF(Pricing!$E$38=Matrix!$K52,(Pricing!$L$38*Pricing!$M$38))/1000000</f>
        <v>0</v>
      </c>
      <c r="W52" s="4">
        <f>IF(Pricing!$E$41=Matrix!$K52,(Pricing!$L$41*Pricing!$M$41))/1000000</f>
        <v>0</v>
      </c>
      <c r="X52" s="4">
        <f>IF(Pricing!$E$44=Matrix!$K52,(Pricing!$L$44*Pricing!$M$44))/1000000</f>
        <v>0</v>
      </c>
      <c r="Y52" s="4">
        <f>IF(Pricing!$E$47=Matrix!$K52,(Pricing!$L$47*Pricing!$M$47))/1000000</f>
        <v>0</v>
      </c>
      <c r="Z52" s="4">
        <f>IF(Pricing!$E$50=Matrix!$K52,(Pricing!$L$50*Pricing!$M$50))/1000000</f>
        <v>0</v>
      </c>
      <c r="AA52" s="132">
        <f t="shared" si="10"/>
        <v>0</v>
      </c>
    </row>
    <row r="53" spans="2:27" x14ac:dyDescent="0.25">
      <c r="B53" t="s">
        <v>192</v>
      </c>
      <c r="C53" s="77">
        <f t="shared" si="9"/>
        <v>0</v>
      </c>
      <c r="D53" s="4">
        <f t="shared" si="8"/>
        <v>0</v>
      </c>
      <c r="E53" s="78">
        <f>IF(ISERROR('Survey Front'!M75*'Survey Front'!N75/1000000),,'Survey Front'!M75*'Survey Front'!N75/1000000)</f>
        <v>0</v>
      </c>
      <c r="F53" s="75">
        <f>IF('Survey Front'!L75 = "Silent",$E53*$C$9,0)</f>
        <v>0</v>
      </c>
      <c r="G53" s="75">
        <f>IF('Survey Front'!D75="Tracked",$F$2*H53+$C$11,0)</f>
        <v>0</v>
      </c>
      <c r="H53" s="119">
        <f>IF(ISERROR(CONVERT('Survey Front'!M75,"mm","m")),,CONVERT('Survey Front'!M75,"mm","m"))</f>
        <v>0</v>
      </c>
      <c r="I53" s="75">
        <f>IF('Survey Front'!D75="S/Shade",$F$3*E53,0)</f>
        <v>0</v>
      </c>
      <c r="K53" s="34" t="s">
        <v>54</v>
      </c>
      <c r="L53" s="4">
        <f>IF(Pricing!$E$8=Matrix!K53,(Pricing!$L$8*Pricing!$M$8))/1000000</f>
        <v>0</v>
      </c>
      <c r="M53" s="4">
        <f>IF(Pricing!$E$11=Matrix!K53,(Pricing!$L$11*Pricing!$M$11))/1000000</f>
        <v>0</v>
      </c>
      <c r="N53" s="4">
        <f>IF(Pricing!$E$14=Matrix!K53,(Pricing!$L$14*Pricing!$M$14))/1000000</f>
        <v>0</v>
      </c>
      <c r="O53" s="4">
        <f>IF(Pricing!$E$17=Matrix!K53,(Pricing!$L$17*Pricing!$M$17))/1000000</f>
        <v>0</v>
      </c>
      <c r="P53" s="4">
        <f>IF(Pricing!$E$20=Matrix!K53,(Pricing!$L$20*Pricing!$M$20))/1000000</f>
        <v>0</v>
      </c>
      <c r="Q53" s="131">
        <f>IF(Pricing!$E$23=Matrix!K53,(Pricing!$L$23*Pricing!$M$23))/1000000</f>
        <v>0</v>
      </c>
      <c r="R53" s="4">
        <f>IF(Pricing!$E$26=Matrix!K53,(Pricing!$L$26*Pricing!$M$26))/1000000</f>
        <v>0</v>
      </c>
      <c r="S53" s="4">
        <f>IF(Pricing!$E$29=Matrix!K53,(Pricing!$L$29*Pricing!$M$29))/1000000</f>
        <v>0</v>
      </c>
      <c r="T53" s="4">
        <f>IF(Pricing!$E$32=Matrix!$K53,(Pricing!$L$32*Pricing!$M$32))/1000000</f>
        <v>0</v>
      </c>
      <c r="U53" s="4">
        <f>IF(Pricing!$E$35=Matrix!$K53,(Pricing!$L$35*Pricing!$M$35))/1000000</f>
        <v>0</v>
      </c>
      <c r="V53" s="4">
        <f>IF(Pricing!$E$38=Matrix!$K53,(Pricing!$L$38*Pricing!$M$38))/1000000</f>
        <v>0</v>
      </c>
      <c r="W53" s="4">
        <f>IF(Pricing!$E$41=Matrix!$K53,(Pricing!$L$41*Pricing!$M$41))/1000000</f>
        <v>0</v>
      </c>
      <c r="X53" s="4">
        <f>IF(Pricing!$E$44=Matrix!$K53,(Pricing!$L$44*Pricing!$M$44))/1000000</f>
        <v>0</v>
      </c>
      <c r="Y53" s="4">
        <f>IF(Pricing!$E$47=Matrix!$K53,(Pricing!$L$47*Pricing!$M$47))/1000000</f>
        <v>0</v>
      </c>
      <c r="Z53" s="4">
        <f>IF(Pricing!$E$50=Matrix!$K53,(Pricing!$L$50*Pricing!$M$50))/1000000</f>
        <v>0</v>
      </c>
      <c r="AA53" s="132">
        <f t="shared" si="10"/>
        <v>0</v>
      </c>
    </row>
    <row r="54" spans="2:27" x14ac:dyDescent="0.25">
      <c r="K54" s="34" t="s">
        <v>52</v>
      </c>
      <c r="L54" s="4">
        <f>IF(Pricing!$E$8=Matrix!K54,(Pricing!$L$8*Pricing!$M$8))/1000000</f>
        <v>0</v>
      </c>
      <c r="M54" s="4">
        <f>IF(Pricing!$E$11=Matrix!K54,(Pricing!$L$11*Pricing!$M$11))/1000000</f>
        <v>0</v>
      </c>
      <c r="N54" s="4">
        <f>IF(Pricing!$E$14=Matrix!K54,(Pricing!$L$14*Pricing!$M$14))/1000000</f>
        <v>0</v>
      </c>
      <c r="O54" s="4">
        <f>IF(Pricing!$E$17=Matrix!K54,(Pricing!$L$17*Pricing!$M$17))/1000000</f>
        <v>0</v>
      </c>
      <c r="P54" s="4">
        <f>IF(Pricing!$E$20=Matrix!K54,(Pricing!$L$20*Pricing!$M$20))/1000000</f>
        <v>0</v>
      </c>
      <c r="Q54" s="131">
        <f>IF(Pricing!$E$23=Matrix!K54,(Pricing!$L$23*Pricing!$M$23))/1000000</f>
        <v>0</v>
      </c>
      <c r="R54" s="4">
        <f>IF(Pricing!$E$26=Matrix!K54,(Pricing!$L$26*Pricing!$M$26))/1000000</f>
        <v>0</v>
      </c>
      <c r="S54" s="4">
        <f>IF(Pricing!$E$29=Matrix!K54,(Pricing!$L$29*Pricing!$M$29))/1000000</f>
        <v>0</v>
      </c>
      <c r="T54" s="4">
        <f>IF(Pricing!$E$32=Matrix!$K54,(Pricing!$L$32*Pricing!$M$32))/1000000</f>
        <v>0</v>
      </c>
      <c r="U54" s="4">
        <f>IF(Pricing!$E$35=Matrix!$K54,(Pricing!$L$35*Pricing!$M$35))/1000000</f>
        <v>0</v>
      </c>
      <c r="V54" s="4">
        <f>IF(Pricing!$E$38=Matrix!$K54,(Pricing!$L$38*Pricing!$M$38))/1000000</f>
        <v>0</v>
      </c>
      <c r="W54" s="4">
        <f>IF(Pricing!$E$41=Matrix!$K54,(Pricing!$L$41*Pricing!$M$41))/1000000</f>
        <v>0</v>
      </c>
      <c r="X54" s="4">
        <f>IF(Pricing!$E$44=Matrix!$K54,(Pricing!$L$44*Pricing!$M$44))/1000000</f>
        <v>0</v>
      </c>
      <c r="Y54" s="4">
        <f>IF(Pricing!$E$47=Matrix!$K54,(Pricing!$L$47*Pricing!$M$47))/1000000</f>
        <v>0</v>
      </c>
      <c r="Z54" s="4">
        <f>IF(Pricing!$E$50=Matrix!$K54,(Pricing!$L$50*Pricing!$M$50))/1000000</f>
        <v>0</v>
      </c>
      <c r="AA54" s="132">
        <f t="shared" si="10"/>
        <v>0</v>
      </c>
    </row>
    <row r="55" spans="2:27" ht="15.75" thickBot="1" x14ac:dyDescent="0.3">
      <c r="K55" s="36" t="s">
        <v>57</v>
      </c>
      <c r="L55" s="4">
        <f>IF(Pricing!$E$8=Matrix!K55,(Pricing!$L$8*Pricing!$M$8))/1000000</f>
        <v>0</v>
      </c>
      <c r="M55" s="4">
        <f>IF(Pricing!$E$11=Matrix!K55,(Pricing!$L$11*Pricing!$M$11))/1000000</f>
        <v>0</v>
      </c>
      <c r="N55" s="4">
        <f>IF(Pricing!$E$14=Matrix!K55,(Pricing!$L$14*Pricing!$M$14))/1000000</f>
        <v>0</v>
      </c>
      <c r="O55" s="4">
        <f>IF(Pricing!$E$17=Matrix!K55,(Pricing!$L$17*Pricing!$M$17))/1000000</f>
        <v>0</v>
      </c>
      <c r="P55" s="4">
        <f>IF(Pricing!$E$20=Matrix!K55,(Pricing!$L$20*Pricing!$M$20))/1000000</f>
        <v>0</v>
      </c>
      <c r="Q55" s="131">
        <f>IF(Pricing!$E$23=Matrix!K55,(Pricing!$L$23*Pricing!$M$23))/1000000</f>
        <v>0</v>
      </c>
      <c r="R55" s="4">
        <f>IF(Pricing!$E$26=Matrix!K55,(Pricing!$L$26*Pricing!$M$26))/1000000</f>
        <v>0</v>
      </c>
      <c r="S55" s="4">
        <f>IF(Pricing!$E$29=Matrix!K55,(Pricing!$L$29*Pricing!$M$29))/1000000</f>
        <v>0</v>
      </c>
      <c r="T55" s="4">
        <f>IF(Pricing!$E$32=Matrix!$K55,(Pricing!$L$32*Pricing!$M$32))/1000000</f>
        <v>0</v>
      </c>
      <c r="U55" s="4">
        <f>IF(Pricing!$E$35=Matrix!$K55,(Pricing!$L$35*Pricing!$M$35))/1000000</f>
        <v>0</v>
      </c>
      <c r="V55" s="4">
        <f>IF(Pricing!$E$38=Matrix!$K55,(Pricing!$L$38*Pricing!$M$38))/1000000</f>
        <v>0</v>
      </c>
      <c r="W55" s="4">
        <f>IF(Pricing!$E$41=Matrix!$K55,(Pricing!$L$41*Pricing!$M$41))/1000000</f>
        <v>0</v>
      </c>
      <c r="X55" s="4">
        <f>IF(Pricing!$E$44=Matrix!$K55,(Pricing!$L$44*Pricing!$M$44))/1000000</f>
        <v>0</v>
      </c>
      <c r="Y55" s="4">
        <f>IF(Pricing!$E$47=Matrix!$K55,(Pricing!$L$47*Pricing!$M$47))/1000000</f>
        <v>0</v>
      </c>
      <c r="Z55" s="4">
        <f>IF(Pricing!$E$50=Matrix!$K55,(Pricing!$L$50*Pricing!$M$50))/1000000</f>
        <v>0</v>
      </c>
      <c r="AA55" s="133">
        <f t="shared" si="10"/>
        <v>0</v>
      </c>
    </row>
    <row r="56" spans="2:27" ht="15.75" thickTop="1" x14ac:dyDescent="0.25"/>
    <row r="58" spans="2:27" x14ac:dyDescent="0.25">
      <c r="K58" s="956" t="s">
        <v>614</v>
      </c>
      <c r="L58" s="834"/>
      <c r="M58" s="834"/>
      <c r="N58" s="834"/>
      <c r="O58" s="834"/>
      <c r="P58" s="834"/>
      <c r="Q58" s="834"/>
      <c r="R58" s="834"/>
      <c r="S58" s="834"/>
      <c r="T58" s="834"/>
      <c r="U58" s="834"/>
      <c r="V58" s="834"/>
      <c r="W58" s="834"/>
      <c r="X58" s="834"/>
      <c r="Y58" s="834"/>
      <c r="Z58" s="834"/>
      <c r="AA58" s="834"/>
    </row>
    <row r="59" spans="2:27" x14ac:dyDescent="0.25">
      <c r="K59" s="34"/>
      <c r="L59" s="69" t="s">
        <v>178</v>
      </c>
      <c r="M59" s="69" t="s">
        <v>179</v>
      </c>
      <c r="N59" s="69" t="s">
        <v>180</v>
      </c>
      <c r="O59" s="69" t="s">
        <v>181</v>
      </c>
      <c r="P59" s="69" t="s">
        <v>182</v>
      </c>
      <c r="Q59" s="69" t="s">
        <v>183</v>
      </c>
      <c r="R59" s="69" t="s">
        <v>184</v>
      </c>
      <c r="S59" s="69" t="s">
        <v>185</v>
      </c>
      <c r="T59" s="69" t="s">
        <v>186</v>
      </c>
      <c r="U59" s="69" t="s">
        <v>187</v>
      </c>
      <c r="V59" s="69" t="s">
        <v>188</v>
      </c>
      <c r="W59" s="69" t="s">
        <v>189</v>
      </c>
      <c r="X59" s="69" t="s">
        <v>190</v>
      </c>
      <c r="Y59" s="69" t="s">
        <v>191</v>
      </c>
      <c r="Z59" s="69" t="s">
        <v>192</v>
      </c>
      <c r="AA59" s="69"/>
    </row>
    <row r="60" spans="2:27" x14ac:dyDescent="0.25">
      <c r="K60" s="34" t="s">
        <v>43</v>
      </c>
      <c r="L60" s="72">
        <f>ROUNDDOWN((E69*$C$2)+(E69*D69),0.2)</f>
        <v>225</v>
      </c>
      <c r="M60" s="72">
        <f>K4+(F22*E22)+(D22*E22)+G22+I22</f>
        <v>340</v>
      </c>
      <c r="N60" s="72">
        <f>L4+($F$23*E23)+($D$23*$E$23)+G23+I23</f>
        <v>340</v>
      </c>
      <c r="O60" s="72">
        <f>L4+$F$24+($D$24*$E$24)+G24+I24</f>
        <v>340</v>
      </c>
      <c r="P60" s="72">
        <f>$N$4+($F$25*E25)+($D$25*$E$25)+$G$25+I25</f>
        <v>340</v>
      </c>
      <c r="Q60" s="72">
        <f>$O$4+($F$26*E26)+($D$26*$E$26)+$G$26+I26</f>
        <v>340</v>
      </c>
      <c r="R60" s="72">
        <f>$P$4+($F$27*E27)+($D$27*$E$27)+$G$27+I27</f>
        <v>340</v>
      </c>
      <c r="S60" s="72">
        <f>$Q$4+($F$28*E28)+($D$28*$E$28)+$G$28+I28</f>
        <v>340</v>
      </c>
      <c r="T60" s="72">
        <f>$R$4+($F$29*E29)+($D$29*$E$29)+$G$29+I29</f>
        <v>340</v>
      </c>
      <c r="U60" s="72">
        <f>$S$4+($F$30*E30)+($D$30*$E$30)+$G$30+I30</f>
        <v>340</v>
      </c>
      <c r="V60" s="72">
        <f>$T$4+($F$31*E31)+($D$31*$E$31)+$G$31+I31</f>
        <v>340</v>
      </c>
      <c r="W60" s="72">
        <f>$U$4+($F$32*E32)+($D$32*$E$32)+$G$32+I32</f>
        <v>340</v>
      </c>
      <c r="X60" s="72">
        <f>$U$4+($F$33*E33)+($D$33*$E$33)+$G$33+I33</f>
        <v>340</v>
      </c>
      <c r="Y60" s="72">
        <f>$W$4+($F$34*E34)+($D$34*$E$34)+$G$34+I34</f>
        <v>340</v>
      </c>
      <c r="Z60" s="72">
        <f>$X$4+($F$35*E35)+($D$35*$E$35)+$G$35+I35</f>
        <v>340</v>
      </c>
      <c r="AA60" s="72"/>
    </row>
    <row r="61" spans="2:27" x14ac:dyDescent="0.25">
      <c r="K61" s="34" t="s">
        <v>45</v>
      </c>
      <c r="L61" s="72">
        <f>(E69*$C$2)+(E69*D69)+(C3*E69)</f>
        <v>248.32499999999999</v>
      </c>
      <c r="M61" s="72">
        <f>K4+(F22*E22)+(D22*E22)+G22+K5+I22</f>
        <v>375</v>
      </c>
      <c r="N61" s="72">
        <f>L4+($F$23*E23)+($D$23*$E$23)+G23+L5+I23</f>
        <v>375</v>
      </c>
      <c r="O61" s="72">
        <f>L4+($F$24*E24)+($D$24*$E$24)+G24+M5+I24</f>
        <v>375</v>
      </c>
      <c r="P61" s="72">
        <f>$N$4+($F$25*E25)+($D$25*$E$25)+$G$25+N5+I25</f>
        <v>375</v>
      </c>
      <c r="Q61" s="72">
        <f>$O$4+($F$26*E26)+($D$26*$E$26)+$G$26+O5+I26</f>
        <v>375</v>
      </c>
      <c r="R61" s="72">
        <f>$P$4+($F$27*E27)+($D$27*$E$27)+$G$27+P5+I27</f>
        <v>375</v>
      </c>
      <c r="S61" s="72">
        <f>$Q$4-($Q$4*$C$10)+($F$28*E28)+($D$28*$E$28)+$G$28+Q5+I28</f>
        <v>290</v>
      </c>
      <c r="T61" s="72">
        <f>$R$4+($F$29*E29)+($D$29*$E$29)+$G$29+R5+I29</f>
        <v>375</v>
      </c>
      <c r="U61" s="72">
        <f>$S$4+($F$30*E30)+($D$30*$E$30)+$G$30+S5+I30</f>
        <v>375</v>
      </c>
      <c r="V61" s="72">
        <f>$T$4+($F$31*E31)+($D$31*$E$31)+$G$31+T5+I31</f>
        <v>375</v>
      </c>
      <c r="W61" s="72">
        <f>$U$4+($F$32*E32)+($D$32*$E$32)+$G$32+U5+I32</f>
        <v>375</v>
      </c>
      <c r="X61" s="72">
        <f>$U$4+($F$33*E33)+($D$33*$E$33)+$G$33+V5+I33</f>
        <v>375</v>
      </c>
      <c r="Y61" s="72">
        <f>$W$4+($F$34*E34)+($D$34*$E$34)+$G$34+W5+I34</f>
        <v>375</v>
      </c>
      <c r="Z61" s="72">
        <f>$X$4+($F$35*E35)+($D$35*$E$35)+$G$35+X5+I35</f>
        <v>375</v>
      </c>
      <c r="AA61" s="72"/>
    </row>
    <row r="62" spans="2:27" x14ac:dyDescent="0.25">
      <c r="K62" s="34" t="s">
        <v>48</v>
      </c>
      <c r="L62" s="72">
        <f t="shared" ref="L62:L65" si="11">(E71*$C$2)+(E71*D71)</f>
        <v>225.148</v>
      </c>
      <c r="M62" s="72">
        <f>K4+(F22*E22)+(D22*E22)+G22+K6+I22</f>
        <v>405</v>
      </c>
      <c r="N62" s="72">
        <f>L4+($F$23*E23)+($D$23*$E$23)+G23+L6+I23</f>
        <v>405</v>
      </c>
      <c r="O62" s="72">
        <f>L4+($F$24*E24)+($D$24*$E$24)+G24+M6+I24</f>
        <v>405</v>
      </c>
      <c r="P62" s="72">
        <f>$N$4+($F$25*E25)+($D$25*$E$25)+$G$25+N6+I25</f>
        <v>405</v>
      </c>
      <c r="Q62" s="72">
        <f>$O$4+($F$26*E26)+($D$26*$E$26)+$G$26+O6+I26</f>
        <v>405</v>
      </c>
      <c r="R62" s="72">
        <f>$P$4+($F$27*E27)+($D$27*$E$27)+$G$27+P6+I27</f>
        <v>405</v>
      </c>
      <c r="S62" s="72">
        <f>$Q$4-($Q$4*$C$10)+($F$28*E28)+($D$28*$E$28)+$G$28+Q6+I28</f>
        <v>320</v>
      </c>
      <c r="T62" s="72">
        <f>$R$4+($F$29*E29)+($D$29*$E$29)+$G$29+R6+I29</f>
        <v>405</v>
      </c>
      <c r="U62" s="72">
        <f>$S$4+($F$30*E30)+($D$30*$E$30)+$G$30+S6+I30</f>
        <v>405</v>
      </c>
      <c r="V62" s="72">
        <f>$T$4+($F$31*E31)+($D$31*$E$31)+$G$31+T6+I31</f>
        <v>405</v>
      </c>
      <c r="W62" s="72">
        <f>$U$4+($F$32*E32)+($D$32*$E$32)+$G$32+U6+I32</f>
        <v>405</v>
      </c>
      <c r="X62" s="72">
        <f>$U$4+($F$33*E33)+($D$33*$E$33)+$G$33+V6+I33</f>
        <v>405</v>
      </c>
      <c r="Y62" s="72">
        <f>$W$4+($F$34*E34)+($D$34*$E$34)+$G$34+W6+I34</f>
        <v>405</v>
      </c>
      <c r="Z62" s="72">
        <f>$X$4+($F$35*E35)+($D$35*$E$35)+$G$35+X6+I35</f>
        <v>405</v>
      </c>
      <c r="AA62" s="72"/>
    </row>
    <row r="63" spans="2:27" x14ac:dyDescent="0.25">
      <c r="K63" s="34" t="s">
        <v>54</v>
      </c>
      <c r="L63" s="72">
        <f t="shared" si="11"/>
        <v>597.58400000000006</v>
      </c>
      <c r="M63" s="72">
        <f>K4+(F22*E22)+(D22*E22)+G22+K7+I22</f>
        <v>445</v>
      </c>
      <c r="N63" s="72">
        <f>L4+($F$23*E23)+($D$23*$E$23)+G23+L7+I23</f>
        <v>445</v>
      </c>
      <c r="O63" s="72">
        <f>L4+($F$24*E24)+($D$24*$E$24)+G24+M7+I24</f>
        <v>445</v>
      </c>
      <c r="P63" s="72">
        <f>$N$4+($F$25*E25)+($D$25*$E$25)+$G$25+N7+I25</f>
        <v>445</v>
      </c>
      <c r="Q63" s="72">
        <f>$O$4+($F$26*E26)+($D$26*$E$26)+$G$26+O7+I26</f>
        <v>445</v>
      </c>
      <c r="R63" s="72">
        <f>$P$4+($F$27*E27)+($D$27*$E$27)+$G$27+P7+I27</f>
        <v>445</v>
      </c>
      <c r="S63" s="72">
        <f>$Q$4-($Q$4*$C$10)+($F$28*E28)+($D$28*$E$28)+$G$28+Q7+I28</f>
        <v>360</v>
      </c>
      <c r="T63" s="72">
        <f>$R$4+($F$29*E29)+($D$29*$E$29)+$G$29+R7+I29</f>
        <v>445</v>
      </c>
      <c r="U63" s="72">
        <f>$S$4+($F$30*E30)+($D$30*$E$30)+$G$30+S7+I30</f>
        <v>445</v>
      </c>
      <c r="V63" s="72">
        <f>$T$4+($F$31*E31)+($D$31*$E$31)+$G$31+T7+I31</f>
        <v>445</v>
      </c>
      <c r="W63" s="72">
        <f>$U$4+($F$32*E32)+($D$32*$E$32)+$G$32+U7+I32</f>
        <v>445</v>
      </c>
      <c r="X63" s="72">
        <f>$U$4+($F$33*E33)+($D$33*$E$33)+$G$33+V7+I33</f>
        <v>445</v>
      </c>
      <c r="Y63" s="72">
        <f>$W$4+($F$34*E34)+($D$34*$E$34)+$G$34+W7+I34</f>
        <v>445</v>
      </c>
      <c r="Z63" s="72">
        <f>$X$4+($F$35*E35)+($D$35*$E$35)+$G$35+X7+I35</f>
        <v>445</v>
      </c>
      <c r="AA63" s="72"/>
    </row>
    <row r="64" spans="2:27" x14ac:dyDescent="0.25">
      <c r="K64" s="34" t="s">
        <v>52</v>
      </c>
      <c r="L64" s="72">
        <f t="shared" si="11"/>
        <v>388.96</v>
      </c>
      <c r="M64" s="72">
        <f>K4+(F22*E22)+(D22*E22)+G22+K8+I22</f>
        <v>485</v>
      </c>
      <c r="N64" s="72">
        <f>L4+($F$23*E23)+($D$23*$E$23)+G23+L8+I23</f>
        <v>485</v>
      </c>
      <c r="O64" s="72">
        <f>L4+($F$24*E24)+($D$24*$E$24)+G24+M8+I24</f>
        <v>485</v>
      </c>
      <c r="P64" s="72">
        <f>$N$4+($F$25*E25)+($D$25*$E$25)+$G$25+N8+I25</f>
        <v>485</v>
      </c>
      <c r="Q64" s="72">
        <f>$O$4+($F$26*E26)+($D$26*$E$26)+$G$26+O8+I26</f>
        <v>485</v>
      </c>
      <c r="R64" s="72">
        <f>$P$4+($F$27*E27)+($D$27*$E$27)+$G$27+P8+I27</f>
        <v>485</v>
      </c>
      <c r="S64" s="72">
        <f>$Q$4-($Q$4*$C$10)+($F$28*E28)+($D$28*$E$28)+$G$28+Q8+I28</f>
        <v>400</v>
      </c>
      <c r="T64" s="72">
        <f>$R$4+($F$29*E29)+($D$29*$E$29)+$G$29+R8+I29</f>
        <v>485</v>
      </c>
      <c r="U64" s="72">
        <f>$S$4+($F$30*E30)+($D$30*$E$30)+$G$30+S8+I30</f>
        <v>485</v>
      </c>
      <c r="V64" s="72">
        <f>$T$4+($F$31*E31)+($D$31*$E$31)+$G$31+T8+I31</f>
        <v>485</v>
      </c>
      <c r="W64" s="72">
        <f>$U$4+($F$32*E32)+($D$32*$E$32)+$G$32+U8+I32</f>
        <v>485</v>
      </c>
      <c r="X64" s="72">
        <f>$U$4+($F$33*E33)+($D$33*$E$33)+$G$33+V8+I33</f>
        <v>485</v>
      </c>
      <c r="Y64" s="72">
        <f>$W$4+($F$34*E34)+($D$34*$E$34)+$G$34+W8+I34</f>
        <v>485</v>
      </c>
      <c r="Z64" s="72">
        <f>$X$4+($F$35*E35)+($D$35*$E$35)+$G$35+X8+I35</f>
        <v>485</v>
      </c>
      <c r="AA64" s="72"/>
    </row>
    <row r="65" spans="2:28" x14ac:dyDescent="0.25">
      <c r="K65" s="34" t="s">
        <v>57</v>
      </c>
      <c r="L65" s="72">
        <f t="shared" si="11"/>
        <v>388.96</v>
      </c>
      <c r="M65" s="72">
        <f>K4+(F22*E22)+(D22*E22)+G22+K9+I22</f>
        <v>535</v>
      </c>
      <c r="N65" s="72">
        <f>L4+($F$23*E23)+($D$23*$E$23)+G23+L9+I23</f>
        <v>535</v>
      </c>
      <c r="O65" s="72">
        <f>L4+($F$24*E24)+($D$24*$E$24)+G24+M9+I24</f>
        <v>535</v>
      </c>
      <c r="P65" s="72">
        <f>$N$4+($F$25*E25)+($D$25*$E$25)+$G$25+N9+I25</f>
        <v>535</v>
      </c>
      <c r="Q65" s="72">
        <f>$O$4+($F$26*E26)+($D$26*$E$26)+$G$26+O9+I26</f>
        <v>535</v>
      </c>
      <c r="R65" s="72">
        <f>$P$4+($F$27*E27)+($D$27*$E$27)+$G$27+P9+I27</f>
        <v>535</v>
      </c>
      <c r="S65" s="72">
        <f>$Q$4-($Q$4*$C$10)+($F$28*E28)+($D$28*$E$28)+$G$28+Q9+I28</f>
        <v>450</v>
      </c>
      <c r="T65" s="72">
        <f>$R$4+($F$29*E29)+($D$29*$E$29)+$G$29+R9+I29</f>
        <v>535</v>
      </c>
      <c r="U65" s="72">
        <f>$S$4+($F$30*E30)+($D$30*$E$30)+$G$30+S9+I30</f>
        <v>535</v>
      </c>
      <c r="V65" s="72">
        <f>$T$4+($F$31*E31)+($D$31*$E$31)+$G$31+T9+I31</f>
        <v>535</v>
      </c>
      <c r="W65" s="72">
        <f>$U$4+($F$32*E32)+($D$32*$E$32)+$G$32+U9+I32</f>
        <v>535</v>
      </c>
      <c r="X65" s="72">
        <f>$U$4+($F$33*E33)+($D$33*$E$33)+$G$33+V9+I33</f>
        <v>535</v>
      </c>
      <c r="Y65" s="72">
        <f>$W$4+($F$34*E34)+($D$34*$E$34)+$G$34+W9+I34</f>
        <v>535</v>
      </c>
      <c r="Z65" s="72">
        <f>$X$4+($F$35*E35)+($D$35*$E$35)+$G$35+X9+I35</f>
        <v>535</v>
      </c>
      <c r="AA65" s="72"/>
    </row>
    <row r="67" spans="2:28" x14ac:dyDescent="0.25">
      <c r="C67" s="837" t="s">
        <v>615</v>
      </c>
      <c r="D67" s="837"/>
      <c r="E67" s="837"/>
      <c r="F67" s="837"/>
      <c r="G67" s="837"/>
      <c r="H67" s="837"/>
      <c r="I67" s="837"/>
      <c r="J67" s="837"/>
      <c r="K67" s="834" t="s">
        <v>616</v>
      </c>
      <c r="L67" s="834"/>
      <c r="M67" s="834"/>
      <c r="N67" s="834"/>
      <c r="O67" s="834"/>
      <c r="P67" s="834"/>
      <c r="Q67" s="834"/>
      <c r="R67" s="834"/>
      <c r="S67" s="834"/>
      <c r="T67" s="834"/>
      <c r="U67" s="834"/>
      <c r="V67" s="834"/>
      <c r="W67" s="834"/>
      <c r="X67" s="834"/>
      <c r="Y67" s="834"/>
      <c r="Z67" s="834"/>
      <c r="AA67" s="834"/>
    </row>
    <row r="68" spans="2:28" ht="15.75" thickBot="1" x14ac:dyDescent="0.3">
      <c r="C68" s="114" t="s">
        <v>263</v>
      </c>
      <c r="D68" s="115" t="s">
        <v>264</v>
      </c>
      <c r="E68" s="115" t="s">
        <v>13</v>
      </c>
      <c r="F68" s="115" t="s">
        <v>226</v>
      </c>
      <c r="G68" s="115" t="s">
        <v>265</v>
      </c>
      <c r="H68" s="115" t="s">
        <v>266</v>
      </c>
      <c r="I68" s="115" t="s">
        <v>208</v>
      </c>
      <c r="J68" s="116" t="s">
        <v>239</v>
      </c>
      <c r="K68" s="117"/>
      <c r="L68" s="80" t="s">
        <v>178</v>
      </c>
      <c r="M68" s="80" t="s">
        <v>179</v>
      </c>
      <c r="N68" s="80" t="s">
        <v>180</v>
      </c>
      <c r="O68" s="80" t="s">
        <v>181</v>
      </c>
      <c r="P68" s="80" t="s">
        <v>182</v>
      </c>
      <c r="Q68" s="80" t="s">
        <v>183</v>
      </c>
      <c r="R68" s="80" t="s">
        <v>184</v>
      </c>
      <c r="S68" s="80" t="s">
        <v>185</v>
      </c>
      <c r="T68" s="80" t="s">
        <v>186</v>
      </c>
      <c r="U68" s="80" t="s">
        <v>187</v>
      </c>
      <c r="V68" s="80" t="s">
        <v>188</v>
      </c>
      <c r="W68" s="80" t="s">
        <v>189</v>
      </c>
      <c r="X68" s="80" t="s">
        <v>190</v>
      </c>
      <c r="Y68" s="80" t="s">
        <v>191</v>
      </c>
      <c r="Z68" s="80" t="s">
        <v>192</v>
      </c>
      <c r="AA68" s="134" t="s">
        <v>617</v>
      </c>
      <c r="AB68" s="135"/>
    </row>
    <row r="69" spans="2:28" ht="15.75" thickTop="1" x14ac:dyDescent="0.25">
      <c r="B69" t="s">
        <v>178</v>
      </c>
      <c r="C69" s="77">
        <f t="shared" ref="C69:C83" si="12">IF(ISERROR(FIND("(CB)",AF30,1)),0)</f>
        <v>0</v>
      </c>
      <c r="D69" s="4">
        <f>IF(C69=FALSE,20,0)</f>
        <v>0</v>
      </c>
      <c r="E69" s="78">
        <f>IF(Pricing!AD8="Quoted",,IF(Pricing!E8="",,IF(ISERROR(Pricing!L8*Pricing!M8/1000000),,Pricing!L8*Pricing!M8/1000000)))</f>
        <v>0.66220000000000001</v>
      </c>
      <c r="F69" s="75">
        <f>IF(Pricing!AD8="Quoted",,IF(Pricing!J8 = "Silent",$E$69*$C$9,0))</f>
        <v>23.177</v>
      </c>
      <c r="G69" s="75">
        <f>IF(Pricing!AD8="Quoted",,IF(Pricing!D8="Tracked",($F$2*H69)+$C$11,0))</f>
        <v>0</v>
      </c>
      <c r="H69" s="119">
        <f>H21</f>
        <v>0.43</v>
      </c>
      <c r="I69" s="75">
        <f>I21</f>
        <v>0</v>
      </c>
      <c r="J69" s="68"/>
      <c r="K69" s="34" t="s">
        <v>43</v>
      </c>
      <c r="L69" s="72">
        <f>IF(Pricing!$AD$8="Price",$J4,)</f>
        <v>340</v>
      </c>
      <c r="M69" s="72">
        <f>IF(Pricing!AD11="Price",K4,)</f>
        <v>340</v>
      </c>
      <c r="N69" s="72">
        <f>IF(Pricing!AD14="Price",L4,)</f>
        <v>340</v>
      </c>
      <c r="O69" s="72">
        <f>IF(Pricing!$AD17="Price",M$4,)</f>
        <v>340</v>
      </c>
      <c r="P69" s="72">
        <f>IF(Pricing!$AD20="Price",N$4,)</f>
        <v>340</v>
      </c>
      <c r="Q69" s="72">
        <f>IF(Pricing!$AD23="Price",O$4,)</f>
        <v>340</v>
      </c>
      <c r="R69" s="72">
        <f>IF(Pricing!$AD26="Price",P$4,)</f>
        <v>340</v>
      </c>
      <c r="S69" s="72">
        <f>IF(Pricing!$AD29="Price",Q$4,)</f>
        <v>340</v>
      </c>
      <c r="T69" s="72">
        <f>IF(Pricing!$AD32="Price",R$4,)</f>
        <v>340</v>
      </c>
      <c r="U69" s="72">
        <f>IF(Pricing!$AD35="Price",S$4,)</f>
        <v>340</v>
      </c>
      <c r="V69" s="72">
        <f>IF(Pricing!$AD38="Price",T$4,)</f>
        <v>340</v>
      </c>
      <c r="W69" s="72">
        <f>IF(Pricing!$AD41="Price",U$4,)</f>
        <v>340</v>
      </c>
      <c r="X69" s="72">
        <f>IF(Pricing!$AD44="Price",V$4,)</f>
        <v>340</v>
      </c>
      <c r="Y69" s="72">
        <f>IF(Pricing!$AD47="Price",W$4,)</f>
        <v>340</v>
      </c>
      <c r="Z69" s="72">
        <f>IF(Pricing!$AD50="Price",X$4,)</f>
        <v>340</v>
      </c>
      <c r="AA69" s="136">
        <f>SUM(L69:Z69)+(D69*E69)</f>
        <v>5100</v>
      </c>
    </row>
    <row r="70" spans="2:28" x14ac:dyDescent="0.25">
      <c r="B70" t="s">
        <v>179</v>
      </c>
      <c r="C70" s="77">
        <f t="shared" si="12"/>
        <v>0</v>
      </c>
      <c r="D70" s="4">
        <f t="shared" ref="D70:D83" si="13">IF(C70=FALSE,20,0)</f>
        <v>0</v>
      </c>
      <c r="E70" s="78">
        <f>IF(Pricing!AD11="Quoted",,IF(Pricing!E11="",,IF(ISERROR(Pricing!L11*Pricing!M11/1000000),,Pricing!L11*Pricing!M11/1000000)))</f>
        <v>1.8171999999999999</v>
      </c>
      <c r="F70" s="75">
        <f>IF(Pricing!AD11="Quoted",,IF(Pricing!J11 = "Silent",$E70*$C$9,0))</f>
        <v>63.601999999999997</v>
      </c>
      <c r="G70" s="75">
        <f>IF(Pricing!AD11="Quoted",IF(Pricing!D11="Tracked",$F$2*H70+$C$11,0),)</f>
        <v>0</v>
      </c>
      <c r="H70" s="119">
        <f t="shared" ref="H70:I83" si="14">H22</f>
        <v>0</v>
      </c>
      <c r="I70" s="75">
        <f t="shared" si="14"/>
        <v>0</v>
      </c>
      <c r="K70" s="34" t="s">
        <v>45</v>
      </c>
      <c r="L70" s="72">
        <f>IF(AND(Pricing!$AD$8="Price",Pricing!$E$8=Matrix!$K70),$J5,)</f>
        <v>0</v>
      </c>
      <c r="M70" s="72">
        <f>IF(AND(Pricing!$AD$11="Price",Pricing!$E$11=Matrix!K70),$K5,)</f>
        <v>0</v>
      </c>
      <c r="N70" s="72">
        <f>IF(AND(Pricing!$AD$14="Price",Pricing!$E$14=Matrix!K70),L5,)</f>
        <v>0</v>
      </c>
      <c r="O70" s="72">
        <f>IF(AND(Pricing!$AD$17="Price",Pricing!$E$17=Matrix!K70),M5,)</f>
        <v>0</v>
      </c>
      <c r="P70" s="72">
        <f>IF(AND(Pricing!$AD$20="Price",Pricing!$E$20=Matrix!K70),N5,)</f>
        <v>0</v>
      </c>
      <c r="Q70" s="72">
        <f>IF(AND(Pricing!$AD$23="Price",Pricing!$E$23=Matrix!K70),O5,)</f>
        <v>0</v>
      </c>
      <c r="R70" s="72">
        <f>IF(AND(Pricing!$AD$26="Price",Pricing!$E$26=Matrix!K70),P5,)</f>
        <v>0</v>
      </c>
      <c r="S70" s="72">
        <f>IF(AND(Pricing!$AD$29="Price",Pricing!$E$29=Matrix!K70),Q5,)</f>
        <v>0</v>
      </c>
      <c r="T70" s="72">
        <f>IF(AND(Pricing!$AD$32="Price",Pricing!$E$32=Matrix!K70),R5,)</f>
        <v>0</v>
      </c>
      <c r="U70" s="72">
        <f>IF(AND(Pricing!$AD$35="Price",Pricing!$E$35=Matrix!K70),S5,)</f>
        <v>0</v>
      </c>
      <c r="V70" s="72">
        <f>IF(AND(Pricing!$AD$38="Price",Pricing!$E$38=Matrix!K70),T5,)</f>
        <v>0</v>
      </c>
      <c r="W70" s="72">
        <f>IF(AND(Pricing!$AD$41="Price",Pricing!$E$41=Matrix!K70),U5,)</f>
        <v>0</v>
      </c>
      <c r="X70" s="72">
        <f>IF(AND(Pricing!$AD$44="Price",Pricing!$E$44=Matrix!K70),V5,)</f>
        <v>0</v>
      </c>
      <c r="Y70" s="72">
        <f>IF(AND(Pricing!$AD$47="Price",Pricing!$E$47=Matrix!K70),W5,)</f>
        <v>0</v>
      </c>
      <c r="Z70" s="72">
        <f>IF(AND(Pricing!$AD$50="Price",Pricing!$E$50=Matrix!K70),X5,)</f>
        <v>0</v>
      </c>
      <c r="AA70" s="137">
        <f t="shared" ref="AA70:AA74" si="15">SUM(L70:Z70)</f>
        <v>0</v>
      </c>
    </row>
    <row r="71" spans="2:28" x14ac:dyDescent="0.25">
      <c r="B71" t="s">
        <v>180</v>
      </c>
      <c r="C71" s="77">
        <f t="shared" si="12"/>
        <v>0</v>
      </c>
      <c r="D71" s="4">
        <f t="shared" si="13"/>
        <v>0</v>
      </c>
      <c r="E71" s="78">
        <f>IF(Pricing!AD14="Quoted",,IF(Pricing!E14="",,IF(ISERROR(Pricing!L14*Pricing!M14/1000000),,Pricing!L14*Pricing!M14/1000000)))</f>
        <v>0.66220000000000001</v>
      </c>
      <c r="F71" s="75">
        <f>IF(Pricing!AD14="Quoted",,IF(Pricing!J14="Silent",E71*$C$9,0))</f>
        <v>23.177</v>
      </c>
      <c r="G71" s="75">
        <f>IF(Pricing!AD14="Quoted",IF(Pricing!D14="Tracked",$F$2*H71+$C$11,0),)</f>
        <v>0</v>
      </c>
      <c r="H71" s="119">
        <f t="shared" si="14"/>
        <v>0</v>
      </c>
      <c r="I71" s="75">
        <f t="shared" si="14"/>
        <v>0</v>
      </c>
      <c r="K71" s="34" t="s">
        <v>48</v>
      </c>
      <c r="L71" s="72">
        <f>IF(AND(Pricing!$AD$8="Price",Pricing!$E$8=Matrix!$K71),$J6,)</f>
        <v>0</v>
      </c>
      <c r="M71" s="72">
        <f>IF(AND(Pricing!$AD$11="Price",Pricing!$E$11=Matrix!K71),$K6,)</f>
        <v>0</v>
      </c>
      <c r="N71" s="72">
        <f>IF(AND(Pricing!$AD$14="Price",Pricing!$E$14=Matrix!K71),L6,)</f>
        <v>0</v>
      </c>
      <c r="O71" s="72">
        <f>IF(AND(Pricing!$AD$17="Price",Pricing!$E$17=Matrix!K71),M6,)</f>
        <v>0</v>
      </c>
      <c r="P71" s="72">
        <f>IF(AND(Pricing!$AD$20="Price",Pricing!$E$20=Matrix!K71),N6,)</f>
        <v>0</v>
      </c>
      <c r="Q71" s="72">
        <f>IF(AND(Pricing!$AD$23="Price",Pricing!$E$23=Matrix!K71),O6,)</f>
        <v>0</v>
      </c>
      <c r="R71" s="72">
        <f>IF(AND(Pricing!$AD$26="Price",Pricing!$E$26=Matrix!K71),P6,)</f>
        <v>0</v>
      </c>
      <c r="S71" s="72">
        <f>IF(AND(Pricing!$AD$29="Price",Pricing!$E$29=Matrix!K71),Q6,)</f>
        <v>0</v>
      </c>
      <c r="T71" s="72">
        <f>IF(AND(Pricing!$AD$32="Price",Pricing!$E$32=Matrix!K71),R6,)</f>
        <v>0</v>
      </c>
      <c r="U71" s="72">
        <f>IF(AND(Pricing!$AD$35="Price",Pricing!$E$35=Matrix!K71),S6,)</f>
        <v>0</v>
      </c>
      <c r="V71" s="72">
        <f>IF(AND(Pricing!$AD$38="Price",Pricing!$E$38=Matrix!K71),T6,)</f>
        <v>0</v>
      </c>
      <c r="W71" s="72">
        <f>IF(AND(Pricing!$AD$41="Price",Pricing!$E$41=Matrix!K71),U6,)</f>
        <v>0</v>
      </c>
      <c r="X71" s="72">
        <f>IF(AND(Pricing!$AD$44="Price",Pricing!$E$44=Matrix!K71),V6,)</f>
        <v>0</v>
      </c>
      <c r="Y71" s="72">
        <f>IF(AND(Pricing!$AD$47="Price",Pricing!$E$47=Matrix!K71),W6,)</f>
        <v>0</v>
      </c>
      <c r="Z71" s="72">
        <f>IF(AND(Pricing!$AD$50="Price",Pricing!$E$50=Matrix!K71),X6,)</f>
        <v>0</v>
      </c>
      <c r="AA71" s="137">
        <f t="shared" si="15"/>
        <v>0</v>
      </c>
    </row>
    <row r="72" spans="2:28" x14ac:dyDescent="0.25">
      <c r="B72" t="s">
        <v>181</v>
      </c>
      <c r="C72" s="77">
        <f t="shared" si="12"/>
        <v>0</v>
      </c>
      <c r="D72" s="4">
        <f t="shared" si="13"/>
        <v>0</v>
      </c>
      <c r="E72" s="78">
        <f>IF(Pricing!AD17="Quoted",,IF(Pricing!E17="",,IF(ISERROR(Pricing!L17*Pricing!M17/1000000),,Pricing!L17*Pricing!M17/1000000)))</f>
        <v>1.7576000000000001</v>
      </c>
      <c r="F72" s="75">
        <f>IF(Pricing!AD17="Quoted",,IF(Pricing!J17 = "Silent",$E72*$C$9,0))</f>
        <v>61.516000000000005</v>
      </c>
      <c r="G72" s="75">
        <f>IF(Pricing!AD17="Quoted",IF(Pricing!D17="Tracked",$F$2*H72+$C$11,0),)</f>
        <v>0</v>
      </c>
      <c r="H72" s="119">
        <f t="shared" si="14"/>
        <v>0</v>
      </c>
      <c r="I72" s="75">
        <f t="shared" si="14"/>
        <v>0</v>
      </c>
      <c r="K72" s="34" t="s">
        <v>54</v>
      </c>
      <c r="L72" s="72">
        <f>IF(AND(Pricing!$AD$8="Price",Pricing!$E$8=Matrix!$K72),$J7,)</f>
        <v>0</v>
      </c>
      <c r="M72" s="72">
        <f>IF(AND(Pricing!$AD$11="Price",Pricing!$E$11=Matrix!K72),$K7,)</f>
        <v>0</v>
      </c>
      <c r="N72" s="72">
        <f>IF(AND(Pricing!$AD$14="Price",Pricing!$E$14=Matrix!K72),L7,)</f>
        <v>0</v>
      </c>
      <c r="O72" s="72">
        <f>IF(AND(Pricing!$AD$17="Price",Pricing!$E$17=Matrix!K72),M7,)</f>
        <v>0</v>
      </c>
      <c r="P72" s="72">
        <f>IF(AND(Pricing!$AD$20="Price",Pricing!$E$20=Matrix!K72),N7,)</f>
        <v>0</v>
      </c>
      <c r="Q72" s="72">
        <f>IF(AND(Pricing!$AD$23="Price",Pricing!$E$23=Matrix!K72),O7,)</f>
        <v>0</v>
      </c>
      <c r="R72" s="72">
        <f>IF(AND(Pricing!$AD$26="Price",Pricing!$E$26=Matrix!K72),P7,)</f>
        <v>0</v>
      </c>
      <c r="S72" s="72">
        <f>IF(AND(Pricing!$AD$29="Price",Pricing!$E$29=Matrix!K72),Q7,)</f>
        <v>0</v>
      </c>
      <c r="T72" s="72">
        <f>IF(AND(Pricing!$AD$32="Price",Pricing!$E$32=Matrix!K72),R7,)</f>
        <v>0</v>
      </c>
      <c r="U72" s="72">
        <f>IF(AND(Pricing!$AD$35="Price",Pricing!$E$35=Matrix!K72),S7,)</f>
        <v>0</v>
      </c>
      <c r="V72" s="72">
        <f>IF(AND(Pricing!$AD$38="Price",Pricing!$E$38=Matrix!K72),T7,)</f>
        <v>0</v>
      </c>
      <c r="W72" s="72">
        <f>IF(AND(Pricing!$AD$41="Price",Pricing!$E$41=Matrix!K72),U7,)</f>
        <v>0</v>
      </c>
      <c r="X72" s="72">
        <f>IF(AND(Pricing!$AD$44="Price",Pricing!$E$44=Matrix!K72),V7,)</f>
        <v>0</v>
      </c>
      <c r="Y72" s="72">
        <f>IF(AND(Pricing!$AD$47="Price",Pricing!$E$47=Matrix!K72),W7,)</f>
        <v>0</v>
      </c>
      <c r="Z72" s="72">
        <f>IF(AND(Pricing!$AD$50="Price",Pricing!$E$50=Matrix!K72),X7,)</f>
        <v>0</v>
      </c>
      <c r="AA72" s="137">
        <f t="shared" si="15"/>
        <v>0</v>
      </c>
    </row>
    <row r="73" spans="2:28" x14ac:dyDescent="0.25">
      <c r="B73" t="s">
        <v>182</v>
      </c>
      <c r="C73" s="77">
        <f t="shared" si="12"/>
        <v>0</v>
      </c>
      <c r="D73" s="4">
        <f t="shared" si="13"/>
        <v>0</v>
      </c>
      <c r="E73" s="78">
        <f>IF(Pricing!AD20="Quoted",,IF(Pricing!E20="",,IF(ISERROR(Pricing!L20*Pricing!M20/1000000),,Pricing!L20*Pricing!M20/1000000)))</f>
        <v>1.1439999999999999</v>
      </c>
      <c r="F73" s="75">
        <f>IF(Pricing!AD20="Quoted",,IF(Pricing!J20 = "Silent",E73*$C$9,0))</f>
        <v>40.04</v>
      </c>
      <c r="G73" s="75">
        <f>IF(Pricing!AD20="Quoted",IF(Pricing!D20="Tracked",$F$2*H73+$C$11,0),)</f>
        <v>0</v>
      </c>
      <c r="H73" s="119">
        <f t="shared" si="14"/>
        <v>0</v>
      </c>
      <c r="I73" s="75">
        <f t="shared" si="14"/>
        <v>0</v>
      </c>
      <c r="K73" s="34" t="s">
        <v>52</v>
      </c>
      <c r="L73" s="72">
        <f>IF(AND(Pricing!$AD$8="Price",Pricing!$E$8=Matrix!$K73),$J8,)</f>
        <v>0</v>
      </c>
      <c r="M73" s="72">
        <f>IF(AND(Pricing!$AD$11="Price",Pricing!$E$11=Matrix!K73),$K8,)</f>
        <v>0</v>
      </c>
      <c r="N73" s="72">
        <f>IF(AND(Pricing!$AD$14="Price",Pricing!$E$14=Matrix!K73),L8,)</f>
        <v>0</v>
      </c>
      <c r="O73" s="72">
        <f>IF(AND(Pricing!$AD$17="Price",Pricing!$E$17=Matrix!K73),M8,)</f>
        <v>0</v>
      </c>
      <c r="P73" s="72">
        <f>IF(AND(Pricing!$AD$20="Price",Pricing!$E$20=Matrix!K73),N8,)</f>
        <v>0</v>
      </c>
      <c r="Q73" s="72">
        <f>IF(AND(Pricing!$AD$23="Price",Pricing!$E$23=Matrix!K73),O8,)</f>
        <v>0</v>
      </c>
      <c r="R73" s="72">
        <f>IF(AND(Pricing!$AD$26="Price",Pricing!$E$26=Matrix!K73),P8,)</f>
        <v>0</v>
      </c>
      <c r="S73" s="72">
        <f>IF(AND(Pricing!$AD$29="Price",Pricing!$E$29=Matrix!K73),Q8,)</f>
        <v>0</v>
      </c>
      <c r="T73" s="72">
        <f>IF(AND(Pricing!$AD$32="Price",Pricing!$E$32=Matrix!K73),R8,)</f>
        <v>0</v>
      </c>
      <c r="U73" s="72">
        <f>IF(AND(Pricing!$AD$35="Price",Pricing!$E$35=Matrix!K73),S8,)</f>
        <v>0</v>
      </c>
      <c r="V73" s="72">
        <f>IF(AND(Pricing!$AD$38="Price",Pricing!$E$38=Matrix!K73),T8,)</f>
        <v>0</v>
      </c>
      <c r="W73" s="72">
        <f>IF(AND(Pricing!$AD$41="Price",Pricing!$E$41=Matrix!K73),U8,)</f>
        <v>0</v>
      </c>
      <c r="X73" s="72">
        <f>IF(AND(Pricing!$AD$44="Price",Pricing!$E$44=Matrix!K73),V8,)</f>
        <v>0</v>
      </c>
      <c r="Y73" s="72">
        <f>IF(AND(Pricing!$AD$47="Price",Pricing!$E$47=Matrix!K73),W8,)</f>
        <v>0</v>
      </c>
      <c r="Z73" s="72">
        <f>IF(AND(Pricing!$AD$50="Price",Pricing!$E$50=Matrix!K73),X8,)</f>
        <v>0</v>
      </c>
      <c r="AA73" s="137">
        <f t="shared" si="15"/>
        <v>0</v>
      </c>
    </row>
    <row r="74" spans="2:28" ht="15.75" thickBot="1" x14ac:dyDescent="0.3">
      <c r="B74" t="s">
        <v>183</v>
      </c>
      <c r="C74" s="77">
        <f t="shared" si="12"/>
        <v>0</v>
      </c>
      <c r="D74" s="4">
        <f t="shared" si="13"/>
        <v>0</v>
      </c>
      <c r="E74" s="78">
        <f>IF(Pricing!AD23="Quoted",,IF(Pricing!E23="",,IF(ISERROR(Pricing!L23*Pricing!M23/1000000),,Pricing!L23*Pricing!M23/1000000)))</f>
        <v>1.1439999999999999</v>
      </c>
      <c r="F74" s="75">
        <f>IF(Pricing!AD23="Quoted",,IF(Pricing!J23 = "Silent",$E74*$C$9,0))</f>
        <v>40.04</v>
      </c>
      <c r="G74" s="75">
        <f>IF(Pricing!AD23="Quoted",IF(Pricing!D23="Tracked",$F$2*H74+$C$11,0),)</f>
        <v>0</v>
      </c>
      <c r="H74" s="119">
        <f t="shared" si="14"/>
        <v>0</v>
      </c>
      <c r="I74" s="75">
        <f t="shared" si="14"/>
        <v>0</v>
      </c>
      <c r="K74" s="36" t="s">
        <v>57</v>
      </c>
      <c r="L74" s="72">
        <f>IF(AND(Pricing!$AD$8="Price",Pricing!$E$8=Matrix!$K74),$J9,)</f>
        <v>0</v>
      </c>
      <c r="M74" s="72">
        <f>IF(AND(Pricing!$AD$11="Price",Pricing!$E$11=Matrix!K74),$K9,)</f>
        <v>0</v>
      </c>
      <c r="N74" s="72">
        <f>IF(AND(Pricing!$AD$14="Price",Pricing!$E$14=Matrix!K74),L9,)</f>
        <v>0</v>
      </c>
      <c r="O74" s="72">
        <f>IF(AND(Pricing!$AD$17="Price",Pricing!$E$17=Matrix!K74),M9,)</f>
        <v>0</v>
      </c>
      <c r="P74" s="72">
        <f>IF(AND(Pricing!$AD$20="Price",Pricing!$E$20=Matrix!K74),N9,)</f>
        <v>0</v>
      </c>
      <c r="Q74" s="72">
        <f>IF(AND(Pricing!$AD$23="Price",Pricing!$E$23=Matrix!K74),O9,)</f>
        <v>0</v>
      </c>
      <c r="R74" s="72">
        <f>IF(AND(Pricing!$AD$26="Price",Pricing!$E$26=Matrix!K74),P9,)</f>
        <v>0</v>
      </c>
      <c r="S74" s="72">
        <f>IF(AND(Pricing!$AD$29="Price",Pricing!$E$29=Matrix!K74),Q9,)</f>
        <v>0</v>
      </c>
      <c r="T74" s="72">
        <f>IF(AND(Pricing!$AD$32="Price",Pricing!$E$32=Matrix!K74),R9,)</f>
        <v>0</v>
      </c>
      <c r="U74" s="72">
        <f>IF(AND(Pricing!$AD$35="Price",Pricing!$E$35=Matrix!K74),S9,)</f>
        <v>0</v>
      </c>
      <c r="V74" s="72">
        <f>IF(AND(Pricing!$AD$38="Price",Pricing!$E$38=Matrix!K74),T9,)</f>
        <v>0</v>
      </c>
      <c r="W74" s="72">
        <f>IF(AND(Pricing!$AD$41="Price",Pricing!$E$41=Matrix!K74),U9,)</f>
        <v>0</v>
      </c>
      <c r="X74" s="72">
        <f>IF(AND(Pricing!$AD$44="Price",Pricing!$E$44=Matrix!K74),V9,)</f>
        <v>0</v>
      </c>
      <c r="Y74" s="72">
        <f>IF(AND(Pricing!$AD$47="Price",Pricing!$E$47=Matrix!K74),W9,)</f>
        <v>0</v>
      </c>
      <c r="Z74" s="72">
        <f>IF(AND(Pricing!$AD$50="Price",Pricing!$E$50=Matrix!K74),X9,)</f>
        <v>0</v>
      </c>
      <c r="AA74" s="138">
        <f t="shared" si="15"/>
        <v>0</v>
      </c>
    </row>
    <row r="75" spans="2:28" ht="16.5" thickTop="1" thickBot="1" x14ac:dyDescent="0.3">
      <c r="B75" t="s">
        <v>184</v>
      </c>
      <c r="C75" s="77">
        <f t="shared" si="12"/>
        <v>0</v>
      </c>
      <c r="D75" s="4">
        <f t="shared" si="13"/>
        <v>0</v>
      </c>
      <c r="E75" s="78">
        <f>IF(Pricing!AD26="Quoted",,IF(Pricing!E26="",,IF(ISERROR(Pricing!L26*Pricing!M26/1000000),,Pricing!L26*Pricing!M26/1000000)))</f>
        <v>1.5449999999999999</v>
      </c>
      <c r="F75" s="75">
        <f>IF(Pricing!AD26="Quoted",,IF(Pricing!J26 = "Silent",$E75*$C$9,0))</f>
        <v>54.074999999999996</v>
      </c>
      <c r="G75" s="75">
        <f>IF(Pricing!AD26="Quoted",IF(Pricing!D26="Tracked",$F$2*H75+$C$11,0),)</f>
        <v>0</v>
      </c>
      <c r="H75" s="119">
        <f t="shared" si="14"/>
        <v>0</v>
      </c>
      <c r="I75" s="75">
        <f t="shared" si="14"/>
        <v>0</v>
      </c>
      <c r="K75" s="122" t="s">
        <v>612</v>
      </c>
      <c r="L75" s="123">
        <f>IF(Pricing!AD8="Quote",,IF(ISNA(VLOOKUP(Pricing!E8,K69:L74,2,0)),,VLOOKUP(Pricing!E8,K69:L74,2,0)))</f>
        <v>340</v>
      </c>
      <c r="M75" s="124">
        <f>IF(Pricing!AD11="Quote",,IF(ISNA(VLOOKUP(Pricing!E11,K69:M74,3,0)),,VLOOKUP(Pricing!E11,K69:M74,3,0)))</f>
        <v>340</v>
      </c>
      <c r="N75" s="124">
        <f>IF(Pricing!AD14="Quote",,IF(ISNA(VLOOKUP(Pricing!E14,K69:N74,4,0)),,VLOOKUP(Pricing!E14,K69:N74,4,0)))</f>
        <v>340</v>
      </c>
      <c r="O75" s="124">
        <f>IF(Pricing!AD17="Quote",,IF(ISNA(VLOOKUP(Pricing!E17,K69:O74,5,0)),,VLOOKUP(Pricing!E17,K69:O74,5,0)))</f>
        <v>340</v>
      </c>
      <c r="P75" s="124">
        <f>IF(Pricing!AB20="Quote",,IF(ISNA(VLOOKUP(Pricing!E20,K69:P74,6,0)),,VLOOKUP(Pricing!E20,K69:P74,6,0)))</f>
        <v>340</v>
      </c>
      <c r="Q75" s="124">
        <f>IF(Pricing!AB23="Quote",,IF(ISNA(VLOOKUP(Pricing!E23,K69:Q74,7,0)),,VLOOKUP(Pricing!E23,K69:Q74,7,0)))</f>
        <v>340</v>
      </c>
      <c r="R75" s="124">
        <f>IF(Pricing!AB26="Quote",,IF(ISNA(VLOOKUP(Pricing!E26,K69:R74,8,0)),,VLOOKUP(Pricing!E26,K69:R74,8,0)))</f>
        <v>340</v>
      </c>
      <c r="S75" s="125">
        <f>IF(Pricing!AB29="Quote",,IF(ISNA(VLOOKUP(Pricing!E29,K69:S74,9,0)),,VLOOKUP(Pricing!E29,K69:S74,9,0)))</f>
        <v>0</v>
      </c>
      <c r="T75" s="125">
        <f>IF(Pricing!AC32="Quote",,IF(ISNA(VLOOKUP(Pricing!E32,K69:T74,10,0)),,VLOOKUP(Pricing!E32,K69:T74,10,0)))</f>
        <v>0</v>
      </c>
      <c r="U75" s="125">
        <f>IF(Pricing!AD35="Quote",,IF(ISNA(VLOOKUP(Pricing!E35,K69:U74,11,0)),,VLOOKUP(Pricing!E35,K69:U74,11,0)))</f>
        <v>0</v>
      </c>
      <c r="V75" s="125">
        <f>IF(Pricing!AF38="Quote",,IF(ISNA(VLOOKUP(Pricing!E38,K69:V74,12,0)),,VLOOKUP(Pricing!E38,K69:V74,12,0)))</f>
        <v>0</v>
      </c>
      <c r="W75" s="125">
        <f>IF(Pricing!AG41="Quote",,IF(ISNA(VLOOKUP(Pricing!E41,K69:W74,13,0)),,VLOOKUP(Pricing!E41,K69:W74,13,0)))</f>
        <v>0</v>
      </c>
      <c r="X75" s="125">
        <f>IF(Pricing!AH44="Quote",,IF(ISNA(VLOOKUP(Pricing!E44,K69:X74,14,0)),,VLOOKUP(Pricing!E44,K69:X74,14,0)))</f>
        <v>0</v>
      </c>
      <c r="Y75" s="125">
        <f>IF(Pricing!AI47="Quote",,IF(ISNA(VLOOKUP(Pricing!E47,K69:Y74,15,0)),,VLOOKUP(Pricing!E47,K69:Y74,15,0)))</f>
        <v>0</v>
      </c>
      <c r="Z75" s="125">
        <f>IF(Pricing!AJ50="Quote",,IF(ISNA(VLOOKUP(Pricing!E50,K69:Z74,16,0)),,VLOOKUP(Pricing!E50,K69:Z74,16,0)))</f>
        <v>0</v>
      </c>
      <c r="AA75" s="126">
        <f>SUM(L75:Z75)</f>
        <v>2380</v>
      </c>
    </row>
    <row r="76" spans="2:28" ht="16.5" thickTop="1" thickBot="1" x14ac:dyDescent="0.3">
      <c r="B76" t="s">
        <v>185</v>
      </c>
      <c r="C76" s="77">
        <f t="shared" si="12"/>
        <v>0</v>
      </c>
      <c r="D76" s="4">
        <f t="shared" si="13"/>
        <v>0</v>
      </c>
      <c r="E76" s="78">
        <f>IF(Pricing!AD29="Quoted",,IF(Pricing!E29="",,IF(ISERROR(Pricing!L29*Pricing!M29/1000000),,Pricing!L29*Pricing!M29/1000000)))</f>
        <v>0</v>
      </c>
      <c r="F76" s="75">
        <f>IF(Pricing!AD29="Quoted",,IF(Pricing!J29 = "Silent",$E76*$C$9,0))</f>
        <v>0</v>
      </c>
      <c r="G76" s="75">
        <f>IF(Pricing!AD29="Quoted",IF(Pricing!D29="Tracked",$F$2*H76+$C$11,0),)</f>
        <v>0</v>
      </c>
      <c r="H76" s="119">
        <f t="shared" si="14"/>
        <v>0</v>
      </c>
      <c r="I76" s="75">
        <f t="shared" si="14"/>
        <v>0</v>
      </c>
      <c r="K76" s="127" t="s">
        <v>613</v>
      </c>
      <c r="L76" s="128">
        <f>IF('Survey Front'!AD42="Q",IF(ISNA(VLOOKUP('Survey Front'!E42,K69:L75,2,0)),,VLOOKUP('Survey Front'!E42,K69:L75,2,0)),)</f>
        <v>0</v>
      </c>
      <c r="M76" s="129">
        <f>IF('Survey Front'!AD45="Q",IF(ISNA(VLOOKUP('Survey Front'!E45,K69:M74,3,0)),,VLOOKUP('Survey Front'!E45,K69:M74,3,0)),)</f>
        <v>0</v>
      </c>
      <c r="N76" s="129">
        <f>IF('Survey Front'!AD48="Q", IF(ISNA(VLOOKUP('Survey Front'!E48,K69:N74,4,0)),,VLOOKUP('Survey Front'!E48,K69:N74,4,0)),)</f>
        <v>0</v>
      </c>
      <c r="O76" s="129">
        <f>IF('Survey Front'!AD51="Q",IF(ISNA(VLOOKUP('Survey Front'!E51,K69:P74,5,0)),,VLOOKUP('Survey Front'!E51,K69:O74,5,0)),)</f>
        <v>0</v>
      </c>
      <c r="P76" s="129">
        <f>IF('Survey Front'!AD54="Q",IF(ISNA(VLOOKUP('Survey Front'!E54,K69:P74,6,0)),,VLOOKUP('Survey Front'!E54,K69:P74,6,0)),)</f>
        <v>0</v>
      </c>
      <c r="Q76" s="129">
        <f>IF('Survey Front'!AD57="Q",IF(ISNA(VLOOKUP('Survey Front'!E57,K69:Q74,7,0)),,VLOOKUP('Survey Front'!E57,K69:Q74,7,0)),)</f>
        <v>0</v>
      </c>
      <c r="R76" s="129">
        <f>IF('Survey Front'!AD60="Q",IF(ISNA(VLOOKUP('Survey Front'!E60,K69:R74,8,0)),,VLOOKUP('Survey Front'!E60,K69:R74,8,0)),)</f>
        <v>0</v>
      </c>
      <c r="S76" s="129">
        <f>IF('Survey Front'!AD63="Q",IF(ISNA(VLOOKUP('Survey Front'!E63,K69:S74,9,0)),,VLOOKUP('Survey Front'!E63,K69:S74,9,0)),)</f>
        <v>0</v>
      </c>
      <c r="T76" s="129">
        <f>IF('Survey Front'!AE63="Q",IF(ISNA(VLOOKUP('Survey Front'!F63,L69:T74,9,0)),,VLOOKUP('Survey Front'!F63,L69:T74,9,0)),)</f>
        <v>0</v>
      </c>
      <c r="U76" s="129">
        <f>IF('Survey Front'!AF63="Q",IF(ISNA(VLOOKUP('Survey Front'!G63,M69:U74,9,0)),,VLOOKUP('Survey Front'!G63,M69:U74,9,0)),)</f>
        <v>0</v>
      </c>
      <c r="V76" s="129">
        <f>IF('Survey Front'!AG63="Q",IF(ISNA(VLOOKUP('Survey Front'!H63,N69:V74,9,0)),,VLOOKUP('Survey Front'!H63,N69:V74,9,0)),)</f>
        <v>0</v>
      </c>
      <c r="W76" s="129">
        <f>IF('Survey Front'!AH63="Q",IF(ISNA(VLOOKUP('Survey Front'!I63,O69:W74,9,0)),,VLOOKUP('Survey Front'!I63,O69:W74,9,0)),)</f>
        <v>0</v>
      </c>
      <c r="X76" s="129">
        <f>IF('Survey Front'!AI63="Q",IF(ISNA(VLOOKUP('Survey Front'!J63,P69:X74,9,0)),,VLOOKUP('Survey Front'!J63,P69:X74,9,0)),)</f>
        <v>0</v>
      </c>
      <c r="Y76" s="129">
        <f>IF('Survey Front'!AJ63="Q",IF(ISNA(VLOOKUP('Survey Front'!K63,Q69:Y74,9,0)),,VLOOKUP('Survey Front'!K63,Q69:Y74,9,0)),)</f>
        <v>0</v>
      </c>
      <c r="Z76" s="129">
        <f>IF('Survey Front'!AK63="Q",IF(ISNA(VLOOKUP('Survey Front'!L63,R69:Z74,9,0)),,VLOOKUP('Survey Front'!L63,R69:Z74,9,0)),)</f>
        <v>0</v>
      </c>
      <c r="AA76" s="130">
        <f>SUM(L76:Z76)</f>
        <v>0</v>
      </c>
    </row>
    <row r="77" spans="2:28" ht="15.75" thickTop="1" x14ac:dyDescent="0.25">
      <c r="B77" t="s">
        <v>186</v>
      </c>
      <c r="C77" s="77">
        <f t="shared" si="12"/>
        <v>0</v>
      </c>
      <c r="D77" s="4">
        <f t="shared" si="13"/>
        <v>0</v>
      </c>
      <c r="E77" s="78">
        <f>IF(Pricing!AD32="Quoted",,IF(Pricing!E32="",,IF(ISERROR(Pricing!L32*Pricing!M32/1000000),,Pricing!L32*Pricing!M32/1000000)))</f>
        <v>0</v>
      </c>
      <c r="F77" s="75">
        <f>IF(Pricing!AD32="Quoted",,IF(Pricing!J32 = "Silent",$E77*$C$9,0))</f>
        <v>0</v>
      </c>
      <c r="G77" s="75">
        <f>IF(Pricing!AD32="Quoted",IF(Pricing!D32="Tracked",$F$2*H77+$C$11,0),)</f>
        <v>0</v>
      </c>
      <c r="H77" s="119">
        <f t="shared" si="14"/>
        <v>0</v>
      </c>
      <c r="I77" s="75">
        <f t="shared" si="14"/>
        <v>0</v>
      </c>
    </row>
    <row r="78" spans="2:28" x14ac:dyDescent="0.25">
      <c r="B78" t="s">
        <v>187</v>
      </c>
      <c r="C78" s="77">
        <f t="shared" si="12"/>
        <v>0</v>
      </c>
      <c r="D78" s="4">
        <f t="shared" si="13"/>
        <v>0</v>
      </c>
      <c r="E78" s="78">
        <f>IF(Pricing!AD35="Quoted",,IF(Pricing!E35="",,IF(ISERROR(Pricing!L35*Pricing!M35/1000000),,Pricing!L35*Pricing!M35/1000000)))</f>
        <v>0</v>
      </c>
      <c r="F78" s="75">
        <f>IF(Pricing!AD35="Quoted",,IF(Pricing!J35 = "Silent",$E78*$C$9,0))</f>
        <v>0</v>
      </c>
      <c r="G78" s="75">
        <f>IF(Pricing!AD35="Quoted",IF(Pricing!D35="Tracked",$F$2*H78+$C$11,0),)</f>
        <v>0</v>
      </c>
      <c r="H78" s="119">
        <f t="shared" si="14"/>
        <v>0</v>
      </c>
      <c r="I78" s="75">
        <f t="shared" si="14"/>
        <v>0</v>
      </c>
      <c r="K78" s="834" t="s">
        <v>618</v>
      </c>
      <c r="L78" s="834"/>
      <c r="M78" s="834"/>
      <c r="N78" s="834"/>
      <c r="O78" s="834"/>
      <c r="P78" s="834"/>
      <c r="Q78" s="834"/>
      <c r="R78" s="834"/>
      <c r="S78" s="834"/>
      <c r="T78" s="834"/>
      <c r="U78" s="834"/>
      <c r="V78" s="834"/>
      <c r="W78" s="834"/>
      <c r="X78" s="834"/>
      <c r="Y78" s="834"/>
      <c r="Z78" s="834"/>
      <c r="AA78" s="834"/>
    </row>
    <row r="79" spans="2:28" x14ac:dyDescent="0.25">
      <c r="B79" t="s">
        <v>188</v>
      </c>
      <c r="C79" s="77">
        <f t="shared" si="12"/>
        <v>0</v>
      </c>
      <c r="D79" s="4">
        <f t="shared" si="13"/>
        <v>0</v>
      </c>
      <c r="E79" s="78">
        <f>IF(Pricing!AD38="Quoted",,IF(Pricing!E38="",,IF(ISERROR(Pricing!L38*Pricing!M38/1000000),,Pricing!L38*Pricing!M38/1000000)))</f>
        <v>0</v>
      </c>
      <c r="F79" s="75">
        <f>IF(Pricing!AD38="Quoted",,IF(Pricing!J38 = "Silent",$E79*$C$9,0))</f>
        <v>0</v>
      </c>
      <c r="G79" s="75">
        <f>IF(Pricing!AD38="Quoted",IF(Pricing!D38="Tracked",$F$2*H79+$C$11,0),)</f>
        <v>0</v>
      </c>
      <c r="H79" s="119">
        <f t="shared" si="14"/>
        <v>0</v>
      </c>
      <c r="I79" s="75">
        <f t="shared" si="14"/>
        <v>0</v>
      </c>
      <c r="K79" s="117"/>
      <c r="L79" s="80" t="s">
        <v>178</v>
      </c>
      <c r="M79" s="80" t="s">
        <v>179</v>
      </c>
      <c r="N79" s="80" t="s">
        <v>180</v>
      </c>
      <c r="O79" s="80" t="s">
        <v>181</v>
      </c>
      <c r="P79" s="80" t="s">
        <v>182</v>
      </c>
      <c r="Q79" s="80" t="s">
        <v>183</v>
      </c>
      <c r="R79" s="80" t="s">
        <v>184</v>
      </c>
      <c r="S79" s="80" t="s">
        <v>185</v>
      </c>
      <c r="T79" s="80" t="s">
        <v>186</v>
      </c>
      <c r="U79" s="80" t="s">
        <v>187</v>
      </c>
      <c r="V79" s="80" t="s">
        <v>188</v>
      </c>
      <c r="W79" s="80" t="s">
        <v>189</v>
      </c>
      <c r="X79" s="80" t="s">
        <v>190</v>
      </c>
      <c r="Y79" s="80" t="s">
        <v>191</v>
      </c>
      <c r="Z79" s="80" t="s">
        <v>192</v>
      </c>
      <c r="AA79" s="134" t="s">
        <v>619</v>
      </c>
    </row>
    <row r="80" spans="2:28" x14ac:dyDescent="0.25">
      <c r="B80" t="s">
        <v>189</v>
      </c>
      <c r="C80" s="77">
        <f t="shared" si="12"/>
        <v>0</v>
      </c>
      <c r="D80" s="4">
        <f t="shared" si="13"/>
        <v>0</v>
      </c>
      <c r="E80" s="78">
        <f>IF(Pricing!AD41="Quoted",,IF(Pricing!E41="",,IF(ISERROR(Pricing!L41*Pricing!M41/1000000),,Pricing!L41*Pricing!M41/1000000)))</f>
        <v>0</v>
      </c>
      <c r="F80" s="75">
        <f>IF(Pricing!AD41="Quoted",,IF(Pricing!J41 = "Silent",$E80*$C$9,0))</f>
        <v>0</v>
      </c>
      <c r="G80" s="75">
        <f>IF(Pricing!AD41="Quoted",IF(Pricing!D41="Tracked",$F$2*H80+$C$11,0),)</f>
        <v>0</v>
      </c>
      <c r="H80" s="119">
        <f t="shared" si="14"/>
        <v>0</v>
      </c>
      <c r="I80" s="75">
        <f t="shared" si="14"/>
        <v>0</v>
      </c>
      <c r="K80" s="34" t="s">
        <v>43</v>
      </c>
      <c r="L80" s="72">
        <f>(E21*C2)-((E21*C2)*C10)/(E21*C2)</f>
        <v>224.898</v>
      </c>
      <c r="M80" s="72">
        <f>IF(Pricing!$AD$11="Quoted",K13,)</f>
        <v>0</v>
      </c>
      <c r="N80" s="72">
        <f>IF(Pricing!$AD$14="Quoted",L13,)</f>
        <v>0</v>
      </c>
      <c r="O80" s="72">
        <f>IF(Pricing!$AD$17="Quoted",M13,)</f>
        <v>0</v>
      </c>
      <c r="P80" s="72">
        <f>IF(Pricing!$AD$20="Quoted",N13,)</f>
        <v>0</v>
      </c>
      <c r="Q80" s="72">
        <f>IF(Pricing!$AD$23="Quoted",O13,)</f>
        <v>0</v>
      </c>
      <c r="R80" s="72">
        <f>IF(Pricing!$AD$26="Quoted",P13,)</f>
        <v>0</v>
      </c>
      <c r="S80" s="72">
        <f>IF(Pricing!$AD$29="Quoted",Q13,)</f>
        <v>0</v>
      </c>
      <c r="T80" s="72">
        <f>IF(Pricing!$AD$32="Quoted",R13,)</f>
        <v>0</v>
      </c>
      <c r="U80" s="72">
        <f>IF(Pricing!$AD$35="Quoted",S13,)</f>
        <v>0</v>
      </c>
      <c r="V80" s="72">
        <f>IF(Pricing!$AD$38="Quoted",T13,)</f>
        <v>0</v>
      </c>
      <c r="W80" s="72">
        <f>IF(Pricing!$AD$41="Quoted",U13,)</f>
        <v>0</v>
      </c>
      <c r="X80" s="72">
        <f>IF(Pricing!$AD$44="Quoted",V13,)</f>
        <v>0</v>
      </c>
      <c r="Y80" s="72">
        <f>IF(Pricing!$AD$47="Quoted",W13,)</f>
        <v>0</v>
      </c>
      <c r="Z80" s="72">
        <f>IF(Pricing!$AD$50="Quoted",X13,)</f>
        <v>0</v>
      </c>
      <c r="AA80" s="68">
        <f>SUM(L80:Z80)</f>
        <v>224.898</v>
      </c>
    </row>
    <row r="81" spans="2:27" x14ac:dyDescent="0.25">
      <c r="B81" t="s">
        <v>190</v>
      </c>
      <c r="C81" s="77">
        <f t="shared" si="12"/>
        <v>0</v>
      </c>
      <c r="D81" s="4">
        <f t="shared" si="13"/>
        <v>0</v>
      </c>
      <c r="E81" s="78">
        <f>IF(Pricing!AD44="Quoted",,IF(Pricing!E44="",,IF(ISERROR(Pricing!L44*Pricing!M44/1000000),,Pricing!L44*Pricing!M44/1000000)))</f>
        <v>0</v>
      </c>
      <c r="F81" s="75">
        <f>IF(Pricing!AD44="Quoted",,IF(Pricing!J44 = "Silent",$E81*$C$9,0))</f>
        <v>0</v>
      </c>
      <c r="G81" s="75">
        <f>IF(Pricing!AD44="Quoted",IF(Pricing!D44="Tracked",$F$2*H81+$C$11,0),)</f>
        <v>0</v>
      </c>
      <c r="H81" s="119">
        <f t="shared" si="14"/>
        <v>0</v>
      </c>
      <c r="I81" s="75">
        <f t="shared" si="14"/>
        <v>0</v>
      </c>
      <c r="K81" s="34" t="s">
        <v>45</v>
      </c>
      <c r="L81" s="72">
        <f>IF(AND(Pricing!$AD$8="Quoted",Pricing!$E$8=Matrix!$K81),$J14,)</f>
        <v>0</v>
      </c>
      <c r="M81" s="72">
        <f>IF(AND(Pricing!$AD$11="Quoted",Pricing!$E$11=Matrix!K81),$K14,)</f>
        <v>0</v>
      </c>
      <c r="N81" s="72">
        <f>IF(AND(Pricing!$AD$14="Quoted",Pricing!$E$14=Matrix!K81),L14,)</f>
        <v>0</v>
      </c>
      <c r="O81" s="72">
        <f>IF(AND(Pricing!$AD$17="Quoted",Pricing!$E$17=Matrix!K81),M14,)</f>
        <v>0</v>
      </c>
      <c r="P81" s="72">
        <f>IF(AND(Pricing!$AD$20="Quoted",Pricing!$E$20=Matrix!K81),N14,)</f>
        <v>0</v>
      </c>
      <c r="Q81" s="72">
        <f>IF(AND(Pricing!$AD$23="Quoted",Pricing!$E$23=Matrix!K81),O14,)</f>
        <v>0</v>
      </c>
      <c r="R81" s="72">
        <f>IF(AND(Pricing!$AD$26="Quoted",Pricing!$E$26=Matrix!K81),P14,)</f>
        <v>0</v>
      </c>
      <c r="S81" s="72">
        <f>IF(AND(Pricing!$AD$29="Quoted",Pricing!$E$29=Matrix!K81),Q14,)</f>
        <v>0</v>
      </c>
      <c r="T81" s="72">
        <f>IF(AND(Pricing!$AD$32="Quoted",Pricing!$E$32=Matrix!K81),R14,)</f>
        <v>0</v>
      </c>
      <c r="U81" s="72">
        <f>IF(AND(Pricing!$AD$35="Quoted",Pricing!$E$35=Matrix!K81),S14,)</f>
        <v>0</v>
      </c>
      <c r="V81" s="72">
        <f>IF(AND(Pricing!$AD$38="Quoted",Pricing!$E$38=Matrix!K81),T14,)</f>
        <v>0</v>
      </c>
      <c r="W81" s="72">
        <f>IF(AND(Pricing!$AD$41="Quoted",Pricing!$E$41=Matrix!K81),U14,)</f>
        <v>0</v>
      </c>
      <c r="X81" s="72">
        <f>IF(AND(Pricing!$AD$44="Quoted",Pricing!$E$44=Matrix!K81),V14,)</f>
        <v>0</v>
      </c>
      <c r="Y81" s="72">
        <f>IF(AND(Pricing!$AD$47="Quoted",Pricing!$E$47=Matrix!K81),W14,)</f>
        <v>0</v>
      </c>
      <c r="Z81" s="72">
        <f>IF(AND(Pricing!$AD$50="Quoted",Pricing!$E$50=Matrix!K81),X14,)</f>
        <v>0</v>
      </c>
      <c r="AA81" s="68">
        <f t="shared" ref="AA81:AA85" si="16">SUM(L81:Z81)</f>
        <v>0</v>
      </c>
    </row>
    <row r="82" spans="2:27" x14ac:dyDescent="0.25">
      <c r="B82" t="s">
        <v>191</v>
      </c>
      <c r="C82" s="77">
        <f t="shared" si="12"/>
        <v>0</v>
      </c>
      <c r="D82" s="4">
        <f t="shared" si="13"/>
        <v>0</v>
      </c>
      <c r="E82" s="78">
        <f>IF(Pricing!AD47="Quoted",,IF(Pricing!E47="",,IF(ISERROR(Pricing!L47*Pricing!M47/1000000),,Pricing!L47*Pricing!M47/1000000)))</f>
        <v>0</v>
      </c>
      <c r="F82" s="75">
        <f>IF(Pricing!AD47="Quoted",,IF(Pricing!J47 = "Silent",$E82*$C$9,0))</f>
        <v>0</v>
      </c>
      <c r="G82" s="75">
        <f>IF(Pricing!AD47="Quoted",IF(Pricing!D47="Tracked",$F$2*H82+$C$11,0),)</f>
        <v>0</v>
      </c>
      <c r="H82" s="119">
        <f t="shared" si="14"/>
        <v>0</v>
      </c>
      <c r="I82" s="75">
        <f t="shared" si="14"/>
        <v>0</v>
      </c>
      <c r="K82" s="34" t="s">
        <v>48</v>
      </c>
      <c r="L82" s="72">
        <f>IF(AND(Pricing!$AD$8="Quoted",Pricing!$E$8=Matrix!$K82),$J15,)</f>
        <v>0</v>
      </c>
      <c r="M82" s="72">
        <f>IF(AND(Pricing!$AD$11="Quoted",Pricing!$E$11=Matrix!K82),$L15,)</f>
        <v>0</v>
      </c>
      <c r="N82" s="72">
        <f>IF(AND(Pricing!$AD$14="Quoted",Pricing!$E$14=Matrix!K82),L15,)</f>
        <v>0</v>
      </c>
      <c r="O82" s="72">
        <f>IF(AND(Pricing!$AD$17="Quoted",Pricing!$E$17=Matrix!K82),M15,)</f>
        <v>0</v>
      </c>
      <c r="P82" s="72">
        <f>IF(AND(Pricing!$AD$20="Quoted",Pricing!$E$20=Matrix!K82),N15,)</f>
        <v>0</v>
      </c>
      <c r="Q82" s="72">
        <f>IF(AND(Pricing!$AD$23="Quoted",Pricing!$E$23=Matrix!K82),O15,)</f>
        <v>0</v>
      </c>
      <c r="R82" s="72">
        <f>IF(AND(Pricing!$AD$26="Quoted",Pricing!$E$26=Matrix!K82),P15,)</f>
        <v>0</v>
      </c>
      <c r="S82" s="72">
        <f>IF(AND(Pricing!$AD$29="Quoted",Pricing!$E$29=Matrix!K82),Q15,)</f>
        <v>0</v>
      </c>
      <c r="T82" s="72">
        <f>IF(AND(Pricing!$AD$32="Quoted",Pricing!$E$32=Matrix!K82),R15,)</f>
        <v>0</v>
      </c>
      <c r="U82" s="72">
        <f>IF(AND(Pricing!$AD$35="Quoted",Pricing!$E$35=Matrix!K82),S15,)</f>
        <v>0</v>
      </c>
      <c r="V82" s="72">
        <f>IF(AND(Pricing!$AD$38="Quoted",Pricing!$E$38=Matrix!K82),T15,)</f>
        <v>0</v>
      </c>
      <c r="W82" s="72">
        <f>IF(AND(Pricing!$AD$41="Quoted",Pricing!$E$41=Matrix!K82),U15,)</f>
        <v>0</v>
      </c>
      <c r="X82" s="72">
        <f>IF(AND(Pricing!$AD$44="Quoted",Pricing!$E$44=Matrix!K82),V15,)</f>
        <v>0</v>
      </c>
      <c r="Y82" s="72">
        <f>IF(AND(Pricing!$AD$47="Quoted",Pricing!$E$47=Matrix!K82),W15,)</f>
        <v>0</v>
      </c>
      <c r="Z82" s="72">
        <f>IF(AND(Pricing!$AD$50="Quoted",Pricing!$E$50=Matrix!K82),X15,)</f>
        <v>0</v>
      </c>
      <c r="AA82" s="68">
        <f t="shared" si="16"/>
        <v>0</v>
      </c>
    </row>
    <row r="83" spans="2:27" x14ac:dyDescent="0.25">
      <c r="B83" t="s">
        <v>192</v>
      </c>
      <c r="C83" s="77">
        <f t="shared" si="12"/>
        <v>0</v>
      </c>
      <c r="D83" s="4">
        <f t="shared" si="13"/>
        <v>0</v>
      </c>
      <c r="E83" s="78">
        <f>IF(Pricing!AD50="Quoted",,IF(Pricing!E50="",,IF(ISERROR(Pricing!L50*Pricing!M50/1000000),,Pricing!L50*Pricing!M50/1000000)))</f>
        <v>0</v>
      </c>
      <c r="F83" s="75">
        <f>IF(Pricing!AD50="Quoted",,IF(Pricing!J50 = "Silent",$E83*$C$9,0))</f>
        <v>0</v>
      </c>
      <c r="G83" s="75">
        <f>IF(Pricing!AD50="Quoted",IF(Pricing!D50="Tracked",$F$2*H83+$C$11,0),)</f>
        <v>0</v>
      </c>
      <c r="H83" s="119">
        <f t="shared" si="14"/>
        <v>0</v>
      </c>
      <c r="I83" s="75">
        <f t="shared" si="14"/>
        <v>0</v>
      </c>
      <c r="K83" s="34" t="s">
        <v>54</v>
      </c>
      <c r="L83" s="72">
        <f>IF(AND(Pricing!$AD$8="Quoted",Pricing!$E$8=Matrix!$K83),$J16,)</f>
        <v>0</v>
      </c>
      <c r="M83" s="72">
        <f>IF(AND(Pricing!$AD$11="Quoted",Pricing!$E$11=Matrix!K83),$K16,)</f>
        <v>0</v>
      </c>
      <c r="N83" s="72">
        <f>IF(AND(Pricing!$AD$14="Quoted",Pricing!$E$14=Matrix!K83),L16,)</f>
        <v>0</v>
      </c>
      <c r="O83" s="72">
        <f>IF(AND(Pricing!$AD$17="Quoted",Pricing!$E$17=Matrix!K83),M16,)</f>
        <v>0</v>
      </c>
      <c r="P83" s="72">
        <f>IF(AND(Pricing!$AD$20="Quoted",Pricing!$E$20=Matrix!K83),N16,)</f>
        <v>0</v>
      </c>
      <c r="Q83" s="72">
        <f>IF(AND(Pricing!$AD$23="Quoted",Pricing!$E$23=Matrix!K83),O16,)</f>
        <v>0</v>
      </c>
      <c r="R83" s="72">
        <f>IF(AND(Pricing!$AD$26="Quoted",Pricing!$E$26=Matrix!K83),P16,)</f>
        <v>0</v>
      </c>
      <c r="S83" s="72">
        <f>IF(AND(Pricing!$AD$29="Quoted",Pricing!$E$29=Matrix!K83),Q16,)</f>
        <v>0</v>
      </c>
      <c r="T83" s="72">
        <f>IF(AND(Pricing!$AD$32="Quoted",Pricing!$E$32=Matrix!K83),R16,)</f>
        <v>0</v>
      </c>
      <c r="U83" s="72">
        <f>IF(AND(Pricing!$AD$35="Quoted",Pricing!$E$35=Matrix!K83),S16,)</f>
        <v>0</v>
      </c>
      <c r="V83" s="72">
        <f>IF(AND(Pricing!$AD$38="Quoted",Pricing!$E$38=Matrix!K83),T16,)</f>
        <v>0</v>
      </c>
      <c r="W83" s="72">
        <f>IF(AND(Pricing!$AD$41="Quoted",Pricing!$E$41=Matrix!K83),U16,)</f>
        <v>0</v>
      </c>
      <c r="X83" s="72">
        <f>IF(AND(Pricing!$AD$44="Quoted",Pricing!$E$44=Matrix!K83),V16,)</f>
        <v>0</v>
      </c>
      <c r="Y83" s="72">
        <f>IF(AND(Pricing!$AD$47="Quoted",Pricing!$E$47=Matrix!K83),W16,)</f>
        <v>0</v>
      </c>
      <c r="Z83" s="72">
        <f>IF(AND(Pricing!$AD$50="Quoted",Pricing!$E$50=Matrix!K83),X16,)</f>
        <v>0</v>
      </c>
      <c r="AA83" s="68">
        <f t="shared" si="16"/>
        <v>0</v>
      </c>
    </row>
    <row r="84" spans="2:27" x14ac:dyDescent="0.25">
      <c r="K84" s="34" t="s">
        <v>52</v>
      </c>
      <c r="L84" s="72">
        <f>IF(AND(Pricing!$AD$8="Quoted",Pricing!$E$8=Matrix!$K84),$J17,)</f>
        <v>0</v>
      </c>
      <c r="M84" s="72">
        <f>IF(AND(Pricing!$AD$11="Quoted",Pricing!$E$11=Matrix!K84),$K17,)</f>
        <v>0</v>
      </c>
      <c r="N84" s="72">
        <f>IF(AND(Pricing!$AD$14="Quoted",Pricing!$E$14=Matrix!K84),L17,)</f>
        <v>0</v>
      </c>
      <c r="O84" s="72">
        <f>IF(AND(Pricing!$AD$17="Quoted",Pricing!$E$17=Matrix!K84),M17,)</f>
        <v>0</v>
      </c>
      <c r="P84" s="72">
        <f>IF(AND(Pricing!$AD$20="Quoted",Pricing!$E$20=Matrix!K84),N17,)</f>
        <v>0</v>
      </c>
      <c r="Q84" s="72">
        <f>IF(AND(Pricing!$AD$23="Quoted",Pricing!$E$23=Matrix!K84),O17,)</f>
        <v>0</v>
      </c>
      <c r="R84" s="72">
        <f>IF(AND(Pricing!$AD$26="Quoted",Pricing!$E$26=Matrix!K84),P17,)</f>
        <v>0</v>
      </c>
      <c r="S84" s="72">
        <f>IF(AND(Pricing!$AD$29="Quoted",Pricing!$E$29=Matrix!K84),Q17,)</f>
        <v>0</v>
      </c>
      <c r="T84" s="72">
        <f>IF(AND(Pricing!$AD$32="Quoted",Pricing!$E$32=Matrix!K84),R17,)</f>
        <v>0</v>
      </c>
      <c r="U84" s="72">
        <f>IF(AND(Pricing!$AD$35="Quoted",Pricing!$E$35=Matrix!K84),S17,)</f>
        <v>0</v>
      </c>
      <c r="V84" s="72">
        <f>IF(AND(Pricing!$AD$38="Quoted",Pricing!$E$38=Matrix!K84),T17,)</f>
        <v>0</v>
      </c>
      <c r="W84" s="72">
        <f>IF(AND(Pricing!$AD$41="Quoted",Pricing!$E$41=Matrix!K84),U17,)</f>
        <v>0</v>
      </c>
      <c r="X84" s="72">
        <f>IF(AND(Pricing!$AD$44="Quoted",Pricing!$E$44=Matrix!K84),V17,)</f>
        <v>0</v>
      </c>
      <c r="Y84" s="72">
        <f>IF(AND(Pricing!$AD$47="Quoted",Pricing!$E$47=Matrix!K84),W17,)</f>
        <v>0</v>
      </c>
      <c r="Z84" s="72">
        <f>IF(AND(Pricing!$AD$50="Quoted",Pricing!$E$50=Matrix!K84),X17,)</f>
        <v>0</v>
      </c>
      <c r="AA84" s="68">
        <f t="shared" si="16"/>
        <v>0</v>
      </c>
    </row>
    <row r="85" spans="2:27" x14ac:dyDescent="0.25">
      <c r="B85" s="834" t="s">
        <v>620</v>
      </c>
      <c r="C85" s="834"/>
      <c r="D85" s="834"/>
      <c r="E85" s="834"/>
      <c r="F85" s="90" t="s">
        <v>226</v>
      </c>
      <c r="G85" s="90" t="s">
        <v>265</v>
      </c>
      <c r="H85" s="90" t="s">
        <v>266</v>
      </c>
      <c r="I85" s="90" t="s">
        <v>208</v>
      </c>
      <c r="J85" s="139" t="s">
        <v>239</v>
      </c>
      <c r="K85" s="34" t="s">
        <v>57</v>
      </c>
      <c r="L85" s="72">
        <f>IF(AND(Pricing!$AD$8="Quoted",Pricing!$E$8=Matrix!$K85),$J18,)</f>
        <v>0</v>
      </c>
      <c r="M85" s="72">
        <f>IF(AND(Pricing!$AD$11="Quoted",Pricing!$E$11=Matrix!K85),$K18,)</f>
        <v>0</v>
      </c>
      <c r="N85" s="72">
        <f>IF(AND(Pricing!$AD$14="Quoted",Pricing!$E$14=Matrix!K85),L18,)</f>
        <v>0</v>
      </c>
      <c r="O85" s="72">
        <f>IF(AND(Pricing!$AD$17="Quoted",Pricing!$E$17=Matrix!K85),M18,)</f>
        <v>0</v>
      </c>
      <c r="P85" s="72">
        <f>IF(AND(Pricing!$AD$20="Quoted",Pricing!$E$20=Matrix!K85),N18,)</f>
        <v>0</v>
      </c>
      <c r="Q85" s="72">
        <f>IF(AND(Pricing!$AD$23="Quoted",Pricing!$E$23=Matrix!K85),O18,)</f>
        <v>0</v>
      </c>
      <c r="R85" s="72">
        <f>IF(AND(Pricing!$AD$26="Quoted",Pricing!$E$26=Matrix!K85),P18,)</f>
        <v>0</v>
      </c>
      <c r="S85" s="72">
        <f>IF(AND(Pricing!$AD$29="Quoted",Pricing!$E$29=Matrix!K85),Q18,)</f>
        <v>0</v>
      </c>
      <c r="T85" s="72">
        <f>IF(AND(Pricing!$AD$32="Quoted",Pricing!$E$32=Matrix!K85),R18,)</f>
        <v>0</v>
      </c>
      <c r="U85" s="72">
        <f>IF(AND(Pricing!$AD$35="Quoted",Pricing!$E$35=Matrix!K85),S18,)</f>
        <v>0</v>
      </c>
      <c r="V85" s="72">
        <f>IF(AND(Pricing!$AD$38="Quoted",Pricing!$E$38=Matrix!K85),T18,)</f>
        <v>0</v>
      </c>
      <c r="W85" s="72">
        <f>IF(AND(Pricing!$AD$41="Quoted",Pricing!$E$41=Matrix!K85),U18,)</f>
        <v>0</v>
      </c>
      <c r="X85" s="72">
        <f>IF(AND(Pricing!$AD$44="Quoted",Pricing!$E$44=Matrix!K85),V18,)</f>
        <v>0</v>
      </c>
      <c r="Y85" s="72">
        <f>IF(AND(Pricing!$AD$47="Quoted",Pricing!$E$47=Matrix!K85),W18,)</f>
        <v>0</v>
      </c>
      <c r="Z85" s="72">
        <f>IF(AND(Pricing!$AD$50="Quoted",Pricing!$E$50=Matrix!K85),X18,)</f>
        <v>0</v>
      </c>
      <c r="AA85" s="68">
        <f t="shared" si="16"/>
        <v>0</v>
      </c>
    </row>
    <row r="86" spans="2:27" x14ac:dyDescent="0.25">
      <c r="B86" t="s">
        <v>178</v>
      </c>
      <c r="E86" s="78">
        <f>IF(Pricing!AD8="Quoted",IF(Pricing!E8="",,IF(ISERROR(Pricing!L8*Pricing!M8/1000000),,Pricing!L8*Pricing!M8/1000000)),)</f>
        <v>0</v>
      </c>
      <c r="F86">
        <f>IF(Pricing!AD8="Quoted",IF(Pricing!D8 = "Silent",E86*$C$9,0),)</f>
        <v>0</v>
      </c>
      <c r="G86" s="68">
        <f>IF(Pricing!AD8="Quoted",IF(Pricing!D8="Tracked",$F$2*E86+$C$11,0),)</f>
        <v>0</v>
      </c>
      <c r="H86">
        <f>IF(Pricing!AD8="Quoted",IF(Pricing!D8="Tracked",CONVERT(Pricing!L8,"mm","m"),),)</f>
        <v>0</v>
      </c>
      <c r="I86" s="68">
        <f>IF(Pricing!AD8="Quoted",E86*$F$3,)</f>
        <v>0</v>
      </c>
    </row>
    <row r="87" spans="2:27" x14ac:dyDescent="0.25">
      <c r="B87" t="s">
        <v>179</v>
      </c>
      <c r="E87" s="78">
        <f>IF(Pricing!D11="Quoted",IF(Pricing!E11="",,IF(ISERROR(Pricing!L11*Pricing!M11/1000000),,Pricing!L11*Pricing!M11/1000000)),)</f>
        <v>0</v>
      </c>
      <c r="F87">
        <f>IF(Pricing!AD11="Quoted",IF(Pricing!D11 = "Silent",E87*$C$9,0),)</f>
        <v>0</v>
      </c>
      <c r="G87" s="68">
        <f>IF(Pricing!AD11="Quoted",IF(Pricing!D11="Tracked",$F$2*E87+$C$11,0),)</f>
        <v>0</v>
      </c>
      <c r="H87">
        <f>IF(Pricing!AD11="Quoted",IF(Pricing!D11="Tracked",CONVERT(Pricing!L11,"mm","m"),),)</f>
        <v>0</v>
      </c>
      <c r="I87" s="68">
        <f>IF(Pricing!A11="Quoted",E87*$F$3,)</f>
        <v>0</v>
      </c>
    </row>
    <row r="88" spans="2:27" x14ac:dyDescent="0.25">
      <c r="B88" t="s">
        <v>180</v>
      </c>
      <c r="E88" s="78">
        <f>IF(Pricing!AD14="Quoted",IF(Pricing!E14="",,IF(ISERROR(Pricing!L14*Pricing!M14/1000000),,Pricing!L14*Pricing!M14/1000000)),)</f>
        <v>0</v>
      </c>
      <c r="F88">
        <f>IF(Pricing!AD14="Quoted",IF(Pricing!D14 = "Silent",E88*$C$9,0),)</f>
        <v>0</v>
      </c>
      <c r="G88" s="68">
        <f>IF(Pricing!AD14="Quoted",IF(Pricing!D14="Tracked",$F$2*E88+$C$11,0),)</f>
        <v>0</v>
      </c>
      <c r="H88">
        <f>IF(Pricing!AD14="Quoted",IF(Pricing!D14="Tracked",CONVERT(Pricing!L14,"mm","m"),),)</f>
        <v>0</v>
      </c>
      <c r="I88" s="68">
        <f>IF(Pricing!AD14="Quoted",E88*$F$3,)</f>
        <v>0</v>
      </c>
    </row>
    <row r="89" spans="2:27" x14ac:dyDescent="0.25">
      <c r="B89" t="s">
        <v>181</v>
      </c>
      <c r="E89" s="78">
        <f>IF(Pricing!AD17="Quoted",IF(Pricing!E17="",,IF(ISERROR(Pricing!L17*Pricing!M17/1000000),,Pricing!L17*Pricing!M17/1000000)),)</f>
        <v>0</v>
      </c>
      <c r="F89">
        <f>IF(Pricing!AD17="Quoted",IF(Pricing!D17 = "Silent",E89*$C$9,0),)</f>
        <v>0</v>
      </c>
      <c r="G89" s="68">
        <f>IF(Pricing!AD17="Quoted",IF(Pricing!D17="Tracked",$F$2*E89+$C$11,0),)</f>
        <v>0</v>
      </c>
      <c r="H89">
        <f>IF(Pricing!AD17="Quoted",IF(Pricing!D17="Tracked",CONVERT(Pricing!L17,"mm","m"),),)</f>
        <v>0</v>
      </c>
      <c r="I89" s="68">
        <f>IF(Pricing!AD17="Quoted",E89*$F$3,)</f>
        <v>0</v>
      </c>
    </row>
    <row r="90" spans="2:27" x14ac:dyDescent="0.25">
      <c r="B90" t="s">
        <v>182</v>
      </c>
      <c r="E90" s="78">
        <f>IF(Pricing!AD20="Quoted",IF(Pricing!E20="",,IF(ISERROR(Pricing!L20*Pricing!M20/1000000),,Pricing!L20*Pricing!M20/1000000)),)</f>
        <v>0</v>
      </c>
      <c r="F90">
        <f>IF(Pricing!AD20="Quoted",IF(Pricing!D20 = "Silent",E90*$C$9,0),)</f>
        <v>0</v>
      </c>
      <c r="G90" s="68">
        <f>IF(Pricing!AD20="Quoted",IF(Pricing!D20="Tracked",$F$2*E90+$C$11,0),)</f>
        <v>0</v>
      </c>
      <c r="H90">
        <f>IF(Pricing!AD20="Quoted",IF(Pricing!D20="Tracked",CONVERT(Pricing!L20,"mm","m"),),)</f>
        <v>0</v>
      </c>
      <c r="I90" s="68">
        <f>IF(Pricing!AD20="Quoted",E90*$F$3,)</f>
        <v>0</v>
      </c>
    </row>
    <row r="91" spans="2:27" x14ac:dyDescent="0.25">
      <c r="B91" t="s">
        <v>183</v>
      </c>
      <c r="E91" s="78">
        <f>IF(Pricing!AD23="Quoted",IF(Pricing!E23="",,IF(ISERROR(Pricing!L23*Pricing!M23/1000000),,Pricing!L23*Pricing!M23/1000000)),)</f>
        <v>0</v>
      </c>
      <c r="F91">
        <f>IF(Pricing!AD23="Quoted",IF(Pricing!D23 = "Silent",E91*$C$9,0),)</f>
        <v>0</v>
      </c>
      <c r="G91" s="68">
        <f>IF(Pricing!AD23="Quoted",IF(Pricing!D23="Tracked",$F$2*E91+$C$11,0),)</f>
        <v>0</v>
      </c>
      <c r="H91">
        <f>IF(Pricing!AD23="Quoted",IF(Pricing!D23="Tracked",CONVERT(Pricing!L23,"mm","m"),),)</f>
        <v>0</v>
      </c>
      <c r="I91" s="68">
        <f>IF(Pricing!AD23="Quoted",E91*$F$3,)</f>
        <v>0</v>
      </c>
    </row>
    <row r="92" spans="2:27" x14ac:dyDescent="0.25">
      <c r="B92" t="s">
        <v>184</v>
      </c>
      <c r="E92" s="78">
        <f>IF(Pricing!AD26="Quoted",IF(Pricing!E26="",,IF(ISERROR(Pricing!L26*Pricing!M26/1000000),,Pricing!L26*Pricing!M26/1000000)),)</f>
        <v>0</v>
      </c>
      <c r="F92">
        <f>IF(Pricing!AD26="Quoted",IF(Pricing!D26 = "Silent",E92*$C$9,0),)</f>
        <v>0</v>
      </c>
      <c r="G92" s="68">
        <f>IF(Pricing!AD26="Quoted",IF(Pricing!D26="Tracked",$F$2*E92+$C$11,0),)</f>
        <v>0</v>
      </c>
      <c r="H92">
        <f>IF(Pricing!AD26="Quoted",IF(Pricing!D26="Tracked",CONVERT(Pricing!L26,"mm","m"),),)</f>
        <v>0</v>
      </c>
      <c r="I92" s="68">
        <f>IF(Pricing!AD26="Quoted",E92*$F$3,)</f>
        <v>0</v>
      </c>
    </row>
    <row r="93" spans="2:27" x14ac:dyDescent="0.25">
      <c r="B93" t="s">
        <v>185</v>
      </c>
      <c r="E93" s="78">
        <f>IF(Pricing!AD29="Quoted",IF(Pricing!E29="",IF(ISERROR(Pricing!L29*Pricing!M29/1000000),,Pricing!L29*Pricing!M29/1000000)),)</f>
        <v>0</v>
      </c>
      <c r="F93">
        <f>IF(Pricing!AD29="Quoted",IF(Pricing!D29 = "Silent",E93*$C$9,0),)</f>
        <v>0</v>
      </c>
      <c r="G93" s="68">
        <f>IF(Pricing!AD29="Quoted",IF(Pricing!D29="Tracked",$F$2*E93+$C$11,0),)</f>
        <v>0</v>
      </c>
      <c r="H93">
        <f>IF(Pricing!AD29="Quoted",IF(Pricing!D29="Tracked",CONVERT(Pricing!L29,"mm","m"),),)</f>
        <v>0</v>
      </c>
      <c r="I93" s="68">
        <f>IF(Pricing!AD29="Quoted",E93*$F$3,)</f>
        <v>0</v>
      </c>
    </row>
    <row r="94" spans="2:27" x14ac:dyDescent="0.25">
      <c r="B94" t="s">
        <v>186</v>
      </c>
      <c r="E94" s="78">
        <f>IF(Pricing!AD32="Quoted",IF(Pricing!E32="",,IF(ISERROR(Pricing!L32*Pricing!M32/1000000),,Pricing!L32*Pricing!M32/1000000)),)</f>
        <v>0</v>
      </c>
      <c r="F94">
        <f>IF(Pricing!AD32="Quoted",IF(Pricing!D32 = "Silent",E94*$C$9,0),)</f>
        <v>0</v>
      </c>
      <c r="G94" s="68">
        <f>IF(Pricing!AD32="Quoted",IF(Pricing!D32="Tracked",$F$2*E94+$C$11,0),)</f>
        <v>0</v>
      </c>
      <c r="H94">
        <f>IF(Pricing!AD32="Quoted",IF(Pricing!D32="Tracked",CONVERT(Pricing!L32,"mm","m"),),)</f>
        <v>0</v>
      </c>
      <c r="I94" s="68">
        <f>IF(Pricing!AD32="Quoted",E94*$F$3,)</f>
        <v>0</v>
      </c>
    </row>
    <row r="95" spans="2:27" x14ac:dyDescent="0.25">
      <c r="B95" t="s">
        <v>187</v>
      </c>
      <c r="E95" s="78">
        <f>IF(Pricing!AD35="Quoted",IF(Pricing!E35="",,IF(ISERROR(Pricing!L35*Pricing!M35/1000000),,Pricing!L35*Pricing!M35/1000000)),)</f>
        <v>0</v>
      </c>
      <c r="F95">
        <f>IF(Pricing!AD35="Quoted",IF(Pricing!D35 = "Silent",E95*$C$9,0),)</f>
        <v>0</v>
      </c>
      <c r="G95" s="68">
        <f>IF(Pricing!AD35="Quoted",IF(Pricing!D35="Tracked",$F$2*E95+$C$11,0),)</f>
        <v>0</v>
      </c>
      <c r="H95">
        <f>IF(Pricing!AD35="Quoted",IF(Pricing!D35="Tracked",CONVERT(Pricing!L35,"mm","m"),),)</f>
        <v>0</v>
      </c>
      <c r="I95" s="68">
        <f>IF(Pricing!AD35="Quoted",E95*$F$3,)</f>
        <v>0</v>
      </c>
    </row>
    <row r="96" spans="2:27" x14ac:dyDescent="0.25">
      <c r="B96" t="s">
        <v>188</v>
      </c>
      <c r="E96" s="78">
        <f>IF(Pricing!AD38="Quoted",IF(Pricing!E38="",,IF(ISERROR(Pricing!L38*Pricing!M38/1000000),,Pricing!L38*Pricing!M38/1000000)),)</f>
        <v>0</v>
      </c>
      <c r="F96">
        <f>IF(Pricing!AD38="Quoted",IF(Pricing!D38= "Silent",E96*$C$9,0),)</f>
        <v>0</v>
      </c>
      <c r="G96" s="68">
        <f>IF(Pricing!AD38="Quoted",IF(Pricing!D38="Tracked",$F$2*E96+$C$11,0),)</f>
        <v>0</v>
      </c>
      <c r="H96">
        <f>IF(Pricing!AD38="Quoted",IF(Pricing!D38="Tracked",CONVERT(Pricing!L38,"mm","m"),),)</f>
        <v>0</v>
      </c>
      <c r="I96" s="68">
        <f>IF(Pricing!AD38="Quoted",E96*$F$3,)</f>
        <v>0</v>
      </c>
    </row>
    <row r="97" spans="2:9" x14ac:dyDescent="0.25">
      <c r="B97" t="s">
        <v>189</v>
      </c>
      <c r="E97" s="78">
        <f>IF(Pricing!AD41="Quoted",IF(Pricing!E41="",,IF(ISERROR(Pricing!L41*Pricing!M41/1000000),,Pricing!L41*Pricing!M41/1000000)),)</f>
        <v>0</v>
      </c>
      <c r="F97">
        <f>IF(Pricing!AD41="Quoted",IF(Pricing!D41 = "Silent",E97*$C$9,0),)</f>
        <v>0</v>
      </c>
      <c r="G97" s="68">
        <f>IF(Pricing!AD41="Quoted",IF(Pricing!D41="Tracked",$F$2*E97+$C$11,0),)</f>
        <v>0</v>
      </c>
      <c r="H97">
        <f>IF(Pricing!AD41="Quoted",IF(Pricing!D41="Tracked",CONVERT(Pricing!L41,"mm","m"),),)</f>
        <v>0</v>
      </c>
      <c r="I97" s="68">
        <f>IF(Pricing!AD41="Quoted",E97*$F$3,)</f>
        <v>0</v>
      </c>
    </row>
    <row r="98" spans="2:9" x14ac:dyDescent="0.25">
      <c r="B98" t="s">
        <v>190</v>
      </c>
      <c r="E98" s="78">
        <f>IF(Pricing!AD44="Quoted",IF(Pricing!E44="",,IF(ISERROR(Pricing!L44*Pricing!M44/1000000),,Pricing!L44*Pricing!M44/1000000)),)</f>
        <v>0</v>
      </c>
      <c r="F98">
        <f>IF(Pricing!AD44="Quoted",IF(Pricing!D44 = "Silent",E98*$C$9,0),)</f>
        <v>0</v>
      </c>
      <c r="G98" s="68">
        <f>IF(Pricing!AD44="Quoted",IF(Pricing!D44="Tracked",$F$2*E98+$C$11,0),)</f>
        <v>0</v>
      </c>
      <c r="H98">
        <f>IF(Pricing!AD44="Quoted",IF(Pricing!D44="Tracked",CONVERT(Pricing!L44,"mm","m"),),)</f>
        <v>0</v>
      </c>
      <c r="I98" s="68">
        <f>IF(Pricing!AD44="Quoted",E98*$F$3,)</f>
        <v>0</v>
      </c>
    </row>
    <row r="99" spans="2:9" x14ac:dyDescent="0.25">
      <c r="B99" t="s">
        <v>191</v>
      </c>
      <c r="E99" s="78">
        <f>IF(Pricing!AD47="Quoted",IF(Pricing!E47="",,IF(ISERROR(Pricing!L47*Pricing!M47/1000000),,Pricing!L47*Pricing!M47/1000000)),)</f>
        <v>0</v>
      </c>
      <c r="F99">
        <f>IF(Pricing!AD47="Quoted",IF(Pricing!D47 = "Silent",E99*$C$9,0),)</f>
        <v>0</v>
      </c>
      <c r="G99" s="68">
        <f>IF(Pricing!AD47="Quoted",IF(Pricing!D47="Tracked",$F$2*E99+$C$11,0),)</f>
        <v>0</v>
      </c>
      <c r="H99">
        <f>IF(Pricing!AD47="Quoted",IF(Pricing!D47="Tracked",CONVERT(Pricing!L47,"mm","m"),),)</f>
        <v>0</v>
      </c>
      <c r="I99" s="68">
        <f>IF(Pricing!AD47="Quoted",E99*$F$3,)</f>
        <v>0</v>
      </c>
    </row>
    <row r="100" spans="2:9" x14ac:dyDescent="0.25">
      <c r="B100" t="s">
        <v>192</v>
      </c>
      <c r="E100" s="78">
        <f>IF(Pricing!AD50="Quoted",IF(Pricing!E50="",,IF(ISERROR(Pricing!L50*Pricing!M50/1000000),,Pricing!L50*Pricing!M50/1000000)),)</f>
        <v>0</v>
      </c>
      <c r="F100">
        <f>IF(Pricing!AD50="Quoted",IF(Pricing!D50 = "Silent",E100*$C$9,0),)</f>
        <v>0</v>
      </c>
      <c r="G100" s="68">
        <f>IF(Pricing!AD50="Quoted",IF(Pricing!D50="Tracked",$F$2*E100+$C$11,0),)</f>
        <v>0</v>
      </c>
      <c r="H100">
        <f>IF(Pricing!AD50="Quoted",IF(Pricing!D50="Tracked",CONVERT(Pricing!L50,"mm","m"),),)</f>
        <v>0</v>
      </c>
      <c r="I100" s="68">
        <f>IF(Pricing!AD50="Quoted",E100*$F$3,)</f>
        <v>0</v>
      </c>
    </row>
  </sheetData>
  <mergeCells count="129">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A17:AB17"/>
    <mergeCell ref="AD17:AE17"/>
    <mergeCell ref="AF17:AH17"/>
    <mergeCell ref="AN17:AO17"/>
    <mergeCell ref="AP17:AR17"/>
    <mergeCell ref="AD18:AE18"/>
    <mergeCell ref="AF18:AH18"/>
    <mergeCell ref="AN18:AO18"/>
    <mergeCell ref="AP18:AR18"/>
    <mergeCell ref="AA15:AB15"/>
    <mergeCell ref="AD15:AE15"/>
    <mergeCell ref="AF15:AH15"/>
    <mergeCell ref="AN15:AO15"/>
    <mergeCell ref="AP15:AR15"/>
    <mergeCell ref="AA16:AB16"/>
    <mergeCell ref="AD16:AE16"/>
    <mergeCell ref="AF16:AH16"/>
    <mergeCell ref="AN16:AO16"/>
    <mergeCell ref="AP16:AR16"/>
    <mergeCell ref="AA13:AB13"/>
    <mergeCell ref="AD13:AE13"/>
    <mergeCell ref="AF13:AH13"/>
    <mergeCell ref="AN13:AO13"/>
    <mergeCell ref="AP13:AR13"/>
    <mergeCell ref="AA14:AB14"/>
    <mergeCell ref="AD14:AE14"/>
    <mergeCell ref="AF14:AH14"/>
    <mergeCell ref="AN14:AO14"/>
    <mergeCell ref="AP14:AR14"/>
    <mergeCell ref="AP11:AR11"/>
    <mergeCell ref="AA12:AB12"/>
    <mergeCell ref="AD12:AE12"/>
    <mergeCell ref="AF12:AH12"/>
    <mergeCell ref="AN12:AO12"/>
    <mergeCell ref="AP12:AR12"/>
    <mergeCell ref="I2:X2"/>
    <mergeCell ref="I11:X11"/>
    <mergeCell ref="AA11:AB11"/>
    <mergeCell ref="AD11:AE11"/>
    <mergeCell ref="AF11:AH11"/>
    <mergeCell ref="AN11:AO11"/>
  </mergeCells>
  <conditionalFormatting sqref="L46:AA46">
    <cfRule type="cellIs" dxfId="15" priority="2" operator="greaterThan">
      <formula>0</formula>
    </cfRule>
  </conditionalFormatting>
  <conditionalFormatting sqref="L76:AA76">
    <cfRule type="cellIs" dxfId="14" priority="1" operator="greaterThan">
      <formula>0</formula>
    </cfRule>
  </conditionalFormatting>
  <pageMargins left="0.7" right="0.7" top="0.75" bottom="0.75" header="0.3" footer="0.3"/>
  <pageSetup paperSize="9"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
  <dimension ref="A1:W6"/>
  <sheetViews>
    <sheetView topLeftCell="H1" workbookViewId="0">
      <selection activeCell="T9" sqref="T9"/>
    </sheetView>
  </sheetViews>
  <sheetFormatPr defaultRowHeight="15" x14ac:dyDescent="0.25"/>
  <cols>
    <col min="1" max="1" width="13.28515625" customWidth="1"/>
    <col min="2" max="2" width="12.7109375" customWidth="1"/>
    <col min="3" max="3" width="18.7109375" customWidth="1"/>
    <col min="4" max="4" width="27.42578125" bestFit="1"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 min="23" max="23" width="16.7109375" bestFit="1" customWidth="1"/>
  </cols>
  <sheetData>
    <row r="1" spans="1:23" x14ac:dyDescent="0.25">
      <c r="A1" t="s">
        <v>4</v>
      </c>
      <c r="B1" t="s">
        <v>621</v>
      </c>
      <c r="C1" t="s">
        <v>622</v>
      </c>
      <c r="D1" t="s">
        <v>623</v>
      </c>
      <c r="E1" t="s">
        <v>624</v>
      </c>
      <c r="F1" t="s">
        <v>625</v>
      </c>
      <c r="G1" t="s">
        <v>626</v>
      </c>
      <c r="H1" t="s">
        <v>627</v>
      </c>
      <c r="I1" t="s">
        <v>628</v>
      </c>
      <c r="J1" t="s">
        <v>2</v>
      </c>
      <c r="K1" t="s">
        <v>117</v>
      </c>
      <c r="L1" t="s">
        <v>126</v>
      </c>
      <c r="M1" t="s">
        <v>119</v>
      </c>
      <c r="N1" t="s">
        <v>629</v>
      </c>
      <c r="O1" t="s">
        <v>121</v>
      </c>
      <c r="P1" t="s">
        <v>630</v>
      </c>
      <c r="Q1" s="4" t="s">
        <v>631</v>
      </c>
      <c r="R1" t="s">
        <v>122</v>
      </c>
      <c r="S1" s="4" t="s">
        <v>632</v>
      </c>
      <c r="T1" t="s">
        <v>412</v>
      </c>
      <c r="U1" t="s">
        <v>633</v>
      </c>
      <c r="V1" t="s">
        <v>133</v>
      </c>
      <c r="W1" t="s">
        <v>634</v>
      </c>
    </row>
    <row r="2" spans="1:23" x14ac:dyDescent="0.25">
      <c r="A2" t="s">
        <v>635</v>
      </c>
      <c r="B2" t="s">
        <v>636</v>
      </c>
      <c r="C2" t="s">
        <v>637</v>
      </c>
      <c r="D2" t="s">
        <v>637</v>
      </c>
      <c r="E2" t="s">
        <v>638</v>
      </c>
      <c r="F2" t="s">
        <v>639</v>
      </c>
      <c r="G2" t="s">
        <v>640</v>
      </c>
      <c r="H2" t="s">
        <v>641</v>
      </c>
      <c r="I2" t="s">
        <v>642</v>
      </c>
      <c r="J2" t="s">
        <v>643</v>
      </c>
      <c r="K2" t="s">
        <v>644</v>
      </c>
      <c r="L2" t="s">
        <v>512</v>
      </c>
      <c r="M2" t="s">
        <v>512</v>
      </c>
      <c r="N2" t="s">
        <v>645</v>
      </c>
      <c r="O2" t="s">
        <v>646</v>
      </c>
      <c r="P2" t="s">
        <v>645</v>
      </c>
      <c r="Q2" s="140" t="s">
        <v>647</v>
      </c>
      <c r="R2" s="141" t="s">
        <v>648</v>
      </c>
      <c r="S2" s="4" t="s">
        <v>649</v>
      </c>
      <c r="T2" s="4" t="s">
        <v>649</v>
      </c>
      <c r="U2" t="s">
        <v>650</v>
      </c>
      <c r="V2">
        <v>76.2</v>
      </c>
    </row>
    <row r="3" spans="1:23" x14ac:dyDescent="0.25">
      <c r="A3" t="s">
        <v>651</v>
      </c>
      <c r="B3" t="s">
        <v>636</v>
      </c>
      <c r="C3" t="s">
        <v>652</v>
      </c>
      <c r="D3" t="s">
        <v>637</v>
      </c>
      <c r="E3" t="s">
        <v>638</v>
      </c>
      <c r="F3" t="s">
        <v>639</v>
      </c>
      <c r="G3" t="s">
        <v>640</v>
      </c>
      <c r="H3" t="s">
        <v>641</v>
      </c>
      <c r="I3" t="s">
        <v>642</v>
      </c>
      <c r="J3" t="s">
        <v>643</v>
      </c>
      <c r="K3" t="s">
        <v>644</v>
      </c>
      <c r="L3" t="s">
        <v>512</v>
      </c>
      <c r="M3" t="s">
        <v>512</v>
      </c>
      <c r="N3" t="s">
        <v>645</v>
      </c>
      <c r="O3" t="s">
        <v>646</v>
      </c>
      <c r="P3" t="s">
        <v>645</v>
      </c>
      <c r="Q3" s="140" t="s">
        <v>653</v>
      </c>
      <c r="R3" s="141" t="s">
        <v>654</v>
      </c>
      <c r="S3" s="4">
        <v>24</v>
      </c>
      <c r="T3" s="4" t="s">
        <v>649</v>
      </c>
      <c r="U3" t="s">
        <v>650</v>
      </c>
      <c r="V3">
        <v>76.2</v>
      </c>
    </row>
    <row r="4" spans="1:23" x14ac:dyDescent="0.25">
      <c r="A4" t="s">
        <v>655</v>
      </c>
      <c r="B4" t="s">
        <v>636</v>
      </c>
      <c r="C4" t="s">
        <v>652</v>
      </c>
      <c r="D4" t="s">
        <v>637</v>
      </c>
      <c r="E4" t="s">
        <v>638</v>
      </c>
      <c r="F4" t="s">
        <v>639</v>
      </c>
      <c r="G4" t="s">
        <v>640</v>
      </c>
      <c r="H4" t="s">
        <v>641</v>
      </c>
      <c r="I4" t="s">
        <v>642</v>
      </c>
      <c r="J4" t="s">
        <v>643</v>
      </c>
      <c r="K4" t="s">
        <v>644</v>
      </c>
      <c r="L4" t="s">
        <v>512</v>
      </c>
      <c r="M4" t="s">
        <v>512</v>
      </c>
      <c r="N4" t="s">
        <v>645</v>
      </c>
      <c r="O4" t="s">
        <v>646</v>
      </c>
      <c r="P4" t="s">
        <v>645</v>
      </c>
      <c r="Q4" s="140" t="s">
        <v>656</v>
      </c>
      <c r="R4" s="141" t="s">
        <v>648</v>
      </c>
      <c r="S4" s="4">
        <v>19</v>
      </c>
      <c r="T4" s="4" t="s">
        <v>649</v>
      </c>
      <c r="U4" t="s">
        <v>650</v>
      </c>
      <c r="V4">
        <v>76.2</v>
      </c>
    </row>
    <row r="5" spans="1:23" x14ac:dyDescent="0.25">
      <c r="A5" t="s">
        <v>657</v>
      </c>
      <c r="B5" t="s">
        <v>636</v>
      </c>
      <c r="C5" t="s">
        <v>652</v>
      </c>
      <c r="D5" t="s">
        <v>637</v>
      </c>
      <c r="E5" t="s">
        <v>638</v>
      </c>
      <c r="F5" t="s">
        <v>639</v>
      </c>
      <c r="G5" t="s">
        <v>640</v>
      </c>
      <c r="H5" t="s">
        <v>641</v>
      </c>
      <c r="I5" t="s">
        <v>642</v>
      </c>
      <c r="J5" t="s">
        <v>643</v>
      </c>
      <c r="K5" t="s">
        <v>644</v>
      </c>
      <c r="L5" t="s">
        <v>512</v>
      </c>
      <c r="M5" t="s">
        <v>512</v>
      </c>
      <c r="N5" t="s">
        <v>645</v>
      </c>
      <c r="O5" t="s">
        <v>646</v>
      </c>
      <c r="P5" t="s">
        <v>645</v>
      </c>
      <c r="Q5" s="140" t="s">
        <v>658</v>
      </c>
      <c r="R5" s="141" t="s">
        <v>648</v>
      </c>
      <c r="S5" s="4">
        <v>16</v>
      </c>
      <c r="T5" s="4" t="s">
        <v>649</v>
      </c>
      <c r="U5" t="s">
        <v>650</v>
      </c>
      <c r="V5">
        <v>76.2</v>
      </c>
    </row>
    <row r="6" spans="1:23" x14ac:dyDescent="0.25">
      <c r="A6" t="s">
        <v>659</v>
      </c>
      <c r="B6" t="s">
        <v>636</v>
      </c>
      <c r="C6" t="s">
        <v>652</v>
      </c>
      <c r="D6" t="s">
        <v>637</v>
      </c>
      <c r="E6" t="s">
        <v>638</v>
      </c>
      <c r="F6" t="s">
        <v>639</v>
      </c>
      <c r="G6" t="s">
        <v>640</v>
      </c>
      <c r="H6" t="s">
        <v>641</v>
      </c>
      <c r="I6" t="s">
        <v>642</v>
      </c>
      <c r="J6" t="s">
        <v>643</v>
      </c>
      <c r="K6" t="s">
        <v>644</v>
      </c>
      <c r="L6" t="s">
        <v>512</v>
      </c>
      <c r="M6" t="s">
        <v>512</v>
      </c>
      <c r="N6" t="s">
        <v>645</v>
      </c>
      <c r="O6" t="s">
        <v>646</v>
      </c>
      <c r="P6" t="s">
        <v>645</v>
      </c>
      <c r="Q6" s="140" t="s">
        <v>660</v>
      </c>
      <c r="R6" s="141" t="s">
        <v>648</v>
      </c>
      <c r="S6" s="4">
        <v>12</v>
      </c>
      <c r="T6" s="4" t="s">
        <v>649</v>
      </c>
      <c r="U6" t="s">
        <v>650</v>
      </c>
      <c r="V6">
        <v>76.2</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style="4"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s>
  <sheetData>
    <row r="1" spans="1:22" x14ac:dyDescent="0.25">
      <c r="A1" t="s">
        <v>4</v>
      </c>
      <c r="B1" t="s">
        <v>621</v>
      </c>
      <c r="C1" t="s">
        <v>622</v>
      </c>
      <c r="D1" t="s">
        <v>623</v>
      </c>
      <c r="E1" t="s">
        <v>624</v>
      </c>
      <c r="F1" t="s">
        <v>625</v>
      </c>
      <c r="G1" t="s">
        <v>626</v>
      </c>
      <c r="H1" t="s">
        <v>627</v>
      </c>
      <c r="I1" t="s">
        <v>628</v>
      </c>
      <c r="J1" t="s">
        <v>2</v>
      </c>
      <c r="K1" s="4" t="s">
        <v>117</v>
      </c>
      <c r="L1" t="s">
        <v>126</v>
      </c>
      <c r="M1" t="s">
        <v>119</v>
      </c>
      <c r="N1" t="s">
        <v>629</v>
      </c>
      <c r="O1" t="s">
        <v>121</v>
      </c>
      <c r="P1" t="s">
        <v>630</v>
      </c>
      <c r="Q1" s="4" t="s">
        <v>631</v>
      </c>
      <c r="R1" t="s">
        <v>122</v>
      </c>
      <c r="S1" s="4" t="s">
        <v>632</v>
      </c>
      <c r="T1" t="s">
        <v>412</v>
      </c>
      <c r="U1" t="s">
        <v>633</v>
      </c>
      <c r="V1" t="s">
        <v>133</v>
      </c>
    </row>
    <row r="2" spans="1:22" x14ac:dyDescent="0.25">
      <c r="A2" t="s">
        <v>635</v>
      </c>
      <c r="B2" t="s">
        <v>636</v>
      </c>
      <c r="C2" t="s">
        <v>661</v>
      </c>
      <c r="D2" t="s">
        <v>637</v>
      </c>
      <c r="E2" t="s">
        <v>661</v>
      </c>
      <c r="F2" t="s">
        <v>661</v>
      </c>
      <c r="G2" t="s">
        <v>640</v>
      </c>
      <c r="H2" t="s">
        <v>662</v>
      </c>
      <c r="I2" t="s">
        <v>663</v>
      </c>
      <c r="J2" t="s">
        <v>664</v>
      </c>
      <c r="K2" s="4">
        <v>2</v>
      </c>
      <c r="L2" t="s">
        <v>512</v>
      </c>
      <c r="M2" t="s">
        <v>512</v>
      </c>
      <c r="N2" t="s">
        <v>645</v>
      </c>
      <c r="O2" t="s">
        <v>646</v>
      </c>
      <c r="P2" t="s">
        <v>645</v>
      </c>
      <c r="Q2" s="140" t="s">
        <v>647</v>
      </c>
      <c r="R2" s="141" t="s">
        <v>648</v>
      </c>
      <c r="S2" s="4" t="s">
        <v>649</v>
      </c>
      <c r="U2" t="s">
        <v>650</v>
      </c>
      <c r="V2" t="s">
        <v>665</v>
      </c>
    </row>
    <row r="3" spans="1:22" x14ac:dyDescent="0.25">
      <c r="A3" t="s">
        <v>651</v>
      </c>
      <c r="B3" t="s">
        <v>636</v>
      </c>
      <c r="C3" t="s">
        <v>666</v>
      </c>
      <c r="D3" t="s">
        <v>637</v>
      </c>
      <c r="E3" t="s">
        <v>661</v>
      </c>
      <c r="F3" t="s">
        <v>661</v>
      </c>
      <c r="G3" t="s">
        <v>640</v>
      </c>
      <c r="H3" t="s">
        <v>662</v>
      </c>
      <c r="I3" t="s">
        <v>663</v>
      </c>
      <c r="J3" t="s">
        <v>664</v>
      </c>
      <c r="K3" s="4">
        <v>2</v>
      </c>
      <c r="L3" t="s">
        <v>512</v>
      </c>
      <c r="M3" t="s">
        <v>512</v>
      </c>
      <c r="N3" t="s">
        <v>645</v>
      </c>
      <c r="O3" t="s">
        <v>646</v>
      </c>
      <c r="P3" t="s">
        <v>645</v>
      </c>
      <c r="Q3" s="140" t="s">
        <v>653</v>
      </c>
      <c r="R3" s="141" t="s">
        <v>654</v>
      </c>
      <c r="S3" s="4">
        <v>24</v>
      </c>
      <c r="U3" t="s">
        <v>650</v>
      </c>
      <c r="V3" t="s">
        <v>665</v>
      </c>
    </row>
    <row r="4" spans="1:22" x14ac:dyDescent="0.25">
      <c r="A4" t="s">
        <v>655</v>
      </c>
      <c r="B4" t="s">
        <v>636</v>
      </c>
      <c r="C4" t="s">
        <v>666</v>
      </c>
      <c r="D4" t="s">
        <v>637</v>
      </c>
      <c r="E4" t="s">
        <v>661</v>
      </c>
      <c r="F4" t="s">
        <v>661</v>
      </c>
      <c r="G4" t="s">
        <v>640</v>
      </c>
      <c r="H4" t="s">
        <v>662</v>
      </c>
      <c r="I4" t="s">
        <v>663</v>
      </c>
      <c r="J4" t="s">
        <v>664</v>
      </c>
      <c r="K4" s="4">
        <v>2</v>
      </c>
      <c r="L4" t="s">
        <v>512</v>
      </c>
      <c r="M4" t="s">
        <v>512</v>
      </c>
      <c r="N4" t="s">
        <v>645</v>
      </c>
      <c r="O4" t="s">
        <v>646</v>
      </c>
      <c r="P4" t="s">
        <v>645</v>
      </c>
      <c r="Q4" s="140" t="s">
        <v>656</v>
      </c>
      <c r="R4" s="141" t="s">
        <v>648</v>
      </c>
      <c r="S4" s="4">
        <v>19</v>
      </c>
      <c r="U4" t="s">
        <v>650</v>
      </c>
      <c r="V4" t="s">
        <v>665</v>
      </c>
    </row>
    <row r="5" spans="1:22" x14ac:dyDescent="0.25">
      <c r="A5" t="s">
        <v>657</v>
      </c>
      <c r="B5" t="s">
        <v>636</v>
      </c>
      <c r="C5" t="s">
        <v>666</v>
      </c>
      <c r="D5" t="s">
        <v>637</v>
      </c>
      <c r="E5" t="s">
        <v>661</v>
      </c>
      <c r="F5" t="s">
        <v>661</v>
      </c>
      <c r="G5" t="s">
        <v>640</v>
      </c>
      <c r="H5" t="s">
        <v>662</v>
      </c>
      <c r="I5" t="s">
        <v>663</v>
      </c>
      <c r="J5" t="s">
        <v>664</v>
      </c>
      <c r="K5" s="4">
        <v>2</v>
      </c>
      <c r="L5" t="s">
        <v>512</v>
      </c>
      <c r="M5" t="s">
        <v>512</v>
      </c>
      <c r="N5" t="s">
        <v>645</v>
      </c>
      <c r="O5" t="s">
        <v>646</v>
      </c>
      <c r="P5" t="s">
        <v>645</v>
      </c>
      <c r="Q5" s="140" t="s">
        <v>658</v>
      </c>
      <c r="R5" s="141" t="s">
        <v>648</v>
      </c>
      <c r="S5" s="4">
        <v>16</v>
      </c>
      <c r="U5" t="s">
        <v>650</v>
      </c>
      <c r="V5" t="s">
        <v>665</v>
      </c>
    </row>
    <row r="6" spans="1:22" x14ac:dyDescent="0.25">
      <c r="A6" t="s">
        <v>659</v>
      </c>
      <c r="B6" t="s">
        <v>636</v>
      </c>
      <c r="C6" t="s">
        <v>666</v>
      </c>
      <c r="D6" t="s">
        <v>637</v>
      </c>
      <c r="E6" t="s">
        <v>661</v>
      </c>
      <c r="F6" t="s">
        <v>661</v>
      </c>
      <c r="G6" t="s">
        <v>640</v>
      </c>
      <c r="H6" t="s">
        <v>662</v>
      </c>
      <c r="I6" t="s">
        <v>663</v>
      </c>
      <c r="J6" t="s">
        <v>664</v>
      </c>
      <c r="K6" s="4">
        <v>2</v>
      </c>
      <c r="L6" t="s">
        <v>512</v>
      </c>
      <c r="M6" t="s">
        <v>512</v>
      </c>
      <c r="N6" t="s">
        <v>645</v>
      </c>
      <c r="O6" t="s">
        <v>646</v>
      </c>
      <c r="P6" t="s">
        <v>645</v>
      </c>
      <c r="Q6" s="140" t="s">
        <v>660</v>
      </c>
      <c r="R6" s="141" t="s">
        <v>648</v>
      </c>
      <c r="S6" s="4">
        <v>12</v>
      </c>
      <c r="U6" t="s">
        <v>650</v>
      </c>
      <c r="V6" t="s">
        <v>665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topLeftCell="J1" workbookViewId="0">
      <selection activeCell="T3" sqref="T3"/>
    </sheetView>
  </sheetViews>
  <sheetFormatPr defaultRowHeight="15" x14ac:dyDescent="0.2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5.28515625" bestFit="1"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27.28515625" bestFit="1" customWidth="1"/>
    <col min="22" max="22" width="14.7109375" bestFit="1" customWidth="1"/>
  </cols>
  <sheetData>
    <row r="1" spans="1:22" x14ac:dyDescent="0.25">
      <c r="A1" t="s">
        <v>4</v>
      </c>
      <c r="B1" t="s">
        <v>621</v>
      </c>
      <c r="C1" t="s">
        <v>622</v>
      </c>
      <c r="D1" t="s">
        <v>623</v>
      </c>
      <c r="E1" t="s">
        <v>624</v>
      </c>
      <c r="F1" t="s">
        <v>625</v>
      </c>
      <c r="G1" t="s">
        <v>626</v>
      </c>
      <c r="H1" t="s">
        <v>627</v>
      </c>
      <c r="I1" t="s">
        <v>628</v>
      </c>
      <c r="J1" t="s">
        <v>2</v>
      </c>
      <c r="K1" t="s">
        <v>117</v>
      </c>
      <c r="L1" t="s">
        <v>126</v>
      </c>
      <c r="M1" t="s">
        <v>119</v>
      </c>
      <c r="N1" t="s">
        <v>629</v>
      </c>
      <c r="O1" t="s">
        <v>121</v>
      </c>
      <c r="P1" t="s">
        <v>630</v>
      </c>
      <c r="Q1" s="4" t="s">
        <v>631</v>
      </c>
      <c r="R1" t="s">
        <v>122</v>
      </c>
      <c r="S1" s="4" t="s">
        <v>632</v>
      </c>
      <c r="T1" t="s">
        <v>412</v>
      </c>
      <c r="U1" t="s">
        <v>633</v>
      </c>
      <c r="V1" t="s">
        <v>133</v>
      </c>
    </row>
    <row r="2" spans="1:22" x14ac:dyDescent="0.25">
      <c r="A2" t="s">
        <v>635</v>
      </c>
      <c r="B2" t="s">
        <v>636</v>
      </c>
      <c r="C2" t="s">
        <v>652</v>
      </c>
      <c r="D2" t="s">
        <v>667</v>
      </c>
      <c r="E2" t="s">
        <v>667</v>
      </c>
      <c r="F2" t="s">
        <v>637</v>
      </c>
      <c r="G2" t="s">
        <v>640</v>
      </c>
      <c r="H2" t="s">
        <v>641</v>
      </c>
      <c r="I2" t="s">
        <v>663</v>
      </c>
      <c r="J2" t="s">
        <v>668</v>
      </c>
      <c r="K2" t="s">
        <v>669</v>
      </c>
      <c r="L2" t="s">
        <v>512</v>
      </c>
      <c r="M2" t="s">
        <v>512</v>
      </c>
      <c r="N2" t="s">
        <v>645</v>
      </c>
      <c r="O2" t="s">
        <v>670</v>
      </c>
      <c r="P2" t="s">
        <v>645</v>
      </c>
      <c r="Q2" s="140" t="s">
        <v>647</v>
      </c>
      <c r="R2" s="141" t="s">
        <v>648</v>
      </c>
      <c r="S2" s="4" t="s">
        <v>649</v>
      </c>
      <c r="T2" t="s">
        <v>671</v>
      </c>
      <c r="U2" t="s">
        <v>672</v>
      </c>
      <c r="V2" t="s">
        <v>673</v>
      </c>
    </row>
    <row r="3" spans="1:22" x14ac:dyDescent="0.25">
      <c r="A3" t="s">
        <v>651</v>
      </c>
      <c r="B3" t="s">
        <v>636</v>
      </c>
      <c r="C3" t="s">
        <v>674</v>
      </c>
      <c r="D3" t="s">
        <v>667</v>
      </c>
      <c r="E3" t="s">
        <v>667</v>
      </c>
      <c r="F3" t="s">
        <v>637</v>
      </c>
      <c r="G3" t="s">
        <v>640</v>
      </c>
      <c r="H3" t="s">
        <v>641</v>
      </c>
      <c r="I3" t="s">
        <v>663</v>
      </c>
      <c r="J3" t="s">
        <v>668</v>
      </c>
      <c r="K3" t="s">
        <v>669</v>
      </c>
      <c r="L3" t="s">
        <v>512</v>
      </c>
      <c r="M3" t="s">
        <v>512</v>
      </c>
      <c r="N3" t="s">
        <v>645</v>
      </c>
      <c r="O3" t="s">
        <v>670</v>
      </c>
      <c r="P3" t="s">
        <v>645</v>
      </c>
      <c r="Q3" s="140" t="s">
        <v>653</v>
      </c>
      <c r="R3" s="141" t="s">
        <v>654</v>
      </c>
      <c r="S3" s="4">
        <v>24</v>
      </c>
      <c r="T3" t="s">
        <v>671</v>
      </c>
      <c r="U3" t="s">
        <v>672</v>
      </c>
      <c r="V3" t="s">
        <v>673</v>
      </c>
    </row>
    <row r="4" spans="1:22" x14ac:dyDescent="0.25">
      <c r="A4" t="s">
        <v>655</v>
      </c>
      <c r="B4" t="s">
        <v>636</v>
      </c>
      <c r="C4" t="s">
        <v>674</v>
      </c>
      <c r="D4" t="s">
        <v>667</v>
      </c>
      <c r="E4" t="s">
        <v>667</v>
      </c>
      <c r="F4" t="s">
        <v>637</v>
      </c>
      <c r="G4" t="s">
        <v>640</v>
      </c>
      <c r="H4" t="s">
        <v>641</v>
      </c>
      <c r="I4" t="s">
        <v>663</v>
      </c>
      <c r="J4" t="s">
        <v>668</v>
      </c>
      <c r="K4" t="s">
        <v>669</v>
      </c>
      <c r="L4" t="s">
        <v>512</v>
      </c>
      <c r="M4" t="s">
        <v>512</v>
      </c>
      <c r="N4" t="s">
        <v>645</v>
      </c>
      <c r="O4" t="s">
        <v>670</v>
      </c>
      <c r="P4" t="s">
        <v>645</v>
      </c>
      <c r="Q4" s="140" t="s">
        <v>675</v>
      </c>
      <c r="R4" s="141" t="s">
        <v>648</v>
      </c>
      <c r="S4" s="4">
        <v>19</v>
      </c>
      <c r="T4" t="s">
        <v>671</v>
      </c>
      <c r="U4" t="s">
        <v>672</v>
      </c>
      <c r="V4" t="s">
        <v>673</v>
      </c>
    </row>
    <row r="5" spans="1:22" x14ac:dyDescent="0.25">
      <c r="A5" t="s">
        <v>657</v>
      </c>
      <c r="B5" t="s">
        <v>636</v>
      </c>
      <c r="C5" t="s">
        <v>674</v>
      </c>
      <c r="D5" t="s">
        <v>667</v>
      </c>
      <c r="E5" t="s">
        <v>667</v>
      </c>
      <c r="F5" t="s">
        <v>637</v>
      </c>
      <c r="G5" t="s">
        <v>640</v>
      </c>
      <c r="H5" t="s">
        <v>641</v>
      </c>
      <c r="I5" t="s">
        <v>663</v>
      </c>
      <c r="J5" t="s">
        <v>668</v>
      </c>
      <c r="K5" t="s">
        <v>669</v>
      </c>
      <c r="L5" t="s">
        <v>512</v>
      </c>
      <c r="M5" t="s">
        <v>512</v>
      </c>
      <c r="N5" t="s">
        <v>645</v>
      </c>
      <c r="O5" t="s">
        <v>670</v>
      </c>
      <c r="P5" t="s">
        <v>645</v>
      </c>
      <c r="Q5" s="140" t="s">
        <v>658</v>
      </c>
      <c r="R5" s="141" t="s">
        <v>648</v>
      </c>
      <c r="S5" s="4">
        <v>16</v>
      </c>
      <c r="T5" t="s">
        <v>671</v>
      </c>
      <c r="U5" t="s">
        <v>672</v>
      </c>
      <c r="V5" t="s">
        <v>673</v>
      </c>
    </row>
    <row r="6" spans="1:22" x14ac:dyDescent="0.25">
      <c r="A6" t="s">
        <v>676</v>
      </c>
      <c r="Q6" s="140"/>
      <c r="R6" s="141"/>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s>
  <sheetData>
    <row r="1" spans="1:22" x14ac:dyDescent="0.25">
      <c r="A1" t="s">
        <v>4</v>
      </c>
      <c r="B1" t="s">
        <v>621</v>
      </c>
      <c r="C1" t="s">
        <v>622</v>
      </c>
      <c r="D1" t="s">
        <v>623</v>
      </c>
      <c r="E1" t="s">
        <v>624</v>
      </c>
      <c r="F1" t="s">
        <v>625</v>
      </c>
      <c r="G1" t="s">
        <v>626</v>
      </c>
      <c r="H1" t="s">
        <v>627</v>
      </c>
      <c r="I1" t="s">
        <v>628</v>
      </c>
      <c r="J1" t="s">
        <v>2</v>
      </c>
      <c r="K1" t="s">
        <v>117</v>
      </c>
      <c r="L1" t="s">
        <v>126</v>
      </c>
      <c r="M1" t="s">
        <v>119</v>
      </c>
      <c r="N1" t="s">
        <v>629</v>
      </c>
      <c r="O1" t="s">
        <v>121</v>
      </c>
      <c r="P1" t="s">
        <v>630</v>
      </c>
      <c r="Q1" s="4" t="s">
        <v>631</v>
      </c>
      <c r="R1" t="s">
        <v>122</v>
      </c>
      <c r="S1" s="4" t="s">
        <v>632</v>
      </c>
      <c r="T1" t="s">
        <v>412</v>
      </c>
      <c r="U1" t="s">
        <v>633</v>
      </c>
      <c r="V1" t="s">
        <v>133</v>
      </c>
    </row>
    <row r="2" spans="1:22" x14ac:dyDescent="0.25">
      <c r="A2" t="s">
        <v>635</v>
      </c>
      <c r="B2" t="s">
        <v>636</v>
      </c>
      <c r="C2" t="s">
        <v>677</v>
      </c>
      <c r="D2" t="s">
        <v>677</v>
      </c>
      <c r="E2" t="s">
        <v>677</v>
      </c>
      <c r="F2" t="s">
        <v>677</v>
      </c>
      <c r="G2" t="s">
        <v>640</v>
      </c>
      <c r="H2" t="s">
        <v>678</v>
      </c>
      <c r="I2" t="s">
        <v>679</v>
      </c>
      <c r="J2" t="s">
        <v>680</v>
      </c>
      <c r="K2">
        <v>2</v>
      </c>
      <c r="L2" t="s">
        <v>512</v>
      </c>
      <c r="M2" t="s">
        <v>645</v>
      </c>
      <c r="N2" t="s">
        <v>645</v>
      </c>
      <c r="O2" t="s">
        <v>646</v>
      </c>
      <c r="P2" t="s">
        <v>645</v>
      </c>
      <c r="Q2" s="140" t="s">
        <v>647</v>
      </c>
      <c r="R2" s="141" t="s">
        <v>648</v>
      </c>
      <c r="S2" s="4" t="s">
        <v>649</v>
      </c>
      <c r="U2" t="s">
        <v>650</v>
      </c>
      <c r="V2">
        <v>76.2</v>
      </c>
    </row>
    <row r="3" spans="1:22" x14ac:dyDescent="0.25">
      <c r="A3" t="s">
        <v>651</v>
      </c>
      <c r="B3" t="s">
        <v>636</v>
      </c>
      <c r="C3" t="s">
        <v>681</v>
      </c>
      <c r="D3" t="s">
        <v>661</v>
      </c>
      <c r="E3" t="s">
        <v>661</v>
      </c>
      <c r="F3" t="s">
        <v>661</v>
      </c>
      <c r="G3" t="s">
        <v>640</v>
      </c>
      <c r="H3" t="s">
        <v>682</v>
      </c>
      <c r="I3" t="s">
        <v>679</v>
      </c>
      <c r="J3" t="s">
        <v>680</v>
      </c>
      <c r="K3">
        <v>2</v>
      </c>
      <c r="L3" t="s">
        <v>512</v>
      </c>
      <c r="M3" t="s">
        <v>645</v>
      </c>
      <c r="N3" t="s">
        <v>645</v>
      </c>
      <c r="O3" t="s">
        <v>646</v>
      </c>
      <c r="P3" t="s">
        <v>645</v>
      </c>
      <c r="Q3" s="140" t="s">
        <v>653</v>
      </c>
      <c r="R3" s="141" t="s">
        <v>654</v>
      </c>
      <c r="S3" s="4">
        <v>24</v>
      </c>
      <c r="U3" t="s">
        <v>650</v>
      </c>
      <c r="V3">
        <v>76.2</v>
      </c>
    </row>
    <row r="4" spans="1:22" x14ac:dyDescent="0.25">
      <c r="A4" t="s">
        <v>655</v>
      </c>
      <c r="B4" t="s">
        <v>636</v>
      </c>
      <c r="C4" t="s">
        <v>681</v>
      </c>
      <c r="D4" t="s">
        <v>661</v>
      </c>
      <c r="E4" t="s">
        <v>661</v>
      </c>
      <c r="F4" t="s">
        <v>661</v>
      </c>
      <c r="G4" t="s">
        <v>640</v>
      </c>
      <c r="H4" t="s">
        <v>683</v>
      </c>
      <c r="I4" t="s">
        <v>679</v>
      </c>
      <c r="J4" t="s">
        <v>680</v>
      </c>
      <c r="K4">
        <v>2</v>
      </c>
      <c r="L4" t="s">
        <v>512</v>
      </c>
      <c r="M4" t="s">
        <v>645</v>
      </c>
      <c r="N4" t="s">
        <v>645</v>
      </c>
      <c r="O4" t="s">
        <v>646</v>
      </c>
      <c r="P4" t="s">
        <v>645</v>
      </c>
      <c r="Q4" s="140" t="s">
        <v>656</v>
      </c>
      <c r="R4" s="141" t="s">
        <v>648</v>
      </c>
      <c r="S4" s="4">
        <v>19</v>
      </c>
      <c r="U4" t="s">
        <v>650</v>
      </c>
      <c r="V4">
        <v>76.2</v>
      </c>
    </row>
    <row r="5" spans="1:22" x14ac:dyDescent="0.25">
      <c r="A5" t="s">
        <v>657</v>
      </c>
      <c r="B5" t="s">
        <v>636</v>
      </c>
      <c r="C5" t="s">
        <v>674</v>
      </c>
      <c r="D5" t="s">
        <v>661</v>
      </c>
      <c r="E5" t="s">
        <v>661</v>
      </c>
      <c r="F5" t="s">
        <v>661</v>
      </c>
      <c r="G5" t="s">
        <v>640</v>
      </c>
      <c r="H5" t="s">
        <v>684</v>
      </c>
      <c r="I5" t="s">
        <v>679</v>
      </c>
      <c r="J5" t="s">
        <v>680</v>
      </c>
      <c r="K5">
        <v>2</v>
      </c>
      <c r="L5" t="s">
        <v>512</v>
      </c>
      <c r="M5" t="s">
        <v>645</v>
      </c>
      <c r="N5" t="s">
        <v>645</v>
      </c>
      <c r="O5" t="s">
        <v>646</v>
      </c>
      <c r="P5" t="s">
        <v>645</v>
      </c>
      <c r="Q5" s="140" t="s">
        <v>658</v>
      </c>
      <c r="R5" s="141" t="s">
        <v>648</v>
      </c>
      <c r="S5" s="4">
        <v>16</v>
      </c>
      <c r="U5" t="s">
        <v>650</v>
      </c>
      <c r="V5">
        <v>76.2</v>
      </c>
    </row>
    <row r="6" spans="1:22" x14ac:dyDescent="0.25">
      <c r="A6" t="s">
        <v>659</v>
      </c>
      <c r="B6" t="s">
        <v>636</v>
      </c>
      <c r="C6" t="s">
        <v>674</v>
      </c>
      <c r="D6" t="s">
        <v>661</v>
      </c>
      <c r="E6" t="s">
        <v>661</v>
      </c>
      <c r="F6" t="s">
        <v>661</v>
      </c>
      <c r="G6" t="s">
        <v>640</v>
      </c>
      <c r="H6" t="s">
        <v>685</v>
      </c>
      <c r="I6" t="s">
        <v>679</v>
      </c>
      <c r="J6" t="s">
        <v>680</v>
      </c>
      <c r="K6">
        <v>2</v>
      </c>
      <c r="L6" t="s">
        <v>512</v>
      </c>
      <c r="M6" t="s">
        <v>645</v>
      </c>
      <c r="N6" t="s">
        <v>645</v>
      </c>
      <c r="O6" t="s">
        <v>646</v>
      </c>
      <c r="P6" t="s">
        <v>645</v>
      </c>
      <c r="Q6" s="140" t="s">
        <v>660</v>
      </c>
      <c r="R6" s="141" t="s">
        <v>648</v>
      </c>
      <c r="S6" s="4">
        <v>12</v>
      </c>
      <c r="U6" t="s">
        <v>650</v>
      </c>
      <c r="V6">
        <v>76.2</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s>
  <sheetData>
    <row r="1" spans="1:23" x14ac:dyDescent="0.25">
      <c r="A1" t="s">
        <v>4</v>
      </c>
      <c r="B1" t="s">
        <v>621</v>
      </c>
      <c r="C1" t="s">
        <v>622</v>
      </c>
      <c r="D1" t="s">
        <v>623</v>
      </c>
      <c r="E1" t="s">
        <v>624</v>
      </c>
      <c r="F1" t="s">
        <v>625</v>
      </c>
      <c r="G1" t="s">
        <v>626</v>
      </c>
      <c r="H1" t="s">
        <v>627</v>
      </c>
      <c r="I1" t="s">
        <v>628</v>
      </c>
      <c r="J1" t="s">
        <v>2</v>
      </c>
      <c r="K1" t="s">
        <v>117</v>
      </c>
      <c r="L1" t="s">
        <v>126</v>
      </c>
      <c r="M1" t="s">
        <v>119</v>
      </c>
      <c r="N1" t="s">
        <v>629</v>
      </c>
      <c r="O1" t="s">
        <v>121</v>
      </c>
      <c r="P1" t="s">
        <v>630</v>
      </c>
      <c r="Q1" s="4" t="s">
        <v>631</v>
      </c>
      <c r="R1" t="s">
        <v>122</v>
      </c>
      <c r="S1" s="4" t="s">
        <v>632</v>
      </c>
      <c r="T1" t="s">
        <v>412</v>
      </c>
      <c r="U1" t="s">
        <v>633</v>
      </c>
      <c r="V1" t="s">
        <v>133</v>
      </c>
      <c r="W1" t="s">
        <v>686</v>
      </c>
    </row>
    <row r="2" spans="1:23" x14ac:dyDescent="0.25">
      <c r="A2" t="s">
        <v>635</v>
      </c>
      <c r="B2" t="s">
        <v>636</v>
      </c>
      <c r="C2" t="s">
        <v>652</v>
      </c>
      <c r="D2" t="s">
        <v>667</v>
      </c>
      <c r="E2" t="s">
        <v>687</v>
      </c>
      <c r="F2" t="s">
        <v>667</v>
      </c>
      <c r="G2" t="s">
        <v>640</v>
      </c>
      <c r="H2" t="s">
        <v>641</v>
      </c>
      <c r="I2" t="s">
        <v>663</v>
      </c>
      <c r="J2" t="s">
        <v>688</v>
      </c>
      <c r="K2" t="s">
        <v>669</v>
      </c>
      <c r="L2" t="s">
        <v>689</v>
      </c>
      <c r="M2" t="s">
        <v>645</v>
      </c>
      <c r="N2" t="s">
        <v>645</v>
      </c>
      <c r="O2" t="s">
        <v>646</v>
      </c>
      <c r="P2" t="s">
        <v>645</v>
      </c>
      <c r="Q2" s="140" t="s">
        <v>647</v>
      </c>
      <c r="R2" s="141" t="s">
        <v>648</v>
      </c>
      <c r="S2" s="4" t="s">
        <v>649</v>
      </c>
      <c r="T2" t="s">
        <v>690</v>
      </c>
      <c r="U2" t="s">
        <v>650</v>
      </c>
      <c r="V2" s="141" t="s">
        <v>665</v>
      </c>
      <c r="W2" t="s">
        <v>645</v>
      </c>
    </row>
    <row r="3" spans="1:23" x14ac:dyDescent="0.25">
      <c r="A3" t="s">
        <v>651</v>
      </c>
      <c r="B3" t="s">
        <v>636</v>
      </c>
      <c r="C3" t="s">
        <v>674</v>
      </c>
      <c r="D3" t="s">
        <v>667</v>
      </c>
      <c r="E3" t="s">
        <v>691</v>
      </c>
      <c r="F3" t="s">
        <v>667</v>
      </c>
      <c r="G3" t="s">
        <v>640</v>
      </c>
      <c r="H3" t="s">
        <v>641</v>
      </c>
      <c r="I3" t="s">
        <v>663</v>
      </c>
      <c r="J3" t="s">
        <v>688</v>
      </c>
      <c r="K3" t="s">
        <v>669</v>
      </c>
      <c r="L3" t="s">
        <v>689</v>
      </c>
      <c r="M3" t="s">
        <v>645</v>
      </c>
      <c r="N3" t="s">
        <v>645</v>
      </c>
      <c r="O3" t="s">
        <v>646</v>
      </c>
      <c r="P3" t="s">
        <v>645</v>
      </c>
      <c r="Q3" s="140" t="s">
        <v>653</v>
      </c>
      <c r="R3" s="141" t="s">
        <v>654</v>
      </c>
      <c r="S3" s="4">
        <v>24</v>
      </c>
      <c r="T3" t="s">
        <v>690</v>
      </c>
      <c r="U3" t="s">
        <v>650</v>
      </c>
      <c r="V3" s="141" t="s">
        <v>665</v>
      </c>
    </row>
    <row r="4" spans="1:23" x14ac:dyDescent="0.25">
      <c r="A4" t="s">
        <v>655</v>
      </c>
      <c r="B4" t="s">
        <v>636</v>
      </c>
      <c r="C4" t="s">
        <v>674</v>
      </c>
      <c r="D4" t="s">
        <v>667</v>
      </c>
      <c r="E4" t="s">
        <v>692</v>
      </c>
      <c r="F4" t="s">
        <v>667</v>
      </c>
      <c r="G4" t="s">
        <v>640</v>
      </c>
      <c r="H4" t="s">
        <v>641</v>
      </c>
      <c r="I4" t="s">
        <v>663</v>
      </c>
      <c r="J4" t="s">
        <v>688</v>
      </c>
      <c r="K4" t="s">
        <v>669</v>
      </c>
      <c r="L4" t="s">
        <v>689</v>
      </c>
      <c r="M4" t="s">
        <v>645</v>
      </c>
      <c r="N4" t="s">
        <v>645</v>
      </c>
      <c r="O4" t="s">
        <v>646</v>
      </c>
      <c r="P4" t="s">
        <v>645</v>
      </c>
      <c r="Q4" s="140" t="s">
        <v>656</v>
      </c>
      <c r="R4" s="141" t="s">
        <v>648</v>
      </c>
      <c r="S4" s="4">
        <v>19</v>
      </c>
      <c r="T4" t="s">
        <v>690</v>
      </c>
      <c r="U4" t="s">
        <v>650</v>
      </c>
      <c r="V4" s="141" t="s">
        <v>665</v>
      </c>
    </row>
    <row r="5" spans="1:23" x14ac:dyDescent="0.25">
      <c r="A5" t="s">
        <v>657</v>
      </c>
      <c r="B5" t="s">
        <v>636</v>
      </c>
      <c r="C5" t="s">
        <v>693</v>
      </c>
      <c r="D5" t="s">
        <v>667</v>
      </c>
      <c r="E5" t="s">
        <v>694</v>
      </c>
      <c r="F5" t="s">
        <v>667</v>
      </c>
      <c r="G5" t="s">
        <v>640</v>
      </c>
      <c r="H5" t="s">
        <v>641</v>
      </c>
      <c r="I5" t="s">
        <v>663</v>
      </c>
      <c r="J5" t="s">
        <v>688</v>
      </c>
      <c r="K5" t="s">
        <v>669</v>
      </c>
      <c r="L5" t="s">
        <v>689</v>
      </c>
      <c r="M5" t="s">
        <v>645</v>
      </c>
      <c r="N5" t="s">
        <v>645</v>
      </c>
      <c r="O5" t="s">
        <v>646</v>
      </c>
      <c r="P5" t="s">
        <v>645</v>
      </c>
      <c r="Q5" s="140" t="s">
        <v>658</v>
      </c>
      <c r="R5" s="141" t="s">
        <v>648</v>
      </c>
      <c r="S5" s="4">
        <v>16</v>
      </c>
      <c r="T5" t="s">
        <v>690</v>
      </c>
      <c r="U5" t="s">
        <v>650</v>
      </c>
      <c r="V5" s="141" t="s">
        <v>665</v>
      </c>
    </row>
    <row r="6" spans="1:23" x14ac:dyDescent="0.25">
      <c r="A6" t="s">
        <v>659</v>
      </c>
      <c r="B6" t="s">
        <v>636</v>
      </c>
      <c r="C6" t="s">
        <v>693</v>
      </c>
      <c r="D6" t="s">
        <v>667</v>
      </c>
      <c r="E6" t="s">
        <v>695</v>
      </c>
      <c r="F6" t="s">
        <v>637</v>
      </c>
      <c r="G6" t="s">
        <v>640</v>
      </c>
      <c r="H6" t="s">
        <v>641</v>
      </c>
      <c r="I6" t="s">
        <v>663</v>
      </c>
      <c r="J6" t="s">
        <v>688</v>
      </c>
      <c r="K6" t="s">
        <v>669</v>
      </c>
      <c r="L6" t="s">
        <v>689</v>
      </c>
      <c r="M6" t="s">
        <v>645</v>
      </c>
      <c r="N6" t="s">
        <v>645</v>
      </c>
      <c r="O6" t="s">
        <v>646</v>
      </c>
      <c r="P6" t="s">
        <v>645</v>
      </c>
      <c r="Q6" s="140" t="s">
        <v>660</v>
      </c>
      <c r="R6" s="141" t="s">
        <v>648</v>
      </c>
      <c r="S6" s="4">
        <v>12</v>
      </c>
      <c r="T6" t="s">
        <v>690</v>
      </c>
      <c r="U6" t="s">
        <v>650</v>
      </c>
      <c r="V6" s="141" t="s">
        <v>665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topLeftCell="H1" workbookViewId="0">
      <selection activeCell="I33" sqref="I33"/>
    </sheetView>
  </sheetViews>
  <sheetFormatPr defaultRowHeight="15" x14ac:dyDescent="0.2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s>
  <sheetData>
    <row r="1" spans="1:22" x14ac:dyDescent="0.25">
      <c r="A1" t="s">
        <v>4</v>
      </c>
      <c r="B1" t="s">
        <v>621</v>
      </c>
      <c r="C1" t="s">
        <v>622</v>
      </c>
      <c r="D1" t="s">
        <v>623</v>
      </c>
      <c r="E1" t="s">
        <v>624</v>
      </c>
      <c r="F1" t="s">
        <v>625</v>
      </c>
      <c r="G1" t="s">
        <v>626</v>
      </c>
      <c r="H1" t="s">
        <v>627</v>
      </c>
      <c r="I1" t="s">
        <v>628</v>
      </c>
      <c r="J1" t="s">
        <v>2</v>
      </c>
      <c r="K1" t="s">
        <v>117</v>
      </c>
      <c r="L1" t="s">
        <v>126</v>
      </c>
      <c r="M1" t="s">
        <v>119</v>
      </c>
      <c r="N1" t="s">
        <v>629</v>
      </c>
      <c r="O1" t="s">
        <v>121</v>
      </c>
      <c r="P1" t="s">
        <v>630</v>
      </c>
      <c r="Q1" s="4" t="s">
        <v>631</v>
      </c>
      <c r="R1" t="s">
        <v>122</v>
      </c>
      <c r="S1" s="4" t="s">
        <v>632</v>
      </c>
      <c r="T1" t="s">
        <v>412</v>
      </c>
      <c r="U1" t="s">
        <v>633</v>
      </c>
      <c r="V1" t="s">
        <v>133</v>
      </c>
    </row>
    <row r="2" spans="1:22" x14ac:dyDescent="0.25">
      <c r="A2" t="s">
        <v>635</v>
      </c>
      <c r="B2" t="s">
        <v>636</v>
      </c>
      <c r="C2" t="s">
        <v>696</v>
      </c>
      <c r="D2" t="s">
        <v>697</v>
      </c>
      <c r="E2" t="s">
        <v>698</v>
      </c>
      <c r="F2" t="s">
        <v>698</v>
      </c>
      <c r="G2" t="s">
        <v>699</v>
      </c>
      <c r="H2" t="s">
        <v>700</v>
      </c>
      <c r="I2" t="s">
        <v>642</v>
      </c>
      <c r="J2" t="s">
        <v>701</v>
      </c>
      <c r="K2" t="s">
        <v>644</v>
      </c>
      <c r="L2" t="s">
        <v>512</v>
      </c>
      <c r="M2" t="s">
        <v>645</v>
      </c>
      <c r="N2" t="s">
        <v>645</v>
      </c>
      <c r="O2" t="s">
        <v>702</v>
      </c>
      <c r="P2" t="s">
        <v>645</v>
      </c>
      <c r="Q2" s="140" t="s">
        <v>647</v>
      </c>
      <c r="R2" s="141" t="s">
        <v>648</v>
      </c>
      <c r="S2" s="4" t="s">
        <v>649</v>
      </c>
      <c r="U2" t="s">
        <v>650</v>
      </c>
      <c r="V2">
        <v>76.2</v>
      </c>
    </row>
    <row r="3" spans="1:22" x14ac:dyDescent="0.25">
      <c r="A3" t="s">
        <v>651</v>
      </c>
      <c r="B3" t="s">
        <v>636</v>
      </c>
      <c r="C3" t="s">
        <v>703</v>
      </c>
      <c r="D3" t="s">
        <v>697</v>
      </c>
      <c r="E3" t="s">
        <v>698</v>
      </c>
      <c r="F3" t="s">
        <v>698</v>
      </c>
      <c r="G3" t="s">
        <v>699</v>
      </c>
      <c r="H3" t="s">
        <v>704</v>
      </c>
      <c r="I3" t="s">
        <v>642</v>
      </c>
      <c r="J3" t="s">
        <v>701</v>
      </c>
      <c r="K3" t="s">
        <v>644</v>
      </c>
      <c r="L3" t="s">
        <v>512</v>
      </c>
      <c r="M3" t="s">
        <v>645</v>
      </c>
      <c r="N3" t="s">
        <v>645</v>
      </c>
      <c r="O3" t="s">
        <v>702</v>
      </c>
      <c r="P3" t="s">
        <v>645</v>
      </c>
      <c r="Q3" s="140" t="s">
        <v>653</v>
      </c>
      <c r="R3" s="141" t="s">
        <v>654</v>
      </c>
      <c r="S3" s="4">
        <v>24</v>
      </c>
      <c r="U3" t="s">
        <v>650</v>
      </c>
      <c r="V3">
        <v>76.2</v>
      </c>
    </row>
    <row r="4" spans="1:22" x14ac:dyDescent="0.25">
      <c r="A4" t="s">
        <v>655</v>
      </c>
      <c r="B4" t="s">
        <v>636</v>
      </c>
      <c r="C4" t="s">
        <v>703</v>
      </c>
      <c r="D4" t="s">
        <v>697</v>
      </c>
      <c r="E4" t="s">
        <v>698</v>
      </c>
      <c r="F4" t="s">
        <v>698</v>
      </c>
      <c r="G4" t="s">
        <v>699</v>
      </c>
      <c r="H4" t="s">
        <v>705</v>
      </c>
      <c r="I4" t="s">
        <v>642</v>
      </c>
      <c r="J4" t="s">
        <v>701</v>
      </c>
      <c r="K4" t="s">
        <v>644</v>
      </c>
      <c r="L4" t="s">
        <v>512</v>
      </c>
      <c r="M4" t="s">
        <v>645</v>
      </c>
      <c r="N4" t="s">
        <v>645</v>
      </c>
      <c r="O4" t="s">
        <v>702</v>
      </c>
      <c r="P4" t="s">
        <v>645</v>
      </c>
      <c r="Q4" s="140" t="s">
        <v>656</v>
      </c>
      <c r="R4" s="141" t="s">
        <v>648</v>
      </c>
      <c r="S4" s="4">
        <v>19</v>
      </c>
      <c r="U4" t="s">
        <v>650</v>
      </c>
      <c r="V4">
        <v>76.2</v>
      </c>
    </row>
    <row r="5" spans="1:22" x14ac:dyDescent="0.25">
      <c r="A5" t="s">
        <v>657</v>
      </c>
      <c r="B5" t="s">
        <v>636</v>
      </c>
      <c r="C5" t="s">
        <v>706</v>
      </c>
      <c r="D5" t="s">
        <v>697</v>
      </c>
      <c r="E5" t="s">
        <v>698</v>
      </c>
      <c r="F5" t="s">
        <v>698</v>
      </c>
      <c r="G5" t="s">
        <v>699</v>
      </c>
      <c r="H5" t="s">
        <v>707</v>
      </c>
      <c r="I5" t="s">
        <v>642</v>
      </c>
      <c r="J5" t="s">
        <v>701</v>
      </c>
      <c r="K5" t="s">
        <v>644</v>
      </c>
      <c r="L5" t="s">
        <v>512</v>
      </c>
      <c r="M5" t="s">
        <v>645</v>
      </c>
      <c r="N5" t="s">
        <v>645</v>
      </c>
      <c r="O5" t="s">
        <v>702</v>
      </c>
      <c r="P5" t="s">
        <v>645</v>
      </c>
      <c r="Q5" s="140" t="s">
        <v>658</v>
      </c>
      <c r="R5" s="141" t="s">
        <v>648</v>
      </c>
      <c r="S5" s="4">
        <v>16</v>
      </c>
      <c r="U5" t="s">
        <v>650</v>
      </c>
      <c r="V5">
        <v>76.2</v>
      </c>
    </row>
    <row r="6" spans="1:22" x14ac:dyDescent="0.25">
      <c r="A6" t="s">
        <v>659</v>
      </c>
      <c r="B6" t="s">
        <v>636</v>
      </c>
      <c r="C6" t="s">
        <v>706</v>
      </c>
      <c r="D6" t="s">
        <v>697</v>
      </c>
      <c r="E6" t="s">
        <v>698</v>
      </c>
      <c r="F6" t="s">
        <v>698</v>
      </c>
      <c r="G6" t="s">
        <v>699</v>
      </c>
      <c r="H6" t="s">
        <v>708</v>
      </c>
      <c r="I6" t="s">
        <v>642</v>
      </c>
      <c r="J6" t="s">
        <v>701</v>
      </c>
      <c r="K6" t="s">
        <v>644</v>
      </c>
      <c r="L6" t="s">
        <v>512</v>
      </c>
      <c r="M6" t="s">
        <v>645</v>
      </c>
      <c r="N6" t="s">
        <v>645</v>
      </c>
      <c r="O6" t="s">
        <v>702</v>
      </c>
      <c r="P6" t="s">
        <v>645</v>
      </c>
      <c r="Q6" s="140" t="s">
        <v>660</v>
      </c>
      <c r="R6" s="141" t="s">
        <v>648</v>
      </c>
      <c r="S6" s="4">
        <v>12</v>
      </c>
      <c r="U6" t="s">
        <v>650</v>
      </c>
      <c r="V6">
        <v>76.2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1"/>
  <sheetViews>
    <sheetView showGridLines="0" topLeftCell="A34" zoomScaleNormal="100" workbookViewId="0">
      <selection activeCell="V20" sqref="V20:W20"/>
    </sheetView>
  </sheetViews>
  <sheetFormatPr defaultColWidth="9.140625" defaultRowHeight="15" x14ac:dyDescent="0.25"/>
  <cols>
    <col min="1" max="1" width="14" customWidth="1"/>
    <col min="2" max="2" width="11" customWidth="1"/>
    <col min="3" max="3" width="12.140625" customWidth="1"/>
    <col min="4" max="4" width="1.42578125" customWidth="1"/>
    <col min="5" max="5" width="10" customWidth="1"/>
    <col min="6" max="6" width="5.140625" customWidth="1"/>
    <col min="7" max="7" width="12" customWidth="1"/>
    <col min="9" max="9" width="16.140625" customWidth="1"/>
    <col min="11" max="11" width="14.7109375" customWidth="1"/>
  </cols>
  <sheetData>
    <row r="1" spans="1:23" x14ac:dyDescent="0.25">
      <c r="A1" s="207"/>
      <c r="B1" s="208"/>
      <c r="C1" s="208"/>
      <c r="D1" s="208"/>
      <c r="E1" s="208"/>
      <c r="F1" s="208"/>
      <c r="G1" s="208"/>
      <c r="H1" s="208"/>
      <c r="I1" s="208"/>
      <c r="J1" s="208"/>
      <c r="K1" s="209"/>
    </row>
    <row r="2" spans="1:23" x14ac:dyDescent="0.25">
      <c r="A2" s="210"/>
      <c r="B2" s="90"/>
      <c r="C2" s="90"/>
      <c r="D2" s="90"/>
      <c r="E2" s="90"/>
      <c r="F2" s="90"/>
      <c r="G2" s="90"/>
      <c r="H2" s="90"/>
      <c r="I2" s="90"/>
      <c r="J2" s="90"/>
      <c r="K2" s="211"/>
    </row>
    <row r="3" spans="1:23" x14ac:dyDescent="0.25">
      <c r="A3" s="210"/>
      <c r="B3" s="90"/>
      <c r="C3" s="90"/>
      <c r="D3" s="90"/>
      <c r="E3" s="90"/>
      <c r="F3" s="90"/>
      <c r="G3" s="90"/>
      <c r="H3" s="90"/>
      <c r="I3" s="90"/>
      <c r="J3" s="90"/>
      <c r="K3" s="211"/>
      <c r="O3" t="s">
        <v>82</v>
      </c>
    </row>
    <row r="4" spans="1:23" ht="15.75" thickBot="1" x14ac:dyDescent="0.3">
      <c r="A4" s="212"/>
      <c r="B4" s="213"/>
      <c r="C4" s="214"/>
      <c r="D4" s="213"/>
      <c r="E4" s="213"/>
      <c r="F4" s="213"/>
      <c r="G4" s="213"/>
      <c r="H4" s="213"/>
      <c r="I4" s="213"/>
      <c r="J4" s="213"/>
      <c r="K4" s="215"/>
      <c r="O4" s="578" t="str">
        <f>IF(Pricing!B59="","",Pricing!B59)</f>
        <v>Sue  Bennett</v>
      </c>
      <c r="P4" s="578"/>
    </row>
    <row r="5" spans="1:23" ht="15" customHeight="1" thickBot="1" x14ac:dyDescent="0.3">
      <c r="A5" s="229"/>
      <c r="B5" s="226"/>
      <c r="C5" s="17"/>
      <c r="D5" s="17"/>
      <c r="E5" s="17"/>
      <c r="F5" s="17"/>
      <c r="G5" s="17"/>
      <c r="H5" s="588"/>
      <c r="I5" s="588"/>
      <c r="J5" s="588"/>
      <c r="K5" s="589"/>
      <c r="O5" t="s">
        <v>83</v>
      </c>
      <c r="R5" s="590" t="s">
        <v>84</v>
      </c>
      <c r="S5" s="590"/>
      <c r="T5" s="591"/>
      <c r="U5" s="87" t="s">
        <v>85</v>
      </c>
      <c r="V5" s="592" t="s">
        <v>86</v>
      </c>
      <c r="W5" s="590"/>
    </row>
    <row r="6" spans="1:23" ht="15.75" thickBot="1" x14ac:dyDescent="0.3">
      <c r="A6" s="576" t="str">
        <f ca="1" xml:space="preserve"> "QUOTE DATE: " &amp; TEXT(TODAY(),"dd/mm/yyyy")</f>
        <v>QUOTE DATE: 22/01/2022</v>
      </c>
      <c r="B6" s="577"/>
      <c r="C6" s="86"/>
      <c r="D6" s="566" t="s">
        <v>87</v>
      </c>
      <c r="E6" s="566"/>
      <c r="F6" s="566"/>
      <c r="G6" s="566"/>
      <c r="H6" s="594" t="s">
        <v>88</v>
      </c>
      <c r="I6" s="594"/>
      <c r="J6" s="594"/>
      <c r="K6" s="595"/>
      <c r="O6" s="578" t="str">
        <f>IF(Pricing!B66="","",Pricing!B66)</f>
        <v>07722 857128</v>
      </c>
      <c r="P6" s="578"/>
      <c r="R6" s="579" t="str">
        <f>IF(OR(Pricing!C8="",Pricing!AD8="Quoted"),"",Pricing!C8 &amp; " " &amp;Pricing!C9 &amp; " " &amp;Pricing!C10)</f>
        <v xml:space="preserve">Living room Left </v>
      </c>
      <c r="S6" s="579"/>
      <c r="T6" s="580"/>
      <c r="U6" s="88"/>
      <c r="V6" s="586">
        <f>IF(OR(Pricing!AD10=0,Pricing!AD8="Quoted"),"",Pricing!AD10)</f>
        <v>137.0754</v>
      </c>
      <c r="W6" s="587"/>
    </row>
    <row r="7" spans="1:23" ht="19.5" thickBot="1" x14ac:dyDescent="0.35">
      <c r="A7" s="230"/>
      <c r="B7" s="17"/>
      <c r="C7" s="86"/>
      <c r="D7" s="17"/>
      <c r="E7" s="246" t="str">
        <f>IF(O15="","",O15)</f>
        <v>Lisa</v>
      </c>
      <c r="F7" s="566"/>
      <c r="G7" s="566"/>
      <c r="H7" s="593" t="s">
        <v>89</v>
      </c>
      <c r="I7" s="594"/>
      <c r="J7" s="594"/>
      <c r="K7" s="595"/>
      <c r="O7" t="s">
        <v>90</v>
      </c>
      <c r="R7" s="579" t="str">
        <f>IF(OR(Pricing!C11="",Pricing!AD11="Quoted"),"",Pricing!C11 &amp; " " &amp; Pricing!C12 &amp; " " &amp; Pricing!C13)</f>
        <v xml:space="preserve">Living room Centre </v>
      </c>
      <c r="S7" s="579"/>
      <c r="T7" s="580"/>
      <c r="U7" s="88"/>
      <c r="V7" s="586">
        <f>IF(OR(Pricing!AD13=0,Pricing!AD11),"",Pricing!AD13)</f>
        <v>376.16039999999998</v>
      </c>
      <c r="W7" s="587"/>
    </row>
    <row r="8" spans="1:23" ht="19.5" thickBot="1" x14ac:dyDescent="0.35">
      <c r="A8" s="565" t="s">
        <v>91</v>
      </c>
      <c r="B8" s="566"/>
      <c r="C8" s="17"/>
      <c r="D8" s="17" t="s">
        <v>92</v>
      </c>
      <c r="E8" s="17"/>
      <c r="F8" s="17"/>
      <c r="G8" s="247"/>
      <c r="I8" s="17"/>
      <c r="J8" s="17"/>
      <c r="K8" s="158"/>
      <c r="O8" s="578" t="str">
        <f>IF(Pricing!B69="","",Pricing!B69)</f>
        <v xml:space="preserve">9 Dale Avenue, Heswall, </v>
      </c>
      <c r="P8" s="578"/>
      <c r="R8" s="579" t="str">
        <f>IF(OR(Pricing!C14="",Pricing!AD14="Quoted"),"",Pricing!C14 &amp; " " &amp; Pricing!C15 &amp; " " &amp; Pricing!C16)</f>
        <v xml:space="preserve">Living room Right </v>
      </c>
      <c r="S8" s="579"/>
      <c r="T8" s="580"/>
      <c r="U8" s="88"/>
      <c r="V8" s="586">
        <f>IF(OR(Pricing!AD16=0,Pricing!AD14="Quoted"),"",Pricing!AD16)</f>
        <v>137.0754</v>
      </c>
      <c r="W8" s="587"/>
    </row>
    <row r="9" spans="1:23" ht="19.5" thickBot="1" x14ac:dyDescent="0.35">
      <c r="A9" s="248" t="str">
        <f>IF(O4="","",O4)</f>
        <v>Sue  Bennett</v>
      </c>
      <c r="B9" s="86"/>
      <c r="C9" s="86"/>
      <c r="D9" s="17"/>
      <c r="E9" s="249">
        <f>IF(O17="","",O17)</f>
        <v>66777</v>
      </c>
      <c r="F9" s="566"/>
      <c r="G9" s="566"/>
      <c r="H9" s="17"/>
      <c r="I9" s="17"/>
      <c r="J9" s="17"/>
      <c r="K9" s="158"/>
      <c r="O9" s="578"/>
      <c r="P9" s="578"/>
      <c r="R9" s="579" t="str">
        <f>IF(OR(Pricing!C17="",,Pricing!AD17="Quoted"),"",Pricing!C17 &amp; " " &amp;Pricing!C18 &amp; " " &amp; Pricing!C19)</f>
        <v xml:space="preserve">Dining room  </v>
      </c>
      <c r="S9" s="579"/>
      <c r="T9" s="580"/>
      <c r="U9" s="88"/>
      <c r="V9" s="586">
        <f>IF(OR(Pricing!AD19=0,Pricing!AD17="Quoted"),"",Pricing!AD19)</f>
        <v>363.82319999999999</v>
      </c>
      <c r="W9" s="587"/>
    </row>
    <row r="10" spans="1:23" ht="15.75" thickBot="1" x14ac:dyDescent="0.3">
      <c r="A10" s="230"/>
      <c r="B10" s="17"/>
      <c r="C10" s="86"/>
      <c r="D10" s="17"/>
      <c r="E10" s="17"/>
      <c r="F10" s="566"/>
      <c r="G10" s="566"/>
      <c r="H10" s="17"/>
      <c r="I10" s="17"/>
      <c r="J10" s="17"/>
      <c r="K10" s="158"/>
      <c r="O10" s="578"/>
      <c r="P10" s="578"/>
      <c r="R10" s="579" t="str">
        <f>IF(OR(Pricing!C20="",Pricing!AD20="Quoted"),"",Pricing!C20 &amp; " " &amp;Pricing!C21 &amp; " " &amp;Pricing!C22)</f>
        <v xml:space="preserve">Bedroom Left </v>
      </c>
      <c r="S10" s="579"/>
      <c r="T10" s="580"/>
      <c r="U10" s="88"/>
      <c r="V10" s="586">
        <f>IF(OR(Pricing!AD22=0,Pricing!AD20="Quoted"),"",Pricing!AD22)</f>
        <v>236.80799999999999</v>
      </c>
      <c r="W10" s="587"/>
    </row>
    <row r="11" spans="1:23" ht="15.75" thickBot="1" x14ac:dyDescent="0.3">
      <c r="A11" s="231" t="s">
        <v>93</v>
      </c>
      <c r="B11" s="86"/>
      <c r="C11" s="17"/>
      <c r="D11" s="17"/>
      <c r="E11" s="17"/>
      <c r="F11" s="17"/>
      <c r="G11" s="17"/>
      <c r="H11" s="17"/>
      <c r="I11" s="17"/>
      <c r="J11" s="17"/>
      <c r="K11" s="158"/>
      <c r="O11" s="578"/>
      <c r="P11" s="578"/>
      <c r="R11" s="579" t="str">
        <f>IF(OR(Pricing!C23="",Pricing!AD23),"",Pricing!C23 &amp; " " &amp; Pricing!C24 &amp; " " &amp; Pricing!C25)</f>
        <v xml:space="preserve">Bedroom Right </v>
      </c>
      <c r="S11" s="579"/>
      <c r="T11" s="580"/>
      <c r="U11" s="88"/>
      <c r="V11" s="586">
        <f>IF(OR(Pricing!AD25=0,Pricing!AD23="Quoted"),"",Pricing!AD25)</f>
        <v>236.80799999999999</v>
      </c>
      <c r="W11" s="587"/>
    </row>
    <row r="12" spans="1:23" ht="15.75" thickBot="1" x14ac:dyDescent="0.3">
      <c r="A12" s="231" t="str">
        <f>IF(O6="","",O6)</f>
        <v>07722 857128</v>
      </c>
      <c r="B12" s="86"/>
      <c r="C12" s="86"/>
      <c r="D12" s="17"/>
      <c r="E12" s="17"/>
      <c r="F12" s="17"/>
      <c r="G12" s="17"/>
      <c r="H12" s="17"/>
      <c r="I12" s="17"/>
      <c r="J12" s="17"/>
      <c r="K12" s="158"/>
      <c r="O12" s="578"/>
      <c r="P12" s="578"/>
      <c r="R12" s="579" t="str">
        <f>IF(OR(Pricing!C26="",Pricing!AD26="Quoted"),"",Pricing!C26 &amp; " " &amp; Pricing!C27 &amp; " " &amp; Pricing!C28)</f>
        <v xml:space="preserve">Bedroom Back </v>
      </c>
      <c r="S12" s="579"/>
      <c r="T12" s="580"/>
      <c r="U12" s="88"/>
      <c r="V12" s="586">
        <f>IF(OR(Pricing!AD28=0,Pricing!AD26="Quoted"),"",Pricing!AD28)</f>
        <v>319.81499999999994</v>
      </c>
      <c r="W12" s="587"/>
    </row>
    <row r="13" spans="1:23" ht="15" customHeight="1" thickBot="1" x14ac:dyDescent="0.3">
      <c r="A13" s="230"/>
      <c r="B13" s="17"/>
      <c r="C13" s="23"/>
      <c r="D13" s="17"/>
      <c r="E13" s="17"/>
      <c r="F13" s="17"/>
      <c r="G13" s="17"/>
      <c r="H13" s="17"/>
      <c r="I13" s="17"/>
      <c r="J13" s="17"/>
      <c r="K13" s="158"/>
      <c r="O13" s="578"/>
      <c r="P13" s="578"/>
      <c r="R13" s="579" t="str">
        <f>IF(OR(Pricing!C29="",Pricing!AD29="Quoted"),"",Pricing!C29 &amp; " " &amp;Pricing!C30 &amp; " " &amp; Pricing!C31)</f>
        <v/>
      </c>
      <c r="S13" s="579"/>
      <c r="T13" s="580"/>
      <c r="U13" s="88"/>
      <c r="V13" s="586" t="str">
        <f>IF(OR(Pricing!AD31=0,Pricing!AD29="Quoted"),"",Pricing!AD31)</f>
        <v/>
      </c>
      <c r="W13" s="587"/>
    </row>
    <row r="14" spans="1:23" ht="15.75" thickBot="1" x14ac:dyDescent="0.3">
      <c r="A14" s="231" t="s">
        <v>94</v>
      </c>
      <c r="B14" s="86"/>
      <c r="C14" s="23"/>
      <c r="D14" s="17"/>
      <c r="E14" s="17"/>
      <c r="F14" s="17"/>
      <c r="G14" s="17"/>
      <c r="H14" s="17"/>
      <c r="I14" s="17"/>
      <c r="J14" s="17"/>
      <c r="K14" s="158"/>
      <c r="O14" t="s">
        <v>95</v>
      </c>
      <c r="R14" s="579" t="str">
        <f>IF(OR(Pricing!C32="",Pricing!AD32="Quoted"),"",Pricing!C32 &amp; " " &amp; Pricing!C33 &amp; " " &amp; Pricing!C34)</f>
        <v/>
      </c>
      <c r="S14" s="579"/>
      <c r="T14" s="580"/>
      <c r="U14" s="88"/>
      <c r="V14" s="586" t="str">
        <f>IF(OR(Pricing!AD34=0,Pricing!AD32="Quoted"),"",Pricing!AD34)</f>
        <v/>
      </c>
      <c r="W14" s="587"/>
    </row>
    <row r="15" spans="1:23" ht="15.75" thickBot="1" x14ac:dyDescent="0.3">
      <c r="A15" s="230" t="str">
        <f>IF(O8="","",O8)</f>
        <v xml:space="preserve">9 Dale Avenue, Heswall, </v>
      </c>
      <c r="B15" s="17"/>
      <c r="C15" s="23"/>
      <c r="D15" s="17"/>
      <c r="E15" s="17"/>
      <c r="F15" s="17"/>
      <c r="G15" s="17"/>
      <c r="H15" s="17"/>
      <c r="I15" s="17"/>
      <c r="J15" s="17"/>
      <c r="K15" s="158"/>
      <c r="O15" s="578" t="str">
        <f>IF(Pricing!E62="","",Pricing!E62)</f>
        <v>Lisa</v>
      </c>
      <c r="P15" s="578"/>
      <c r="R15" s="579" t="str">
        <f>IF(OR(Pricing!C35="",Pricing!AD35="Quoted"),"",Pricing!C35 &amp; " " &amp; Pricing!C36 &amp; " " &amp; Pricing!C37)</f>
        <v xml:space="preserve">Bathroom Left </v>
      </c>
      <c r="S15" s="579"/>
      <c r="T15" s="580"/>
      <c r="U15" s="88"/>
      <c r="V15" s="586" t="str">
        <f>IF(OR(Pricing!AD37=0,Pricing!AD35="Quoted"),"",Pricing!AD37)</f>
        <v/>
      </c>
      <c r="W15" s="587"/>
    </row>
    <row r="16" spans="1:23" ht="15.75" thickBot="1" x14ac:dyDescent="0.3">
      <c r="A16" s="232" t="str">
        <f>IF(O9="","",O9)</f>
        <v/>
      </c>
      <c r="B16" s="51"/>
      <c r="C16" s="23"/>
      <c r="D16" s="17"/>
      <c r="E16" s="17"/>
      <c r="F16" s="17"/>
      <c r="G16" s="17"/>
      <c r="H16" s="17"/>
      <c r="I16" s="17"/>
      <c r="J16" s="17"/>
      <c r="K16" s="158"/>
      <c r="O16" t="s">
        <v>96</v>
      </c>
      <c r="R16" s="579" t="str">
        <f>IF(OR(Pricing!C38="",Pricing!AD38="Quoted"),"",Pricing!C38 &amp; " " &amp; Pricing!C39 &amp; " " &amp; Pricing!C40)</f>
        <v xml:space="preserve">Bathroom Right </v>
      </c>
      <c r="S16" s="579"/>
      <c r="T16" s="580"/>
      <c r="U16" s="88"/>
      <c r="V16" s="586" t="str">
        <f>IF(OR(Pricing!AD40=0,Pricing!AD38="Quoted"),"",Pricing!AD40)</f>
        <v/>
      </c>
      <c r="W16" s="587"/>
    </row>
    <row r="17" spans="1:23" ht="15.75" thickBot="1" x14ac:dyDescent="0.3">
      <c r="A17" s="232" t="str">
        <f>IF(O10="","",O10)</f>
        <v/>
      </c>
      <c r="B17" s="51"/>
      <c r="C17" s="23"/>
      <c r="D17" s="17"/>
      <c r="E17" s="17"/>
      <c r="F17" s="17"/>
      <c r="G17" s="17"/>
      <c r="H17" s="17"/>
      <c r="I17" s="17"/>
      <c r="J17" s="17"/>
      <c r="K17" s="158"/>
      <c r="O17" s="603">
        <f>IF(Pricing!E59="","",Pricing!E59)</f>
        <v>66777</v>
      </c>
      <c r="P17" s="603"/>
      <c r="R17" s="579" t="str">
        <f>IF(OR(Pricing!C41="",Pricing!AD41="Quoted"),"",Pricing!C41 &amp; " " &amp; Pricing!C42 &amp; " " &amp; Pricing!C43)</f>
        <v xml:space="preserve">Kitchen  </v>
      </c>
      <c r="S17" s="579"/>
      <c r="T17" s="580"/>
      <c r="U17" s="88"/>
      <c r="V17" s="586" t="str">
        <f>IF(OR(Pricing!AD43=0,Pricing!AD41="Quoted"),"",Pricing!AD43)</f>
        <v/>
      </c>
      <c r="W17" s="587"/>
    </row>
    <row r="18" spans="1:23" ht="15.75" thickBot="1" x14ac:dyDescent="0.3">
      <c r="A18" s="596" t="str">
        <f t="shared" ref="A18" si="0">IF(O13="","",O13)</f>
        <v/>
      </c>
      <c r="B18" s="597"/>
      <c r="C18" s="23"/>
      <c r="D18" s="17"/>
      <c r="E18" s="17"/>
      <c r="F18" s="17"/>
      <c r="G18" s="17"/>
      <c r="H18" s="17"/>
      <c r="I18" s="17"/>
      <c r="J18" s="17"/>
      <c r="K18" s="158"/>
      <c r="R18" s="579" t="str">
        <f>IF(OR(Pricing!C44="",Pricing!AD44="Quoted"),"",Pricing!C44 &amp; " " &amp; Pricing!C45 &amp; " " &amp; Pricing!C46)</f>
        <v xml:space="preserve">Kitchen patio L </v>
      </c>
      <c r="S18" s="579"/>
      <c r="T18" s="580"/>
      <c r="U18" s="88"/>
      <c r="V18" s="586" t="str">
        <f>IF(OR(Pricing!AD46=0,Pricing!AD44="Quoted"),"",Pricing!AD46)</f>
        <v/>
      </c>
      <c r="W18" s="587"/>
    </row>
    <row r="19" spans="1:23" ht="19.5" customHeight="1" thickBot="1" x14ac:dyDescent="0.35">
      <c r="A19" s="160" t="s">
        <v>97</v>
      </c>
      <c r="B19" s="208"/>
      <c r="C19" s="209"/>
      <c r="D19" s="17"/>
      <c r="E19" s="17"/>
      <c r="F19" s="567" t="s">
        <v>98</v>
      </c>
      <c r="G19" s="568"/>
      <c r="H19" s="568"/>
      <c r="I19" s="216"/>
      <c r="J19" s="216"/>
      <c r="K19" s="217"/>
      <c r="R19" s="579" t="str">
        <f>IF(OR(Pricing!C47="",Pricing!AD47="Quoted"),"",Pricing!C47 &amp; " " &amp;Pricing!C48 &amp; " " &amp; Pricing!C49)</f>
        <v xml:space="preserve">Kitchen patio R </v>
      </c>
      <c r="S19" s="579"/>
      <c r="T19" s="580"/>
      <c r="U19" s="180"/>
      <c r="V19" s="586"/>
      <c r="W19" s="587"/>
    </row>
    <row r="20" spans="1:23" ht="19.5" customHeight="1" thickBot="1" x14ac:dyDescent="0.3">
      <c r="A20" s="210"/>
      <c r="B20" s="90"/>
      <c r="C20" s="211"/>
      <c r="D20" s="17"/>
      <c r="E20" s="17"/>
      <c r="F20" s="207"/>
      <c r="G20" s="208"/>
      <c r="H20" s="218"/>
      <c r="I20" s="289"/>
      <c r="J20" s="604" t="s">
        <v>710</v>
      </c>
      <c r="K20" s="605"/>
      <c r="R20" s="579" t="str">
        <f>IF(OR(Pricing!C50="",Pricing!AD50="Quoted"),"",Pricing!C50 &amp; " " &amp; Pricing!C51 &amp; " " &amp; Pricing!C52)</f>
        <v/>
      </c>
      <c r="S20" s="579"/>
      <c r="T20" s="580"/>
      <c r="U20" s="181"/>
      <c r="V20" s="602" t="str">
        <f>IF(OR(Pricing!AD52=0,Pricing!AD50="Quoted"),"",Pricing!AD52)</f>
        <v/>
      </c>
      <c r="W20" s="602"/>
    </row>
    <row r="21" spans="1:23" ht="19.5" customHeight="1" thickBot="1" x14ac:dyDescent="0.35">
      <c r="A21" s="220" t="s">
        <v>99</v>
      </c>
      <c r="B21" s="90"/>
      <c r="C21" s="211"/>
      <c r="D21" s="17"/>
      <c r="E21" s="17"/>
      <c r="F21" s="598" t="s">
        <v>84</v>
      </c>
      <c r="G21" s="599"/>
      <c r="H21" s="599"/>
      <c r="I21" s="219"/>
      <c r="J21" s="600" t="s">
        <v>86</v>
      </c>
      <c r="K21" s="601"/>
      <c r="V21" t="s">
        <v>100</v>
      </c>
      <c r="W21" s="179">
        <f>SUM(V6:W20)</f>
        <v>1807.5654</v>
      </c>
    </row>
    <row r="22" spans="1:23" ht="19.5" customHeight="1" thickBot="1" x14ac:dyDescent="0.4">
      <c r="A22" s="221" t="str">
        <f>IF(Pricing!E8="","",Pricing!E8)</f>
        <v>Antigua</v>
      </c>
      <c r="B22" s="90"/>
      <c r="C22" s="211"/>
      <c r="D22" s="17"/>
      <c r="E22" s="17"/>
      <c r="F22" s="583" t="str">
        <f t="shared" ref="F22:F36" si="1">R6</f>
        <v xml:space="preserve">Living room Left </v>
      </c>
      <c r="G22" s="584"/>
      <c r="H22" s="584"/>
      <c r="I22" s="585"/>
      <c r="J22" s="581">
        <f>IF(V6="","",V6)</f>
        <v>137.0754</v>
      </c>
      <c r="K22" s="582"/>
      <c r="W22" s="179"/>
    </row>
    <row r="23" spans="1:23" ht="19.5" customHeight="1" thickBot="1" x14ac:dyDescent="0.35">
      <c r="A23" s="210"/>
      <c r="B23" s="90"/>
      <c r="C23" s="211"/>
      <c r="D23" s="17"/>
      <c r="E23" s="17"/>
      <c r="F23" s="583" t="str">
        <f t="shared" si="1"/>
        <v xml:space="preserve">Living room Centre </v>
      </c>
      <c r="G23" s="584"/>
      <c r="H23" s="584"/>
      <c r="I23" s="585"/>
      <c r="J23" s="581">
        <f t="shared" ref="J23:J34" si="2">IF(V7="","",V7)</f>
        <v>376.16039999999998</v>
      </c>
      <c r="K23" s="582"/>
    </row>
    <row r="24" spans="1:23" ht="19.5" customHeight="1" thickBot="1" x14ac:dyDescent="0.35">
      <c r="A24" s="220" t="s">
        <v>101</v>
      </c>
      <c r="B24" s="90"/>
      <c r="C24" s="211"/>
      <c r="D24" s="17"/>
      <c r="E24" s="17"/>
      <c r="F24" s="583" t="str">
        <f t="shared" si="1"/>
        <v xml:space="preserve">Living room Right </v>
      </c>
      <c r="G24" s="584"/>
      <c r="H24" s="584"/>
      <c r="I24" s="585"/>
      <c r="J24" s="581">
        <f t="shared" si="2"/>
        <v>137.0754</v>
      </c>
      <c r="K24" s="582"/>
    </row>
    <row r="25" spans="1:23" ht="19.5" customHeight="1" thickBot="1" x14ac:dyDescent="0.4">
      <c r="A25" s="221" t="str">
        <f>IF(Pricing!J8="","",Pricing!J8)</f>
        <v>Silent</v>
      </c>
      <c r="B25" s="90"/>
      <c r="C25" s="211"/>
      <c r="D25" s="17"/>
      <c r="E25" s="17"/>
      <c r="F25" s="583" t="str">
        <f t="shared" si="1"/>
        <v xml:space="preserve">Dining room  </v>
      </c>
      <c r="G25" s="584"/>
      <c r="H25" s="584"/>
      <c r="I25" s="585"/>
      <c r="J25" s="581">
        <f t="shared" si="2"/>
        <v>363.82319999999999</v>
      </c>
      <c r="K25" s="582"/>
    </row>
    <row r="26" spans="1:23" ht="19.5" customHeight="1" thickBot="1" x14ac:dyDescent="0.35">
      <c r="A26" s="210"/>
      <c r="B26" s="90"/>
      <c r="C26" s="211"/>
      <c r="D26" s="17"/>
      <c r="E26" s="17"/>
      <c r="F26" s="583" t="str">
        <f t="shared" si="1"/>
        <v xml:space="preserve">Bedroom Left </v>
      </c>
      <c r="G26" s="584"/>
      <c r="H26" s="584"/>
      <c r="I26" s="585"/>
      <c r="J26" s="581">
        <f t="shared" si="2"/>
        <v>236.80799999999999</v>
      </c>
      <c r="K26" s="582"/>
    </row>
    <row r="27" spans="1:23" ht="19.5" customHeight="1" thickBot="1" x14ac:dyDescent="0.35">
      <c r="A27" s="220" t="s">
        <v>102</v>
      </c>
      <c r="B27" s="90"/>
      <c r="C27" s="211"/>
      <c r="D27" s="17"/>
      <c r="E27" s="17"/>
      <c r="F27" s="583" t="str">
        <f t="shared" si="1"/>
        <v xml:space="preserve">Bedroom Right </v>
      </c>
      <c r="G27" s="584"/>
      <c r="H27" s="584"/>
      <c r="I27" s="585"/>
      <c r="J27" s="581">
        <f t="shared" si="2"/>
        <v>236.80799999999999</v>
      </c>
      <c r="K27" s="582"/>
    </row>
    <row r="28" spans="1:23" ht="19.5" customHeight="1" thickBot="1" x14ac:dyDescent="0.4">
      <c r="A28" s="221" t="str">
        <f>IF(Pricing!H8="","",Pricing!H8)</f>
        <v>76mm</v>
      </c>
      <c r="B28" s="90"/>
      <c r="C28" s="211"/>
      <c r="D28" s="17"/>
      <c r="E28" s="17"/>
      <c r="F28" s="583" t="str">
        <f t="shared" si="1"/>
        <v xml:space="preserve">Bedroom Back </v>
      </c>
      <c r="G28" s="584"/>
      <c r="H28" s="584"/>
      <c r="I28" s="585"/>
      <c r="J28" s="581">
        <f t="shared" si="2"/>
        <v>319.81499999999994</v>
      </c>
      <c r="K28" s="582"/>
    </row>
    <row r="29" spans="1:23" ht="19.5" customHeight="1" thickBot="1" x14ac:dyDescent="0.35">
      <c r="A29" s="210"/>
      <c r="B29" s="90"/>
      <c r="C29" s="211"/>
      <c r="D29" s="17"/>
      <c r="E29" s="17"/>
      <c r="F29" s="583" t="str">
        <f t="shared" si="1"/>
        <v/>
      </c>
      <c r="G29" s="584"/>
      <c r="H29" s="584"/>
      <c r="I29" s="585"/>
      <c r="J29" s="581" t="str">
        <f t="shared" si="2"/>
        <v/>
      </c>
      <c r="K29" s="582"/>
    </row>
    <row r="30" spans="1:23" ht="19.5" customHeight="1" thickBot="1" x14ac:dyDescent="0.35">
      <c r="A30" s="220" t="s">
        <v>103</v>
      </c>
      <c r="B30" s="90"/>
      <c r="C30" s="211"/>
      <c r="D30" s="17"/>
      <c r="E30" s="17"/>
      <c r="F30" s="583" t="str">
        <f t="shared" si="1"/>
        <v/>
      </c>
      <c r="G30" s="584"/>
      <c r="H30" s="584"/>
      <c r="I30" s="585"/>
      <c r="J30" s="581" t="str">
        <f t="shared" si="2"/>
        <v/>
      </c>
      <c r="K30" s="582"/>
    </row>
    <row r="31" spans="1:23" ht="19.5" customHeight="1" thickBot="1" x14ac:dyDescent="0.4">
      <c r="A31" s="221" t="str">
        <f>IF(Pricing!F8="","",Pricing!F8)</f>
        <v>Silk White</v>
      </c>
      <c r="B31" s="90"/>
      <c r="C31" s="211"/>
      <c r="D31" s="17"/>
      <c r="E31" s="17"/>
      <c r="F31" s="583" t="str">
        <f t="shared" si="1"/>
        <v xml:space="preserve">Bathroom Left </v>
      </c>
      <c r="G31" s="584"/>
      <c r="H31" s="584"/>
      <c r="I31" s="585"/>
      <c r="J31" s="581"/>
      <c r="K31" s="582"/>
    </row>
    <row r="32" spans="1:23" ht="19.5" customHeight="1" thickBot="1" x14ac:dyDescent="0.35">
      <c r="A32" s="212"/>
      <c r="B32" s="213"/>
      <c r="C32" s="215"/>
      <c r="D32" s="17"/>
      <c r="E32" s="17"/>
      <c r="F32" s="583" t="str">
        <f t="shared" si="1"/>
        <v xml:space="preserve">Bathroom Right </v>
      </c>
      <c r="G32" s="584"/>
      <c r="H32" s="584"/>
      <c r="I32" s="585"/>
      <c r="J32" s="581" t="str">
        <f t="shared" si="2"/>
        <v/>
      </c>
      <c r="K32" s="582"/>
    </row>
    <row r="33" spans="1:13" ht="19.5" customHeight="1" thickBot="1" x14ac:dyDescent="0.35">
      <c r="A33" s="569" t="s">
        <v>104</v>
      </c>
      <c r="B33" s="570"/>
      <c r="C33" s="571"/>
      <c r="D33" s="17"/>
      <c r="E33" s="17"/>
      <c r="F33" s="583" t="str">
        <f t="shared" si="1"/>
        <v xml:space="preserve">Kitchen  </v>
      </c>
      <c r="G33" s="584"/>
      <c r="H33" s="584"/>
      <c r="I33" s="585"/>
      <c r="J33" s="581" t="str">
        <f t="shared" si="2"/>
        <v/>
      </c>
      <c r="K33" s="582"/>
    </row>
    <row r="34" spans="1:13" ht="19.5" customHeight="1" thickBot="1" x14ac:dyDescent="0.35">
      <c r="A34" s="609"/>
      <c r="B34" s="610"/>
      <c r="C34" s="611"/>
      <c r="D34" s="17"/>
      <c r="E34" s="17"/>
      <c r="F34" s="583" t="str">
        <f t="shared" si="1"/>
        <v xml:space="preserve">Kitchen patio L </v>
      </c>
      <c r="G34" s="584"/>
      <c r="H34" s="584"/>
      <c r="I34" s="585"/>
      <c r="J34" s="581" t="str">
        <f t="shared" si="2"/>
        <v/>
      </c>
      <c r="K34" s="582"/>
    </row>
    <row r="35" spans="1:13" ht="19.5" customHeight="1" thickBot="1" x14ac:dyDescent="0.35">
      <c r="A35" s="612"/>
      <c r="B35" s="613"/>
      <c r="C35" s="614"/>
      <c r="D35" s="17"/>
      <c r="E35" s="17"/>
      <c r="F35" s="583" t="str">
        <f t="shared" si="1"/>
        <v xml:space="preserve">Kitchen patio R </v>
      </c>
      <c r="G35" s="584"/>
      <c r="H35" s="584"/>
      <c r="I35" s="585"/>
      <c r="J35" s="581" t="str">
        <f t="shared" ref="J35" si="3">IF(V19="","",V19)</f>
        <v/>
      </c>
      <c r="K35" s="582"/>
    </row>
    <row r="36" spans="1:13" ht="19.5" customHeight="1" thickBot="1" x14ac:dyDescent="0.35">
      <c r="A36" s="615"/>
      <c r="B36" s="616"/>
      <c r="C36" s="617"/>
      <c r="D36" s="17"/>
      <c r="E36" s="17"/>
      <c r="F36" s="621" t="str">
        <f t="shared" si="1"/>
        <v/>
      </c>
      <c r="G36" s="622"/>
      <c r="H36" s="622"/>
      <c r="I36" s="623"/>
      <c r="J36" s="618" t="str">
        <f t="shared" ref="J36" si="4">IF(V20="","",V20)</f>
        <v/>
      </c>
      <c r="K36" s="619"/>
    </row>
    <row r="37" spans="1:13" ht="4.5" customHeight="1" thickBot="1" x14ac:dyDescent="0.3">
      <c r="A37" s="17"/>
      <c r="B37" s="17"/>
      <c r="C37" s="17"/>
      <c r="D37" s="17"/>
      <c r="E37" s="17"/>
      <c r="F37" s="17"/>
      <c r="G37" s="17"/>
      <c r="H37" s="17"/>
      <c r="I37" s="17"/>
      <c r="J37" s="226"/>
      <c r="K37" s="227"/>
    </row>
    <row r="38" spans="1:13" ht="18.75" x14ac:dyDescent="0.3">
      <c r="A38" s="624" t="s">
        <v>712</v>
      </c>
      <c r="B38" s="625"/>
      <c r="C38" s="626"/>
      <c r="D38" s="17"/>
      <c r="E38" s="17"/>
      <c r="F38" s="627" t="s">
        <v>711</v>
      </c>
      <c r="G38" s="628"/>
      <c r="H38" s="628"/>
      <c r="I38" s="629"/>
      <c r="J38" s="620">
        <f>Pricing!W59</f>
        <v>2410</v>
      </c>
      <c r="K38" s="620"/>
    </row>
    <row r="39" spans="1:13" ht="18.75" x14ac:dyDescent="0.3">
      <c r="A39" s="606" t="str">
        <f>IF(Pricing!R61="Finance Please Select","Finance NOT Selected",Pricing!R61)</f>
        <v>Finance NOT Selected</v>
      </c>
      <c r="B39" s="607"/>
      <c r="C39" s="608"/>
      <c r="D39" s="17"/>
      <c r="E39" s="17"/>
      <c r="F39" s="630" t="s">
        <v>714</v>
      </c>
      <c r="G39" s="631"/>
      <c r="H39" s="631"/>
      <c r="I39" s="632"/>
      <c r="J39" s="572" t="str">
        <f>"-£" &amp;( J38-Pricing!AA59) -SUM(Pricing!O72+Pricing!O73)</f>
        <v>-£602.4346</v>
      </c>
      <c r="K39" s="572"/>
    </row>
    <row r="40" spans="1:13" ht="18.75" x14ac:dyDescent="0.3">
      <c r="A40" s="222" t="s">
        <v>105</v>
      </c>
      <c r="B40" s="206">
        <f>Pricing!T63</f>
        <v>635</v>
      </c>
      <c r="C40" s="211"/>
      <c r="D40" s="17"/>
      <c r="E40" s="17"/>
      <c r="F40" s="627" t="s">
        <v>106</v>
      </c>
      <c r="G40" s="628"/>
      <c r="H40" s="628"/>
      <c r="I40" s="629"/>
      <c r="J40" s="620">
        <f>Pricing!AA62</f>
        <v>306</v>
      </c>
      <c r="K40" s="620"/>
    </row>
    <row r="41" spans="1:13" ht="18.75" x14ac:dyDescent="0.3">
      <c r="A41" s="222" t="s">
        <v>58</v>
      </c>
      <c r="B41" s="205" t="str">
        <f>Pricing!T64</f>
        <v/>
      </c>
      <c r="C41" s="211"/>
      <c r="D41" s="17"/>
      <c r="E41" s="17"/>
      <c r="F41" s="627" t="s">
        <v>107</v>
      </c>
      <c r="G41" s="628"/>
      <c r="H41" s="628"/>
      <c r="I41" s="629"/>
      <c r="J41" s="620">
        <f>Pricing!AA64</f>
        <v>423.75</v>
      </c>
      <c r="K41" s="620"/>
    </row>
    <row r="42" spans="1:13" ht="15" customHeight="1" x14ac:dyDescent="0.25">
      <c r="A42" s="222" t="str">
        <f>Pricing!R66</f>
        <v>12 Months</v>
      </c>
      <c r="B42" s="206" t="str">
        <f>Pricing!T66</f>
        <v/>
      </c>
      <c r="C42" s="223"/>
      <c r="D42" s="17"/>
      <c r="E42" s="17"/>
      <c r="F42" s="639" t="s">
        <v>108</v>
      </c>
      <c r="G42" s="639"/>
      <c r="H42" s="639"/>
      <c r="I42" s="639"/>
      <c r="J42" s="640">
        <f>(Pricing!AA66)</f>
        <v>2537.3154</v>
      </c>
      <c r="K42" s="640"/>
    </row>
    <row r="43" spans="1:13" x14ac:dyDescent="0.25">
      <c r="A43" s="222" t="str">
        <f>Pricing!R67</f>
        <v>24 Months</v>
      </c>
      <c r="B43" s="206" t="str">
        <f>Pricing!T67</f>
        <v/>
      </c>
      <c r="C43" s="211"/>
      <c r="D43" s="17"/>
      <c r="E43" s="17"/>
      <c r="F43" s="639"/>
      <c r="G43" s="639"/>
      <c r="H43" s="639"/>
      <c r="I43" s="639"/>
      <c r="J43" s="640"/>
      <c r="K43" s="640"/>
      <c r="M43" s="179"/>
    </row>
    <row r="44" spans="1:13" ht="16.5" thickBot="1" x14ac:dyDescent="0.3">
      <c r="A44" s="224" t="str">
        <f>Pricing!R68</f>
        <v>36 Months</v>
      </c>
      <c r="B44" s="225" t="str">
        <f>Pricing!T68</f>
        <v/>
      </c>
      <c r="C44" s="215"/>
      <c r="D44" s="17"/>
      <c r="E44" s="17"/>
      <c r="F44" s="642" t="s">
        <v>109</v>
      </c>
      <c r="G44" s="643"/>
      <c r="H44" s="643"/>
      <c r="I44" s="644"/>
      <c r="J44" s="641">
        <f>Pricing!AA71</f>
        <v>1269</v>
      </c>
      <c r="K44" s="641"/>
    </row>
    <row r="45" spans="1:13" ht="3" customHeight="1" thickBot="1" x14ac:dyDescent="0.3">
      <c r="A45" s="17"/>
      <c r="B45" s="17"/>
      <c r="C45" s="17"/>
      <c r="D45" s="17"/>
      <c r="E45" s="17"/>
      <c r="F45" s="17"/>
      <c r="K45" s="228"/>
    </row>
    <row r="46" spans="1:13" x14ac:dyDescent="0.25">
      <c r="A46" s="230"/>
      <c r="B46" s="17"/>
      <c r="C46" s="17"/>
      <c r="D46" s="17"/>
      <c r="E46" s="17"/>
      <c r="F46" s="17"/>
      <c r="G46" s="633" t="s">
        <v>110</v>
      </c>
      <c r="H46" s="634"/>
      <c r="I46" s="634"/>
      <c r="J46" s="634"/>
      <c r="K46" s="635"/>
    </row>
    <row r="47" spans="1:13" ht="15" customHeight="1" x14ac:dyDescent="0.25">
      <c r="A47" s="230"/>
      <c r="B47" s="17"/>
      <c r="C47" s="17"/>
      <c r="D47" s="17"/>
      <c r="E47" s="17"/>
      <c r="F47" s="17"/>
      <c r="G47" s="636"/>
      <c r="H47" s="637"/>
      <c r="I47" s="637"/>
      <c r="J47" s="637"/>
      <c r="K47" s="638"/>
    </row>
    <row r="48" spans="1:13" x14ac:dyDescent="0.25">
      <c r="A48" s="230"/>
      <c r="B48" s="17"/>
      <c r="C48" s="17"/>
      <c r="D48" s="17"/>
      <c r="E48" s="17"/>
      <c r="F48" s="17"/>
      <c r="G48" s="636"/>
      <c r="H48" s="637"/>
      <c r="I48" s="637"/>
      <c r="J48" s="637"/>
      <c r="K48" s="638"/>
    </row>
    <row r="49" spans="1:11" x14ac:dyDescent="0.25">
      <c r="A49" s="230"/>
      <c r="B49" s="17"/>
      <c r="C49" s="17"/>
      <c r="D49" s="17"/>
      <c r="E49" s="17"/>
      <c r="F49" s="17"/>
      <c r="G49" s="636"/>
      <c r="H49" s="637"/>
      <c r="I49" s="637"/>
      <c r="J49" s="637"/>
      <c r="K49" s="638"/>
    </row>
    <row r="50" spans="1:11" ht="32.25" customHeight="1" thickBot="1" x14ac:dyDescent="0.3">
      <c r="A50" s="233"/>
      <c r="B50" s="17"/>
      <c r="C50" s="17"/>
      <c r="D50" s="17"/>
      <c r="E50" s="17"/>
      <c r="F50" s="17"/>
      <c r="G50" s="636"/>
      <c r="H50" s="637"/>
      <c r="I50" s="637"/>
      <c r="J50" s="637"/>
      <c r="K50" s="638"/>
    </row>
    <row r="51" spans="1:11" ht="15.75" thickBot="1" x14ac:dyDescent="0.3">
      <c r="A51" s="573" t="s">
        <v>111</v>
      </c>
      <c r="B51" s="574"/>
      <c r="C51" s="574"/>
      <c r="D51" s="574"/>
      <c r="E51" s="574"/>
      <c r="F51" s="574"/>
      <c r="G51" s="574"/>
      <c r="H51" s="574"/>
      <c r="I51" s="574"/>
      <c r="J51" s="574"/>
      <c r="K51" s="575"/>
    </row>
  </sheetData>
  <mergeCells count="104">
    <mergeCell ref="G46:K50"/>
    <mergeCell ref="J40:K40"/>
    <mergeCell ref="F42:I43"/>
    <mergeCell ref="J42:K43"/>
    <mergeCell ref="J44:K44"/>
    <mergeCell ref="J41:K41"/>
    <mergeCell ref="F40:I40"/>
    <mergeCell ref="F41:I41"/>
    <mergeCell ref="F44:I44"/>
    <mergeCell ref="F29:I29"/>
    <mergeCell ref="F30:I30"/>
    <mergeCell ref="J31:K31"/>
    <mergeCell ref="J32:K32"/>
    <mergeCell ref="J33:K33"/>
    <mergeCell ref="F31:I31"/>
    <mergeCell ref="F32:I32"/>
    <mergeCell ref="F33:I33"/>
    <mergeCell ref="A39:C39"/>
    <mergeCell ref="A34:C36"/>
    <mergeCell ref="J34:K34"/>
    <mergeCell ref="J36:K36"/>
    <mergeCell ref="J38:K38"/>
    <mergeCell ref="J35:K35"/>
    <mergeCell ref="F34:I34"/>
    <mergeCell ref="F35:I35"/>
    <mergeCell ref="F36:I36"/>
    <mergeCell ref="A38:C38"/>
    <mergeCell ref="F38:I38"/>
    <mergeCell ref="F39:I39"/>
    <mergeCell ref="V17:W17"/>
    <mergeCell ref="A18:B18"/>
    <mergeCell ref="R18:T18"/>
    <mergeCell ref="V18:W18"/>
    <mergeCell ref="R19:T19"/>
    <mergeCell ref="V19:W19"/>
    <mergeCell ref="J22:K22"/>
    <mergeCell ref="F21:H21"/>
    <mergeCell ref="J21:K21"/>
    <mergeCell ref="R20:T20"/>
    <mergeCell ref="V20:W20"/>
    <mergeCell ref="O17:P17"/>
    <mergeCell ref="F22:I22"/>
    <mergeCell ref="J20:K20"/>
    <mergeCell ref="V15:W15"/>
    <mergeCell ref="R16:T16"/>
    <mergeCell ref="V16:W16"/>
    <mergeCell ref="O13:P13"/>
    <mergeCell ref="R13:T13"/>
    <mergeCell ref="V13:W13"/>
    <mergeCell ref="R14:T14"/>
    <mergeCell ref="V14:W14"/>
    <mergeCell ref="H6:K6"/>
    <mergeCell ref="O6:P6"/>
    <mergeCell ref="R6:T6"/>
    <mergeCell ref="V6:W6"/>
    <mergeCell ref="R11:T11"/>
    <mergeCell ref="V11:W11"/>
    <mergeCell ref="O15:P15"/>
    <mergeCell ref="R15:T15"/>
    <mergeCell ref="V12:W12"/>
    <mergeCell ref="O4:P4"/>
    <mergeCell ref="H5:K5"/>
    <mergeCell ref="R5:T5"/>
    <mergeCell ref="V5:W5"/>
    <mergeCell ref="F7:G7"/>
    <mergeCell ref="H7:K7"/>
    <mergeCell ref="R7:T7"/>
    <mergeCell ref="V7:W7"/>
    <mergeCell ref="O8:P8"/>
    <mergeCell ref="R8:T8"/>
    <mergeCell ref="V8:W8"/>
    <mergeCell ref="F9:G9"/>
    <mergeCell ref="O9:P9"/>
    <mergeCell ref="R9:T9"/>
    <mergeCell ref="V9:W9"/>
    <mergeCell ref="F10:G10"/>
    <mergeCell ref="O10:P10"/>
    <mergeCell ref="R10:T10"/>
    <mergeCell ref="V10:W10"/>
    <mergeCell ref="O11:P11"/>
    <mergeCell ref="A8:B8"/>
    <mergeCell ref="D6:G6"/>
    <mergeCell ref="F19:H19"/>
    <mergeCell ref="A33:C33"/>
    <mergeCell ref="J39:K39"/>
    <mergeCell ref="A51:K51"/>
    <mergeCell ref="A6:B6"/>
    <mergeCell ref="O12:P12"/>
    <mergeCell ref="R12:T12"/>
    <mergeCell ref="R17:T17"/>
    <mergeCell ref="J23:K23"/>
    <mergeCell ref="J24:K24"/>
    <mergeCell ref="F23:I23"/>
    <mergeCell ref="F24:I24"/>
    <mergeCell ref="J25:K25"/>
    <mergeCell ref="J26:K26"/>
    <mergeCell ref="J27:K27"/>
    <mergeCell ref="F25:I25"/>
    <mergeCell ref="F26:I26"/>
    <mergeCell ref="F27:I27"/>
    <mergeCell ref="J28:K28"/>
    <mergeCell ref="J29:K29"/>
    <mergeCell ref="J30:K30"/>
    <mergeCell ref="F28:I28"/>
  </mergeCells>
  <conditionalFormatting sqref="A42:B42">
    <cfRule type="expression" dxfId="607" priority="4">
      <formula>SEARCH("12",$A$39)</formula>
    </cfRule>
  </conditionalFormatting>
  <conditionalFormatting sqref="A43:C43">
    <cfRule type="expression" dxfId="606" priority="3">
      <formula>SEARCH("24",$A$39)</formula>
    </cfRule>
  </conditionalFormatting>
  <conditionalFormatting sqref="A44:C44">
    <cfRule type="expression" dxfId="605" priority="2">
      <formula>SEARCH("36",$A$39)</formula>
    </cfRule>
  </conditionalFormatting>
  <conditionalFormatting sqref="A39:C39">
    <cfRule type="containsText" dxfId="604" priority="1" operator="containsText" text="Finance Yes">
      <formula>NOT(ISERROR(SEARCH("Finance Yes",A39)))</formula>
    </cfRule>
  </conditionalFormatting>
  <hyperlinks>
    <hyperlink ref="H7" r:id="rId1" xr:uid="{A0E70251-0CCD-49E4-A770-D31799BA63B7}"/>
  </hyperlinks>
  <pageMargins left="0.25" right="0.25" top="0.75" bottom="0.75" header="0.3" footer="0.3"/>
  <pageSetup paperSize="9" scale="85"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C2" sqref="C2"/>
    </sheetView>
  </sheetViews>
  <sheetFormatPr defaultRowHeight="15" x14ac:dyDescent="0.25"/>
  <cols>
    <col min="1" max="1" width="3.28515625" customWidth="1"/>
    <col min="2" max="2" width="11.5703125" bestFit="1" customWidth="1"/>
    <col min="3" max="3" width="12.28515625" customWidth="1"/>
    <col min="4" max="4" width="13.85546875" customWidth="1"/>
    <col min="5" max="5" width="18.28515625" customWidth="1"/>
    <col min="6" max="6" width="15.85546875" customWidth="1"/>
    <col min="7" max="7" width="36.7109375" bestFit="1" customWidth="1"/>
    <col min="9" max="9" width="8.5703125" customWidth="1"/>
    <col min="10" max="10" width="15.5703125" customWidth="1"/>
    <col min="11" max="11" width="11.85546875" customWidth="1"/>
    <col min="12" max="12" width="11.85546875" style="7" customWidth="1"/>
    <col min="15" max="15" width="17.42578125" bestFit="1" customWidth="1"/>
  </cols>
  <sheetData>
    <row r="1" spans="1:16" ht="15.75" thickBot="1" x14ac:dyDescent="0.3">
      <c r="A1" s="17"/>
      <c r="B1" s="17"/>
      <c r="C1" s="17"/>
      <c r="D1" s="17"/>
      <c r="E1" s="17"/>
      <c r="F1" s="17"/>
      <c r="G1" s="17"/>
      <c r="H1" s="17"/>
      <c r="I1" s="17"/>
      <c r="J1" s="17"/>
      <c r="K1" s="17"/>
      <c r="L1" s="52"/>
      <c r="M1" s="17"/>
      <c r="N1" s="17"/>
      <c r="O1" s="17"/>
      <c r="P1" s="17"/>
    </row>
    <row r="2" spans="1:16" ht="16.5" thickTop="1" thickBot="1" x14ac:dyDescent="0.3">
      <c r="A2" s="17"/>
      <c r="B2" s="30" t="s">
        <v>112</v>
      </c>
      <c r="C2" s="53" t="s">
        <v>43</v>
      </c>
      <c r="D2" s="17"/>
      <c r="E2" s="30" t="s">
        <v>113</v>
      </c>
      <c r="F2" s="647" t="str">
        <f>IF(C2 = "Antigua",TDAntigua[Material],IF(C2 = "Cuba",TDCuba[Material],IF(C2 = "Java",TDJava[Material],IF(C2 = "Fiji",TDFiji[Material],IF(C2 = "Bermuda",TDBermuda[Material],IF(C2 = "Samoa",TDSamoa[Material],""))))))</f>
        <v>MDF</v>
      </c>
      <c r="G2" s="648"/>
      <c r="H2" s="649"/>
      <c r="I2" s="17"/>
      <c r="J2" s="17"/>
      <c r="K2" s="17"/>
      <c r="L2" s="52"/>
      <c r="M2" s="17"/>
      <c r="N2" s="17"/>
      <c r="O2" s="17"/>
      <c r="P2" s="17"/>
    </row>
    <row r="3" spans="1:16" ht="15.75" thickTop="1" x14ac:dyDescent="0.25">
      <c r="A3" s="17"/>
      <c r="B3" s="17"/>
      <c r="C3" s="17"/>
      <c r="D3" s="17"/>
      <c r="E3" s="17"/>
      <c r="F3" s="17"/>
      <c r="G3" s="17"/>
      <c r="H3" s="17"/>
      <c r="I3" s="17"/>
      <c r="J3" s="17"/>
      <c r="K3" s="17"/>
      <c r="L3" s="52"/>
      <c r="M3" s="17"/>
      <c r="N3" s="17"/>
      <c r="O3" s="17"/>
      <c r="P3" s="17"/>
    </row>
    <row r="4" spans="1:16" ht="15.75" thickBot="1" x14ac:dyDescent="0.3">
      <c r="A4" s="17"/>
      <c r="B4" s="17"/>
      <c r="C4" s="17"/>
      <c r="D4" s="17"/>
      <c r="E4" s="17"/>
      <c r="F4" s="17"/>
      <c r="G4" s="17"/>
      <c r="H4" s="17"/>
      <c r="I4" s="17"/>
      <c r="J4" s="17"/>
      <c r="K4" s="17"/>
      <c r="L4" s="52"/>
      <c r="M4" s="17"/>
      <c r="N4" s="17"/>
      <c r="O4" s="17"/>
      <c r="P4" s="17"/>
    </row>
    <row r="5" spans="1:16" ht="60.75" thickTop="1" x14ac:dyDescent="0.25">
      <c r="A5" s="17"/>
      <c r="B5" s="54" t="s">
        <v>4</v>
      </c>
      <c r="C5" s="55" t="s">
        <v>114</v>
      </c>
      <c r="D5" s="55" t="s">
        <v>115</v>
      </c>
      <c r="E5" s="55" t="s">
        <v>116</v>
      </c>
      <c r="F5" s="55" t="s">
        <v>117</v>
      </c>
      <c r="G5" s="55" t="s">
        <v>118</v>
      </c>
      <c r="H5" s="55" t="s">
        <v>119</v>
      </c>
      <c r="I5" s="55" t="s">
        <v>120</v>
      </c>
      <c r="J5" s="55" t="s">
        <v>121</v>
      </c>
      <c r="K5" s="55" t="s">
        <v>122</v>
      </c>
      <c r="L5" s="55" t="s">
        <v>123</v>
      </c>
      <c r="M5" s="55" t="s">
        <v>124</v>
      </c>
      <c r="N5" s="55" t="s">
        <v>125</v>
      </c>
      <c r="O5" s="56" t="s">
        <v>126</v>
      </c>
      <c r="P5" s="17"/>
    </row>
    <row r="6" spans="1:16" x14ac:dyDescent="0.25">
      <c r="A6" s="17"/>
      <c r="B6" s="57" t="str">
        <f t="array" ref="B6:B10">IF(C2 = "Antigua",TDAntigua[Louvre Size],IF(C2 = "Cuba",TDCuba[Louvre Size],IF(C2 = "Java",TDJava[Louvre Size],IF(C2 = "Fiji",TDFiji[Louvre Size],IF(C2 = "Bermuda",TDBermuda[Louvre Size],IF(C2 = "Samoa",TDSamoa[Louvre Size],))))))</f>
        <v>47 mm</v>
      </c>
      <c r="C6" s="59" t="s">
        <v>127</v>
      </c>
      <c r="D6" s="59" t="str">
        <f t="array" ref="D6:D10">IF(C2 = "Antigua",TDAntigua[Max Width Single],IF(C2 = "Cuba",TDCuba[Max Width Single],IF(C2 = "Java",TDJava[Max Width Single],IF(C2 = "Fiji",TDFiji[Max Width Single],IF(C2 = "Bermuda",TDBermuda[Max Width Single],IF(C2 = "Samoa",TDSamoa[Max Width Single],))))))</f>
        <v>600 mm</v>
      </c>
      <c r="E6" s="61" t="str">
        <f t="array" ref="E6:E10">IF(C2 = "Antigua",TDAntigua[Max Width Bfold],IF(C2 = "Cuba",TDCuba[Max Width Bfold],IF(C2 = "Java",TDJava[Max Width Bfold],IF(C2 = "Fiji",TDFiji[Max Width Bfold],IF(C2 = "Bermuda",TDBermuda[Max Width Bfold],IF(C2 = "Samoa",TDSamoa[Max Width Bfold],))))))</f>
        <v>600 mm</v>
      </c>
      <c r="F6" s="63"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63" t="str">
        <f t="array" ref="G6:G10">IF(C2 = "Antigua",TDAntigua[Max Height],IF(C2 = "Cuba",TDCuba[Max Height],IF(C2 = "Java",TDJava[Max Height],IF(C2 = "Fiji",TDFiji[Max Height],IF(C2 = "Bermuda",TDBermuda[Max Height],IF(C2 = "Samoa",TDSamoa[Max Height],""))))))</f>
        <v>3000 mm (See Tech Spech if Over 2500mm)</v>
      </c>
      <c r="H6" s="59" t="str">
        <f t="array" ref="H6:H10">IF(C2 = "Antigua",TDAntigua[Special Shapes],IF(C2 = "Cuba",TDCuba[Special Shapes],IF(C2 = "Java",TDJava[Special Shapes],IF(C2 = "Fiji",TDFiji[Special Shapes],IF(C2 = "Bermuda",TDBermuda[Special Shapes],IF(C2 = "Samoa",TDSamoa[Special Shapes],""))))))</f>
        <v>No</v>
      </c>
      <c r="I6" s="59" t="str">
        <f t="array" ref="I6:I10">IF(C2 = "Antigua",TDAntigua[Custom Bay Posts],IF(C2 = "Cuba",TDCuba[Custom Bay Posts],IF(C2 = "Java",TDJava[Custom Bay Posts],IF(C2 = "Fiji",TDFiji[Custom Bay Posts],IF(C2 = "Bermuda",TDBermuda[Custom Bay Posts],IF(C2 = "Samoa",TDSamoa[Custom Bay Posts],))))))</f>
        <v>Yes</v>
      </c>
      <c r="J6" s="63" t="str">
        <f t="array" ref="J6:J10">IF(C2 = "Antigua",TDAntigua[Stile Type],IF(C2 = "Cuba",TDCuba[Stile Type],IF(C2 = "Java",TDJava[Stile Type],IF(C2 = "Fiji",TDFiji[Stile Type],IF(C2 = "Bermuda",TDBermuda[Stile Type],IF(C2 = "Samoa",TDSamoa[Stile Type],""))))))</f>
        <v>Beaded or Plain</v>
      </c>
      <c r="K6" s="63" t="str">
        <f t="array" ref="K6:K10">IF($C$2 = "Antigua",TDAntigua[Silent Tilt Split],IF($C$2 = "Cuba",TDCuba[Silent Tilt Split],IF($C$2 = "Java",TDJava[Silent Tilt Split],IF($C$2 = "Fiji",TDFiji[Silent Tilt Split],IF($C$2 = "Bermuda",TDBermuda[Silent Tilt Split],IF($C$2 = "Samoa",TDSamoa[Silent Tilt Split],""))))))</f>
        <v>&gt;1385 mm</v>
      </c>
      <c r="L6" s="59" t="str">
        <f t="array" ref="L6:L10">IF($C$2 = "Antigua",TDAntigua[Midrail Tollerance],IF($C$2 = "Cuba",TDCuba[Midrail Tollerance],IF($C$2 = "Java",TDJava[Midrail Tollerance],IF($C$2 = "Fiji",TDFiji[Midrail Tollerance],IF($C$2 = "Bermuda",TDBermuda[Midrail Tollerance],IF($C$2 = "Samoa",TDSamoa[Midrail Tollerance],""))))))</f>
        <v>+/- 19 mm</v>
      </c>
      <c r="M6" s="59" t="str">
        <f t="array" ref="M6:M10">IF($C$2 = "Antigua",TDAntigua[Max Louvre Split],IF($C$2 = "Cuba",TDCuba[Max Louvre Split],IF($C$2 = "Java",TDJava[Max Louvre Split],IF($C$2 = "Fiji",TDFiji[Max Louvre Split],IF($C$2 = "Bermuda",TDBermuda[Max Louvre Split],IF($C$2 = "Samoa",TDSamoa[Max Louvre Split],""))))))</f>
        <v>N/A</v>
      </c>
      <c r="N6" s="59" t="str">
        <f t="array" ref="N6:N10">IF(C2 = "Antigua",TDAntigua[Fixed Luvres],IF(C2 = "Cuba",TDCuba[Fixed Luvres],IF(C2 = "Java",TDJava[Fixed Luvres],IF(C2 = "Fiji",TDFiji[Fixed Luvres],IF(C2 = "Bermuda",TDBermuda[Fixed Luvres],IF(C2 = "Samoa",TDSamoa[Fixed Luvres],""))))))</f>
        <v>Yes</v>
      </c>
      <c r="O6" s="65" t="str">
        <f t="array" ref="O6:O10">IF(C2 = "Antigua",TDAntigua[Solid Panels],IF(C2 = "Cuba",TDCuba[Solid Panels],IF(C2 = "Java",TDJava[Solid Panels],IF(C2 = "Fiji",TDFiji[Solid Panels],IF(C2 = "Bermuda",TDBermuda[Solid Panels],IF(C2 = "Samoa",TDSamoa[Solid Panels],""))))))</f>
        <v>No</v>
      </c>
      <c r="P6" s="17"/>
    </row>
    <row r="7" spans="1:16" x14ac:dyDescent="0.25">
      <c r="A7" s="17"/>
      <c r="B7" s="57" t="str">
        <v>63 mm</v>
      </c>
      <c r="C7" s="59" t="s">
        <v>127</v>
      </c>
      <c r="D7" s="59" t="str">
        <v>750 mm</v>
      </c>
      <c r="E7" s="61" t="str">
        <v>600 mm</v>
      </c>
      <c r="F7" s="63" t="str">
        <v>2 (1 If Doorway)</v>
      </c>
      <c r="G7" s="63" t="str">
        <v>3000 mm (See Tech Spech if Over 2500mm)</v>
      </c>
      <c r="H7" s="59" t="str">
        <v>No</v>
      </c>
      <c r="I7" s="59" t="str">
        <v>Yes</v>
      </c>
      <c r="J7" s="63" t="str">
        <v>Beaded or Plain</v>
      </c>
      <c r="K7" s="63" t="str">
        <v>&gt;1372 mm</v>
      </c>
      <c r="L7" s="59" t="str">
        <v>+/- 25 mm</v>
      </c>
      <c r="M7" s="59">
        <v>24</v>
      </c>
      <c r="N7" s="59" t="str">
        <v>Yes</v>
      </c>
      <c r="O7" s="65" t="str">
        <v>No</v>
      </c>
      <c r="P7" s="17"/>
    </row>
    <row r="8" spans="1:16" x14ac:dyDescent="0.25">
      <c r="A8" s="17"/>
      <c r="B8" s="57" t="str">
        <v>76 mm</v>
      </c>
      <c r="C8" s="59" t="s">
        <v>128</v>
      </c>
      <c r="D8" s="59" t="str">
        <v>750 mm</v>
      </c>
      <c r="E8" s="61" t="str">
        <v>600 mm</v>
      </c>
      <c r="F8" s="63" t="str">
        <v>2 (1 If Doorway)</v>
      </c>
      <c r="G8" s="63" t="str">
        <v>3000 mm (See Tech Spech if Over 2500mm)</v>
      </c>
      <c r="H8" s="59" t="str">
        <v>No</v>
      </c>
      <c r="I8" s="59" t="str">
        <v>Yes</v>
      </c>
      <c r="J8" s="63" t="str">
        <v>Beaded or Plain</v>
      </c>
      <c r="K8" s="63" t="str">
        <v>&gt;1385 mm</v>
      </c>
      <c r="L8" s="59" t="str">
        <v>+/- 31 mm</v>
      </c>
      <c r="M8" s="59">
        <v>19</v>
      </c>
      <c r="N8" s="59" t="str">
        <v>Yes</v>
      </c>
      <c r="O8" s="65" t="str">
        <v>No</v>
      </c>
      <c r="P8" s="17"/>
    </row>
    <row r="9" spans="1:16" x14ac:dyDescent="0.25">
      <c r="A9" s="17"/>
      <c r="B9" s="57" t="str">
        <v>89 mm</v>
      </c>
      <c r="C9" s="59" t="s">
        <v>129</v>
      </c>
      <c r="D9" s="59" t="str">
        <v>750 mm</v>
      </c>
      <c r="E9" s="61" t="str">
        <v>600 mm</v>
      </c>
      <c r="F9" s="63" t="str">
        <v>2 (1 If Doorway)</v>
      </c>
      <c r="G9" s="63" t="str">
        <v>3000 mm (See Tech Spech if Over 2500mm)</v>
      </c>
      <c r="H9" s="59" t="str">
        <v>No</v>
      </c>
      <c r="I9" s="59" t="str">
        <v>Yes</v>
      </c>
      <c r="J9" s="63" t="str">
        <v>Beaded or Plain</v>
      </c>
      <c r="K9" s="63" t="str">
        <v>&gt;1385 mm</v>
      </c>
      <c r="L9" s="59" t="str">
        <v>+/- 38 mm</v>
      </c>
      <c r="M9" s="59">
        <v>16</v>
      </c>
      <c r="N9" s="59" t="str">
        <v>Yes</v>
      </c>
      <c r="O9" s="65" t="str">
        <v>No</v>
      </c>
      <c r="P9" s="17"/>
    </row>
    <row r="10" spans="1:16" ht="15.75" thickBot="1" x14ac:dyDescent="0.3">
      <c r="A10" s="17"/>
      <c r="B10" s="58" t="str">
        <v>114 mm</v>
      </c>
      <c r="C10" s="60" t="s">
        <v>130</v>
      </c>
      <c r="D10" s="60" t="str">
        <v>750 mm</v>
      </c>
      <c r="E10" s="62" t="str">
        <v>600 mm</v>
      </c>
      <c r="F10" s="64" t="str">
        <v>2 (1 If Doorway)</v>
      </c>
      <c r="G10" s="64" t="str">
        <v>3000 mm (See Tech Spech if Over 2500mm)</v>
      </c>
      <c r="H10" s="60" t="str">
        <v>No</v>
      </c>
      <c r="I10" s="60" t="str">
        <v>Yes</v>
      </c>
      <c r="J10" s="64" t="str">
        <v>Beaded or Plain</v>
      </c>
      <c r="K10" s="64" t="str">
        <v>&gt;1385 mm</v>
      </c>
      <c r="L10" s="60" t="str">
        <v>+/- 51 mm</v>
      </c>
      <c r="M10" s="60">
        <v>12</v>
      </c>
      <c r="N10" s="60" t="str">
        <v>Yes</v>
      </c>
      <c r="O10" s="66" t="str">
        <v>No</v>
      </c>
      <c r="P10" s="17"/>
    </row>
    <row r="11" spans="1:16" ht="15.75" thickTop="1" x14ac:dyDescent="0.25">
      <c r="A11" s="17"/>
      <c r="B11" s="17"/>
      <c r="C11" s="17"/>
      <c r="D11" s="17"/>
      <c r="E11" s="17"/>
      <c r="F11" s="17"/>
      <c r="G11" s="17"/>
      <c r="H11" s="17"/>
      <c r="I11" s="17"/>
      <c r="J11" s="17"/>
      <c r="K11" s="17"/>
      <c r="L11" s="52"/>
      <c r="M11" s="17"/>
      <c r="N11" s="17"/>
      <c r="O11" s="17"/>
      <c r="P11" s="17"/>
    </row>
    <row r="12" spans="1:16" x14ac:dyDescent="0.25">
      <c r="A12" s="17"/>
      <c r="B12" s="17"/>
      <c r="C12" s="17"/>
      <c r="D12" s="17"/>
      <c r="E12" s="17"/>
      <c r="F12" s="17"/>
      <c r="G12" s="17"/>
      <c r="H12" s="17"/>
      <c r="I12" s="17"/>
      <c r="J12" s="17"/>
      <c r="K12" s="17"/>
      <c r="L12" s="52"/>
      <c r="M12" s="17"/>
      <c r="N12" s="17"/>
      <c r="O12" s="17"/>
      <c r="P12" s="17"/>
    </row>
    <row r="13" spans="1:16" x14ac:dyDescent="0.25">
      <c r="A13" s="17"/>
      <c r="B13" s="17"/>
      <c r="C13" s="17"/>
      <c r="D13" s="17"/>
      <c r="E13" s="17"/>
      <c r="F13" s="17"/>
      <c r="G13" s="17"/>
      <c r="H13" s="17"/>
      <c r="I13" s="17"/>
      <c r="J13" s="17"/>
      <c r="K13" s="17"/>
      <c r="L13" s="52"/>
      <c r="M13" s="17"/>
      <c r="N13" s="17"/>
      <c r="O13" s="17"/>
      <c r="P13" s="17"/>
    </row>
    <row r="14" spans="1:16" x14ac:dyDescent="0.25">
      <c r="A14" s="17"/>
      <c r="B14" s="17"/>
      <c r="C14" s="17"/>
      <c r="D14" s="17"/>
      <c r="E14" s="17"/>
      <c r="F14" s="17"/>
      <c r="G14" s="17"/>
      <c r="H14" s="17"/>
      <c r="I14" s="17"/>
      <c r="J14" s="17"/>
      <c r="K14" s="17"/>
      <c r="L14" s="52"/>
      <c r="M14" s="17"/>
      <c r="N14" s="17"/>
      <c r="O14" s="17"/>
      <c r="P14" s="17"/>
    </row>
    <row r="15" spans="1:16" ht="15.75" thickBot="1" x14ac:dyDescent="0.3">
      <c r="A15" s="17"/>
      <c r="B15" s="17"/>
      <c r="C15" s="17"/>
      <c r="D15" s="17"/>
      <c r="E15" s="17"/>
      <c r="F15" s="17"/>
      <c r="G15" s="17"/>
      <c r="H15" s="17"/>
      <c r="I15" s="17"/>
      <c r="J15" s="17"/>
      <c r="K15" s="17"/>
      <c r="M15" s="17"/>
      <c r="N15" s="17"/>
      <c r="O15" s="17"/>
      <c r="P15" s="17"/>
    </row>
    <row r="16" spans="1:16" ht="15.75" thickBot="1" x14ac:dyDescent="0.3">
      <c r="A16" s="17"/>
      <c r="B16" s="651" t="s">
        <v>131</v>
      </c>
      <c r="C16" s="652"/>
      <c r="D16" s="653"/>
      <c r="E16" s="160" t="s">
        <v>132</v>
      </c>
      <c r="F16" s="161"/>
      <c r="G16" s="165" t="s">
        <v>133</v>
      </c>
      <c r="H16" s="645" t="s">
        <v>134</v>
      </c>
      <c r="I16" s="650"/>
      <c r="J16" s="646"/>
      <c r="K16" s="645" t="s">
        <v>135</v>
      </c>
      <c r="L16" s="646"/>
      <c r="M16" s="17"/>
      <c r="N16" s="17"/>
      <c r="O16" s="17"/>
      <c r="P16" s="17"/>
    </row>
    <row r="17" spans="1:16" ht="15.75" thickBot="1" x14ac:dyDescent="0.3">
      <c r="A17" s="17"/>
      <c r="B17" s="57" t="str">
        <f t="array" ref="B17:B21">IF(C2 = "Antigua",TDAntigua[Louvre Size],IF(C2 = "Cuba",TDCuba[Louvre Size],IF(C2 = "Java",TDJava[Louvre Size],IF(C2 = "Fiji",TDFiji[Louvre Size],IF(C2 = "Bermuda",TDBermuda[Louvre Size],IF(C2 = "Samoa",TDSamoa[Louvre Size],))))))</f>
        <v>47 mm</v>
      </c>
      <c r="C17" s="155" t="str">
        <f t="array" ref="C17">TDAntigua[Max Width Tracked]</f>
        <v>600 mm (2 Max)</v>
      </c>
      <c r="D17" s="156"/>
      <c r="E17" s="162" t="str">
        <f t="array" ref="E17">IF($C$2 = "Antigua",TDAntigua[Top Track Only],IF($C$2 = "Cuba",TDCuba[Top Track Only],IF($C$2 = "Java",TDJava[Top Track Only],IF($C$2 = "Fiji",TDFiji[Top Track Only],IF($C$2 = "Bermuda",TDBermuda[Top Track Only],IF($C$2 = "Samoa",TDSamoa[Top Track Only],))))))</f>
        <v>N/A</v>
      </c>
      <c r="F17" s="159"/>
      <c r="G17" s="163">
        <f t="array" ref="G17">IF($C$2 = "Antigua",TDAntigua[Midrail Height],IF($C$2 = "Cuba",TDCuba[Midrail Height],IF($C$2 = "Java",TDJava[Midrail Height],IF($C$2 = "Fiji",TDFiji[Midrail Height],IF($C$2 = "Bermuda",TDBermuda[Midrail Height],IF($C$2 = "Samoa",TDSamoa[Midrail Height],))))))</f>
        <v>76.2</v>
      </c>
      <c r="H17" s="166" t="str">
        <f t="array" ref="H17">IF($C$2 = "Antigua",TDAntigua[Midrail Required],IF($C$2 = "Cuba",TDCuba[Midrail Required],IF($C$2 = "Java",TDJava[Midrail Required],IF($C$2 = "Fiji",TDFiji[Midrail Required],IF($C$2 = "Bermuda",TDBermuda[Midrail Required],IF($C$2 = "Samoa",TDSamoa[Midrail Required],))))))</f>
        <v>&gt;1879 mm</v>
      </c>
      <c r="I17" s="164"/>
      <c r="J17" s="157"/>
      <c r="K17" s="169" t="str">
        <f t="array" ref="K17">IF($C$2 = "Antigua",TDAntigua[Bifold/Bipass],IF($C$2 = "Cuba",TDCuba[Bifold/Bipass],IF($C$2 = "Java",TDJava[Bifold/Bipass],IF($C$2 = "Fiji",TDFiji[Bifold/Bipass],IF($C$2 = "Bermuda",TDBermuda[Bifold/Bipass],IF($C$2 = "Samoa",TDSamoa[Bifold/Bipass],))))))</f>
        <v>Yes / Yes</v>
      </c>
      <c r="L17" s="167"/>
      <c r="M17" s="17"/>
      <c r="N17" s="17"/>
      <c r="O17" s="17"/>
      <c r="P17" s="17"/>
    </row>
    <row r="18" spans="1:16" ht="15.75" thickBot="1" x14ac:dyDescent="0.3">
      <c r="A18" s="17"/>
      <c r="B18" s="57" t="str">
        <v>63 mm</v>
      </c>
      <c r="C18" s="155" t="str">
        <f t="array" ref="C18">TDAntigua[Max Width Tracked]</f>
        <v>600 mm (2 Max)</v>
      </c>
      <c r="D18" s="158"/>
      <c r="E18" s="162" t="str">
        <f t="array" ref="E18">IF($C$2 = "Antigua",TDAntigua[Top Track Only],IF($C$2 = "Cuba",TDCuba[Top Track Only],IF($C$2 = "Java",TDJava[Top Track Only],IF($C$2 = "Fiji",TDFiji[Top Track Only],IF($C$2 = "Bermuda",TDBermuda[Top Track Only],IF($C$2 = "Samoa",TDSamoa[Top Track Only],))))))</f>
        <v>N/A</v>
      </c>
      <c r="F18" s="159"/>
      <c r="G18" s="163">
        <f t="array" ref="G18">IF($C$2 = "Antigua",TDAntigua[Midrail Height],IF($C$2 = "Cuba",TDCuba[Midrail Height],IF($C$2 = "Java",TDJava[Midrail Height],IF($C$2 = "Fiji",TDFiji[Midrail Height],IF($C$2 = "Bermuda",TDBermuda[Midrail Height],IF($C$2 = "Samoa",TDSamoa[Midrail Height],))))))</f>
        <v>76.2</v>
      </c>
      <c r="H18" s="166" t="str">
        <f t="array" ref="H18">IF($C$2 = "Antigua",TDAntigua[Midrail Required],IF($C$2 = "Cuba",TDCuba[Midrail Required],IF($C$2 = "Java",TDJava[Midrail Required],IF($C$2 = "Fiji",TDFiji[Midrail Required],IF($C$2 = "Bermuda",TDBermuda[Midrail Required],IF($C$2 = "Samoa",TDSamoa[Midrail Required],))))))</f>
        <v>&gt;1879 mm</v>
      </c>
      <c r="I18" s="164"/>
      <c r="J18" s="157"/>
      <c r="K18" s="169" t="str">
        <f t="array" ref="K18">IF($C$2 = "Antigua",TDAntigua[Bifold/Bipass],IF($C$2 = "Cuba",TDCuba[Bifold/Bipass],IF($C$2 = "Java",TDJava[Bifold/Bipass],IF($C$2 = "Fiji",TDFiji[Bifold/Bipass],IF($C$2 = "Bermuda",TDBermuda[Bifold/Bipass],IF($C$2 = "Samoa",TDSamoa[Bifold/Bipass],))))))</f>
        <v>Yes / Yes</v>
      </c>
      <c r="L18" s="168"/>
      <c r="M18" s="17"/>
      <c r="N18" s="17"/>
      <c r="O18" s="17"/>
      <c r="P18" s="17"/>
    </row>
    <row r="19" spans="1:16" ht="15.75" thickBot="1" x14ac:dyDescent="0.3">
      <c r="A19" s="17"/>
      <c r="B19" s="57" t="str">
        <v>76 mm</v>
      </c>
      <c r="C19" s="155" t="str">
        <f t="array" ref="C19">TDAntigua[Max Width Tracked]</f>
        <v>600 mm (2 Max)</v>
      </c>
      <c r="D19" s="159"/>
      <c r="E19" s="162" t="str">
        <f t="array" ref="E19">IF($C$2 = "Antigua",TDAntigua[Top Track Only],IF($C$2 = "Cuba",TDCuba[Top Track Only],IF($C$2 = "Java",TDJava[Top Track Only],IF($C$2 = "Fiji",TDFiji[Top Track Only],IF($C$2 = "Bermuda",TDBermuda[Top Track Only],IF($C$2 = "Samoa",TDSamoa[Top Track Only],))))))</f>
        <v>N/A</v>
      </c>
      <c r="F19" s="159"/>
      <c r="G19" s="163">
        <f t="array" ref="G19">IF($C$2 = "Antigua",TDAntigua[Midrail Height],IF($C$2 = "Cuba",TDCuba[Midrail Height],IF($C$2 = "Java",TDJava[Midrail Height],IF($C$2 = "Fiji",TDFiji[Midrail Height],IF($C$2 = "Bermuda",TDBermuda[Midrail Height],IF($C$2 = "Samoa",TDSamoa[Midrail Height],))))))</f>
        <v>76.2</v>
      </c>
      <c r="H19" s="166" t="str">
        <f t="array" ref="H19">IF($C$2 = "Antigua",TDAntigua[Midrail Required],IF($C$2 = "Cuba",TDCuba[Midrail Required],IF($C$2 = "Java",TDJava[Midrail Required],IF($C$2 = "Fiji",TDFiji[Midrail Required],IF($C$2 = "Bermuda",TDBermuda[Midrail Required],IF($C$2 = "Samoa",TDSamoa[Midrail Required],))))))</f>
        <v>&gt;1879 mm</v>
      </c>
      <c r="I19" s="164"/>
      <c r="J19" s="157"/>
      <c r="K19" s="169" t="str">
        <f t="array" ref="K19">IF($C$2 = "Antigua",TDAntigua[Bifold/Bipass],IF($C$2 = "Cuba",TDCuba[Bifold/Bipass],IF($C$2 = "Java",TDJava[Bifold/Bipass],IF($C$2 = "Fiji",TDFiji[Bifold/Bipass],IF($C$2 = "Bermuda",TDBermuda[Bifold/Bipass],IF($C$2 = "Samoa",TDSamoa[Bifold/Bipass],))))))</f>
        <v>Yes / Yes</v>
      </c>
      <c r="L19" s="168"/>
      <c r="M19" s="17"/>
      <c r="N19" s="17"/>
      <c r="O19" s="17"/>
      <c r="P19" s="17"/>
    </row>
    <row r="20" spans="1:16" ht="15.75" thickBot="1" x14ac:dyDescent="0.3">
      <c r="A20" s="17"/>
      <c r="B20" s="57" t="str">
        <v>89 mm</v>
      </c>
      <c r="C20" s="155" t="str">
        <f t="array" ref="C20">TDAntigua[Max Width Tracked]</f>
        <v>600 mm (2 Max)</v>
      </c>
      <c r="D20" s="156"/>
      <c r="E20" s="162" t="str">
        <f t="array" ref="E20">IF($C$2 = "Antigua",TDAntigua[Top Track Only],IF($C$2 = "Cuba",TDCuba[Top Track Only],IF($C$2 = "Java",TDJava[Top Track Only],IF($C$2 = "Fiji",TDFiji[Top Track Only],IF($C$2 = "Bermuda",TDBermuda[Top Track Only],IF($C$2 = "Samoa",TDSamoa[Top Track Only],))))))</f>
        <v>N/A</v>
      </c>
      <c r="F20" s="159"/>
      <c r="G20" s="163">
        <f t="array" ref="G20">IF($C$2 = "Antigua",TDAntigua[Midrail Height],IF($C$2 = "Cuba",TDCuba[Midrail Height],IF($C$2 = "Java",TDJava[Midrail Height],IF($C$2 = "Fiji",TDFiji[Midrail Height],IF($C$2 = "Bermuda",TDBermuda[Midrail Height],IF($C$2 = "Samoa",TDSamoa[Midrail Height],))))))</f>
        <v>76.2</v>
      </c>
      <c r="H20" s="166" t="str">
        <f t="array" ref="H20">IF($C$2 = "Antigua",TDAntigua[Midrail Required],IF($C$2 = "Cuba",TDCuba[Midrail Required],IF($C$2 = "Java",TDJava[Midrail Required],IF($C$2 = "Fiji",TDFiji[Midrail Required],IF($C$2 = "Bermuda",TDBermuda[Midrail Required],IF($C$2 = "Samoa",TDSamoa[Midrail Required],))))))</f>
        <v>&gt;1879 mm</v>
      </c>
      <c r="I20" s="164"/>
      <c r="J20" s="157"/>
      <c r="K20" s="169" t="str">
        <f t="array" ref="K20">IF($C$2 = "Antigua",TDAntigua[Bifold/Bipass],IF($C$2 = "Cuba",TDCuba[Bifold/Bipass],IF($C$2 = "Java",TDJava[Bifold/Bipass],IF($C$2 = "Fiji",TDFiji[Bifold/Bipass],IF($C$2 = "Bermuda",TDBermuda[Bifold/Bipass],IF($C$2 = "Samoa",TDSamoa[Bifold/Bipass],))))))</f>
        <v>Yes / Yes</v>
      </c>
      <c r="L20" s="168"/>
      <c r="M20" s="17"/>
      <c r="N20" s="17"/>
      <c r="O20" s="17"/>
      <c r="P20" s="17"/>
    </row>
    <row r="21" spans="1:16" ht="15.75" thickBot="1" x14ac:dyDescent="0.3">
      <c r="A21" s="17"/>
      <c r="B21" s="58" t="str">
        <v>114 mm</v>
      </c>
      <c r="C21" s="155" t="str">
        <f t="array" ref="C21">TDAntigua[Max Width Tracked]</f>
        <v>600 mm (2 Max)</v>
      </c>
      <c r="D21" s="156"/>
      <c r="E21" s="162" t="str">
        <f t="array" ref="E21">IF($C$2 = "Antigua",TDAntigua[Top Track Only],IF($C$2 = "Cuba",TDCuba[Top Track Only],IF($C$2 = "Java",TDJava[Top Track Only],IF($C$2 = "Fiji",TDFiji[Top Track Only],IF($C$2 = "Bermuda",TDBermuda[Top Track Only],IF($C$2 = "Samoa",TDSamoa[Top Track Only],))))))</f>
        <v>N/A</v>
      </c>
      <c r="F21" s="159"/>
      <c r="G21" s="163">
        <f t="array" ref="G21">IF($C$2 = "Antigua",TDAntigua[Midrail Height],IF($C$2 = "Cuba",TDCuba[Midrail Height],IF($C$2 = "Java",TDJava[Midrail Height],IF($C$2 = "Fiji",TDFiji[Midrail Height],IF($C$2 = "Bermuda",TDBermuda[Midrail Height],IF($C$2 = "Samoa",TDSamoa[Midrail Height],))))))</f>
        <v>76.2</v>
      </c>
      <c r="H21" s="166" t="str">
        <f t="array" ref="H21">IF($C$2 = "Antigua",TDAntigua[Midrail Required],IF($C$2 = "Cuba",TDCuba[Midrail Required],IF($C$2 = "Java",TDJava[Midrail Required],IF($C$2 = "Fiji",TDFiji[Midrail Required],IF($C$2 = "Bermuda",TDBermuda[Midrail Required],IF($C$2 = "Samoa",TDSamoa[Midrail Required],))))))</f>
        <v>&gt;1879 mm</v>
      </c>
      <c r="I21" s="164"/>
      <c r="J21" s="157"/>
      <c r="K21" s="169" t="str">
        <f t="array" ref="K21">IF($C$2 = "Antigua",TDAntigua[Bifold/Bipass],IF($C$2 = "Cuba",TDCuba[Bifold/Bipass],IF($C$2 = "Java",TDJava[Bifold/Bipass],IF($C$2 = "Fiji",TDFiji[Bifold/Bipass],IF($C$2 = "Bermuda",TDBermuda[Bifold/Bipass],IF($C$2 = "Samoa",TDSamoa[Bifold/Bipass],))))))</f>
        <v>Yes / Yes</v>
      </c>
      <c r="L21" s="168"/>
      <c r="M21" s="17"/>
      <c r="N21" s="17"/>
      <c r="O21" s="17"/>
      <c r="P21" s="17"/>
    </row>
    <row r="22" spans="1:16" ht="15.75" thickTop="1" x14ac:dyDescent="0.25">
      <c r="A22" s="17"/>
      <c r="B22" s="17"/>
      <c r="C22" s="17"/>
      <c r="D22" s="17"/>
      <c r="E22" s="17"/>
      <c r="F22" s="17"/>
      <c r="G22" s="17"/>
      <c r="H22" s="17"/>
      <c r="I22" s="17"/>
      <c r="J22" s="17"/>
      <c r="K22" s="17"/>
      <c r="L22" s="52"/>
      <c r="M22" s="17"/>
      <c r="N22" s="17"/>
      <c r="O22" s="17"/>
      <c r="P22" s="17"/>
    </row>
    <row r="23" spans="1:16" x14ac:dyDescent="0.25">
      <c r="A23" s="17"/>
      <c r="B23" s="17"/>
      <c r="C23" s="17"/>
      <c r="D23" s="17"/>
      <c r="E23" s="17"/>
      <c r="F23" s="17"/>
      <c r="G23" s="17"/>
      <c r="H23" s="17"/>
      <c r="I23" s="17"/>
      <c r="J23" s="17"/>
      <c r="K23" s="17"/>
      <c r="L23" s="52"/>
      <c r="M23" s="17"/>
      <c r="N23" s="17"/>
      <c r="O23" s="17"/>
      <c r="P23" s="17"/>
    </row>
    <row r="24" spans="1:16" x14ac:dyDescent="0.25">
      <c r="A24" s="17"/>
      <c r="B24" s="17"/>
      <c r="C24" s="17"/>
      <c r="D24" s="17"/>
      <c r="E24" s="17"/>
      <c r="F24" s="17"/>
      <c r="G24" s="17"/>
      <c r="H24" s="17"/>
      <c r="I24" s="17"/>
      <c r="J24" s="17"/>
      <c r="K24" s="17"/>
      <c r="L24" s="52"/>
      <c r="M24" s="17"/>
      <c r="N24" s="17"/>
      <c r="O24" s="17"/>
      <c r="P24" s="17"/>
    </row>
    <row r="25" spans="1:16" x14ac:dyDescent="0.25">
      <c r="A25" s="17"/>
      <c r="B25" s="17"/>
      <c r="C25" s="17"/>
      <c r="D25" s="17"/>
      <c r="E25" s="17"/>
      <c r="F25" s="17"/>
      <c r="G25" s="17"/>
      <c r="H25" s="17"/>
      <c r="I25" s="17"/>
      <c r="J25" s="17"/>
      <c r="K25" s="17"/>
      <c r="L25" s="52"/>
      <c r="M25" s="17"/>
      <c r="N25" s="17"/>
      <c r="O25" s="17"/>
      <c r="P25" s="17"/>
    </row>
    <row r="26" spans="1:16" x14ac:dyDescent="0.25">
      <c r="A26" s="17"/>
      <c r="B26" s="17"/>
      <c r="C26" s="17"/>
      <c r="D26" s="17"/>
      <c r="E26" s="17"/>
      <c r="F26" s="17"/>
      <c r="G26" s="17"/>
      <c r="H26" s="17"/>
      <c r="I26" s="17"/>
      <c r="J26" s="17"/>
      <c r="K26" s="17"/>
      <c r="L26" s="52"/>
      <c r="M26" s="17"/>
      <c r="N26" s="17"/>
      <c r="O26" s="17"/>
      <c r="P26" s="17"/>
    </row>
    <row r="27" spans="1:16" x14ac:dyDescent="0.25">
      <c r="A27" s="17"/>
      <c r="B27" s="17"/>
      <c r="C27" s="17"/>
      <c r="D27" s="17"/>
      <c r="E27" s="17"/>
      <c r="F27" s="17"/>
      <c r="G27" s="17"/>
      <c r="H27" s="17"/>
      <c r="I27" s="17"/>
      <c r="J27" s="17"/>
      <c r="K27" s="17"/>
      <c r="L27" s="52"/>
      <c r="M27" s="17"/>
      <c r="N27" s="17"/>
      <c r="O27" s="17"/>
      <c r="P27" s="17"/>
    </row>
    <row r="28" spans="1:16" x14ac:dyDescent="0.25">
      <c r="B28" s="17"/>
      <c r="C28" s="17"/>
      <c r="D28" s="17"/>
      <c r="E28" s="17"/>
      <c r="F28" s="17"/>
      <c r="G28" s="17"/>
      <c r="H28" s="17"/>
      <c r="I28" s="17"/>
      <c r="J28" s="17"/>
      <c r="K28" s="17"/>
      <c r="L28" s="52"/>
      <c r="M28" s="17"/>
      <c r="N28" s="17"/>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dimension ref="A2:AJ61"/>
  <sheetViews>
    <sheetView zoomScaleNormal="100" workbookViewId="0">
      <selection activeCell="M12" sqref="M12:M14"/>
    </sheetView>
  </sheetViews>
  <sheetFormatPr defaultColWidth="8.85546875" defaultRowHeight="15" x14ac:dyDescent="0.25"/>
  <cols>
    <col min="1" max="1" width="2.140625" style="17" customWidth="1"/>
    <col min="2" max="2" width="3.28515625" style="17" customWidth="1"/>
    <col min="3" max="3" width="11.85546875" style="17" bestFit="1" customWidth="1"/>
    <col min="4" max="4" width="10.28515625" style="17" bestFit="1" customWidth="1"/>
    <col min="5" max="5" width="8.85546875" style="17"/>
    <col min="6" max="6" width="6.7109375" style="17" customWidth="1"/>
    <col min="7" max="7" width="9.5703125" style="17" customWidth="1"/>
    <col min="8" max="9" width="8.85546875" style="17"/>
    <col min="10" max="10" width="8.85546875" style="19"/>
    <col min="11" max="16" width="8.85546875" style="17"/>
    <col min="17" max="17" width="10" style="17" bestFit="1" customWidth="1"/>
    <col min="18" max="18" width="10" style="17" customWidth="1"/>
    <col min="19" max="19" width="5.28515625" style="17" customWidth="1"/>
    <col min="20" max="20" width="6.7109375" style="17" customWidth="1"/>
    <col min="21" max="21" width="7" style="17" customWidth="1"/>
    <col min="22" max="22" width="5.7109375" style="17" customWidth="1"/>
    <col min="23" max="27" width="6.85546875" style="17" customWidth="1"/>
    <col min="28" max="28" width="6.28515625" style="17" customWidth="1"/>
    <col min="29" max="29" width="4.85546875" style="17" customWidth="1"/>
    <col min="30" max="30" width="7.7109375" style="17" customWidth="1"/>
    <col min="31" max="31" width="11.28515625" style="17" bestFit="1" customWidth="1"/>
    <col min="32" max="34" width="8.85546875" style="17"/>
    <col min="35" max="36" width="10.7109375" style="17" bestFit="1" customWidth="1"/>
    <col min="37" max="16384" width="8.85546875" style="17"/>
  </cols>
  <sheetData>
    <row r="2" spans="1:36" x14ac:dyDescent="0.25">
      <c r="A2" s="18"/>
      <c r="B2" s="18"/>
      <c r="C2" s="18"/>
      <c r="D2" s="18"/>
      <c r="E2" s="18"/>
      <c r="F2" s="18"/>
      <c r="G2" s="18"/>
    </row>
    <row r="3" spans="1:36" x14ac:dyDescent="0.25">
      <c r="A3" s="18"/>
      <c r="B3" s="18"/>
      <c r="C3" s="18"/>
      <c r="D3" s="18"/>
      <c r="E3" s="18"/>
      <c r="F3" s="18"/>
      <c r="G3" s="18"/>
    </row>
    <row r="4" spans="1:36" x14ac:dyDescent="0.25">
      <c r="A4" s="18"/>
      <c r="B4" s="18"/>
      <c r="C4" s="18"/>
      <c r="D4" s="18"/>
      <c r="E4" s="18"/>
      <c r="F4" s="18"/>
      <c r="G4" s="18"/>
    </row>
    <row r="5" spans="1:36" ht="15.75" thickBot="1" x14ac:dyDescent="0.3"/>
    <row r="6" spans="1:36" ht="15.75" thickTop="1" x14ac:dyDescent="0.25">
      <c r="B6" s="657" t="s">
        <v>136</v>
      </c>
      <c r="C6" s="658"/>
      <c r="D6" s="20" t="s">
        <v>82</v>
      </c>
      <c r="E6" s="663" t="str">
        <f>IF(Pricing!B59="","",Pricing!B59)</f>
        <v>Sue  Bennett</v>
      </c>
      <c r="F6" s="663"/>
      <c r="G6" s="663"/>
      <c r="H6" s="664"/>
      <c r="I6" s="20" t="s">
        <v>137</v>
      </c>
      <c r="J6" s="667">
        <f>Pricing!E59</f>
        <v>66777</v>
      </c>
      <c r="K6" s="667"/>
      <c r="L6" s="658"/>
      <c r="M6" s="670" t="s">
        <v>138</v>
      </c>
      <c r="N6" s="671"/>
      <c r="O6" s="670" t="s">
        <v>139</v>
      </c>
      <c r="P6" s="674"/>
      <c r="Q6" s="674"/>
      <c r="R6" s="670" t="s">
        <v>140</v>
      </c>
      <c r="S6" s="674"/>
      <c r="T6" s="671"/>
      <c r="U6" s="676" t="str">
        <f>"Survey Date: "</f>
        <v xml:space="preserve">Survey Date: </v>
      </c>
      <c r="V6" s="676"/>
      <c r="W6" s="676"/>
      <c r="X6" s="676"/>
      <c r="Y6" s="676"/>
      <c r="Z6" s="677"/>
      <c r="AA6" s="725" t="s">
        <v>141</v>
      </c>
      <c r="AB6" s="726"/>
      <c r="AC6" s="729" t="s">
        <v>142</v>
      </c>
      <c r="AD6" s="730"/>
      <c r="AE6" s="262" t="s">
        <v>143</v>
      </c>
    </row>
    <row r="7" spans="1:36" x14ac:dyDescent="0.25">
      <c r="B7" s="659"/>
      <c r="C7" s="660"/>
      <c r="D7" s="21"/>
      <c r="E7" s="665"/>
      <c r="F7" s="665"/>
      <c r="G7" s="665"/>
      <c r="H7" s="666"/>
      <c r="I7" s="21"/>
      <c r="J7" s="668"/>
      <c r="K7" s="668"/>
      <c r="L7" s="669"/>
      <c r="M7" s="672"/>
      <c r="N7" s="673"/>
      <c r="O7" s="672"/>
      <c r="P7" s="675"/>
      <c r="Q7" s="675"/>
      <c r="R7" s="672"/>
      <c r="S7" s="675"/>
      <c r="T7" s="673"/>
      <c r="U7" s="678"/>
      <c r="V7" s="678"/>
      <c r="W7" s="678"/>
      <c r="X7" s="678"/>
      <c r="Y7" s="678"/>
      <c r="Z7" s="679"/>
      <c r="AA7" s="727"/>
      <c r="AB7" s="728"/>
      <c r="AC7" s="731"/>
      <c r="AD7" s="732"/>
      <c r="AE7" s="263">
        <f>Pricing!AD54</f>
        <v>8.7322000000000006</v>
      </c>
    </row>
    <row r="8" spans="1:36" x14ac:dyDescent="0.25">
      <c r="B8" s="659"/>
      <c r="C8" s="660"/>
      <c r="D8" s="22" t="s">
        <v>144</v>
      </c>
      <c r="E8" s="680"/>
      <c r="F8" s="680"/>
      <c r="G8" s="680"/>
      <c r="H8" s="681"/>
      <c r="I8" s="22" t="s">
        <v>145</v>
      </c>
      <c r="J8" s="680"/>
      <c r="K8" s="680"/>
      <c r="L8" s="681"/>
      <c r="M8" s="684" t="s">
        <v>13</v>
      </c>
      <c r="N8" s="685"/>
      <c r="O8" s="686" t="s">
        <v>146</v>
      </c>
      <c r="P8" s="680"/>
      <c r="Q8" s="681"/>
      <c r="R8" s="687" t="str">
        <f>IFERROR("BP:" &amp; M9/Matrix2!L13,"BP: " &amp;  0)</f>
        <v>BP:0</v>
      </c>
      <c r="S8" s="688"/>
      <c r="T8" s="689"/>
      <c r="U8" s="687" t="s">
        <v>147</v>
      </c>
      <c r="V8" s="689"/>
      <c r="W8" s="327" t="s">
        <v>16</v>
      </c>
      <c r="X8" s="328"/>
      <c r="Y8" s="328"/>
      <c r="Z8" s="693"/>
      <c r="AA8" s="733">
        <f>SUM(Matrix2!AD19:AR19)</f>
        <v>22</v>
      </c>
      <c r="AB8" s="734"/>
      <c r="AC8" s="737">
        <f>SUM(Matrix2!AD57:AR57)</f>
        <v>24</v>
      </c>
      <c r="AD8" s="738"/>
      <c r="AE8" s="264" t="s">
        <v>148</v>
      </c>
    </row>
    <row r="9" spans="1:36" ht="15.75" thickBot="1" x14ac:dyDescent="0.3">
      <c r="B9" s="661"/>
      <c r="C9" s="662"/>
      <c r="D9" s="24"/>
      <c r="E9" s="682"/>
      <c r="F9" s="682"/>
      <c r="G9" s="682"/>
      <c r="H9" s="683"/>
      <c r="I9" s="24"/>
      <c r="J9" s="682"/>
      <c r="K9" s="682"/>
      <c r="L9" s="683"/>
      <c r="M9" s="697">
        <f>IF(ISERROR( AE13+AE16+AE19+AE22+AE25+AE28+AE31+AE34+AE37+AE40+AE43+AE46+AE49+AE52+AE55),"Square Meters",  AE13+AE16+AE19+AE22+AE25+AE28+AE31+AE34+AE37+AE40+AE43+AE46+AE49+AE52+AE55)</f>
        <v>0</v>
      </c>
      <c r="N9" s="698"/>
      <c r="O9" s="699" t="s">
        <v>16</v>
      </c>
      <c r="P9" s="700"/>
      <c r="Q9" s="701"/>
      <c r="R9" s="690"/>
      <c r="S9" s="691"/>
      <c r="T9" s="692"/>
      <c r="U9" s="690"/>
      <c r="V9" s="692"/>
      <c r="W9" s="694"/>
      <c r="X9" s="695"/>
      <c r="Y9" s="695"/>
      <c r="Z9" s="696"/>
      <c r="AA9" s="735"/>
      <c r="AB9" s="736"/>
      <c r="AC9" s="699"/>
      <c r="AD9" s="700"/>
      <c r="AE9" s="265">
        <f>M9</f>
        <v>0</v>
      </c>
    </row>
    <row r="10" spans="1:36" ht="16.5" thickTop="1" thickBot="1" x14ac:dyDescent="0.3"/>
    <row r="11" spans="1:36" ht="27.6" customHeight="1" thickTop="1" thickBot="1" x14ac:dyDescent="0.3">
      <c r="B11" s="267"/>
      <c r="C11" s="268" t="s">
        <v>0</v>
      </c>
      <c r="D11" s="268" t="s">
        <v>1</v>
      </c>
      <c r="E11" s="268" t="s">
        <v>2</v>
      </c>
      <c r="F11" s="375" t="s">
        <v>3</v>
      </c>
      <c r="G11" s="376"/>
      <c r="H11" s="272" t="s">
        <v>4</v>
      </c>
      <c r="I11" s="273" t="s">
        <v>5</v>
      </c>
      <c r="J11" s="268" t="s">
        <v>149</v>
      </c>
      <c r="K11" s="268" t="s">
        <v>150</v>
      </c>
      <c r="L11" s="268" t="s">
        <v>6</v>
      </c>
      <c r="M11" s="268" t="s">
        <v>8</v>
      </c>
      <c r="N11" s="268" t="s">
        <v>9</v>
      </c>
      <c r="O11" s="268" t="s">
        <v>10</v>
      </c>
      <c r="P11" s="268" t="s">
        <v>151</v>
      </c>
      <c r="Q11" s="269" t="s">
        <v>152</v>
      </c>
      <c r="R11" s="375" t="s">
        <v>11</v>
      </c>
      <c r="S11" s="377"/>
      <c r="T11" s="377"/>
      <c r="U11" s="377"/>
      <c r="V11" s="377"/>
      <c r="W11" s="377"/>
      <c r="X11" s="377"/>
      <c r="Y11" s="377"/>
      <c r="Z11" s="377"/>
      <c r="AA11" s="377"/>
      <c r="AB11" s="377"/>
      <c r="AC11" s="376"/>
      <c r="AD11" s="274" t="s">
        <v>153</v>
      </c>
      <c r="AE11" s="275"/>
      <c r="AI11" s="234"/>
      <c r="AJ11" s="234"/>
    </row>
    <row r="12" spans="1:36" ht="15.75" thickTop="1" x14ac:dyDescent="0.25">
      <c r="B12" s="336">
        <v>1</v>
      </c>
      <c r="C12" s="10" t="str">
        <f>IF(Pricing!C8="","",Pricing!C8)</f>
        <v>Living room</v>
      </c>
      <c r="D12" s="702" t="str">
        <f>IF(Pricing!D8="","",Pricing!D8)</f>
        <v>Tier on Tier</v>
      </c>
      <c r="E12" s="703" t="str">
        <f>IF(Pricing!E8="","",Pricing!E8)</f>
        <v>Antigua</v>
      </c>
      <c r="F12" s="704" t="str">
        <f>IF(Pricing!F8="","",Pricing!F8)</f>
        <v>Silk White</v>
      </c>
      <c r="G12" s="704"/>
      <c r="H12" s="702" t="str">
        <f>IF(Pricing!H8="","",Pricing!H8)</f>
        <v>76mm</v>
      </c>
      <c r="I12" s="706" t="str">
        <f>IF(Pricing!I8="","",Pricing!I8)</f>
        <v>Plain L</v>
      </c>
      <c r="J12" s="25">
        <v>0</v>
      </c>
      <c r="K12" s="702"/>
      <c r="L12" s="702" t="str">
        <f>IF(Pricing!J8="","",Pricing!J8)</f>
        <v>Silent</v>
      </c>
      <c r="M12" s="702" t="str">
        <f>UPPER(IF(Drawing!$F$2=1,Drawing!D17,IF(Drawing!$Y$2=1,Drawing!W17,IF(Drawing!$F$25=1,Drawing!D40,IF(Drawing!$Y$25=1,Drawing!W40,IF(Drawing!$F$48=1,Drawing!D65,IF(Drawing!$Y$48=1,Drawing!W65,"")))))))</f>
        <v/>
      </c>
      <c r="N12" s="702" t="str">
        <f>UPPER(IF(Drawing!$F$2=1,Drawing!D19,IF(Drawing!$Y$2=1,Drawing!W19,IF(Drawing!$F$25=1,Drawing!D42,IF(Drawing!$Y$25=1,Drawing!W42,IF(Drawing!$F$48=1,Drawing!D65,IF(Drawing!$Y$48=1,Drawing!W65,"")))))))</f>
        <v/>
      </c>
      <c r="O12" s="714" t="str">
        <f>UPPER(IF(Drawing!$F$2=1,Drawing!D21,IF(Drawing!$Y$2=1,Drawing!W21,IF(Drawing!$F$25=1,Drawing!D44,IF(Drawing!$Y$25=1,Drawing!W44,IF(Drawing!$F$48=1,Drawing!D67,IF(Drawing!$Y$48=1,Drawing!W67,"")))))))</f>
        <v/>
      </c>
      <c r="P12" s="707"/>
      <c r="Q12" s="716"/>
      <c r="R12" s="25" t="s">
        <v>154</v>
      </c>
      <c r="S12" s="239" t="str">
        <f>UPPER(IF(Drawing!$F$2=1,Drawing!AW5,IF(Drawing!$Y$2=1,Drawing!AC17,IF(Drawing!$F$25=1,Drawing!J40,IF(Drawing!$Y$25=1,Drawing!AC40,IF(Drawing!$F$48=1,Drawing!J63,IF(Drawing!$Y$48=1,Drawing!AC63,IF(Pricing!Q8="","",Pricing!Q8))))))))</f>
        <v>L</v>
      </c>
      <c r="T12" s="239" t="str">
        <f>UPPER(IF(Drawing!$F$2=1,Drawing!AX5,IF(Drawing!$Y$2=1,Drawing!AD17,IF(Drawing!$F$25=1,Drawing!K40,IF(Drawing!$Y$25=1,Drawing!AD40,IF(Drawing!$F$48=1,Drawing!K63,IF(Drawing!$Y$48=1,Drawing!AD63,IF(Pricing!R8="","",Pricing!R8))))))))</f>
        <v/>
      </c>
      <c r="U12" s="239" t="str">
        <f>UPPER(IF(Drawing!$F$2=1,Drawing!AY5,IF(Drawing!$Y$2=1,Drawing!AE17,IF(Drawing!$F$25=1,Drawing!L40,IF(Drawing!$Y$25=1,Drawing!AE40,IF(Drawing!$F$48=1,Drawing!L63,IF(Drawing!$Y$48=1,Drawing!AE63,IF(Pricing!S8="","",Pricing!S8))))))))</f>
        <v/>
      </c>
      <c r="V12" s="239" t="str">
        <f>UPPER(IF(Drawing!$F$2=1,Drawing!AZ5,IF(Drawing!$Y$2=1,Drawing!AF17,IF(Drawing!$F$25=1,Drawing!M40,IF(Drawing!$Y$25=1,Drawing!AF40,IF(Drawing!$F$48=1,Drawing!M63,IF(Drawing!$Y$48=1,Drawing!AF63,IF(Pricing!T8="","",Pricing!T8))))))))</f>
        <v/>
      </c>
      <c r="W12" s="239" t="str">
        <f>UPPER(IF(Drawing!$F$2=1,Drawing!BA5,IF(Drawing!$Y$2=1,Drawing!AG17,IF(Drawing!$F$25=1,Drawing!N40,IF(Drawing!$Y$25=1,Drawing!AG40,IF(Drawing!$F$48=1,Drawing!N63,IF(Drawing!$Y$48=1,Drawing!AG63,IF(Pricing!U8="","",Pricing!U8))))))))</f>
        <v/>
      </c>
      <c r="X12" s="239" t="str">
        <f>UPPER(IF(Drawing!$F$2=1,Drawing!BB5,IF(Drawing!$Y$2=1,Drawing!AH17,IF(Drawing!$F$25=1,Drawing!O40,IF(Drawing!$Y$25=1,Drawing!AH40,IF(Drawing!$F$48=1,Drawing!O63,IF(Drawing!$Y$48=1,Drawing!AH63,IF(Pricing!V8="","",Pricing!V8))))))))</f>
        <v/>
      </c>
      <c r="Y12" s="239" t="str">
        <f>UPPER(IF(Drawing!$F$2=1,Drawing!BC5,IF(Drawing!$Y$2=1,Drawing!AI17,IF(Drawing!$F$25=1,Drawing!P40,IF(Drawing!$Y$25=1,Drawing!AI40,IF(Drawing!$F$48=1,Drawing!P63,IF(Drawing!$Y$48=1,Drawing!AI63,IF(Pricing!W8="","",Pricing!W8))))))))</f>
        <v/>
      </c>
      <c r="Z12" s="239" t="str">
        <f>UPPER(IF(Drawing!$F$2=1,Drawing!BD5,IF(Drawing!$Y$2=1,Drawing!AJ17,IF(Drawing!$F$25=1,Drawing!Q40,IF(Drawing!$Y$25=1,Drawing!AJ40,IF(Drawing!$F$48=1,Drawing!Q63,IF(Drawing!$Y$48=1,Drawing!AJ63,IF(Pricing!X8="","",Pricing!X8))))))))</f>
        <v/>
      </c>
      <c r="AA12" s="239" t="str">
        <f>UPPER(IF(Drawing!$F$2=1,Drawing!BE5,IF(Drawing!$Y$2=1,Drawing!AK17,IF(Drawing!$F$25=1,Drawing!R40,IF(Drawing!$Y$25=1,Drawing!AK40,IF(Drawing!$F$48=1,Drawing!R63,IF(Drawing!$Y$48=1,Drawing!AK63,IF(Pricing!Y8="","",Pricing!Y8))))))))</f>
        <v/>
      </c>
      <c r="AB12" s="239" t="str">
        <f>UPPER(IF(Drawing!$F$2=1,Drawing!BF5,IF(Drawing!$Y$2=1,Drawing!AL17,IF(Drawing!$F$25=1,Drawing!S40,IF(Drawing!$Y$25=1,Drawing!AL40,IF(Drawing!$F$48=1,Drawing!S63,IF(Drawing!$Y$48=1,Drawing!AL63,IF(Pricing!Z8="","",Pricing!Z8))))))))</f>
        <v/>
      </c>
      <c r="AC12" s="239" t="str">
        <f>UPPER(IF(Drawing!$F$2=1,Drawing!BG5,IF(Drawing!$Y$2=1,Drawing!AM17,IF(Drawing!$F$25=1,Drawing!T40,IF(Drawing!$Y$25=1,Drawing!AM40,IF(Drawing!$F$48=1,Drawing!T63,IF(Drawing!$Y$48=1,Drawing!AM63,IF(Pricing!AA8="","",Pricing!AA8))))))))</f>
        <v/>
      </c>
      <c r="AD12" s="276"/>
      <c r="AE12" s="11" t="s">
        <v>22</v>
      </c>
      <c r="AH12" s="245"/>
    </row>
    <row r="13" spans="1:36" x14ac:dyDescent="0.25">
      <c r="B13" s="336"/>
      <c r="C13" s="10" t="str">
        <f>IF(Pricing!C9="","",Pricing!C9)</f>
        <v>Left</v>
      </c>
      <c r="D13" s="702"/>
      <c r="E13" s="702"/>
      <c r="F13" s="524" t="str">
        <f>IF(Pricing!F9="","",Pricing!F9)</f>
        <v/>
      </c>
      <c r="G13" s="523"/>
      <c r="H13" s="702"/>
      <c r="I13" s="702"/>
      <c r="J13" s="710"/>
      <c r="K13" s="702"/>
      <c r="L13" s="702"/>
      <c r="M13" s="702"/>
      <c r="N13" s="702"/>
      <c r="O13" s="714"/>
      <c r="P13" s="655"/>
      <c r="Q13" s="710"/>
      <c r="R13" s="277" t="s">
        <v>155</v>
      </c>
      <c r="S13" s="13" t="str">
        <f>UPPER(IF(Drawing!$F$2=1,Drawing!J18,IF(Drawing!$Y$2=1,Drawing!AC18,IF(Drawing!$F$25=1,Drawing!J40,IF(Drawing!$Y$25=1,Drawing!AC41,IF(Drawing!$F$48=1,Drawing!J63,IF(Drawing!$Y$48=1,Drawing!AC63,"")))))))</f>
        <v/>
      </c>
      <c r="T13" s="13" t="str">
        <f>UPPER(IF(Drawing!$F$2=1,Drawing!K18,IF(Drawing!$Y$2=1,Drawing!AD18,IF(Drawing!$F$25=1,Drawing!K40,IF(Drawing!$Y$25=1,Drawing!AD41,IF(Drawing!$F$48=1,Drawing!K63,IF(Drawing!$Y$48=1,Drawing!AD63,"")))))))</f>
        <v/>
      </c>
      <c r="U13" s="13" t="str">
        <f>UPPER(IF(Drawing!$F$2=1,Drawing!L18,IF(Drawing!$Y$2=1,Drawing!AE18,IF(Drawing!$F$25=1,Drawing!L40,IF(Drawing!$Y$25=1,Drawing!AE41,IF(Drawing!$F$48=1,Drawing!L63,IF(Drawing!$Y$48=1,Drawing!AE63,"")))))))</f>
        <v/>
      </c>
      <c r="V13" s="13" t="str">
        <f>UPPER(IF(Drawing!$F$2=1,Drawing!M18,IF(Drawing!$Y$2=1,Drawing!AF18,IF(Drawing!$F$25=1,Drawing!M40,IF(Drawing!$Y$25=1,Drawing!AF41,IF(Drawing!$F$48=1,Drawing!M63,IF(Drawing!$Y$48=1,Drawing!AF63,"")))))))</f>
        <v/>
      </c>
      <c r="W13" s="13" t="str">
        <f>UPPER(IF(Drawing!$F$2=1,Drawing!N18,IF(Drawing!$Y$2=1,Drawing!AG18,IF(Drawing!$F$25=1,Drawing!N40,IF(Drawing!$Y$25=1,Drawing!AG41,IF(Drawing!$F$48=1,Drawing!N63,IF(Drawing!$Y$48=1,Drawing!AG63,"")))))))</f>
        <v/>
      </c>
      <c r="X13" s="13" t="str">
        <f>UPPER(IF(Drawing!$F$2=1,Drawing!O18,IF(Drawing!$Y$2=1,Drawing!AH18,IF(Drawing!$F$25=1,Drawing!O40,IF(Drawing!$Y$25=1,Drawing!AH41,IF(Drawing!$F$48=1,Drawing!O63,IF(Drawing!$Y$48=1,Drawing!AH63,"")))))))</f>
        <v/>
      </c>
      <c r="Y13" s="13" t="str">
        <f>UPPER(IF(Drawing!$F$2=1,Drawing!P18,IF(Drawing!$Y$2=1,Drawing!AI18,IF(Drawing!$F$25=1,Drawing!P40,IF(Drawing!$Y$25=1,Drawing!AI41,IF(Drawing!$F$48=1,Drawing!P63,IF(Drawing!$Y$48=1,Drawing!AI63,"")))))))</f>
        <v/>
      </c>
      <c r="Z13" s="13" t="str">
        <f>UPPER(IF(Drawing!$F$2=1,Drawing!Q18,IF(Drawing!$Y$2=1,Drawing!AJ18,IF(Drawing!$F$25=1,Drawing!Q40,IF(Drawing!$Y$25=1,Drawing!AJ41,IF(Drawing!$F$48=1,Drawing!Q63,IF(Drawing!$Y$48=1,Drawing!AJ63,"")))))))</f>
        <v/>
      </c>
      <c r="AA13" s="13" t="str">
        <f>UPPER(IF(Drawing!$F$2=1,Drawing!R18,IF(Drawing!$Y$2=1,Drawing!AK18,IF(Drawing!$F$25=1,Drawing!R40,IF(Drawing!$Y$25=1,Drawing!AK41,IF(Drawing!$F$48=1,Drawing!R63,IF(Drawing!$Y$48=1,Drawing!AK63,"")))))))</f>
        <v/>
      </c>
      <c r="AB13" s="13" t="str">
        <f>UPPER(IF(Drawing!$F$2=1,Drawing!S18,IF(Drawing!$Y$2=1,Drawing!AL18,IF(Drawing!$F$25=1,Drawing!S40,IF(Drawing!$Y$25=1,Drawing!AL41,IF(Drawing!$F$48=1,Drawing!S63,IF(Drawing!$Y$48=1,Drawing!AL63,"")))))))</f>
        <v/>
      </c>
      <c r="AC13" s="13" t="s">
        <v>20</v>
      </c>
      <c r="AD13" s="278"/>
      <c r="AE13" s="708">
        <f>IF(ISERROR(M12*N12/1000000),,M12*N12/1000000)</f>
        <v>0</v>
      </c>
    </row>
    <row r="14" spans="1:36" ht="15.75" thickBot="1" x14ac:dyDescent="0.3">
      <c r="B14" s="336"/>
      <c r="C14" s="10" t="str">
        <f>IF(Pricing!C10="","",Pricing!C10)</f>
        <v/>
      </c>
      <c r="D14" s="702"/>
      <c r="E14" s="702"/>
      <c r="F14" s="279" t="s">
        <v>28</v>
      </c>
      <c r="G14" s="26" t="str">
        <f>IF(Pricing!G10="","",Pricing!G10)</f>
        <v/>
      </c>
      <c r="H14" s="705"/>
      <c r="I14" s="705"/>
      <c r="J14" s="717"/>
      <c r="K14" s="705"/>
      <c r="L14" s="705"/>
      <c r="M14" s="705"/>
      <c r="N14" s="705"/>
      <c r="O14" s="715"/>
      <c r="P14" s="656"/>
      <c r="Q14" s="27" t="s">
        <v>156</v>
      </c>
      <c r="R14" s="27" t="s">
        <v>157</v>
      </c>
      <c r="S14" s="394"/>
      <c r="T14" s="395"/>
      <c r="U14" s="395"/>
      <c r="V14" s="395"/>
      <c r="W14" s="395"/>
      <c r="X14" s="395"/>
      <c r="Y14" s="395"/>
      <c r="Z14" s="395"/>
      <c r="AA14" s="395"/>
      <c r="AB14" s="395"/>
      <c r="AC14" s="393"/>
      <c r="AD14" s="266"/>
      <c r="AE14" s="709"/>
    </row>
    <row r="15" spans="1:36" x14ac:dyDescent="0.25">
      <c r="B15" s="336">
        <v>2</v>
      </c>
      <c r="C15" s="10" t="str">
        <f>IF(Pricing!C11="","",Pricing!C11)</f>
        <v>Living room</v>
      </c>
      <c r="D15" s="710" t="str">
        <f>IF(Pricing!D11="","",Pricing!D11)</f>
        <v>Tier on Tier</v>
      </c>
      <c r="E15" s="710" t="str">
        <f>IF(Pricing!E11="","",Pricing!E11)</f>
        <v>Antigua</v>
      </c>
      <c r="F15" s="712" t="str">
        <f>IF(Pricing!F11="","",Pricing!F11)</f>
        <v>Silk White</v>
      </c>
      <c r="G15" s="713"/>
      <c r="H15" s="702" t="str">
        <f>IF(Pricing!H11="","",Pricing!H11)</f>
        <v>76mm</v>
      </c>
      <c r="I15" s="706" t="str">
        <f>IF(Pricing!I11="","",Pricing!I11)</f>
        <v>Plain L</v>
      </c>
      <c r="J15" s="25">
        <v>0</v>
      </c>
      <c r="K15" s="702"/>
      <c r="L15" s="702"/>
      <c r="M15" s="702" t="str">
        <f>UPPER(IF(Drawing!$F$2=2,Drawing!D17,IF(Drawing!$Y$2=2,Drawing!W17,IF(Drawing!$F$25=2,Drawing!D40,IF(Drawing!$Y$25=2,Drawing!W40,IF(Drawing!$F$48=2,Drawing!D63,IF(Drawing!$Y$48=2,Drawing!W63,"")))))))</f>
        <v/>
      </c>
      <c r="N15" s="702" t="str">
        <f>UPPER(IF(Drawing!$F$2=2,Drawing!D19,IF(Drawing!$Y$2=2,Drawing!W19,IF(Drawing!$F$25=2,Drawing!D42,IF(Drawing!$Y$25=2,Drawing!W42,IF(Drawing!$F$48=2,Drawing!D65,IF(Drawing!$Y$48=2,Drawing!W65,"")))))))</f>
        <v/>
      </c>
      <c r="O15" s="714" t="str">
        <f>UPPER(IF(Drawing!$F$2=2,Drawing!D21,IF(Drawing!$Y$2=2,Drawing!W21,IF(Drawing!$F$25=2,Drawing!D44,IF(Drawing!$Y$25=2,Drawing!W44,IF(Drawing!$F$48=2,Drawing!D67,IF(Drawing!$Y$48=2,Drawing!W67,"")))))))</f>
        <v/>
      </c>
      <c r="P15" s="654"/>
      <c r="Q15" s="716"/>
      <c r="R15" s="277" t="s">
        <v>154</v>
      </c>
      <c r="S15" s="240" t="str">
        <f>UPPER(IF(Drawing!$F$2=2,Drawing!AW5,IF(Drawing!$Y$2=2,Drawing!AC17,IF(Drawing!$F$25=2,Drawing!J40,IF(Drawing!$Y$25=2,Drawing!AC40,IF(Drawing!$F$48=2,Drawing!J63,IF(Drawing!$Y$48=2,Drawing!AC63,IF(Pricing!Q11="","",Pricing!Q11))))))))</f>
        <v>LL</v>
      </c>
      <c r="T15" s="240" t="str">
        <f>UPPER(IF(Drawing!$F$2=2,Drawing!AX5,IF(Drawing!$Y$2=2,Drawing!AD17,IF(Drawing!$F$25=2,Drawing!K40,IF(Drawing!$Y$25=2,Drawing!AD40,IF(Drawing!$F$48=2,Drawing!K63,IF(Drawing!$Y$48=2,Drawing!AD63,IF(Pricing!R11="","",Pricing!R11))))))))</f>
        <v>RR</v>
      </c>
      <c r="U15" s="240" t="str">
        <f>UPPER(IF(Drawing!$F$2=2,Drawing!AY5,IF(Drawing!$Y$2=2,Drawing!AE17,IF(Drawing!$F$25=2,Drawing!L40,IF(Drawing!$Y$25=2,Drawing!AE40,IF(Drawing!$F$48=2,Drawing!L63,IF(Drawing!$Y$48=2,Drawing!AE63,IF(Pricing!S11="","",Pricing!S11))))))))</f>
        <v/>
      </c>
      <c r="V15" s="240" t="str">
        <f>UPPER(IF(Drawing!$F$2=2,Drawing!AZ5,IF(Drawing!$Y$2=2,Drawing!AF17,IF(Drawing!$F$25=2,Drawing!M40,IF(Drawing!$Y$25=2,Drawing!AF40,IF(Drawing!$F$48=2,Drawing!M63,IF(Drawing!$Y$48=2,Drawing!AF63,IF(Pricing!T11="","",Pricing!T11))))))))</f>
        <v/>
      </c>
      <c r="W15" s="240" t="str">
        <f>UPPER(IF(Drawing!$F$2=2,Drawing!BA5,IF(Drawing!$Y$2=2,Drawing!AG17,IF(Drawing!$F$25=2,Drawing!N40,IF(Drawing!$Y$25=2,Drawing!AG40,IF(Drawing!$F$48=2,Drawing!N63,IF(Drawing!$Y$48=2,Drawing!AG63,IF(Pricing!U11="","",Pricing!U11))))))))</f>
        <v/>
      </c>
      <c r="X15" s="240" t="str">
        <f>UPPER(IF(Drawing!$F$2=2,Drawing!BB5,IF(Drawing!$Y$2=2,Drawing!AH17,IF(Drawing!$F$25=2,Drawing!O40,IF(Drawing!$Y$25=2,Drawing!AH40,IF(Drawing!$F$48=2,Drawing!O63,IF(Drawing!$Y$48=2,Drawing!AH63,IF(Pricing!V11="","",Pricing!V11))))))))</f>
        <v/>
      </c>
      <c r="Y15" s="240" t="str">
        <f>UPPER(IF(Drawing!$F$2=2,Drawing!BC5,IF(Drawing!$Y$2=2,Drawing!AI17,IF(Drawing!$F$25=2,Drawing!P40,IF(Drawing!$Y$25=2,Drawing!AI40,IF(Drawing!$F$48=2,Drawing!P63,IF(Drawing!$Y$48=2,Drawing!AI63,IF(Pricing!W11="","",Pricing!W11))))))))</f>
        <v/>
      </c>
      <c r="Z15" s="240" t="str">
        <f>UPPER(IF(Drawing!$F$2=2,Drawing!BD5,IF(Drawing!$Y$2=2,Drawing!AJ17,IF(Drawing!$F$25=2,Drawing!Q40,IF(Drawing!$Y$25=2,Drawing!AJ40,IF(Drawing!$F$48=2,Drawing!Q63,IF(Drawing!$Y$48=2,Drawing!AJ63,IF(Pricing!X11="","",Pricing!X11))))))))</f>
        <v/>
      </c>
      <c r="AA15" s="240" t="str">
        <f>UPPER(IF(Drawing!$F$2=2,Drawing!BE5,IF(Drawing!$Y$2=2,Drawing!AK17,IF(Drawing!$F$25=2,Drawing!R40,IF(Drawing!$Y$25=2,Drawing!AK40,IF(Drawing!$F$48=2,Drawing!R63,IF(Drawing!$Y$48=2,Drawing!AK63,IF(Pricing!Y11="","",Pricing!Y11))))))))</f>
        <v/>
      </c>
      <c r="AB15" s="240" t="str">
        <f>UPPER(IF(Drawing!$F$2=2,Drawing!BF5,IF(Drawing!$Y$2=2,Drawing!AL17,IF(Drawing!$F$25=2,Drawing!S40,IF(Drawing!$Y$25=2,Drawing!AL40,IF(Drawing!$F$48=2,Drawing!S63,IF(Drawing!$Y$48=2,Drawing!AL63,IF(Pricing!Z11="","",Pricing!Z11))))))))</f>
        <v/>
      </c>
      <c r="AC15" s="240" t="str">
        <f>UPPER(IF(Drawing!$F$2=2,Drawing!BG5,IF(Drawing!$Y$2=2,Drawing!AM17,IF(Drawing!$F$25=2,Drawing!T40,IF(Drawing!$Y$25=2,Drawing!AM40,IF(Drawing!$F$48=2,Drawing!T63,IF(Drawing!$Y$48=2,Drawing!AM63,IF(Pricing!AA11="","",Pricing!AA11))))))))</f>
        <v/>
      </c>
      <c r="AD15" s="280"/>
      <c r="AE15" s="11" t="s">
        <v>22</v>
      </c>
    </row>
    <row r="16" spans="1:36" x14ac:dyDescent="0.25">
      <c r="B16" s="336"/>
      <c r="C16" s="10" t="str">
        <f>IF(Pricing!C12="","",Pricing!C12)</f>
        <v>Centre</v>
      </c>
      <c r="D16" s="710"/>
      <c r="E16" s="710"/>
      <c r="F16" s="524" t="str">
        <f>IF(Pricing!F12="","",Pricing!F12)</f>
        <v/>
      </c>
      <c r="G16" s="523"/>
      <c r="H16" s="702"/>
      <c r="I16" s="702"/>
      <c r="J16" s="710"/>
      <c r="K16" s="702"/>
      <c r="L16" s="702"/>
      <c r="M16" s="702"/>
      <c r="N16" s="702"/>
      <c r="O16" s="714"/>
      <c r="P16" s="655"/>
      <c r="Q16" s="710"/>
      <c r="R16" s="277" t="s">
        <v>155</v>
      </c>
      <c r="S16" s="13" t="str">
        <f>UPPER(IF(Drawing!$F$2=2,Drawing!J18,IF(Drawing!$Y$2=2,Drawing!AC18,IF(Drawing!$F$25=2,Drawing!J41,IF(Drawing!$Y$25=2,Drawing!AC41,IF(Drawing!$F$48=2,Drawing!J64,IF(Drawing!$Y$48=2,Drawing!AC64,"")))))))</f>
        <v/>
      </c>
      <c r="T16" s="13" t="str">
        <f>UPPER(IF(Drawing!$F$2=2,Drawing!K18,IF(Drawing!$Y$2=2,Drawing!AD18,IF(Drawing!$F$25=2,Drawing!K41,IF(Drawing!$Y$25=2,Drawing!AD41,IF(Drawing!$F$48=2,Drawing!K64,IF(Drawing!$Y$48=2,Drawing!AD64,"")))))))</f>
        <v/>
      </c>
      <c r="U16" s="13" t="str">
        <f>UPPER(IF(Drawing!$F$2=2,Drawing!L18,IF(Drawing!$Y$2=2,Drawing!AE18,IF(Drawing!$F$25=2,Drawing!L41,IF(Drawing!$Y$25=2,Drawing!AE41,IF(Drawing!$F$48=2,Drawing!L64,IF(Drawing!$Y$48=2,Drawing!AE64,"")))))))</f>
        <v/>
      </c>
      <c r="V16" s="13" t="str">
        <f>UPPER(IF(Drawing!$F$2=2,Drawing!M18,IF(Drawing!$Y$2=2,Drawing!AF18,IF(Drawing!$F$25=2,Drawing!M41,IF(Drawing!$Y$25=2,Drawing!AF41,IF(Drawing!$F$48=2,Drawing!M64,IF(Drawing!$Y$48=2,Drawing!AF64,"")))))))</f>
        <v/>
      </c>
      <c r="W16" s="13" t="str">
        <f>UPPER(IF(Drawing!$F$2=2,Drawing!N18,IF(Drawing!$Y$2=2,Drawing!AG18,IF(Drawing!$F$25=2,Drawing!N41,IF(Drawing!$Y$25=2,Drawing!AG41,IF(Drawing!$F$48=2,Drawing!N64,IF(Drawing!$Y$48=2,Drawing!AG64,"")))))))</f>
        <v/>
      </c>
      <c r="X16" s="13" t="str">
        <f>UPPER(IF(Drawing!$F$2=2,Drawing!O18,IF(Drawing!$Y$2=2,Drawing!AH18,IF(Drawing!$F$25=2,Drawing!O41,IF(Drawing!$Y$25=2,Drawing!AH41,IF(Drawing!$F$48=2,Drawing!O64,IF(Drawing!$Y$48=2,Drawing!AH64,"")))))))</f>
        <v/>
      </c>
      <c r="Y16" s="13" t="str">
        <f>UPPER(IF(Drawing!$F$2=2,Drawing!P18,IF(Drawing!$Y$2=2,Drawing!AI18,IF(Drawing!$F$25=2,Drawing!P41,IF(Drawing!$Y$25=2,Drawing!AI41,IF(Drawing!$F$48=2,Drawing!P64,IF(Drawing!$Y$48=2,Drawing!AI64,"")))))))</f>
        <v/>
      </c>
      <c r="Z16" s="13" t="str">
        <f>UPPER(IF(Drawing!$F$2=2,Drawing!Q18,IF(Drawing!$Y$2=2,Drawing!AJ18,IF(Drawing!$F$25=2,Drawing!Q41,IF(Drawing!$Y$25=2,Drawing!AJ41,IF(Drawing!$F$48=2,Drawing!Q64,IF(Drawing!$Y$48=2,Drawing!AJ64,"")))))))</f>
        <v/>
      </c>
      <c r="AA16" s="13" t="str">
        <f>UPPER(IF(Drawing!$F$2=2,Drawing!R18,IF(Drawing!$Y$2=2,Drawing!AK18,IF(Drawing!$F$25=2,Drawing!R41,IF(Drawing!$Y$25=2,Drawing!AK41,IF(Drawing!$F$48=2,Drawing!R64,IF(Drawing!$Y$48=2,Drawing!AK64,"")))))))</f>
        <v/>
      </c>
      <c r="AB16" s="13" t="str">
        <f>UPPER(IF(Drawing!$F$2=2,Drawing!S18,IF(Drawing!$Y$2=2,Drawing!AL18,IF(Drawing!$F$25=2,Drawing!S41,IF(Drawing!$Y$25=2,Drawing!AL41,IF(Drawing!$F$48=2,Drawing!S64,IF(Drawing!$Y$48=2,Drawing!AL64,"")))))))</f>
        <v/>
      </c>
      <c r="AC16" s="13" t="s">
        <v>20</v>
      </c>
      <c r="AD16" s="278"/>
      <c r="AE16" s="708">
        <f>IF(ISERROR(M15*N15/1000000),,M15*N15/1000000)</f>
        <v>0</v>
      </c>
    </row>
    <row r="17" spans="2:31" ht="15.75" thickBot="1" x14ac:dyDescent="0.3">
      <c r="B17" s="336"/>
      <c r="C17" s="10" t="str">
        <f>IF(Pricing!C13="","",Pricing!C13)</f>
        <v/>
      </c>
      <c r="D17" s="710"/>
      <c r="E17" s="711"/>
      <c r="F17" s="14" t="s">
        <v>28</v>
      </c>
      <c r="G17" s="14" t="str">
        <f>IF(Pricing!G13="","",Pricing!G13)</f>
        <v/>
      </c>
      <c r="H17" s="705"/>
      <c r="I17" s="705"/>
      <c r="J17" s="717"/>
      <c r="K17" s="705"/>
      <c r="L17" s="705"/>
      <c r="M17" s="705"/>
      <c r="N17" s="705"/>
      <c r="O17" s="715"/>
      <c r="P17" s="656"/>
      <c r="Q17" s="27" t="s">
        <v>156</v>
      </c>
      <c r="R17" s="27" t="s">
        <v>157</v>
      </c>
      <c r="S17" s="394"/>
      <c r="T17" s="395"/>
      <c r="U17" s="395"/>
      <c r="V17" s="395"/>
      <c r="W17" s="395"/>
      <c r="X17" s="395"/>
      <c r="Y17" s="395"/>
      <c r="Z17" s="395"/>
      <c r="AA17" s="395"/>
      <c r="AB17" s="395"/>
      <c r="AC17" s="393"/>
      <c r="AD17" s="266"/>
      <c r="AE17" s="709"/>
    </row>
    <row r="18" spans="2:31" x14ac:dyDescent="0.25">
      <c r="B18" s="336">
        <v>3</v>
      </c>
      <c r="C18" s="10" t="str">
        <f>IF(Pricing!C14="","",Pricing!C14)</f>
        <v>Living room</v>
      </c>
      <c r="D18" s="710" t="str">
        <f>IF(Pricing!D14="","",Pricing!D14)</f>
        <v>Tier on Tier</v>
      </c>
      <c r="E18" s="710" t="str">
        <f>IF(Pricing!E14="","",Pricing!E14)</f>
        <v>Antigua</v>
      </c>
      <c r="F18" s="704" t="str">
        <f>IF(Pricing!F14="","",Pricing!F14)</f>
        <v>Pure White</v>
      </c>
      <c r="G18" s="704"/>
      <c r="H18" s="702" t="str">
        <f>IF(Pricing!H14="","",Pricing!H14)</f>
        <v>76mm</v>
      </c>
      <c r="I18" s="706" t="str">
        <f>IF(Pricing!I14="","",Pricing!I14)</f>
        <v>Plain L</v>
      </c>
      <c r="J18" s="25">
        <v>0</v>
      </c>
      <c r="K18" s="702"/>
      <c r="L18" s="702" t="str">
        <f>IF(Pricing!J14="","",Pricing!J14)</f>
        <v>Silent</v>
      </c>
      <c r="M18" s="702" t="str">
        <f>UPPER(IF(Drawing!$F$2=3,Drawing!D17,IF(Drawing!$Y$2=3,Drawing!W17,IF(Drawing!$F$25=3,Drawing!D40,IF(Drawing!$Y$25=3,Drawing!W40,IF(Drawing!$F$48=3,Drawing!D63,IF(Drawing!$Y$48=3,Drawing!W63,"")))))))</f>
        <v/>
      </c>
      <c r="N18" s="702" t="str">
        <f>UPPER(IF(Drawing!$F$2=3,Drawing!D19,IF(Drawing!$Y$2=3,Drawing!W19,IF(Drawing!$F$25=3,Drawing!D42,IF(Drawing!$Y$25=3,Drawing!W42,IF(Drawing!$F$48=3,Drawing!D65,IF(Drawing!$Y$48=3,Drawing!W65,"")))))))</f>
        <v/>
      </c>
      <c r="O18" s="714" t="str">
        <f>UPPER(IF(Drawing!$F$2=3,Drawing!D21,IF(Drawing!$Y$2=3,Drawing!W21,IF(Drawing!$F$25=3,Drawing!D44,IF(Drawing!$Y$25=3,Drawing!W44,IF(Drawing!$F$48=3,Drawing!D67,IF(Drawing!$Y$48=3,Drawing!W67,"")))))))</f>
        <v/>
      </c>
      <c r="P18" s="654"/>
      <c r="Q18" s="716"/>
      <c r="R18" s="277" t="s">
        <v>154</v>
      </c>
      <c r="S18" s="241" t="str">
        <f>UPPER(IF(Drawing!$F$2=3,Drawing!AW5,IF(Drawing!$Y$2=3,Drawing!AC17,IF(Drawing!$F$25=3,Drawing!J40,IF(Drawing!$Y$25=3,Drawing!AC40,IF(Drawing!$F$48=3,Drawing!J63,IF(Drawing!$Y$48=3,Drawing!AC63,IF(Pricing!Q8="","",Pricing!Q8))))))))</f>
        <v>L</v>
      </c>
      <c r="T18" s="241" t="str">
        <f>UPPER(IF(Drawing!$F$2=3,Drawing!AX5,IF(Drawing!$Y$2=3,Drawing!AD17,IF(Drawing!$F$25=3,Drawing!K40,IF(Drawing!$Y$25=3,Drawing!AD40,IF(Drawing!$F$48=3,Drawing!K63,IF(Drawing!$Y$48=2,Drawing!AD63,IF(Pricing!R11="","",Pricing!R11))))))))</f>
        <v>RR</v>
      </c>
      <c r="U18" s="241" t="str">
        <f>UPPER(IF(Drawing!$F$2=3,Drawing!AY5,IF(Drawing!$Y$2=3,Drawing!AE17,IF(Drawing!$F$25=3,Drawing!L40,IF(Drawing!$Y$25=3,Drawing!AE40,IF(Drawing!$F$48=3,Drawing!L63,IF(Drawing!$Y$48=3,Drawing!AE63,IF(Pricing!S14="","",Pricing!S14))))))))</f>
        <v/>
      </c>
      <c r="V18" s="241" t="str">
        <f>UPPER(IF(Drawing!$F$2=3,Drawing!AZ5,IF(Drawing!$Y$2=3,Drawing!AF17,IF(Drawing!$F$25=3,Drawing!M40,IF(Drawing!$Y$25=3,Drawing!AF40,IF(Drawing!$F$48=3,Drawing!M63,IF(Drawing!$Y$48=3,Drawing!AF63,IF(Pricing!T14="","",Pricing!T14))))))))</f>
        <v/>
      </c>
      <c r="W18" s="241" t="str">
        <f>UPPER(IF(Drawing!$F$2=3,Drawing!BA5,IF(Drawing!$Y$2=3,Drawing!AG17,IF(Drawing!$F$25=3,Drawing!N40,IF(Drawing!$Y$25=3,Drawing!AG40,IF(Drawing!$F$48=3,Drawing!N63,IF(Drawing!$Y$48=3,Drawing!AG63,IF(Pricing!U14="","",Pricing!U14))))))))</f>
        <v/>
      </c>
      <c r="X18" s="241" t="str">
        <f>UPPER(IF(Drawing!$F$2=3,Drawing!BB5,IF(Drawing!$Y$2=3,Drawing!AH17,IF(Drawing!$F$25=3,Drawing!O40,IF(Drawing!$Y$25=3,Drawing!AH40,IF(Drawing!$F$48=3,Drawing!O63,IF(Drawing!$Y$48=3,Drawing!AH63,IF(Pricing!V14="","",Pricing!V14))))))))</f>
        <v/>
      </c>
      <c r="Y18" s="241" t="str">
        <f>UPPER(IF(Drawing!$F$2=3,Drawing!BC5,IF(Drawing!$Y$2=3,Drawing!AI17,IF(Drawing!$F$25=3,Drawing!P40,IF(Drawing!$Y$25=3,Drawing!AI40,IF(Drawing!$F$48=3,Drawing!P63,IF(Drawing!$Y$48=3,Drawing!AI63,IF(Pricing!W14="","",Pricing!W14))))))))</f>
        <v/>
      </c>
      <c r="Z18" s="241" t="str">
        <f>UPPER(IF(Drawing!$F$2=3,Drawing!BD5,IF(Drawing!$Y$2=3,Drawing!AJ17,IF(Drawing!$F$25=3,Drawing!Q40,IF(Drawing!$Y$25=3,Drawing!AJ40,IF(Drawing!$F$48=3,Drawing!Q63,IF(Drawing!$Y$48=3,Drawing!AJ63,IF(Pricing!X14="","",Pricing!X14))))))))</f>
        <v/>
      </c>
      <c r="AA18" s="241" t="str">
        <f>UPPER(IF(Drawing!$F$2=3,Drawing!BE5,IF(Drawing!$Y$2=3,Drawing!AK17,IF(Drawing!$F$25=3,Drawing!R40,IF(Drawing!$Y$25=3,Drawing!AK40,IF(Drawing!$F$48=3,Drawing!R63,IF(Drawing!$Y$48=3,Drawing!AK63,IF(Pricing!Y14="","",Pricing!Y14))))))))</f>
        <v/>
      </c>
      <c r="AB18" s="241" t="str">
        <f>UPPER(IF(Drawing!$F$2=3,Drawing!BF5,IF(Drawing!$Y$2=3,Drawing!AL17,IF(Drawing!$F$25=3,Drawing!S40,IF(Drawing!$Y$25=3,Drawing!AL40,IF(Drawing!$F$48=3,Drawing!S63,IF(Drawing!$Y$48=3,Drawing!AL63,IF(Pricing!Z14="","",Pricing!Z14))))))))</f>
        <v/>
      </c>
      <c r="AC18" s="241" t="str">
        <f>UPPER(IF(Drawing!$F$2=3,Drawing!BG5,IF(Drawing!$Y$2=3,Drawing!AM17,IF(Drawing!$F$25=3,Drawing!T40,IF(Drawing!$Y$25=3,Drawing!AM40,IF(Drawing!$F$48=3,Drawing!T63,IF(Drawing!$Y$48=3,Drawing!AM63,IF(Pricing!AA14="","",Pricing!AA14))))))))</f>
        <v/>
      </c>
      <c r="AD18" s="280"/>
      <c r="AE18" s="11" t="s">
        <v>22</v>
      </c>
    </row>
    <row r="19" spans="2:31" x14ac:dyDescent="0.25">
      <c r="B19" s="336"/>
      <c r="C19" s="10" t="str">
        <f>IF(Pricing!C15="","",Pricing!C15)</f>
        <v>Right</v>
      </c>
      <c r="D19" s="710"/>
      <c r="E19" s="710"/>
      <c r="F19" s="524" t="str">
        <f>IF(Pricing!F15="","",Pricing!F15)</f>
        <v/>
      </c>
      <c r="G19" s="523"/>
      <c r="H19" s="702"/>
      <c r="I19" s="702"/>
      <c r="J19" s="710"/>
      <c r="K19" s="702"/>
      <c r="L19" s="702"/>
      <c r="M19" s="702"/>
      <c r="N19" s="702"/>
      <c r="O19" s="714"/>
      <c r="P19" s="655"/>
      <c r="Q19" s="710"/>
      <c r="R19" s="277" t="s">
        <v>155</v>
      </c>
      <c r="S19" s="13" t="str">
        <f>UPPER(IF(Drawing!$F$2=3,Drawing!J18,IF(Drawing!$Y$2=3,Drawing!AC18,IF(Drawing!$F$25=3,Drawing!J41,IF(Drawing!$Y$25=3,Drawing!AC41,IF(Drawing!$F$48=3,Drawing!J64,IF(Drawing!$Y$48=3,Drawing!AC64,"")))))))</f>
        <v/>
      </c>
      <c r="T19" s="13" t="str">
        <f>UPPER(IF(Drawing!$F$2=3,Drawing!K18,IF(Drawing!$Y$2=3,Drawing!AD18,IF(Drawing!$F$25=3,Drawing!K41,IF(Drawing!$Y$25=3,Drawing!AD41,IF(Drawing!$F$48=3,Drawing!K64,IF(Drawing!$Y$48=3,Drawing!AD64,"")))))))</f>
        <v/>
      </c>
      <c r="U19" s="13" t="str">
        <f>UPPER(IF(Drawing!$F$2=3,Drawing!L18,IF(Drawing!$Y$2=3,Drawing!AE18,IF(Drawing!$F$25=3,Drawing!L41,IF(Drawing!$Y$25=3,Drawing!AE41,IF(Drawing!$F$48=3,Drawing!L64,IF(Drawing!$Y$48=3,Drawing!AE64,"")))))))</f>
        <v/>
      </c>
      <c r="V19" s="13" t="str">
        <f>UPPER(IF(Drawing!$F$2=3,Drawing!M18,IF(Drawing!$Y$2=3,Drawing!AF18,IF(Drawing!$F$25=3,Drawing!M41,IF(Drawing!$Y$25=3,Drawing!AF41,IF(Drawing!$F$48=3,Drawing!M64,IF(Drawing!$Y$48=3,Drawing!AF64,"")))))))</f>
        <v/>
      </c>
      <c r="W19" s="13" t="str">
        <f>UPPER(IF(Drawing!$F$2=3,Drawing!N18,IF(Drawing!$Y$2=3,Drawing!AG18,IF(Drawing!$F$25=3,Drawing!N41,IF(Drawing!$Y$25=3,Drawing!AG41,IF(Drawing!$F$48=3,Drawing!N64,IF(Drawing!$Y$48=3,Drawing!AG64,"")))))))</f>
        <v/>
      </c>
      <c r="X19" s="13" t="str">
        <f>UPPER(IF(Drawing!$F$2=3,Drawing!O18,IF(Drawing!$Y$2=3,Drawing!AH18,IF(Drawing!$F$25=3,Drawing!O41,IF(Drawing!$Y$25=3,Drawing!AH41,IF(Drawing!$F$48=3,Drawing!O64,IF(Drawing!$Y$48=3,Drawing!AH64,"")))))))</f>
        <v/>
      </c>
      <c r="Y19" s="13" t="str">
        <f>UPPER(IF(Drawing!$F$2=3,Drawing!P18,IF(Drawing!$Y$2=3,Drawing!AI18,IF(Drawing!$F$25=3,Drawing!P41,IF(Drawing!$Y$25=3,Drawing!AI41,IF(Drawing!$F$48=3,Drawing!P64,IF(Drawing!$Y$48=3,Drawing!AI64,"")))))))</f>
        <v/>
      </c>
      <c r="Z19" s="13" t="str">
        <f>UPPER(IF(Drawing!$F$2=3,Drawing!Q18,IF(Drawing!$Y$2=3,Drawing!AJ18,IF(Drawing!$F$25=3,Drawing!Q41,IF(Drawing!$Y$25=3,Drawing!AJ41,IF(Drawing!$F$48=3,Drawing!Q64,IF(Drawing!$Y$48=3,Drawing!AJ64,"")))))))</f>
        <v/>
      </c>
      <c r="AA19" s="13" t="str">
        <f>UPPER(IF(Drawing!$F$2=3,Drawing!R18,IF(Drawing!$Y$2=3,Drawing!AK18,IF(Drawing!$F$25=3,Drawing!R41,IF(Drawing!$Y$25=3,Drawing!AK41,IF(Drawing!$F$48=3,Drawing!R64,IF(Drawing!$Y$48=3,Drawing!AK64,"")))))))</f>
        <v/>
      </c>
      <c r="AB19" s="13" t="str">
        <f>UPPER(IF(Drawing!$F$2=3,Drawing!S18,IF(Drawing!$Y$2=3,Drawing!AL18,IF(Drawing!$F$25=3,Drawing!S41,IF(Drawing!$Y$25=3,Drawing!AL41,IF(Drawing!$F$48=3,Drawing!S64,IF(Drawing!$Y$48=3,Drawing!AL64,"")))))))</f>
        <v/>
      </c>
      <c r="AC19" s="13" t="s">
        <v>20</v>
      </c>
      <c r="AD19" s="278"/>
      <c r="AE19" s="708">
        <f>IF(ISERROR(M18*N18/1000000),,M18*N18/1000000)</f>
        <v>0</v>
      </c>
    </row>
    <row r="20" spans="2:31" ht="15.75" thickBot="1" x14ac:dyDescent="0.3">
      <c r="B20" s="336"/>
      <c r="C20" s="243" t="str">
        <f>IF(Pricing!C16="","",Pricing!C16)</f>
        <v/>
      </c>
      <c r="D20" s="711"/>
      <c r="E20" s="711"/>
      <c r="F20" s="244" t="s">
        <v>28</v>
      </c>
      <c r="G20" s="244" t="str">
        <f>IF(Pricing!G16="","",Pricing!G16)</f>
        <v/>
      </c>
      <c r="H20" s="705"/>
      <c r="I20" s="705"/>
      <c r="J20" s="717"/>
      <c r="K20" s="705"/>
      <c r="L20" s="705"/>
      <c r="M20" s="705"/>
      <c r="N20" s="705"/>
      <c r="O20" s="715"/>
      <c r="P20" s="656"/>
      <c r="Q20" s="27" t="s">
        <v>156</v>
      </c>
      <c r="R20" s="27" t="s">
        <v>157</v>
      </c>
      <c r="S20" s="394"/>
      <c r="T20" s="395"/>
      <c r="U20" s="395"/>
      <c r="V20" s="395"/>
      <c r="W20" s="395"/>
      <c r="X20" s="395"/>
      <c r="Y20" s="395"/>
      <c r="Z20" s="395"/>
      <c r="AA20" s="395"/>
      <c r="AB20" s="395"/>
      <c r="AC20" s="393"/>
      <c r="AD20" s="266"/>
      <c r="AE20" s="709"/>
    </row>
    <row r="21" spans="2:31" x14ac:dyDescent="0.25">
      <c r="B21" s="336">
        <v>4</v>
      </c>
      <c r="C21" s="172" t="str">
        <f>IF(Pricing!C17="","",Pricing!C17)</f>
        <v>Dining room</v>
      </c>
      <c r="D21" s="718" t="str">
        <f>IF(Pricing!D17="","",Pricing!D17)</f>
        <v>Tier on Tier</v>
      </c>
      <c r="E21" s="718" t="str">
        <f>IF(Pricing!E17="","",Pricing!E17)</f>
        <v>Antigua</v>
      </c>
      <c r="F21" s="719" t="str">
        <f>IF(Pricing!F17="","",Pricing!F17)</f>
        <v>Silk White</v>
      </c>
      <c r="G21" s="720"/>
      <c r="H21" s="702" t="str">
        <f>IF(Pricing!H17="","",Pricing!H17)</f>
        <v>76mm</v>
      </c>
      <c r="I21" s="706" t="str">
        <f>IF(Pricing!I17="","",Pricing!I17)</f>
        <v>Plain L</v>
      </c>
      <c r="J21" s="25">
        <v>0</v>
      </c>
      <c r="K21" s="702"/>
      <c r="L21" s="702" t="str">
        <f>IF(Pricing!J17="","",Pricing!J17)</f>
        <v>Silent</v>
      </c>
      <c r="M21" s="702" t="str">
        <f>UPPER(IF(Drawing!$F$2=4,Drawing!D17,IF(Drawing!$Y$2=4,Drawing!W17,IF(Drawing!$F$25=4,Drawing!D40,IF(Drawing!$Y$25=4,Drawing!W40,IF(Drawing!$F$48=4,Drawing!D63,IF(Drawing!$Y$48=4,Drawing!W63,"")))))))</f>
        <v/>
      </c>
      <c r="N21" s="702" t="str">
        <f>UPPER(IF(Drawing!$F$2=4,Drawing!D19,IF(Drawing!$Y$2=4,Drawing!W19,IF(Drawing!$F$25=4,Drawing!D42,IF(Drawing!$Y$25=4,Drawing!W42,IF(Drawing!$F$48=4,Drawing!D65,IF(Drawing!$Y$48=4,Drawing!W65,"")))))))</f>
        <v/>
      </c>
      <c r="O21" s="714" t="str">
        <f>UPPER(IF(Drawing!$F$2=4,Drawing!D21,IF(Drawing!$Y$2=4,Drawing!W21,IF(Drawing!$F$25=4,Drawing!D44,IF(Drawing!$Y$25=4,Drawing!W44,IF(Drawing!$F$48=4,Drawing!D67,IF(Drawing!$Y$48=4,Drawing!W67,"")))))))</f>
        <v/>
      </c>
      <c r="P21" s="654"/>
      <c r="Q21" s="716"/>
      <c r="R21" s="277" t="s">
        <v>154</v>
      </c>
      <c r="S21" s="240" t="str">
        <f>UPPER(IF(Drawing!$F$2=4,Drawing!AW5,IF(Drawing!$Y$2=4,Drawing!AC17,IF(Drawing!$F$25=4,Drawing!J40,IF(Drawing!$Y$25=4,Drawing!AC40,IF(Drawing!$F$48=4,Drawing!J63,IF(Drawing!$Y$48=4,Drawing!AC63,IF(Pricing!Q17="","",Pricing!Q17))))))))</f>
        <v>LL</v>
      </c>
      <c r="T21" s="240" t="str">
        <f>UPPER(IF(Drawing!$F$2=4,Drawing!AX5,IF(Drawing!$Y$2=4,Drawing!AD17,IF(Drawing!$F$25=4,Drawing!K40,IF(Drawing!$Y$25=4,Drawing!AD40,IF(Drawing!$F$48=4,Drawing!K63,IF(Drawing!$Y$48=4,Drawing!AD63,IF(Pricing!R17="","",Pricing!R17))))))))</f>
        <v>RR</v>
      </c>
      <c r="U21" s="240" t="str">
        <f>UPPER(IF(Drawing!$F$2=4,Drawing!AY5,IF(Drawing!$Y$2=4,Drawing!AE17,IF(Drawing!$F$25=4,Drawing!L40,IF(Drawing!$Y$25=4,Drawing!AE40,IF(Drawing!$F$48=4,Drawing!L63,IF(Drawing!$Y$48=4,Drawing!AE63,IF(Pricing!S17="","",Pricing!S17))))))))</f>
        <v/>
      </c>
      <c r="V21" s="240" t="str">
        <f>UPPER(IF(Drawing!$F$2=4,Drawing!AZ5,IF(Drawing!$Y$2=4,Drawing!AF17,IF(Drawing!$F$25=4,Drawing!M40,IF(Drawing!$Y$25=4,Drawing!AF40,IF(Drawing!$F$48=4,Drawing!M63,IF(Drawing!$Y$48=4,Drawing!AF63,IF(Pricing!T17="","",Pricing!T17))))))))</f>
        <v/>
      </c>
      <c r="W21" s="240" t="str">
        <f>UPPER(IF(Drawing!$F$2=4,Drawing!BA5,IF(Drawing!$Y$2=4,Drawing!AG17,IF(Drawing!$F$25=4,Drawing!N40,IF(Drawing!$Y$25=4,Drawing!AG40,IF(Drawing!$F$48=4,Drawing!N63,IF(Drawing!$Y$48=4,Drawing!AG63,IF(Pricing!U17="","",Pricing!U17))))))))</f>
        <v/>
      </c>
      <c r="X21" s="240" t="str">
        <f>UPPER(IF(Drawing!$F$2=4,Drawing!BB5,IF(Drawing!$Y$2=4,Drawing!AH17,IF(Drawing!$F$25=4,Drawing!O40,IF(Drawing!$Y$25=4,Drawing!AH40,IF(Drawing!$F$48=4,Drawing!O63,IF(Drawing!$Y$48=4,Drawing!AH63,IF(Pricing!V17="","",Pricing!V17))))))))</f>
        <v/>
      </c>
      <c r="Y21" s="240" t="str">
        <f>UPPER(IF(Drawing!$F$2=4,Drawing!BC5,IF(Drawing!$Y$2=4,Drawing!AI17,IF(Drawing!$F$25=4,Drawing!P40,IF(Drawing!$Y$25=4,Drawing!AI40,IF(Drawing!$F$48=4,Drawing!P63,IF(Drawing!$Y$48=4,Drawing!AI63,IF(Pricing!W17="","",Pricing!W17))))))))</f>
        <v/>
      </c>
      <c r="Z21" s="240" t="str">
        <f>UPPER(IF(Drawing!$F$2=4,Drawing!BD5,IF(Drawing!$Y$2=4,Drawing!AJ17,IF(Drawing!$F$25=4,Drawing!Q40,IF(Drawing!$Y$25=4,Drawing!AJ40,IF(Drawing!$F$48=4,Drawing!Q63,IF(Drawing!$Y$48=4,Drawing!AJ63,IF(Pricing!X17="","",Pricing!X17))))))))</f>
        <v/>
      </c>
      <c r="AA21" s="240" t="str">
        <f>UPPER(IF(Drawing!$F$2=4,Drawing!BE5,IF(Drawing!$Y$2=4,Drawing!AK17,IF(Drawing!$F$25=4,Drawing!R40,IF(Drawing!$Y$25=4,Drawing!AK40,IF(Drawing!$F$48=4,Drawing!R63,IF(Drawing!$Y$48=4,Drawing!AK63,IF(Pricing!Y17="","",Pricing!Y17))))))))</f>
        <v/>
      </c>
      <c r="AB21" s="240" t="str">
        <f>UPPER(IF(Drawing!$F$2=4,Drawing!BF5,IF(Drawing!$Y$2=4,Drawing!AL17,IF(Drawing!$F$25=4,Drawing!S40,IF(Drawing!$Y$25=4,Drawing!AL40,IF(Drawing!$F$48=4,Drawing!S63,IF(Drawing!$Y$48=4,Drawing!AL63,IF(Pricing!Z17="","",Pricing!Z17))))))))</f>
        <v/>
      </c>
      <c r="AC21" s="240" t="str">
        <f>UPPER(IF(Drawing!$F$2=4,Drawing!BG5,IF(Drawing!$Y$2=4,Drawing!AM17,IF(Drawing!$F$25=4,Drawing!T40,IF(Drawing!$Y$25=4,Drawing!AM40,IF(Drawing!$F$48=4,Drawing!T63,IF(Drawing!$Y$48=4,Drawing!AM63,IF(Pricing!AA17="","",Pricing!AA17))))))))</f>
        <v/>
      </c>
      <c r="AD21" s="280"/>
      <c r="AE21" s="11" t="s">
        <v>22</v>
      </c>
    </row>
    <row r="22" spans="2:31" x14ac:dyDescent="0.25">
      <c r="B22" s="336"/>
      <c r="C22" s="10" t="str">
        <f>IF(Pricing!C18="","",Pricing!C18)</f>
        <v/>
      </c>
      <c r="D22" s="710"/>
      <c r="E22" s="710"/>
      <c r="F22" s="524" t="str">
        <f>IF(Pricing!F18="","",Pricing!F18)</f>
        <v/>
      </c>
      <c r="G22" s="721"/>
      <c r="H22" s="702"/>
      <c r="I22" s="702"/>
      <c r="J22" s="710"/>
      <c r="K22" s="702"/>
      <c r="L22" s="702"/>
      <c r="M22" s="702"/>
      <c r="N22" s="702"/>
      <c r="O22" s="714"/>
      <c r="P22" s="655"/>
      <c r="Q22" s="710"/>
      <c r="R22" s="277" t="s">
        <v>155</v>
      </c>
      <c r="S22" s="13" t="str">
        <f>UPPER(IF(Drawing!$F$2=4,Drawing!J18,IF(Drawing!$Y$2=4,Drawing!AC18,IF(Drawing!$F$25=4,Drawing!J41,IF(Drawing!$Y$25=4,Drawing!AC41,IF(Drawing!$F$48=4,Drawing!J64,IF(Drawing!$Y$48=4,Drawing!AC64,"")))))))</f>
        <v/>
      </c>
      <c r="T22" s="13" t="str">
        <f>UPPER(IF(Drawing!$F$2=4,Drawing!K18,IF(Drawing!$Y$2=4,Drawing!AD18,IF(Drawing!$F$25=4,Drawing!K41,IF(Drawing!$Y$25=4,Drawing!AD41,IF(Drawing!$F$48=4,Drawing!K64,IF(Drawing!$Y$48=4,Drawing!AD64,"")))))))</f>
        <v/>
      </c>
      <c r="U22" s="13" t="str">
        <f>UPPER(IF(Drawing!$F$2=4,Drawing!L18,IF(Drawing!$Y$2=4,Drawing!AE18,IF(Drawing!$F$25=4,Drawing!L41,IF(Drawing!$Y$25=4,Drawing!AE41,IF(Drawing!$F$48=4,Drawing!L64,IF(Drawing!$Y$48=4,Drawing!AE64,"")))))))</f>
        <v/>
      </c>
      <c r="V22" s="13" t="str">
        <f>UPPER(IF(Drawing!$F$2=4,Drawing!M18,IF(Drawing!$Y$2=4,Drawing!AF18,IF(Drawing!$F$25=4,Drawing!M41,IF(Drawing!$Y$25=4,Drawing!AF41,IF(Drawing!$F$48=4,Drawing!M64,IF(Drawing!$Y$48=4,Drawing!AF64,"")))))))</f>
        <v/>
      </c>
      <c r="W22" s="13" t="str">
        <f>UPPER(IF(Drawing!$F$2=4,Drawing!N18,IF(Drawing!$Y$2=4,Drawing!AG18,IF(Drawing!$F$25=4,Drawing!N41,IF(Drawing!$Y$25=4,Drawing!AG41,IF(Drawing!$F$48=4,Drawing!N64,IF(Drawing!$Y$48=4,Drawing!AG64,"")))))))</f>
        <v/>
      </c>
      <c r="X22" s="13" t="str">
        <f>UPPER(IF(Drawing!$F$2=4,Drawing!O18,IF(Drawing!$Y$2=4,Drawing!AH18,IF(Drawing!$F$25=4,Drawing!O41,IF(Drawing!$Y$25=4,Drawing!AH41,IF(Drawing!$F$48=4,Drawing!O64,IF(Drawing!$Y$48=4,Drawing!AH64,"")))))))</f>
        <v/>
      </c>
      <c r="Y22" s="13" t="str">
        <f>UPPER(IF(Drawing!$F$2=4,Drawing!P18,IF(Drawing!$Y$2=4,Drawing!AI18,IF(Drawing!$F$25=4,Drawing!P41,IF(Drawing!$Y$25=4,Drawing!AI41,IF(Drawing!$F$48=4,Drawing!P64,IF(Drawing!$Y$48=4,Drawing!AI64,"")))))))</f>
        <v/>
      </c>
      <c r="Z22" s="13" t="str">
        <f>UPPER(IF(Drawing!$F$2=4,Drawing!Q18,IF(Drawing!$Y$2=4,Drawing!AJ18,IF(Drawing!$F$25=4,Drawing!Q41,IF(Drawing!$Y$25=4,Drawing!AJ41,IF(Drawing!$F$48=4,Drawing!Q64,IF(Drawing!$Y$48=4,Drawing!AJ64,"")))))))</f>
        <v/>
      </c>
      <c r="AA22" s="13" t="str">
        <f>UPPER(IF(Drawing!$F$2=4,Drawing!R18,IF(Drawing!$Y$2=4,Drawing!AK18,IF(Drawing!$F$25=4,Drawing!R41,IF(Drawing!$Y$25=4,Drawing!AK41,IF(Drawing!$F$48=4,Drawing!R64,IF(Drawing!$Y$48=4,Drawing!AK64,"")))))))</f>
        <v/>
      </c>
      <c r="AB22" s="13" t="str">
        <f>UPPER(IF(Drawing!$F$2=4,Drawing!S18,IF(Drawing!$Y$2=4,Drawing!AL18,IF(Drawing!$F$25=4,Drawing!S41,IF(Drawing!$Y$25=4,Drawing!AL41,IF(Drawing!$F$48=4,Drawing!S64,IF(Drawing!$Y$48=4,Drawing!AL64,"")))))))</f>
        <v/>
      </c>
      <c r="AC22" s="13" t="s">
        <v>20</v>
      </c>
      <c r="AD22" s="278"/>
      <c r="AE22" s="708">
        <f>IF(ISERROR(M21*N21/1000000),,M21*N21/1000000)</f>
        <v>0</v>
      </c>
    </row>
    <row r="23" spans="2:31" ht="15.75" thickBot="1" x14ac:dyDescent="0.3">
      <c r="B23" s="336"/>
      <c r="C23" s="242" t="str">
        <f>IF(Pricing!C19="","",Pricing!C19)</f>
        <v/>
      </c>
      <c r="D23" s="717"/>
      <c r="E23" s="717"/>
      <c r="F23" s="14" t="s">
        <v>28</v>
      </c>
      <c r="G23" s="14" t="str">
        <f>IF(Pricing!G19="","",Pricing!G19)</f>
        <v/>
      </c>
      <c r="H23" s="705"/>
      <c r="I23" s="705"/>
      <c r="J23" s="717"/>
      <c r="K23" s="705"/>
      <c r="L23" s="705"/>
      <c r="M23" s="705"/>
      <c r="N23" s="705"/>
      <c r="O23" s="715"/>
      <c r="P23" s="656"/>
      <c r="Q23" s="27" t="s">
        <v>156</v>
      </c>
      <c r="R23" s="27" t="s">
        <v>157</v>
      </c>
      <c r="S23" s="394"/>
      <c r="T23" s="395"/>
      <c r="U23" s="395"/>
      <c r="V23" s="395"/>
      <c r="W23" s="395"/>
      <c r="X23" s="395"/>
      <c r="Y23" s="395"/>
      <c r="Z23" s="395"/>
      <c r="AA23" s="395"/>
      <c r="AB23" s="395"/>
      <c r="AC23" s="393"/>
      <c r="AD23" s="266"/>
      <c r="AE23" s="709"/>
    </row>
    <row r="24" spans="2:31" x14ac:dyDescent="0.25">
      <c r="B24" s="336">
        <v>5</v>
      </c>
      <c r="C24" s="10" t="str">
        <f>IF(Pricing!C20="","",Pricing!C20)</f>
        <v>Bedroom</v>
      </c>
      <c r="D24" s="716" t="str">
        <f>IF(Pricing!D20="","",Pricing!D20)</f>
        <v>Tier on Tier</v>
      </c>
      <c r="E24" s="716" t="str">
        <f>IF(Pricing!E20="","",Pricing!E20)</f>
        <v>Antigua</v>
      </c>
      <c r="F24" s="704" t="str">
        <f>IF(Pricing!F20="","",Pricing!F20)</f>
        <v>Silk White</v>
      </c>
      <c r="G24" s="722"/>
      <c r="H24" s="702" t="str">
        <f>IF(Pricing!H20="","",Pricing!H20)</f>
        <v>76mm</v>
      </c>
      <c r="I24" s="706" t="str">
        <f>IF(Pricing!I20="","",Pricing!I20)</f>
        <v>Plain L</v>
      </c>
      <c r="J24" s="25">
        <v>0</v>
      </c>
      <c r="K24" s="702"/>
      <c r="L24" s="702" t="str">
        <f>IF(Pricing!J20="","",Pricing!J20)</f>
        <v>Silent</v>
      </c>
      <c r="M24" s="702" t="str">
        <f>UPPER(IF(Drawing!$F$2=5,Drawing!D17,IF(Drawing!$Y$2=5,Drawing!W17,IF(Drawing!$F$25=5,Drawing!D40,IF(Drawing!$Y$25=5,Drawing!W40,IF(Drawing!$F$48=5,Drawing!D63,IF(Drawing!$Y$48=5,Drawing!W63,"")))))))</f>
        <v/>
      </c>
      <c r="N24" s="702" t="str">
        <f>UPPER(IF(Drawing!$F$2=5,Drawing!D19,IF(Drawing!$Y$2=5,Drawing!W19,IF(Drawing!$F$25=5,Drawing!D42,IF(Drawing!$Y$25=5,Drawing!W42,IF(Drawing!$F$48=5,Drawing!D65,IF(Drawing!$Y$48=5,Drawing!W65,"")))))))</f>
        <v/>
      </c>
      <c r="O24" s="714" t="str">
        <f>UPPER(IF(Drawing!$F$2=5,Drawing!D21,IF(Drawing!$Y$2=5,Drawing!W21,IF(Drawing!$F$25=5,Drawing!D44,IF(Drawing!$Y$25=5,Drawing!W44,IF(Drawing!$F$48=5,Drawing!D67,IF(Drawing!$Y$48=5,Drawing!W67,"")))))))</f>
        <v/>
      </c>
      <c r="P24" s="654"/>
      <c r="Q24" s="716"/>
      <c r="R24" s="277" t="s">
        <v>154</v>
      </c>
      <c r="S24" s="240" t="str">
        <f>UPPER(IF(Drawing!$F$2=5,Drawing!AW5,IF(Drawing!$Y$2=5,Drawing!AC17,IF(Drawing!$F$25=5,Drawing!J40,IF(Drawing!$Y$25=5,Drawing!AC40,IF(Drawing!$F$48=5,Drawing!J63,IF(Drawing!$Y$48=5,Drawing!AC63,IF(Pricing!Q20="","",Pricing!Q20))))))))</f>
        <v>LL</v>
      </c>
      <c r="T24" s="240" t="str">
        <f>UPPER(IF(Drawing!$F$2=5,Drawing!AX5,IF(Drawing!$Y$2=5,Drawing!AD17,IF(Drawing!$F$25=5,Drawing!K40,IF(Drawing!$Y$25=5,Drawing!AD40,IF(Drawing!$F$48=5,Drawing!K63,IF(Drawing!$Y$48=5,Drawing!AD63,IF(Pricing!R20="","",Pricing!R20))))))))</f>
        <v>RR</v>
      </c>
      <c r="U24" s="240" t="str">
        <f>UPPER(IF(Drawing!$F$2=5,Drawing!AY5,IF(Drawing!$Y$2=5,Drawing!AE17,IF(Drawing!$F$25=5,Drawing!L40,IF(Drawing!$Y$25=5,Drawing!AE40,IF(Drawing!$F$48=5,Drawing!L63,IF(Drawing!$Y$48=5,Drawing!AE63,IF(Pricing!S20="","",Pricing!S20))))))))</f>
        <v/>
      </c>
      <c r="V24" s="240" t="str">
        <f>UPPER(IF(Drawing!$F$2=5,Drawing!AZ5,IF(Drawing!$Y$2=5,Drawing!AF17,IF(Drawing!$F$25=5,Drawing!M40,IF(Drawing!$Y$25=5,Drawing!AF40,IF(Drawing!$F$48=5,Drawing!M63,IF(Drawing!$Y$48=5,Drawing!AF63,IF(Pricing!T20="","",Pricing!T20))))))))</f>
        <v/>
      </c>
      <c r="W24" s="240" t="str">
        <f>UPPER(IF(Drawing!$F$2=5,Drawing!BA5,IF(Drawing!$Y$2=5,Drawing!AG17,IF(Drawing!$F$25=5,Drawing!N40,IF(Drawing!$Y$25=5,Drawing!AG40,IF(Drawing!$F$48=5,Drawing!N63,IF(Drawing!$Y$48=5,Drawing!AG63,IF(Pricing!U20="","",Pricing!U20))))))))</f>
        <v/>
      </c>
      <c r="X24" s="240" t="str">
        <f>UPPER(IF(Drawing!$F$2=5,Drawing!BB5,IF(Drawing!$Y$2=5,Drawing!AH17,IF(Drawing!$F$25=5,Drawing!O40,IF(Drawing!$Y$25=5,Drawing!AH40,IF(Drawing!$F$48=5,Drawing!O63,IF(Drawing!$Y$48=5,Drawing!AH63,IF(Pricing!V20="","",Pricing!V20))))))))</f>
        <v/>
      </c>
      <c r="Y24" s="240" t="str">
        <f>UPPER(IF(Drawing!$F$2=5,Drawing!BC5,IF(Drawing!$Y$2=5,Drawing!AI17,IF(Drawing!$F$25=5,Drawing!P40,IF(Drawing!$Y$25=5,Drawing!AI40,IF(Drawing!$F$48=5,Drawing!P63,IF(Drawing!$Y$48=5,Drawing!AI63,IF(Pricing!W20="","",Pricing!W20))))))))</f>
        <v/>
      </c>
      <c r="Z24" s="240" t="str">
        <f>UPPER(IF(Drawing!$F$2=5,Drawing!BD5,IF(Drawing!$Y$2=5,Drawing!AJ17,IF(Drawing!$F$25=5,Drawing!Q40,IF(Drawing!$Y$25=5,Drawing!AJ40,IF(Drawing!$F$48=5,Drawing!Q63,IF(Drawing!$Y$48=5,Drawing!AJ63,IF(Pricing!X20="","",Pricing!X20))))))))</f>
        <v/>
      </c>
      <c r="AA24" s="240" t="str">
        <f>UPPER(IF(Drawing!$F$2=5,Drawing!BE5,IF(Drawing!$Y$2=5,Drawing!AK17,IF(Drawing!$F$25=5,Drawing!R40,IF(Drawing!$Y$25=5,Drawing!AK40,IF(Drawing!$F$48=5,Drawing!R63,IF(Drawing!$Y$48=5,Drawing!AK63,IF(Pricing!Y20="","",Pricing!Y20))))))))</f>
        <v/>
      </c>
      <c r="AB24" s="240" t="str">
        <f>UPPER(IF(Drawing!$F$2=5,Drawing!BF5,IF(Drawing!$Y$2=5,Drawing!AL17,IF(Drawing!$F$25=5,Drawing!S40,IF(Drawing!$Y$25=5,Drawing!AL40,IF(Drawing!$F$48=5,Drawing!S63,IF(Drawing!$Y$48=5,Drawing!AL63,IF(Pricing!Z20="","",Pricing!Z20))))))))</f>
        <v/>
      </c>
      <c r="AC24" s="240" t="str">
        <f>UPPER(IF(Drawing!$F$2=5,Drawing!BG5,IF(Drawing!$Y$2=5,Drawing!AM17,IF(Drawing!$F$25=5,Drawing!T40,IF(Drawing!$Y$25=5,Drawing!AM40,IF(Drawing!$F$48=5,Drawing!T63,IF(Drawing!$Y$48=5,Drawing!AM63,IF(Pricing!AA20="","",Pricing!AA20))))))))</f>
        <v/>
      </c>
      <c r="AD24" s="280"/>
      <c r="AE24" s="11" t="s">
        <v>22</v>
      </c>
    </row>
    <row r="25" spans="2:31" x14ac:dyDescent="0.25">
      <c r="B25" s="336"/>
      <c r="C25" s="10" t="str">
        <f>IF(Pricing!C21="","",Pricing!C21)</f>
        <v>Left</v>
      </c>
      <c r="D25" s="710"/>
      <c r="E25" s="710"/>
      <c r="F25" s="524" t="str">
        <f>IF(Pricing!F21="","",Pricing!F21)</f>
        <v/>
      </c>
      <c r="G25" s="721"/>
      <c r="H25" s="702"/>
      <c r="I25" s="702"/>
      <c r="J25" s="710"/>
      <c r="K25" s="702"/>
      <c r="L25" s="702"/>
      <c r="M25" s="702"/>
      <c r="N25" s="702"/>
      <c r="O25" s="714"/>
      <c r="P25" s="655"/>
      <c r="Q25" s="710"/>
      <c r="R25" s="277" t="s">
        <v>155</v>
      </c>
      <c r="S25" s="13" t="str">
        <f>UPPER(IF(Drawing!$F$2=5,Drawing!J18,IF(Drawing!$Y$2=5,Drawing!AC18,IF(Drawing!$F$25=5,Drawing!J40,IF(Drawing!$Y$25=5,Drawing!AC41,IF(Drawing!$F$48=5,Drawing!J63,IF(Drawing!$Y$48=5,Drawing!AC63,"")))))))</f>
        <v/>
      </c>
      <c r="T25" s="13" t="str">
        <f>UPPER(IF(Drawing!$F$2=5,Drawing!K18,IF(Drawing!$Y$2=5,Drawing!AD18,IF(Drawing!$F$25=5,Drawing!K40,IF(Drawing!$Y$25=5,Drawing!AD41,IF(Drawing!$F$48=5,Drawing!K63,IF(Drawing!$Y$48=5,Drawing!AD63,"")))))))</f>
        <v/>
      </c>
      <c r="U25" s="13" t="str">
        <f>UPPER(IF(Drawing!$F$2=5,Drawing!L18,IF(Drawing!$Y$2=5,Drawing!AE18,IF(Drawing!$F$25=5,Drawing!L40,IF(Drawing!$Y$25=5,Drawing!AE41,IF(Drawing!$F$48=5,Drawing!L63,IF(Drawing!$Y$48=5,Drawing!AE63,"")))))))</f>
        <v/>
      </c>
      <c r="V25" s="13" t="str">
        <f>UPPER(IF(Drawing!$F$2=5,Drawing!M18,IF(Drawing!$Y$2=5,Drawing!AF18,IF(Drawing!$F$25=5,Drawing!M40,IF(Drawing!$Y$25=5,Drawing!AF41,IF(Drawing!$F$48=5,Drawing!M63,IF(Drawing!$Y$48=5,Drawing!AF63,"")))))))</f>
        <v/>
      </c>
      <c r="W25" s="13" t="str">
        <f>UPPER(IF(Drawing!$F$2=5,Drawing!N18,IF(Drawing!$Y$2=5,Drawing!AG18,IF(Drawing!$F$25=5,Drawing!N40,IF(Drawing!$Y$25=5,Drawing!AG41,IF(Drawing!$F$48=5,Drawing!N63,IF(Drawing!$Y$48=5,Drawing!AG63,"")))))))</f>
        <v/>
      </c>
      <c r="X25" s="13" t="str">
        <f>UPPER(IF(Drawing!$F$2=5,Drawing!O18,IF(Drawing!$Y$2=5,Drawing!AH18,IF(Drawing!$F$25=5,Drawing!O40,IF(Drawing!$Y$25=5,Drawing!AH41,IF(Drawing!$F$48=5,Drawing!O63,IF(Drawing!$Y$48=5,Drawing!AH63,"")))))))</f>
        <v/>
      </c>
      <c r="Y25" s="13" t="str">
        <f>UPPER(IF(Drawing!$F$2=5,Drawing!P18,IF(Drawing!$Y$2=5,Drawing!AI18,IF(Drawing!$F$25=5,Drawing!P40,IF(Drawing!$Y$25=5,Drawing!AI41,IF(Drawing!$F$48=5,Drawing!P63,IF(Drawing!$Y$48=5,Drawing!AI63,"")))))))</f>
        <v/>
      </c>
      <c r="Z25" s="13" t="str">
        <f>UPPER(IF(Drawing!$F$2=5,Drawing!Q18,IF(Drawing!$Y$2=5,Drawing!AJ18,IF(Drawing!$F$25=5,Drawing!Q40,IF(Drawing!$Y$25=5,Drawing!AJ41,IF(Drawing!$F$48=5,Drawing!Q63,IF(Drawing!$Y$48=5,Drawing!AJ63,"")))))))</f>
        <v/>
      </c>
      <c r="AA25" s="13" t="str">
        <f>UPPER(IF(Drawing!$F$2=5,Drawing!R18,IF(Drawing!$Y$2=5,Drawing!AK18,IF(Drawing!$F$25=5,Drawing!R40,IF(Drawing!$Y$25=5,Drawing!AK41,IF(Drawing!$F$48=5,Drawing!R63,IF(Drawing!$Y$48=5,Drawing!AK63,"")))))))</f>
        <v/>
      </c>
      <c r="AB25" s="13" t="str">
        <f>UPPER(IF(Drawing!$F$2=5,Drawing!S18,IF(Drawing!$Y$2=5,Drawing!AL18,IF(Drawing!$F$25=5,Drawing!S40,IF(Drawing!$Y$25=5,Drawing!AL41,IF(Drawing!$F$48=5,Drawing!S63,IF(Drawing!$Y$48=5,Drawing!AL63,"")))))))</f>
        <v/>
      </c>
      <c r="AC25" s="13" t="s">
        <v>20</v>
      </c>
      <c r="AD25" s="278"/>
      <c r="AE25" s="708">
        <f>IF(ISERROR(M24*N24/1000000),,M24*N24/1000000)</f>
        <v>0</v>
      </c>
    </row>
    <row r="26" spans="2:31" ht="15.75" thickBot="1" x14ac:dyDescent="0.3">
      <c r="B26" s="336"/>
      <c r="C26" s="10" t="str">
        <f>IF(Pricing!C22="","",Pricing!C22)</f>
        <v/>
      </c>
      <c r="D26" s="717"/>
      <c r="E26" s="717"/>
      <c r="F26" s="14" t="s">
        <v>28</v>
      </c>
      <c r="G26" s="14" t="str">
        <f>IF(Pricing!G22="","",Pricing!G22)</f>
        <v/>
      </c>
      <c r="H26" s="705"/>
      <c r="I26" s="705"/>
      <c r="J26" s="717"/>
      <c r="K26" s="705"/>
      <c r="L26" s="705"/>
      <c r="M26" s="705"/>
      <c r="N26" s="705"/>
      <c r="O26" s="715"/>
      <c r="P26" s="656"/>
      <c r="Q26" s="27" t="s">
        <v>156</v>
      </c>
      <c r="R26" s="27" t="s">
        <v>157</v>
      </c>
      <c r="S26" s="394"/>
      <c r="T26" s="395"/>
      <c r="U26" s="395"/>
      <c r="V26" s="395"/>
      <c r="W26" s="395"/>
      <c r="X26" s="395"/>
      <c r="Y26" s="395"/>
      <c r="Z26" s="395"/>
      <c r="AA26" s="395"/>
      <c r="AB26" s="395"/>
      <c r="AC26" s="393"/>
      <c r="AD26" s="266"/>
      <c r="AE26" s="709"/>
    </row>
    <row r="27" spans="2:31" x14ac:dyDescent="0.25">
      <c r="B27" s="336">
        <v>6</v>
      </c>
      <c r="C27" s="10" t="str">
        <f>IF(Pricing!C23="","",Pricing!C23)</f>
        <v>Bedroom</v>
      </c>
      <c r="D27" s="716" t="str">
        <f>IF(Pricing!D23="","",Pricing!D23)</f>
        <v>Tier on Tier</v>
      </c>
      <c r="E27" s="716" t="str">
        <f>IF(Pricing!E23="","",Pricing!E23)</f>
        <v>Antigua</v>
      </c>
      <c r="F27" s="704" t="str">
        <f>IF(Pricing!F23="","",Pricing!F23)</f>
        <v>Silk White</v>
      </c>
      <c r="G27" s="722"/>
      <c r="H27" s="702" t="str">
        <f>IF(Pricing!H23="","",Pricing!H23)</f>
        <v>76mm</v>
      </c>
      <c r="I27" s="706" t="str">
        <f>IF(Pricing!I23="","",Pricing!I23)</f>
        <v>Plain L</v>
      </c>
      <c r="J27" s="25">
        <v>0</v>
      </c>
      <c r="K27" s="702"/>
      <c r="L27" s="702" t="str">
        <f>IF(Pricing!J23="","",Pricing!J23)</f>
        <v>Silent</v>
      </c>
      <c r="M27" s="702" t="str">
        <f>UPPER(IF(Drawing!$F$2=6,Drawing!D17,IF(Drawing!$Y$2=6,Drawing!W17,IF(Drawing!$F$25=6,Drawing!D40,IF(Drawing!$Y$25=6,Drawing!W40,IF(Drawing!$F$48=6,Drawing!D63,IF(Drawing!$Y$48=6,Drawing!W63,"")))))))</f>
        <v/>
      </c>
      <c r="N27" s="702" t="str">
        <f>UPPER(IF(Drawing!$F$2=6,Drawing!D19,IF(Drawing!$Y$2=6,Drawing!W19,IF(Drawing!$F$25=6,Drawing!D42,IF(Drawing!$Y$25=6,Drawing!W42,IF(Drawing!$F$48=6,Drawing!D65,IF(Drawing!$Y$48=6,Drawing!W65,"")))))))</f>
        <v/>
      </c>
      <c r="O27" s="714" t="str">
        <f>UPPER(IF(Drawing!$F$2=6,Drawing!D21,IF(Drawing!$Y$2=6,Drawing!W21,IF(Drawing!$F$25=6,Drawing!D44,IF(Drawing!$Y$25=6,Drawing!W44,IF(Drawing!$F$48=6,Drawing!D67,IF(Drawing!$Y$48=6,Drawing!W67,"")))))))</f>
        <v/>
      </c>
      <c r="P27" s="654"/>
      <c r="Q27" s="716"/>
      <c r="R27" s="277" t="s">
        <v>154</v>
      </c>
      <c r="S27" s="240" t="str">
        <f>UPPER(IF(Drawing!$F$2=6,Drawing!AW5,IF(Drawing!$Y$2=6,Drawing!AC17,IF(Drawing!$F$25=6,Drawing!J40,IF(Drawing!$Y$25=6,Drawing!AC40,IF(Drawing!$F$48=6,Drawing!J63,IF(Drawing!$Y$48=6,Drawing!AC63,IF(Pricing!Q23="","",Pricing!Q23))))))))</f>
        <v>LL</v>
      </c>
      <c r="T27" s="240" t="str">
        <f>UPPER(IF(Drawing!$F$2=6,Drawing!AX5,IF(Drawing!$Y$2=6,Drawing!AD17,IF(Drawing!$F$25=6,Drawing!K40,IF(Drawing!$Y$25=6,Drawing!AD40,IF(Drawing!$F$48=6,Drawing!K63,IF(Drawing!$Y$48=6,Drawing!AD63,IF(Pricing!R23="","",Pricing!R23))))))))</f>
        <v>RR</v>
      </c>
      <c r="U27" s="240" t="str">
        <f>UPPER(IF(Drawing!$F$2=6,Drawing!AY5,IF(Drawing!$Y$2=6,Drawing!AE17,IF(Drawing!$F$25=6,Drawing!L40,IF(Drawing!$Y$25=6,Drawing!AE40,IF(Drawing!$F$48=6,Drawing!L63,IF(Drawing!$Y$48=6,Drawing!AE63,IF(Pricing!S23="","",Pricing!S23))))))))</f>
        <v/>
      </c>
      <c r="V27" s="240" t="str">
        <f>UPPER(IF(Drawing!$F$2=6,Drawing!AZ5,IF(Drawing!$Y$2=6,Drawing!AF17,IF(Drawing!$F$25=6,Drawing!M40,IF(Drawing!$Y$25=6,Drawing!AF40,IF(Drawing!$F$48=6,Drawing!M63,IF(Drawing!$Y$48=6,Drawing!AF63,IF(Pricing!T23="","",Pricing!T23))))))))</f>
        <v/>
      </c>
      <c r="W27" s="240" t="str">
        <f>UPPER(IF(Drawing!$F$2=6,Drawing!BA5,IF(Drawing!$Y$2=6,Drawing!AG17,IF(Drawing!$F$25=6,Drawing!N40,IF(Drawing!$Y$25=6,Drawing!AG40,IF(Drawing!$F$48=6,Drawing!N63,IF(Drawing!$Y$48=6,Drawing!AG63,IF(Pricing!U23="","",Pricing!U23))))))))</f>
        <v/>
      </c>
      <c r="X27" s="240" t="str">
        <f>UPPER(IF(Drawing!$F$2=6,Drawing!BB5,IF(Drawing!$Y$2=6,Drawing!AH17,IF(Drawing!$F$25=6,Drawing!O40,IF(Drawing!$Y$25=6,Drawing!AH40,IF(Drawing!$F$48=6,Drawing!O63,IF(Drawing!$Y$48=6,Drawing!AH63,IF(Pricing!V23="","",Pricing!V23))))))))</f>
        <v/>
      </c>
      <c r="Y27" s="240" t="str">
        <f>UPPER(IF(Drawing!$F$2=6,Drawing!BC5,IF(Drawing!$Y$2=6,Drawing!AI17,IF(Drawing!$F$25=6,Drawing!P40,IF(Drawing!$Y$25=6,Drawing!AI40,IF(Drawing!$F$48=6,Drawing!P63,IF(Drawing!$Y$48=6,Drawing!AI63,IF(Pricing!W23="","",Pricing!W23))))))))</f>
        <v/>
      </c>
      <c r="Z27" s="240" t="str">
        <f>UPPER(IF(Drawing!$F$2=6,Drawing!BD5,IF(Drawing!$Y$2=6,Drawing!AJ17,IF(Drawing!$F$25=6,Drawing!Q40,IF(Drawing!$Y$25=6,Drawing!AJ40,IF(Drawing!$F$48=6,Drawing!Q63,IF(Drawing!$Y$48=6,Drawing!AJ63,IF(Pricing!X23="","",Pricing!X23))))))))</f>
        <v/>
      </c>
      <c r="AA27" s="240" t="str">
        <f>UPPER(IF(Drawing!$F$2=6,Drawing!BE5,IF(Drawing!$Y$2=6,Drawing!AK17,IF(Drawing!$F$25=6,Drawing!R40,IF(Drawing!$Y$25=6,Drawing!AK40,IF(Drawing!$F$48=6,Drawing!R63,IF(Drawing!$Y$48=6,Drawing!AK63,IF(Pricing!Y23="","",Pricing!Y23))))))))</f>
        <v/>
      </c>
      <c r="AB27" s="240" t="str">
        <f>UPPER(IF(Drawing!$F$2=6,Drawing!BF5,IF(Drawing!$Y$2=6,Drawing!AL17,IF(Drawing!$F$25=6,Drawing!S40,IF(Drawing!$Y$25=6,Drawing!AL40,IF(Drawing!$F$48=6,Drawing!S63,IF(Drawing!$Y$48=6,Drawing!AL63,IF(Pricing!Z23="","",Pricing!Z23))))))))</f>
        <v/>
      </c>
      <c r="AC27" s="240" t="str">
        <f>UPPER(IF(Drawing!$F$2=6,Drawing!BG5,IF(Drawing!$Y$2=6,Drawing!AM17,IF(Drawing!$F$25=6,Drawing!T40,IF(Drawing!$Y$25=6,Drawing!AM40,IF(Drawing!$F$48=6,Drawing!T63,IF(Drawing!$Y$48=6,Drawing!AM63,IF(Pricing!AA23="","",Pricing!AA23))))))))</f>
        <v/>
      </c>
      <c r="AD27" s="280"/>
      <c r="AE27" s="11" t="s">
        <v>22</v>
      </c>
    </row>
    <row r="28" spans="2:31" x14ac:dyDescent="0.25">
      <c r="B28" s="336"/>
      <c r="C28" s="10" t="str">
        <f>IF(Pricing!C24="","",Pricing!C24)</f>
        <v>Right</v>
      </c>
      <c r="D28" s="710"/>
      <c r="E28" s="710"/>
      <c r="F28" s="524" t="str">
        <f>IF(Pricing!F24="","",Pricing!F24)</f>
        <v/>
      </c>
      <c r="G28" s="721"/>
      <c r="H28" s="702"/>
      <c r="I28" s="702"/>
      <c r="J28" s="710"/>
      <c r="K28" s="702"/>
      <c r="L28" s="702"/>
      <c r="M28" s="702"/>
      <c r="N28" s="702"/>
      <c r="O28" s="714"/>
      <c r="P28" s="655"/>
      <c r="Q28" s="710"/>
      <c r="R28" s="277" t="s">
        <v>155</v>
      </c>
      <c r="S28" s="13" t="str">
        <f>UPPER(IF(Drawing!$F$2=6,Drawing!J18,IF(Drawing!$Y$2=6,Drawing!AC18,IF(Drawing!$F$25=6,Drawing!J40,IF(Drawing!$Y$25=6,Drawing!AC41,IF(Drawing!$F$48=6,Drawing!J63,IF(Drawing!$Y$48=6,Drawing!AC63,"")))))))</f>
        <v/>
      </c>
      <c r="T28" s="13" t="str">
        <f>UPPER(IF(Drawing!$F$2=6,Drawing!K18,IF(Drawing!$Y$2=6,Drawing!AD18,IF(Drawing!$F$25=6,Drawing!K40,IF(Drawing!$Y$25=6,Drawing!AD41,IF(Drawing!$F$48=6,Drawing!K63,IF(Drawing!$Y$48=6,Drawing!AD63,"")))))))</f>
        <v/>
      </c>
      <c r="U28" s="13" t="str">
        <f>UPPER(IF(Drawing!$F$2=6,Drawing!L18,IF(Drawing!$Y$2=6,Drawing!AE18,IF(Drawing!$F$25=6,Drawing!L40,IF(Drawing!$Y$25=6,Drawing!AE41,IF(Drawing!$F$48=6,Drawing!L63,IF(Drawing!$Y$48=6,Drawing!AE63,"")))))))</f>
        <v/>
      </c>
      <c r="V28" s="13" t="str">
        <f>UPPER(IF(Drawing!$F$2=6,Drawing!M18,IF(Drawing!$Y$2=6,Drawing!AF18,IF(Drawing!$F$25=6,Drawing!M40,IF(Drawing!$Y$25=6,Drawing!AF41,IF(Drawing!$F$48=6,Drawing!M63,IF(Drawing!$Y$48=6,Drawing!AF63,"")))))))</f>
        <v/>
      </c>
      <c r="W28" s="13" t="str">
        <f>UPPER(IF(Drawing!$F$2=6,Drawing!N18,IF(Drawing!$Y$2=6,Drawing!AG18,IF(Drawing!$F$25=6,Drawing!N40,IF(Drawing!$Y$25=6,Drawing!AG41,IF(Drawing!$F$48=6,Drawing!N63,IF(Drawing!$Y$48=6,Drawing!AG63,"")))))))</f>
        <v/>
      </c>
      <c r="X28" s="13" t="str">
        <f>UPPER(IF(Drawing!$F$2=6,Drawing!O18,IF(Drawing!$Y$2=6,Drawing!AH18,IF(Drawing!$F$25=6,Drawing!O40,IF(Drawing!$Y$25=6,Drawing!AH41,IF(Drawing!$F$48=6,Drawing!O63,IF(Drawing!$Y$48=6,Drawing!AH63,"")))))))</f>
        <v/>
      </c>
      <c r="Y28" s="13" t="str">
        <f>UPPER(IF(Drawing!$F$2=6,Drawing!P18,IF(Drawing!$Y$2=6,Drawing!AI18,IF(Drawing!$F$25=6,Drawing!P40,IF(Drawing!$Y$25=6,Drawing!AI41,IF(Drawing!$F$48=6,Drawing!P63,IF(Drawing!$Y$48=6,Drawing!AI63,"")))))))</f>
        <v/>
      </c>
      <c r="Z28" s="13" t="str">
        <f>UPPER(IF(Drawing!$F$2=6,Drawing!Q18,IF(Drawing!$Y$2=6,Drawing!AJ18,IF(Drawing!$F$25=6,Drawing!Q40,IF(Drawing!$Y$25=6,Drawing!AJ41,IF(Drawing!$F$48=6,Drawing!Q63,IF(Drawing!$Y$48=6,Drawing!AJ63,"")))))))</f>
        <v/>
      </c>
      <c r="AA28" s="13" t="str">
        <f>UPPER(IF(Drawing!$F$2=6,Drawing!R18,IF(Drawing!$Y$2=6,Drawing!AK18,IF(Drawing!$F$25=6,Drawing!R40,IF(Drawing!$Y$25=6,Drawing!AK41,IF(Drawing!$F$48=6,Drawing!R63,IF(Drawing!$Y$48=6,Drawing!AK63,"")))))))</f>
        <v/>
      </c>
      <c r="AB28" s="13" t="str">
        <f>UPPER(IF(Drawing!$F$2=6,Drawing!S18,IF(Drawing!$Y$2=6,Drawing!AL18,IF(Drawing!$F$25=6,Drawing!S40,IF(Drawing!$Y$25=6,Drawing!AL41,IF(Drawing!$F$48=6,Drawing!S63,IF(Drawing!$Y$48=6,Drawing!AL63,"")))))))</f>
        <v/>
      </c>
      <c r="AC28" s="13" t="s">
        <v>20</v>
      </c>
      <c r="AD28" s="278"/>
      <c r="AE28" s="708">
        <f>IF(ISERROR(M27*N27/1000000),,M27*N27/1000000)</f>
        <v>0</v>
      </c>
    </row>
    <row r="29" spans="2:31" ht="15.75" thickBot="1" x14ac:dyDescent="0.3">
      <c r="B29" s="336"/>
      <c r="C29" s="10" t="str">
        <f>IF(Pricing!C25="","",Pricing!C25)</f>
        <v/>
      </c>
      <c r="D29" s="711"/>
      <c r="E29" s="711"/>
      <c r="F29" s="14" t="s">
        <v>28</v>
      </c>
      <c r="G29" s="14" t="str">
        <f>IF(Pricing!G25="","",Pricing!G25)</f>
        <v/>
      </c>
      <c r="H29" s="705"/>
      <c r="I29" s="705"/>
      <c r="J29" s="717"/>
      <c r="K29" s="705"/>
      <c r="L29" s="705"/>
      <c r="M29" s="705"/>
      <c r="N29" s="705"/>
      <c r="O29" s="715"/>
      <c r="P29" s="656"/>
      <c r="Q29" s="27" t="s">
        <v>156</v>
      </c>
      <c r="R29" s="27" t="s">
        <v>157</v>
      </c>
      <c r="S29" s="394"/>
      <c r="T29" s="395"/>
      <c r="U29" s="395"/>
      <c r="V29" s="395"/>
      <c r="W29" s="395"/>
      <c r="X29" s="395"/>
      <c r="Y29" s="395"/>
      <c r="Z29" s="395"/>
      <c r="AA29" s="395"/>
      <c r="AB29" s="395"/>
      <c r="AC29" s="393"/>
      <c r="AD29" s="266"/>
      <c r="AE29" s="709"/>
    </row>
    <row r="30" spans="2:31" x14ac:dyDescent="0.25">
      <c r="B30" s="336">
        <v>7</v>
      </c>
      <c r="C30" s="172" t="str">
        <f>IF(Pricing!C26="","",Pricing!C26)</f>
        <v>Bedroom</v>
      </c>
      <c r="D30" s="718" t="str">
        <f>IF(Pricing!D26="","",Pricing!D26)</f>
        <v>Tier on Tier</v>
      </c>
      <c r="E30" s="718" t="str">
        <f>IF(Pricing!E26="","",Pricing!E26)</f>
        <v>Antigua</v>
      </c>
      <c r="F30" s="704" t="str">
        <f>IF(Pricing!F26="","",Pricing!F26)</f>
        <v>Silk White</v>
      </c>
      <c r="G30" s="722"/>
      <c r="H30" s="702" t="str">
        <f>IF(Pricing!H26="","",Pricing!H26)</f>
        <v>76mm</v>
      </c>
      <c r="I30" s="706" t="str">
        <f>IF(Pricing!I26="","",Pricing!I26)</f>
        <v>Plain L</v>
      </c>
      <c r="J30" s="25">
        <v>0</v>
      </c>
      <c r="K30" s="702"/>
      <c r="L30" s="702" t="str">
        <f>IF(Pricing!J26="","",Pricing!J26)</f>
        <v>Silent</v>
      </c>
      <c r="M30" s="702" t="str">
        <f>UPPER(IF(Drawing!$F$2=7,Drawing!D17,IF(Drawing!$Y$2=7,Drawing!W17,IF(Drawing!$F$25=7,Drawing!D40,IF(Drawing!$Y$25=7,Drawing!W40,IF(Drawing!$F$48=7,Drawing!D63,IF(Drawing!$Y$48=7,Drawing!W63,"")))))))</f>
        <v/>
      </c>
      <c r="N30" s="702" t="str">
        <f>UPPER(IF(Drawing!$F$2=7,Drawing!D19,IF(Drawing!$Y$2=7,Drawing!W19,IF(Drawing!$F$25=7,Drawing!D42,IF(Drawing!$Y$25=7,Drawing!W42,IF(Drawing!$F$48=1,Drawing!D65,IF(Drawing!$Y$48=7,Drawing!W65,"")))))))</f>
        <v/>
      </c>
      <c r="O30" s="714" t="str">
        <f>UPPER(IF(Drawing!$F$2=7,Drawing!D21,IF(Drawing!$Y$2=7,Drawing!W21,IF(Drawing!$F$25=7,Drawing!D44,IF(Drawing!$Y$25=7,Drawing!W44,IF(Drawing!$F$48=7,Drawing!D67,IF(Drawing!$Y$48=7,Drawing!W67,"")))))))</f>
        <v/>
      </c>
      <c r="P30" s="654"/>
      <c r="Q30" s="716"/>
      <c r="R30" s="277" t="s">
        <v>154</v>
      </c>
      <c r="S30" s="240" t="str">
        <f>UPPER(IF(Drawing!$F$2=7,Drawing!AW5,IF(Drawing!$Y$2=7,Drawing!AC17,IF(Drawing!$F$25=7,Drawing!J40,IF(Drawing!$Y$25=7,Drawing!AC40,IF(Drawing!$F$48=7,Drawing!J63,IF(Drawing!$Y$48=7,Drawing!AC63,IF(Pricing!Q26="","",Pricing!Q26))))))))</f>
        <v>LL</v>
      </c>
      <c r="T30" s="240" t="str">
        <f>UPPER(IF(Drawing!$F$2=7,Drawing!AX5,IF(Drawing!$Y$2=7,Drawing!AD17,IF(Drawing!$F$25=7,Drawing!K40,IF(Drawing!$Y$25=7,Drawing!AD40,IF(Drawing!$F$48=7,Drawing!K63,IF(Drawing!$Y$48=7,Drawing!AD63,IF(Pricing!R26="","",Pricing!R26))))))))</f>
        <v>RR</v>
      </c>
      <c r="U30" s="240" t="str">
        <f>UPPER(IF(Drawing!$F$2=7,Drawing!AY5,IF(Drawing!$Y$2=7,Drawing!AE17,IF(Drawing!$F$25=7,Drawing!L40,IF(Drawing!$Y$25=7,Drawing!AE40,IF(Drawing!$F$48=7,Drawing!L63,IF(Drawing!$Y$48=7,Drawing!AE63,IF(Pricing!S26="","",Pricing!S26))))))))</f>
        <v/>
      </c>
      <c r="V30" s="240" t="str">
        <f>UPPER(IF(Drawing!$F$2=7,Drawing!AZ5,IF(Drawing!$Y$2=7,Drawing!AF17,IF(Drawing!$F$25=7,Drawing!M40,IF(Drawing!$Y$25=7,Drawing!AF40,IF(Drawing!$F$48=7,Drawing!M63,IF(Drawing!$Y$48=7,Drawing!AF63,IF(Pricing!T26="","",Pricing!T26))))))))</f>
        <v/>
      </c>
      <c r="W30" s="240" t="str">
        <f>UPPER(IF(Drawing!$F$2=7,Drawing!BA5,IF(Drawing!$Y$2=7,Drawing!AG17,IF(Drawing!$F$25=7,Drawing!N40,IF(Drawing!$Y$25=7,Drawing!AG40,IF(Drawing!$F$48=7,Drawing!N63,IF(Drawing!$Y$48=7,Drawing!AG63,IF(Pricing!U26="","",Pricing!U26))))))))</f>
        <v/>
      </c>
      <c r="X30" s="240" t="str">
        <f>UPPER(IF(Drawing!$F$2=7,Drawing!BB5,IF(Drawing!$Y$2=7,Drawing!AH17,IF(Drawing!$F$25=7,Drawing!O40,IF(Drawing!$Y$25=7,Drawing!AH40,IF(Drawing!$F$48=7,Drawing!O63,IF(Drawing!$Y$48=7,Drawing!AH63,IF(Pricing!V26="","",Pricing!V26))))))))</f>
        <v/>
      </c>
      <c r="Y30" s="240" t="str">
        <f>UPPER(IF(Drawing!$F$2=7,Drawing!BC5,IF(Drawing!$Y$2=7,Drawing!AI17,IF(Drawing!$F$25=7,Drawing!P40,IF(Drawing!$Y$25=7,Drawing!AI40,IF(Drawing!$F$48=7,Drawing!P63,IF(Drawing!$Y$48=7,Drawing!AI63,IF(Pricing!W26="","",Pricing!W26))))))))</f>
        <v/>
      </c>
      <c r="Z30" s="240" t="str">
        <f>UPPER(IF(Drawing!$F$2=7,Drawing!BD5,IF(Drawing!$Y$2=7,Drawing!AJ17,IF(Drawing!$F$25=7,Drawing!Q40,IF(Drawing!$Y$25=7,Drawing!AJ40,IF(Drawing!$F$48=7,Drawing!Q63,IF(Drawing!$Y$48=7,Drawing!AJ63,IF(Pricing!X26="","",Pricing!X26))))))))</f>
        <v/>
      </c>
      <c r="AA30" s="240" t="str">
        <f>UPPER(IF(Drawing!$F$2=7,Drawing!BE5,IF(Drawing!$Y$2=7,Drawing!AK17,IF(Drawing!$F$25=7,Drawing!R40,IF(Drawing!$Y$25=7,Drawing!AK40,IF(Drawing!$F$48=7,Drawing!R63,IF(Drawing!$Y$48=7,Drawing!AK63,IF(Pricing!Y26="","",Pricing!Y26))))))))</f>
        <v/>
      </c>
      <c r="AB30" s="240" t="str">
        <f>UPPER(IF(Drawing!$F$2=7,Drawing!BF5,IF(Drawing!$Y$2=7,Drawing!AL17,IF(Drawing!$F$25=7,Drawing!S40,IF(Drawing!$Y$25=7,Drawing!AL40,IF(Drawing!$F$48=7,Drawing!S63,IF(Drawing!$Y$48=7,Drawing!AL63,IF(Pricing!Z26="","",Pricing!Z26))))))))</f>
        <v/>
      </c>
      <c r="AC30" s="240" t="str">
        <f>UPPER(IF(Drawing!$F$2=7,Drawing!BG5,IF(Drawing!$Y$2=7,Drawing!AM17,IF(Drawing!$F$25=7,Drawing!T40,IF(Drawing!$Y$25=7,Drawing!AM40,IF(Drawing!$F$48=7,Drawing!T63,IF(Drawing!$Y$48=7,Drawing!AM63,IF(Pricing!AA26="","",Pricing!AA26))))))))</f>
        <v/>
      </c>
      <c r="AD30" s="280"/>
      <c r="AE30" s="11" t="s">
        <v>22</v>
      </c>
    </row>
    <row r="31" spans="2:31" x14ac:dyDescent="0.25">
      <c r="B31" s="336"/>
      <c r="C31" s="10" t="str">
        <f>IF(Pricing!C27="","",Pricing!C27)</f>
        <v>Back</v>
      </c>
      <c r="D31" s="710"/>
      <c r="E31" s="710"/>
      <c r="F31" s="524" t="str">
        <f>IF(Pricing!F27="","",Pricing!F27)</f>
        <v/>
      </c>
      <c r="G31" s="721"/>
      <c r="H31" s="702"/>
      <c r="I31" s="702"/>
      <c r="J31" s="710"/>
      <c r="K31" s="702"/>
      <c r="L31" s="702"/>
      <c r="M31" s="702"/>
      <c r="N31" s="702"/>
      <c r="O31" s="714"/>
      <c r="P31" s="655"/>
      <c r="Q31" s="710"/>
      <c r="R31" s="277" t="s">
        <v>155</v>
      </c>
      <c r="S31" s="13" t="str">
        <f>UPPER(IF(Drawing!$F$2=7,Drawing!J18,IF(Drawing!$Y$2=7,Drawing!AC18,IF(Drawing!$F$25=7,Drawing!J40,IF(Drawing!$Y$25=7,Drawing!AC41,IF(Drawing!$F$48=7,Drawing!J63,IF(Drawing!$Y$48=7,Drawing!AC63,"")))))))</f>
        <v/>
      </c>
      <c r="T31" s="13" t="str">
        <f>UPPER(IF(Drawing!$F$2=7,Drawing!K18,IF(Drawing!$Y$2=7,Drawing!AD18,IF(Drawing!$F$25=7,Drawing!K40,IF(Drawing!$Y$25=7,Drawing!AD41,IF(Drawing!$F$48=7,Drawing!K63,IF(Drawing!$Y$48=7,Drawing!AD63,"")))))))</f>
        <v/>
      </c>
      <c r="U31" s="13" t="str">
        <f>UPPER(IF(Drawing!$F$2=7,Drawing!L18,IF(Drawing!$Y$2=7,Drawing!AE18,IF(Drawing!$F$25=7,Drawing!L40,IF(Drawing!$Y$25=7,Drawing!AE41,IF(Drawing!$F$48=7,Drawing!L63,IF(Drawing!$Y$48=7,Drawing!AE63,"")))))))</f>
        <v/>
      </c>
      <c r="V31" s="13" t="str">
        <f>UPPER(IF(Drawing!$F$2=7,Drawing!M18,IF(Drawing!$Y$2=7,Drawing!AF18,IF(Drawing!$F$25=7,Drawing!M40,IF(Drawing!$Y$25=7,Drawing!AF41,IF(Drawing!$F$48=7,Drawing!M63,IF(Drawing!$Y$48=7,Drawing!AF63,"")))))))</f>
        <v/>
      </c>
      <c r="W31" s="13" t="str">
        <f>UPPER(IF(Drawing!$F$2=7,Drawing!N18,IF(Drawing!$Y$2=7,Drawing!AG18,IF(Drawing!$F$25=7,Drawing!N40,IF(Drawing!$Y$25=7,Drawing!AG41,IF(Drawing!$F$48=7,Drawing!N63,IF(Drawing!$Y$48=7,Drawing!AG63,"")))))))</f>
        <v/>
      </c>
      <c r="X31" s="13" t="str">
        <f>UPPER(IF(Drawing!$F$2=7,Drawing!O18,IF(Drawing!$Y$2=7,Drawing!AH18,IF(Drawing!$F$25=7,Drawing!O40,IF(Drawing!$Y$25=7,Drawing!AH41,IF(Drawing!$F$48=7,Drawing!O63,IF(Drawing!$Y$48=7,Drawing!AH63,"")))))))</f>
        <v/>
      </c>
      <c r="Y31" s="13" t="str">
        <f>UPPER(IF(Drawing!$F$2=7,Drawing!P18,IF(Drawing!$Y$2=7,Drawing!AI18,IF(Drawing!$F$25=7,Drawing!P40,IF(Drawing!$Y$25=7,Drawing!AI41,IF(Drawing!$F$48=7,Drawing!P63,IF(Drawing!$Y$48=7,Drawing!AI63,"")))))))</f>
        <v/>
      </c>
      <c r="Z31" s="13" t="str">
        <f>UPPER(IF(Drawing!$F$2=7,Drawing!Q18,IF(Drawing!$Y$2=7,Drawing!AJ18,IF(Drawing!$F$25=7,Drawing!Q40,IF(Drawing!$Y$25=7,Drawing!AJ41,IF(Drawing!$F$48=7,Drawing!Q63,IF(Drawing!$Y$48=7,Drawing!AJ63,"")))))))</f>
        <v/>
      </c>
      <c r="AA31" s="13" t="str">
        <f>UPPER(IF(Drawing!$F$2=7,Drawing!R18,IF(Drawing!$Y$2=7,Drawing!AK18,IF(Drawing!$F$25=7,Drawing!R40,IF(Drawing!$Y$25=7,Drawing!AK41,IF(Drawing!$F$48=7,Drawing!R63,IF(Drawing!$Y$48=7,Drawing!AK63,"")))))))</f>
        <v/>
      </c>
      <c r="AB31" s="13" t="str">
        <f>UPPER(IF(Drawing!$F$2=7,Drawing!S18,IF(Drawing!$Y$2=7,Drawing!AL18,IF(Drawing!$F$25=7,Drawing!S40,IF(Drawing!$Y$25=7,Drawing!AL41,IF(Drawing!$F$48=7,Drawing!S63,IF(Drawing!$Y$48=7,Drawing!AL63,"")))))))</f>
        <v/>
      </c>
      <c r="AC31" s="13" t="s">
        <v>20</v>
      </c>
      <c r="AD31" s="278"/>
      <c r="AE31" s="708">
        <f>IF(ISERROR(M30*N30/1000000),,M30*N30/1000000)</f>
        <v>0</v>
      </c>
    </row>
    <row r="32" spans="2:31" ht="15.75" thickBot="1" x14ac:dyDescent="0.3">
      <c r="B32" s="336"/>
      <c r="C32" s="10" t="str">
        <f>IF(Pricing!C28="","",Pricing!C28)</f>
        <v/>
      </c>
      <c r="D32" s="717"/>
      <c r="E32" s="717"/>
      <c r="F32" s="14" t="s">
        <v>28</v>
      </c>
      <c r="G32" s="14" t="str">
        <f>IF(Pricing!G28="","",Pricing!G28)</f>
        <v/>
      </c>
      <c r="H32" s="705"/>
      <c r="I32" s="705"/>
      <c r="J32" s="717"/>
      <c r="K32" s="705"/>
      <c r="L32" s="705"/>
      <c r="M32" s="705"/>
      <c r="N32" s="705"/>
      <c r="O32" s="715"/>
      <c r="P32" s="656"/>
      <c r="Q32" s="27" t="s">
        <v>156</v>
      </c>
      <c r="R32" s="27" t="s">
        <v>157</v>
      </c>
      <c r="S32" s="394"/>
      <c r="T32" s="395"/>
      <c r="U32" s="395"/>
      <c r="V32" s="395"/>
      <c r="W32" s="395"/>
      <c r="X32" s="395"/>
      <c r="Y32" s="395"/>
      <c r="Z32" s="395"/>
      <c r="AA32" s="395"/>
      <c r="AB32" s="395"/>
      <c r="AC32" s="393"/>
      <c r="AD32" s="266"/>
      <c r="AE32" s="709"/>
    </row>
    <row r="33" spans="2:31" x14ac:dyDescent="0.25">
      <c r="B33" s="336">
        <v>8</v>
      </c>
      <c r="C33" s="10" t="str">
        <f>IF(Pricing!C29="","",Pricing!C29)</f>
        <v/>
      </c>
      <c r="D33" s="716" t="str">
        <f>IF(Pricing!D29="","",Pricing!D29)</f>
        <v/>
      </c>
      <c r="E33" s="716" t="str">
        <f>IF(Pricing!E29="","",Pricing!E29)</f>
        <v/>
      </c>
      <c r="F33" s="704" t="str">
        <f>IF(Pricing!F29="","",Pricing!F29)</f>
        <v/>
      </c>
      <c r="G33" s="722"/>
      <c r="H33" s="702" t="str">
        <f>IF(Pricing!H29="","",Pricing!H29)</f>
        <v/>
      </c>
      <c r="I33" s="706" t="str">
        <f>IF(Pricing!I29="","",Pricing!I29)</f>
        <v/>
      </c>
      <c r="J33" s="25">
        <v>0</v>
      </c>
      <c r="K33" s="702"/>
      <c r="L33" s="702" t="str">
        <f>IF(Pricing!J29="","",Pricing!J29)</f>
        <v/>
      </c>
      <c r="M33" s="702" t="str">
        <f>UPPER(IF(Drawing!$F$2=8,Drawing!D17,IF(Drawing!$Y$2=8,Drawing!W17,IF(Drawing!$F$25=8,Drawing!D40,IF(Drawing!$Y$25=8,Drawing!W40,IF(Drawing!$F$48=8,Drawing!D63,IF(Drawing!$Y$48=8,Drawing!W63,"")))))))</f>
        <v/>
      </c>
      <c r="N33" s="702" t="str">
        <f>UPPER(IF(Drawing!$F$2=8,Drawing!D19,IF(Drawing!$Y$2=8,Drawing!W19,IF(Drawing!$F$25=8,Drawing!D42,IF(Drawing!$Y$25=8,Drawing!W42,IF(Drawing!$F$48=8,Drawing!D65,IF(Drawing!$Y$48=8,Drawing!W65,"")))))))</f>
        <v/>
      </c>
      <c r="O33" s="714" t="str">
        <f>UPPER(IF(Drawing!$F$2=8,Drawing!D21,IF(Drawing!$Y$2=8,Drawing!W21,IF(Drawing!$F$25=8,Drawing!D44,IF(Drawing!$Y$25=8,Drawing!W44,IF(Drawing!$F$48=8,Drawing!D67,IF(Drawing!$Y$48=8,Drawing!W67,"")))))))</f>
        <v/>
      </c>
      <c r="P33" s="654"/>
      <c r="Q33" s="716"/>
      <c r="R33" s="277" t="s">
        <v>154</v>
      </c>
      <c r="S33" s="240" t="str">
        <f>UPPER(IF(Drawing!$F$2=8,Drawing!AW5,IF(Drawing!$Y$2=8,Drawing!AC17,IF(Drawing!$F$25=8,Drawing!J40,IF(Drawing!$Y$25=8,Drawing!AC40,IF(Drawing!$F$48=8,Drawing!J63,IF(Drawing!$Y$48=8,Drawing!AC63,IF(Pricing!Q29="","",Pricing!Q29))))))))</f>
        <v/>
      </c>
      <c r="T33" s="240" t="str">
        <f>UPPER(IF(Drawing!$F$2=8,Drawing!AX5,IF(Drawing!$Y$2=8,Drawing!AD17,IF(Drawing!$F$25=8,Drawing!K40,IF(Drawing!$Y$25=8,Drawing!AD40,IF(Drawing!$F$48=8,Drawing!K63,IF(Drawing!$Y$48=8,Drawing!AD63,IF(Pricing!R29="","",Pricing!R29))))))))</f>
        <v/>
      </c>
      <c r="U33" s="240" t="str">
        <f>UPPER(IF(Drawing!$F$2=8,Drawing!AY5,IF(Drawing!$Y$2=8,Drawing!AE17,IF(Drawing!$F$25=8,Drawing!L40,IF(Drawing!$Y$25=8,Drawing!AE40,IF(Drawing!$F$48=8,Drawing!L63,IF(Drawing!$Y$48=8,Drawing!AE63,IF(Pricing!S29="","",Pricing!S29))))))))</f>
        <v/>
      </c>
      <c r="V33" s="240" t="str">
        <f>UPPER(IF(Drawing!$F$2=8,Drawing!AZ5,IF(Drawing!$Y$2=8,Drawing!AF17,IF(Drawing!$F$25=8,Drawing!M40,IF(Drawing!$Y$25=8,Drawing!AF40,IF(Drawing!$F$48=8,Drawing!M63,IF(Drawing!$Y$48=8,Drawing!AF63,IF(Pricing!T29="","",Pricing!T29))))))))</f>
        <v/>
      </c>
      <c r="W33" s="240" t="str">
        <f>UPPER(IF(Drawing!$F$2=8,Drawing!BA5,IF(Drawing!$Y$2=8,Drawing!AG17,IF(Drawing!$F$25=8,Drawing!N40,IF(Drawing!$Y$25=8,Drawing!AG40,IF(Drawing!$F$48=8,Drawing!N63,IF(Drawing!$Y$48=8,Drawing!AG63,IF(Pricing!U29="","",Pricing!U29))))))))</f>
        <v/>
      </c>
      <c r="X33" s="240" t="str">
        <f>UPPER(IF(Drawing!$F$2=8,Drawing!BB5,IF(Drawing!$Y$2=8,Drawing!AH17,IF(Drawing!$F$25=8,Drawing!O40,IF(Drawing!$Y$25=8,Drawing!AH40,IF(Drawing!$F$48=8,Drawing!O63,IF(Drawing!$Y$48=8,Drawing!AH63,IF(Pricing!V29="","",Pricing!V29))))))))</f>
        <v/>
      </c>
      <c r="Y33" s="240" t="str">
        <f>UPPER(IF(Drawing!$F$2=8,Drawing!BC5,IF(Drawing!$Y$2=8,Drawing!AI17,IF(Drawing!$F$25=8,Drawing!P40,IF(Drawing!$Y$25=8,Drawing!AI40,IF(Drawing!$F$48=8,Drawing!P63,IF(Drawing!$Y$48=8,Drawing!AI63,IF(Pricing!W29="","",Pricing!W29))))))))</f>
        <v/>
      </c>
      <c r="Z33" s="240" t="str">
        <f>UPPER(IF(Drawing!$F$2=8,Drawing!BD5,IF(Drawing!$Y$2=8,Drawing!AJ17,IF(Drawing!$F$25=8,Drawing!Q40,IF(Drawing!$Y$25=8,Drawing!AJ40,IF(Drawing!$F$48=8,Drawing!Q63,IF(Drawing!$Y$48=8,Drawing!AJ63,IF(Pricing!X29="","",Pricing!X29))))))))</f>
        <v/>
      </c>
      <c r="AA33" s="240" t="str">
        <f>UPPER(IF(Drawing!$F$2=8,Drawing!BE5,IF(Drawing!$Y$2=8,Drawing!AK17,IF(Drawing!$F$25=8,Drawing!R40,IF(Drawing!$Y$25=8,Drawing!AK40,IF(Drawing!$F$48=8,Drawing!R63,IF(Drawing!$Y$48=8,Drawing!AK63,IF(Pricing!Y29="","",Pricing!Y29))))))))</f>
        <v/>
      </c>
      <c r="AB33" s="240" t="str">
        <f>UPPER(IF(Drawing!$F$2=8,Drawing!BF5,IF(Drawing!$Y$2=8,Drawing!AL17,IF(Drawing!$F$25=8,Drawing!S40,IF(Drawing!$Y$25=8,Drawing!AL40,IF(Drawing!$F$48=8,Drawing!S63,IF(Drawing!$Y$48=8,Drawing!AL63,IF(Pricing!Z29="","",Pricing!Z29))))))))</f>
        <v/>
      </c>
      <c r="AC33" s="240" t="str">
        <f>UPPER(IF(Drawing!$F$2=8,Drawing!BG5,IF(Drawing!$Y$2=8,Drawing!AM17,IF(Drawing!$F$25=8,Drawing!T40,IF(Drawing!$Y$25=8,Drawing!AM40,IF(Drawing!$F$48=8,Drawing!T63,IF(Drawing!$Y$48=8,Drawing!AM63,IF(Pricing!AA29="","",Pricing!AA29))))))))</f>
        <v/>
      </c>
      <c r="AD33" s="280"/>
      <c r="AE33" s="11" t="s">
        <v>22</v>
      </c>
    </row>
    <row r="34" spans="2:31" x14ac:dyDescent="0.25">
      <c r="B34" s="336"/>
      <c r="C34" s="10" t="str">
        <f>IF(Pricing!C30="","",Pricing!C30)</f>
        <v/>
      </c>
      <c r="D34" s="710"/>
      <c r="E34" s="710"/>
      <c r="F34" s="524" t="str">
        <f>IF(Pricing!F30="","",Pricing!F30)</f>
        <v/>
      </c>
      <c r="G34" s="721"/>
      <c r="H34" s="702"/>
      <c r="I34" s="702"/>
      <c r="J34" s="710"/>
      <c r="K34" s="702"/>
      <c r="L34" s="702"/>
      <c r="M34" s="702"/>
      <c r="N34" s="702"/>
      <c r="O34" s="714"/>
      <c r="P34" s="655"/>
      <c r="Q34" s="710"/>
      <c r="R34" s="277" t="s">
        <v>155</v>
      </c>
      <c r="S34" s="13" t="str">
        <f>UPPER(IF(Drawing!$F$2=8,Drawing!J18,IF(Drawing!$Y$2=8,Drawing!AC18,IF(Drawing!$F$25=8,Drawing!J40,IF(Drawing!$Y$25=8,Drawing!AC41,IF(Drawing!$F$48=8,Drawing!J63,IF(Drawing!$Y$48=8,Drawing!AC63,"")))))))</f>
        <v/>
      </c>
      <c r="T34" s="13" t="str">
        <f>UPPER(IF(Drawing!$F$2=8,Drawing!K18,IF(Drawing!$Y$2=8,Drawing!AD18,IF(Drawing!$F$25=8,Drawing!K40,IF(Drawing!$Y$25=8,Drawing!AD41,IF(Drawing!$F$48=8,Drawing!K63,IF(Drawing!$Y$48=8,Drawing!AD63,"")))))))</f>
        <v/>
      </c>
      <c r="U34" s="13" t="str">
        <f>UPPER(IF(Drawing!$F$2=8,Drawing!L18,IF(Drawing!$Y$2=8,Drawing!AE18,IF(Drawing!$F$25=8,Drawing!L40,IF(Drawing!$Y$25=8,Drawing!AE41,IF(Drawing!$F$48=8,Drawing!L63,IF(Drawing!$Y$48=8,Drawing!AE63,"")))))))</f>
        <v/>
      </c>
      <c r="V34" s="13" t="str">
        <f>UPPER(IF(Drawing!$F$2=8,Drawing!M18,IF(Drawing!$Y$2=8,Drawing!AF18,IF(Drawing!$F$25=8,Drawing!M40,IF(Drawing!$Y$25=8,Drawing!AF41,IF(Drawing!$F$48=8,Drawing!M63,IF(Drawing!$Y$48=8,Drawing!AF63,"")))))))</f>
        <v/>
      </c>
      <c r="W34" s="13" t="str">
        <f>UPPER(IF(Drawing!$F$2=8,Drawing!N18,IF(Drawing!$Y$2=8,Drawing!AG18,IF(Drawing!$F$25=8,Drawing!N40,IF(Drawing!$Y$25=8,Drawing!AG41,IF(Drawing!$F$48=8,Drawing!N63,IF(Drawing!$Y$48=8,Drawing!AG63,"")))))))</f>
        <v/>
      </c>
      <c r="X34" s="13" t="str">
        <f>UPPER(IF(Drawing!$F$2=8,Drawing!O18,IF(Drawing!$Y$2=8,Drawing!AH18,IF(Drawing!$F$25=8,Drawing!O40,IF(Drawing!$Y$25=8,Drawing!AH41,IF(Drawing!$F$48=8,Drawing!O63,IF(Drawing!$Y$48=8,Drawing!AH63,"")))))))</f>
        <v/>
      </c>
      <c r="Y34" s="13" t="str">
        <f>UPPER(IF(Drawing!$F$2=8,Drawing!P18,IF(Drawing!$Y$2=8,Drawing!AI18,IF(Drawing!$F$25=8,Drawing!P40,IF(Drawing!$Y$25=8,Drawing!AI41,IF(Drawing!$F$48=8,Drawing!P63,IF(Drawing!$Y$48=8,Drawing!AI63,"")))))))</f>
        <v/>
      </c>
      <c r="Z34" s="13" t="str">
        <f>UPPER(IF(Drawing!$F$2=8,Drawing!Q18,IF(Drawing!$Y$2=8,Drawing!AJ18,IF(Drawing!$F$25=8,Drawing!Q40,IF(Drawing!$Y$25=8,Drawing!AJ41,IF(Drawing!$F$48=8,Drawing!Q63,IF(Drawing!$Y$48=8,Drawing!AJ63,"")))))))</f>
        <v/>
      </c>
      <c r="AA34" s="13" t="str">
        <f>UPPER(IF(Drawing!$F$2=8,Drawing!R18,IF(Drawing!$Y$2=8,Drawing!AK18,IF(Drawing!$F$25=8,Drawing!R40,IF(Drawing!$Y$25=8,Drawing!AK41,IF(Drawing!$F$48=8,Drawing!R63,IF(Drawing!$Y$48=8,Drawing!AK63,"")))))))</f>
        <v/>
      </c>
      <c r="AB34" s="13" t="str">
        <f>UPPER(IF(Drawing!$F$2=8,Drawing!S18,IF(Drawing!$Y$2=8,Drawing!AL18,IF(Drawing!$F$25=8,Drawing!S40,IF(Drawing!$Y$25=8,Drawing!AL41,IF(Drawing!$F$48=8,Drawing!S63,IF(Drawing!$Y$48=8,Drawing!AL63,"")))))))</f>
        <v/>
      </c>
      <c r="AC34" s="13" t="s">
        <v>20</v>
      </c>
      <c r="AD34" s="278"/>
      <c r="AE34" s="708">
        <f>IF(ISERROR(M33*N33/1000000),,M33*N33/1000000)</f>
        <v>0</v>
      </c>
    </row>
    <row r="35" spans="2:31" ht="15.75" thickBot="1" x14ac:dyDescent="0.3">
      <c r="B35" s="336"/>
      <c r="C35" s="10" t="str">
        <f>IF(Pricing!C31="","",Pricing!C31)</f>
        <v/>
      </c>
      <c r="D35" s="711"/>
      <c r="E35" s="711"/>
      <c r="F35" s="12" t="s">
        <v>28</v>
      </c>
      <c r="G35" s="12" t="str">
        <f>IF(Pricing!G31="","",Pricing!G31)</f>
        <v/>
      </c>
      <c r="H35" s="705"/>
      <c r="I35" s="705"/>
      <c r="J35" s="717"/>
      <c r="K35" s="705"/>
      <c r="L35" s="705"/>
      <c r="M35" s="705"/>
      <c r="N35" s="705"/>
      <c r="O35" s="715"/>
      <c r="P35" s="656"/>
      <c r="Q35" s="27" t="s">
        <v>156</v>
      </c>
      <c r="R35" s="27" t="s">
        <v>157</v>
      </c>
      <c r="S35" s="396"/>
      <c r="T35" s="397"/>
      <c r="U35" s="397"/>
      <c r="V35" s="397"/>
      <c r="W35" s="397"/>
      <c r="X35" s="397"/>
      <c r="Y35" s="397"/>
      <c r="Z35" s="397"/>
      <c r="AA35" s="397"/>
      <c r="AB35" s="397"/>
      <c r="AC35" s="398"/>
      <c r="AD35" s="266"/>
      <c r="AE35" s="709"/>
    </row>
    <row r="36" spans="2:31" x14ac:dyDescent="0.25">
      <c r="B36" s="336">
        <v>9</v>
      </c>
      <c r="C36" s="172" t="str">
        <f>IF(Pricing!C32="","",Pricing!C32)</f>
        <v/>
      </c>
      <c r="D36" s="718" t="str">
        <f>IF(Pricing!D32="","",Pricing!D32)</f>
        <v/>
      </c>
      <c r="E36" s="718" t="str">
        <f>IF(Pricing!E32="","",Pricing!E32)</f>
        <v/>
      </c>
      <c r="F36" s="704" t="str">
        <f>IF(Pricing!F32="","",Pricing!F32)</f>
        <v/>
      </c>
      <c r="G36" s="722"/>
      <c r="H36" s="702" t="str">
        <f>IF(Pricing!H32="","",Pricing!H32)</f>
        <v/>
      </c>
      <c r="I36" s="706" t="str">
        <f>IF(Pricing!I32="","",Pricing!I32)</f>
        <v/>
      </c>
      <c r="J36" s="25">
        <v>0</v>
      </c>
      <c r="K36" s="702"/>
      <c r="L36" s="702" t="str">
        <f>IF(Pricing!J32="","",Pricing!J32)</f>
        <v/>
      </c>
      <c r="M36" s="702" t="str">
        <f>UPPER(IF(Drawing!$F$2=9,Drawing!D17,IF(Drawing!$Y$2=9,Drawing!W17,IF(Drawing!$F$25=9,Drawing!D40,IF(Drawing!$Y$25=9,Drawing!W40,IF(Drawing!$F$48=9,Drawing!D63,IF(Drawing!$Y$48=9,Drawing!W63,"")))))))</f>
        <v/>
      </c>
      <c r="N36" s="702" t="str">
        <f>UPPER(IF(Drawing!$F$2=9,Drawing!D19,IF(Drawing!$Y$2=9,Drawing!W19,IF(Drawing!$F$25=9,Drawing!D42,IF(Drawing!$Y$25=9,Drawing!W42,IF(Drawing!$F$48=9,Drawing!D65,IF(Drawing!$Y$48=9,Drawing!W65,"")))))))</f>
        <v/>
      </c>
      <c r="O36" s="714" t="str">
        <f>UPPER(IF(Drawing!$F$2=9,Drawing!D21,IF(Drawing!$Y$2=9,Drawing!W21,IF(Drawing!$F$25=9,Drawing!D44,IF(Drawing!$Y$25=9,Drawing!W44,IF(Drawing!$F$48=9,Drawing!D67,IF(Drawing!$Y$48=9,Drawing!W67,"")))))))</f>
        <v/>
      </c>
      <c r="P36" s="654"/>
      <c r="Q36" s="716"/>
      <c r="R36" s="277" t="s">
        <v>154</v>
      </c>
      <c r="S36" s="240" t="str">
        <f>UPPER(IF(Drawing!$F$2=9,Drawing!AW5,IF(Drawing!$Y$2=9,Drawing!AC17,IF(Drawing!$F$25=9,Drawing!J40,IF(Drawing!$Y$25=9,Drawing!AC40,IF(Drawing!$F$48=9,Drawing!J63,IF(Drawing!$Y$48=9,Drawing!AC63,IF(Pricing!Q32="","",Pricing!Q32))))))))</f>
        <v/>
      </c>
      <c r="T36" s="240" t="str">
        <f>UPPER(IF(Drawing!$F$2=9,Drawing!AX5,IF(Drawing!$Y$2=9,Drawing!AD17,IF(Drawing!$F$25=9,Drawing!K40,IF(Drawing!$Y$25=9,Drawing!AD40,IF(Drawing!$F$48=9,Drawing!K63,IF(Drawing!$Y$48=9,Drawing!AD63,IF(Pricing!R32="","",Pricing!R32))))))))</f>
        <v/>
      </c>
      <c r="U36" s="240" t="str">
        <f>UPPER(IF(Drawing!$F$2=9,Drawing!AY5,IF(Drawing!$Y$2=9,Drawing!AE17,IF(Drawing!$F$25=9,Drawing!L40,IF(Drawing!$Y$25=9,Drawing!AE40,IF(Drawing!$F$48=9,Drawing!L63,IF(Drawing!$Y$48=9,Drawing!AE63,IF(Pricing!S32="","",Pricing!S32))))))))</f>
        <v/>
      </c>
      <c r="V36" s="240" t="str">
        <f>UPPER(IF(Drawing!$F$2=9,Drawing!AZ5,IF(Drawing!$Y$2=9,Drawing!AF17,IF(Drawing!$F$25=9,Drawing!M40,IF(Drawing!$Y$25=9,Drawing!AF40,IF(Drawing!$F$48=9,Drawing!M63,IF(Drawing!$Y$48=9,Drawing!AF63,IF(Pricing!T32="","",Pricing!T32))))))))</f>
        <v/>
      </c>
      <c r="W36" s="240" t="str">
        <f>UPPER(IF(Drawing!$F$2=9,Drawing!BA5,IF(Drawing!$Y$2=9,Drawing!AG17,IF(Drawing!$F$25=9,Drawing!N40,IF(Drawing!$Y$25=9,Drawing!AG40,IF(Drawing!$F$48=9,Drawing!N63,IF(Drawing!$Y$48=9,Drawing!AG63,IF(Pricing!U32="","",Pricing!U32))))))))</f>
        <v/>
      </c>
      <c r="X36" s="240" t="str">
        <f>UPPER(IF(Drawing!$F$2=9,Drawing!BB5,IF(Drawing!$Y$2=9,Drawing!AH17,IF(Drawing!$F$25=9,Drawing!O40,IF(Drawing!$Y$25=9,Drawing!AH40,IF(Drawing!$F$48=9,Drawing!O63,IF(Drawing!$Y$48=9,Drawing!AH63,IF(Pricing!V32="","",Pricing!V32))))))))</f>
        <v/>
      </c>
      <c r="Y36" s="240" t="str">
        <f>UPPER(IF(Drawing!$F$2=9,Drawing!BC5,IF(Drawing!$Y$2=9,Drawing!AI17,IF(Drawing!$F$25=9,Drawing!P40,IF(Drawing!$Y$25=9,Drawing!AI40,IF(Drawing!$F$48=9,Drawing!P63,IF(Drawing!$Y$48=9,Drawing!AI63,IF(Pricing!W32="","",Pricing!W32))))))))</f>
        <v/>
      </c>
      <c r="Z36" s="240" t="str">
        <f>UPPER(IF(Drawing!$F$2=9,Drawing!BD5,IF(Drawing!$Y$2=9,Drawing!AJ17,IF(Drawing!$F$25=9,Drawing!Q40,IF(Drawing!$Y$25=9,Drawing!AJ40,IF(Drawing!$F$48=9,Drawing!Q63,IF(Drawing!$Y$48=9,Drawing!AJ63,IF(Pricing!X32="","",Pricing!X32))))))))</f>
        <v/>
      </c>
      <c r="AA36" s="240" t="str">
        <f>UPPER(IF(Drawing!$F$2=9,Drawing!BE5,IF(Drawing!$Y$2=9,Drawing!AK17,IF(Drawing!$F$25=9,Drawing!R40,IF(Drawing!$Y$25=9,Drawing!AK40,IF(Drawing!$F$48=9,Drawing!R63,IF(Drawing!$Y$48=9,Drawing!AK63,IF(Pricing!Y32="","",Pricing!Y32))))))))</f>
        <v/>
      </c>
      <c r="AB36" s="240" t="str">
        <f>UPPER(IF(Drawing!$F$2=9,Drawing!BF5,IF(Drawing!$Y$2=9,Drawing!AL17,IF(Drawing!$F$25=9,Drawing!S40,IF(Drawing!$Y$25=9,Drawing!AL40,IF(Drawing!$F$48=9,Drawing!S63,IF(Drawing!$Y$48=9,Drawing!AL63,IF(Pricing!Z32="","",Pricing!Z32))))))))</f>
        <v/>
      </c>
      <c r="AC36" s="240" t="str">
        <f>UPPER(IF(Drawing!$F$2=9,Drawing!BG5,IF(Drawing!$Y$2=9,Drawing!AM17,IF(Drawing!$F$25=9,Drawing!T40,IF(Drawing!$Y$25=9,Drawing!AM40,IF(Drawing!$F$48=9,Drawing!T63,IF(Drawing!$Y$48=9,Drawing!AM63,IF(Pricing!AA32="","",Pricing!AA32))))))))</f>
        <v/>
      </c>
      <c r="AD36" s="280"/>
      <c r="AE36" s="11" t="s">
        <v>22</v>
      </c>
    </row>
    <row r="37" spans="2:31" x14ac:dyDescent="0.25">
      <c r="B37" s="336"/>
      <c r="C37" s="10" t="str">
        <f>IF(Pricing!C33="","",Pricing!C33)</f>
        <v/>
      </c>
      <c r="D37" s="710"/>
      <c r="E37" s="710"/>
      <c r="F37" s="524" t="str">
        <f>IF(Pricing!F33="","",Pricing!F33)</f>
        <v/>
      </c>
      <c r="G37" s="721"/>
      <c r="H37" s="702"/>
      <c r="I37" s="702"/>
      <c r="J37" s="710"/>
      <c r="K37" s="702"/>
      <c r="L37" s="702"/>
      <c r="M37" s="702"/>
      <c r="N37" s="702"/>
      <c r="O37" s="714"/>
      <c r="P37" s="655"/>
      <c r="Q37" s="710"/>
      <c r="R37" s="277" t="s">
        <v>155</v>
      </c>
      <c r="S37" s="13" t="str">
        <f>UPPER(IF(Drawing!$F$2=9,Drawing!J18,IF(Drawing!$Y$2=9,Drawing!AC18,IF(Drawing!$F$25=9,Drawing!J40,IF(Drawing!$Y$25=9,Drawing!AC41,IF(Drawing!$F$48=9,Drawing!J63,IF(Drawing!$Y$48=9,Drawing!AC63,"")))))))</f>
        <v/>
      </c>
      <c r="T37" s="13" t="str">
        <f>UPPER(IF(Drawing!$F$2=9,Drawing!K18,IF(Drawing!$Y$2=9,Drawing!AD18,IF(Drawing!$F$25=9,Drawing!K40,IF(Drawing!$Y$25=9,Drawing!AD41,IF(Drawing!$F$48=9,Drawing!K63,IF(Drawing!$Y$48=9,Drawing!AD63,"")))))))</f>
        <v/>
      </c>
      <c r="U37" s="13" t="str">
        <f>UPPER(IF(Drawing!$F$2=9,Drawing!L18,IF(Drawing!$Y$2=9,Drawing!AE18,IF(Drawing!$F$25=9,Drawing!L40,IF(Drawing!$Y$25=9,Drawing!AE41,IF(Drawing!$F$48=9,Drawing!L63,IF(Drawing!$Y$48=9,Drawing!AE63,"")))))))</f>
        <v/>
      </c>
      <c r="V37" s="13" t="str">
        <f>UPPER(IF(Drawing!$F$2=9,Drawing!M18,IF(Drawing!$Y$2=9,Drawing!AF18,IF(Drawing!$F$25=9,Drawing!M40,IF(Drawing!$Y$25=9,Drawing!AF41,IF(Drawing!$F$48=9,Drawing!M63,IF(Drawing!$Y$48=9,Drawing!AF63,"")))))))</f>
        <v/>
      </c>
      <c r="W37" s="13" t="str">
        <f>UPPER(IF(Drawing!$F$2=9,Drawing!N18,IF(Drawing!$Y$2=9,Drawing!AG18,IF(Drawing!$F$25=9,Drawing!N40,IF(Drawing!$Y$25=9,Drawing!AG41,IF(Drawing!$F$48=9,Drawing!N63,IF(Drawing!$Y$48=9,Drawing!AG63,"")))))))</f>
        <v/>
      </c>
      <c r="X37" s="13" t="str">
        <f>UPPER(IF(Drawing!$F$2=9,Drawing!O18,IF(Drawing!$Y$2=9,Drawing!AH18,IF(Drawing!$F$25=9,Drawing!O40,IF(Drawing!$Y$25=9,Drawing!AH41,IF(Drawing!$F$48=9,Drawing!O63,IF(Drawing!$Y$48=9,Drawing!AH63,"")))))))</f>
        <v/>
      </c>
      <c r="Y37" s="13" t="str">
        <f>UPPER(IF(Drawing!$F$2=9,Drawing!P18,IF(Drawing!$Y$2=9,Drawing!AI18,IF(Drawing!$F$25=9,Drawing!P40,IF(Drawing!$Y$25=9,Drawing!AI41,IF(Drawing!$F$48=9,Drawing!P63,IF(Drawing!$Y$48=9,Drawing!AI63,"")))))))</f>
        <v/>
      </c>
      <c r="Z37" s="13" t="str">
        <f>UPPER(IF(Drawing!$F$2=9,Drawing!Q18,IF(Drawing!$Y$2=9,Drawing!AJ18,IF(Drawing!$F$25=9,Drawing!Q40,IF(Drawing!$Y$25=9,Drawing!AJ41,IF(Drawing!$F$48=9,Drawing!Q63,IF(Drawing!$Y$48=9,Drawing!AJ63,"")))))))</f>
        <v/>
      </c>
      <c r="AA37" s="13" t="str">
        <f>UPPER(IF(Drawing!$F$2=9,Drawing!R18,IF(Drawing!$Y$2=9,Drawing!AK18,IF(Drawing!$F$25=9,Drawing!R40,IF(Drawing!$Y$25=9,Drawing!AK41,IF(Drawing!$F$48=9,Drawing!R63,IF(Drawing!$Y$48=9,Drawing!AK63,"")))))))</f>
        <v/>
      </c>
      <c r="AB37" s="13" t="str">
        <f>UPPER(IF(Drawing!$F$2=9,Drawing!S18,IF(Drawing!$Y$2=9,Drawing!AL18,IF(Drawing!$F$25=9,Drawing!S40,IF(Drawing!$Y$25=9,Drawing!AL41,IF(Drawing!$F$48=9,Drawing!S63,IF(Drawing!$Y$48=9,Drawing!AL63,"")))))))</f>
        <v/>
      </c>
      <c r="AC37" s="13" t="s">
        <v>20</v>
      </c>
      <c r="AD37" s="278"/>
      <c r="AE37" s="708">
        <f>IF(ISERROR(M36*N36/1000000),,M36*N36/1000000)</f>
        <v>0</v>
      </c>
    </row>
    <row r="38" spans="2:31" ht="15.75" thickBot="1" x14ac:dyDescent="0.3">
      <c r="B38" s="336"/>
      <c r="C38" s="10" t="str">
        <f>IF(Pricing!C34="","",Pricing!C34)</f>
        <v/>
      </c>
      <c r="D38" s="717"/>
      <c r="E38" s="717"/>
      <c r="F38" s="281" t="s">
        <v>28</v>
      </c>
      <c r="G38" s="14" t="str">
        <f>IF(Pricing!G34="","",Pricing!G34)</f>
        <v/>
      </c>
      <c r="H38" s="705"/>
      <c r="I38" s="705"/>
      <c r="J38" s="717"/>
      <c r="K38" s="705"/>
      <c r="L38" s="705"/>
      <c r="M38" s="705"/>
      <c r="N38" s="705"/>
      <c r="O38" s="715"/>
      <c r="P38" s="656"/>
      <c r="Q38" s="27" t="s">
        <v>156</v>
      </c>
      <c r="R38" s="27" t="s">
        <v>157</v>
      </c>
      <c r="S38" s="396"/>
      <c r="T38" s="397"/>
      <c r="U38" s="397"/>
      <c r="V38" s="397"/>
      <c r="W38" s="397"/>
      <c r="X38" s="397"/>
      <c r="Y38" s="397"/>
      <c r="Z38" s="397"/>
      <c r="AA38" s="397"/>
      <c r="AB38" s="397"/>
      <c r="AC38" s="398"/>
      <c r="AD38" s="266"/>
      <c r="AE38" s="709"/>
    </row>
    <row r="39" spans="2:31" x14ac:dyDescent="0.25">
      <c r="B39" s="336">
        <v>10</v>
      </c>
      <c r="C39" s="10" t="str">
        <f>IF(Pricing!C35="","",Pricing!C35)</f>
        <v>Bathroom</v>
      </c>
      <c r="D39" s="716" t="str">
        <f>IF(Pricing!D35="","",Pricing!D35)</f>
        <v/>
      </c>
      <c r="E39" s="716" t="str">
        <f>IF(Pricing!E35="","",Pricing!E35)</f>
        <v/>
      </c>
      <c r="F39" s="723" t="str">
        <f>IF(Pricing!F35="","",Pricing!F35)</f>
        <v/>
      </c>
      <c r="G39" s="724"/>
      <c r="H39" s="702" t="str">
        <f>IF(Pricing!H35="","",Pricing!H35)</f>
        <v/>
      </c>
      <c r="I39" s="706" t="str">
        <f>IF(Pricing!I35="","",Pricing!I35)</f>
        <v/>
      </c>
      <c r="J39" s="25">
        <v>0</v>
      </c>
      <c r="K39" s="702"/>
      <c r="L39" s="702" t="str">
        <f>IF(Pricing!J35="","",Pricing!J35)</f>
        <v/>
      </c>
      <c r="M39" s="702" t="str">
        <f>UPPER(IF(Drawing!$F$2=10,Drawing!D17,IF(Drawing!$Y$2=10,Drawing!W17,IF(Drawing!$F$25=10,Drawing!D40,IF(Drawing!$Y$25=10,Drawing!W40,IF(Drawing!$F$48=10,Drawing!D63,IF(Drawing!$Y$48=10,Drawing!W63,"")))))))</f>
        <v/>
      </c>
      <c r="N39" s="702" t="str">
        <f>UPPER(IF(Drawing!$F$2=10,Drawing!D19,IF(Drawing!$Y$2=10,Drawing!W19,IF(Drawing!$F$25=10,Drawing!D42,IF(Drawing!$Y$25=10,Drawing!W42,IF(Drawing!$F$48=10,Drawing!D65,IF(Drawing!$Y$48=10,Drawing!W65,"")))))))</f>
        <v/>
      </c>
      <c r="O39" s="714" t="str">
        <f>UPPER(IF(Drawing!$F$2=10,Drawing!D21,IF(Drawing!$Y$2=10,Drawing!W21,IF(Drawing!$F$25=10,Drawing!D44,IF(Drawing!$Y$25=10,Drawing!W44,IF(Drawing!$F$48=10,Drawing!D67,IF(Drawing!$Y$48=10,Drawing!W67,"")))))))</f>
        <v/>
      </c>
      <c r="P39" s="654"/>
      <c r="Q39" s="716"/>
      <c r="R39" s="277" t="s">
        <v>154</v>
      </c>
      <c r="S39" s="240" t="str">
        <f>UPPER(IF(Drawing!$F$2=10,Drawing!AW5,IF(Drawing!$Y$2=10,Drawing!AC17,IF(Drawing!$F$25=10,Drawing!J40,IF(Drawing!$Y$25=10,Drawing!AC40,IF(Drawing!$F$48=10,Drawing!J63,IF(Drawing!$Y$48=10,Drawing!AC63,IF(Pricing!Q35="","",Pricing!Q35))))))))</f>
        <v/>
      </c>
      <c r="T39" s="240" t="str">
        <f>UPPER(IF(Drawing!$F$2=10,Drawing!AX5,IF(Drawing!$Y$2=10,Drawing!AD17,IF(Drawing!$F$25=10,Drawing!K40,IF(Drawing!$Y$25=10,Drawing!AD40,IF(Drawing!$F$48=10,Drawing!K63,IF(Drawing!$Y$48=10,Drawing!AD63,IF(Pricing!R35="","",Pricing!R35))))))))</f>
        <v/>
      </c>
      <c r="U39" s="240" t="str">
        <f>UPPER(IF(Drawing!$F$2=10,Drawing!AY5,IF(Drawing!$Y$2=10,Drawing!AE17,IF(Drawing!$F$25=10,Drawing!L40,IF(Drawing!$Y$25=10,Drawing!AE40,IF(Drawing!$F$48=10,Drawing!L63,IF(Drawing!$Y$48=10,Drawing!AE63,IF(Pricing!S35="","",Pricing!S35))))))))</f>
        <v/>
      </c>
      <c r="V39" s="240" t="str">
        <f>UPPER(IF(Drawing!$F$2=10,Drawing!AZ5,IF(Drawing!$Y$2=10,Drawing!AF17,IF(Drawing!$F$25=10,Drawing!M40,IF(Drawing!$Y$25=10,Drawing!AF40,IF(Drawing!$F$48=10,Drawing!M63,IF(Drawing!$Y$48=10,Drawing!AF63,IF(Pricing!T35="","",Pricing!T35))))))))</f>
        <v/>
      </c>
      <c r="W39" s="240" t="str">
        <f>UPPER(IF(Drawing!$F$2=10,Drawing!BA5,IF(Drawing!$Y$2=10,Drawing!AG17,IF(Drawing!$F$25=10,Drawing!N40,IF(Drawing!$Y$25=10,Drawing!AG40,IF(Drawing!$F$48=10,Drawing!N63,IF(Drawing!$Y$48=10,Drawing!AG63,IF(Pricing!U35="","",Pricing!U35))))))))</f>
        <v/>
      </c>
      <c r="X39" s="240" t="str">
        <f>UPPER(IF(Drawing!$F$2=10,Drawing!BB5,IF(Drawing!$Y$2=10,Drawing!AH17,IF(Drawing!$F$25=10,Drawing!O40,IF(Drawing!$Y$25=10,Drawing!AH40,IF(Drawing!$F$48=10,Drawing!O63,IF(Drawing!$Y$48=10,Drawing!AH63,IF(Pricing!V35="","",Pricing!V35))))))))</f>
        <v/>
      </c>
      <c r="Y39" s="240" t="str">
        <f>UPPER(IF(Drawing!$F$2=10,Drawing!BC5,IF(Drawing!$Y$2=10,Drawing!AI17,IF(Drawing!$F$25=10,Drawing!P40,IF(Drawing!$Y$25=10,Drawing!AI40,IF(Drawing!$F$48=10,Drawing!P63,IF(Drawing!$Y$48=10,Drawing!AI63,IF(Pricing!W35="","",Pricing!W35))))))))</f>
        <v/>
      </c>
      <c r="Z39" s="240" t="str">
        <f>UPPER(IF(Drawing!$F$2=10,Drawing!BD5,IF(Drawing!$Y$2=10,Drawing!AJ17,IF(Drawing!$F$25=10,Drawing!Q40,IF(Drawing!$Y$25=10,Drawing!AJ40,IF(Drawing!$F$48=10,Drawing!Q63,IF(Drawing!$Y$48=10,Drawing!AJ63,IF(Pricing!X35="","",Pricing!X35))))))))</f>
        <v/>
      </c>
      <c r="AA39" s="240" t="str">
        <f>UPPER(IF(Drawing!$F$2=10,Drawing!BE5,IF(Drawing!$Y$2=10,Drawing!AK17,IF(Drawing!$F$25=10,Drawing!R40,IF(Drawing!$Y$25=10,Drawing!AK40,IF(Drawing!$F$48=10,Drawing!R63,IF(Drawing!$Y$48=10,Drawing!AK63,IF(Pricing!Y35="","",Pricing!Y35))))))))</f>
        <v/>
      </c>
      <c r="AB39" s="240" t="str">
        <f>UPPER(IF(Drawing!$F$2=10,Drawing!BF5,IF(Drawing!$Y$2=10,Drawing!AL17,IF(Drawing!$F$25=10,Drawing!S40,IF(Drawing!$Y$25=10,Drawing!AL40,IF(Drawing!$F$48=10,Drawing!S63,IF(Drawing!$Y$48=10,Drawing!AL63,IF(Pricing!Z35="","",Pricing!Z35))))))))</f>
        <v/>
      </c>
      <c r="AC39" s="240" t="str">
        <f>UPPER(IF(Drawing!$F$2=10,Drawing!BG5,IF(Drawing!$Y$2=10,Drawing!AM17,IF(Drawing!$F$25=10,Drawing!T40,IF(Drawing!$Y$25=10,Drawing!AM40,IF(Drawing!$F$48=10,Drawing!T63,IF(Drawing!$Y$48=10,Drawing!AM63,IF(Pricing!AA35="","",Pricing!AA35))))))))</f>
        <v/>
      </c>
      <c r="AD39" s="280"/>
      <c r="AE39" s="11" t="s">
        <v>22</v>
      </c>
    </row>
    <row r="40" spans="2:31" x14ac:dyDescent="0.25">
      <c r="B40" s="336"/>
      <c r="C40" s="10" t="str">
        <f>IF(Pricing!C36="","",Pricing!C36)</f>
        <v>Left</v>
      </c>
      <c r="D40" s="710"/>
      <c r="E40" s="710"/>
      <c r="F40" s="524" t="str">
        <f>IF(Pricing!F36="","",Pricing!F36)</f>
        <v/>
      </c>
      <c r="G40" s="523"/>
      <c r="H40" s="702"/>
      <c r="I40" s="702"/>
      <c r="J40" s="710"/>
      <c r="K40" s="702"/>
      <c r="L40" s="702"/>
      <c r="M40" s="702"/>
      <c r="N40" s="702"/>
      <c r="O40" s="714"/>
      <c r="P40" s="655"/>
      <c r="Q40" s="710"/>
      <c r="R40" s="277" t="s">
        <v>155</v>
      </c>
      <c r="S40" s="13" t="str">
        <f>UPPER(IF(Drawing!$F$2=10,Drawing!J18,IF(Drawing!$Y$2=10,Drawing!AC18,IF(Drawing!$F$25=10,Drawing!J40,IF(Drawing!$Y$25=10,Drawing!AC41,IF(Drawing!$F$48=10,Drawing!J63,IF(Drawing!$Y$48=10,Drawing!AC63,"")))))))</f>
        <v/>
      </c>
      <c r="T40" s="13" t="str">
        <f>UPPER(IF(Drawing!$F$2=10,Drawing!K18,IF(Drawing!$Y$2=10,Drawing!AD18,IF(Drawing!$F$25=10,Drawing!K40,IF(Drawing!$Y$25=10,Drawing!AD41,IF(Drawing!$F$48=10,Drawing!K63,IF(Drawing!$Y$48=10,Drawing!AD63,"")))))))</f>
        <v/>
      </c>
      <c r="U40" s="13" t="str">
        <f>UPPER(IF(Drawing!$F$2=10,Drawing!L18,IF(Drawing!$Y$2=10,Drawing!AE18,IF(Drawing!$F$25=10,Drawing!L40,IF(Drawing!$Y$25=10,Drawing!AE41,IF(Drawing!$F$48=10,Drawing!L63,IF(Drawing!$Y$48=10,Drawing!AE63,"")))))))</f>
        <v/>
      </c>
      <c r="V40" s="13" t="str">
        <f>UPPER(IF(Drawing!$F$2=10,Drawing!M18,IF(Drawing!$Y$2=10,Drawing!AF18,IF(Drawing!$F$25=10,Drawing!M40,IF(Drawing!$Y$25=10,Drawing!AF41,IF(Drawing!$F$48=10,Drawing!M63,IF(Drawing!$Y$48=10,Drawing!AF63,"")))))))</f>
        <v/>
      </c>
      <c r="W40" s="13" t="str">
        <f>UPPER(IF(Drawing!$F$2=10,Drawing!N18,IF(Drawing!$Y$2=10,Drawing!AG18,IF(Drawing!$F$25=10,Drawing!N40,IF(Drawing!$Y$25=10,Drawing!AG41,IF(Drawing!$F$48=10,Drawing!N63,IF(Drawing!$Y$48=10,Drawing!AG63,"")))))))</f>
        <v/>
      </c>
      <c r="X40" s="13" t="str">
        <f>UPPER(IF(Drawing!$F$2=10,Drawing!O18,IF(Drawing!$Y$2=10,Drawing!AH18,IF(Drawing!$F$25=10,Drawing!O40,IF(Drawing!$Y$25=10,Drawing!AH41,IF(Drawing!$F$48=10,Drawing!O63,IF(Drawing!$Y$48=10,Drawing!AH63,"")))))))</f>
        <v/>
      </c>
      <c r="Y40" s="13" t="str">
        <f>UPPER(IF(Drawing!$F$2=10,Drawing!P18,IF(Drawing!$Y$2=10,Drawing!AI18,IF(Drawing!$F$25=10,Drawing!P40,IF(Drawing!$Y$25=10,Drawing!AI41,IF(Drawing!$F$48=10,Drawing!P63,IF(Drawing!$Y$48=10,Drawing!AI63,"")))))))</f>
        <v/>
      </c>
      <c r="Z40" s="13" t="str">
        <f>UPPER(IF(Drawing!$F$2=10,Drawing!Q18,IF(Drawing!$Y$2=10,Drawing!AJ18,IF(Drawing!$F$25=10,Drawing!Q40,IF(Drawing!$Y$25=10,Drawing!AJ41,IF(Drawing!$F$48=10,Drawing!Q63,IF(Drawing!$Y$48=10,Drawing!AJ63,"")))))))</f>
        <v/>
      </c>
      <c r="AA40" s="13" t="str">
        <f>UPPER(IF(Drawing!$F$2=10,Drawing!R18,IF(Drawing!$Y$2=10,Drawing!AK18,IF(Drawing!$F$25=10,Drawing!R40,IF(Drawing!$Y$25=10,Drawing!AK41,IF(Drawing!$F$48=10,Drawing!R63,IF(Drawing!$Y$48=10,Drawing!AK63,"")))))))</f>
        <v/>
      </c>
      <c r="AB40" s="13" t="str">
        <f>UPPER(IF(Drawing!$F$2=10,Drawing!S18,IF(Drawing!$Y$2=10,Drawing!AL18,IF(Drawing!$F$25=10,Drawing!S40,IF(Drawing!$Y$25=10,Drawing!AL41,IF(Drawing!$F$48=10,Drawing!S63,IF(Drawing!$Y$48=10,Drawing!AL63,"")))))))</f>
        <v/>
      </c>
      <c r="AC40" s="13" t="s">
        <v>20</v>
      </c>
      <c r="AD40" s="278"/>
      <c r="AE40" s="708">
        <f>IF(ISERROR(M39*N39/1000000),,M39*N39/1000000)</f>
        <v>0</v>
      </c>
    </row>
    <row r="41" spans="2:31" ht="15.75" thickBot="1" x14ac:dyDescent="0.3">
      <c r="B41" s="336"/>
      <c r="C41" s="10" t="str">
        <f>IF(Pricing!C37="","",Pricing!C37)</f>
        <v/>
      </c>
      <c r="D41" s="711"/>
      <c r="E41" s="711"/>
      <c r="F41" s="279" t="s">
        <v>28</v>
      </c>
      <c r="G41" s="26" t="str">
        <f>IF(Pricing!G37="","",Pricing!G37)</f>
        <v/>
      </c>
      <c r="H41" s="705"/>
      <c r="I41" s="705"/>
      <c r="J41" s="717"/>
      <c r="K41" s="705"/>
      <c r="L41" s="705"/>
      <c r="M41" s="705"/>
      <c r="N41" s="705"/>
      <c r="O41" s="715"/>
      <c r="P41" s="656"/>
      <c r="Q41" s="27" t="s">
        <v>156</v>
      </c>
      <c r="R41" s="27" t="s">
        <v>157</v>
      </c>
      <c r="S41" s="396"/>
      <c r="T41" s="397"/>
      <c r="U41" s="397"/>
      <c r="V41" s="397"/>
      <c r="W41" s="397"/>
      <c r="X41" s="397"/>
      <c r="Y41" s="397"/>
      <c r="Z41" s="397"/>
      <c r="AA41" s="397"/>
      <c r="AB41" s="397"/>
      <c r="AC41" s="398"/>
      <c r="AD41" s="266"/>
      <c r="AE41" s="709"/>
    </row>
    <row r="42" spans="2:31" x14ac:dyDescent="0.25">
      <c r="B42" s="336">
        <v>11</v>
      </c>
      <c r="C42" s="172" t="str">
        <f>IF(Pricing!C38="","",Pricing!C38)</f>
        <v>Bathroom</v>
      </c>
      <c r="D42" s="718" t="str">
        <f>IF(Pricing!D38="","",Pricing!D38)</f>
        <v/>
      </c>
      <c r="E42" s="718" t="str">
        <f>IF(Pricing!E38="","",Pricing!E38)</f>
        <v/>
      </c>
      <c r="F42" s="712" t="str">
        <f>IF(Pricing!F38="","",Pricing!F38)</f>
        <v/>
      </c>
      <c r="G42" s="713"/>
      <c r="H42" s="702" t="str">
        <f>IF(Pricing!H38="","",Pricing!H38)</f>
        <v/>
      </c>
      <c r="I42" s="706" t="str">
        <f>IF(Pricing!I38="","",Pricing!I38)</f>
        <v/>
      </c>
      <c r="J42" s="25">
        <v>0</v>
      </c>
      <c r="K42" s="702"/>
      <c r="L42" s="702" t="str">
        <f>IF(Pricing!J38="","",Pricing!J38)</f>
        <v/>
      </c>
      <c r="M42" s="702" t="str">
        <f>UPPER(IF(Drawing!$F$2=11,Drawing!D17,IF(Drawing!$Y$2=11,Drawing!W17,IF(Drawing!$F$25=11,Drawing!D40,IF(Drawing!$Y$25=11,Drawing!W40,IF(Drawing!$F$48=11,Drawing!D63,IF(Drawing!$Y$48=11,Drawing!W63,"")))))))</f>
        <v/>
      </c>
      <c r="N42" s="702" t="str">
        <f>UPPER(IF(Drawing!$F$2=11,Drawing!D19,IF(Drawing!$Y$2=11,Drawing!W19,IF(Drawing!$F$25=11,Drawing!D42,IF(Drawing!$Y$25=11,Drawing!W42,IF(Drawing!$F$48=11,Drawing!D65,IF(Drawing!$Y$48=11,Drawing!W65,"")))))))</f>
        <v/>
      </c>
      <c r="O42" s="714" t="str">
        <f>UPPER(IF(Drawing!$F$2=11,Drawing!D21,IF(Drawing!$Y$2=11,Drawing!W21,IF(Drawing!$F$25=11,Drawing!D44,IF(Drawing!$Y$25=11,Drawing!W44,IF(Drawing!$F$48=11,Drawing!D67,IF(Drawing!$Y$48=11,Drawing!W67,"")))))))</f>
        <v/>
      </c>
      <c r="P42" s="654"/>
      <c r="Q42" s="716"/>
      <c r="R42" s="277" t="s">
        <v>154</v>
      </c>
      <c r="S42" s="240" t="str">
        <f>UPPER(IF(Drawing!$F$2=11,Drawing!AW5,IF(Drawing!$Y$2=11,Drawing!AC17,IF(Drawing!$F$25=11,Drawing!J40,IF(Drawing!$Y$25=11,Drawing!AC40,IF(Drawing!$F$48=11,Drawing!J63,IF(Drawing!$Y$48=11,Drawing!AC63,IF(Pricing!Q38="","",Pricing!Q38))))))))</f>
        <v/>
      </c>
      <c r="T42" s="240" t="str">
        <f>UPPER(IF(Drawing!$F$2=11,Drawing!AX5,IF(Drawing!$Y$2=11,Drawing!AD17,IF(Drawing!$F$25=11,Drawing!K40,IF(Drawing!$Y$25=11,Drawing!AD40,IF(Drawing!$F$48=11,Drawing!K63,IF(Drawing!$Y$48=11,Drawing!AD63,IF(Pricing!R38="","",Pricing!R38))))))))</f>
        <v/>
      </c>
      <c r="U42" s="240" t="str">
        <f>UPPER(IF(Drawing!$F$2=11,Drawing!AY5,IF(Drawing!$Y$2=11,Drawing!AE17,IF(Drawing!$F$25=11,Drawing!L40,IF(Drawing!$Y$25=11,Drawing!AE40,IF(Drawing!$F$48=11,Drawing!L63,IF(Drawing!$Y$48=11,Drawing!AE63,IF(Pricing!S38="","",Pricing!S38))))))))</f>
        <v/>
      </c>
      <c r="V42" s="240" t="str">
        <f>UPPER(IF(Drawing!$F$2=11,Drawing!AZ5,IF(Drawing!$Y$2=11,Drawing!AF17,IF(Drawing!$F$25=11,Drawing!M40,IF(Drawing!$Y$25=11,Drawing!AF40,IF(Drawing!$F$48=11,Drawing!M63,IF(Drawing!$Y$48=11,Drawing!AF63,IF(Pricing!T38="","",Pricing!T38))))))))</f>
        <v/>
      </c>
      <c r="W42" s="240" t="str">
        <f>UPPER(IF(Drawing!$F$2=11,Drawing!BA5,IF(Drawing!$Y$2=11,Drawing!AG17,IF(Drawing!$F$25=11,Drawing!N40,IF(Drawing!$Y$25=11,Drawing!AG40,IF(Drawing!$F$48=11,Drawing!N63,IF(Drawing!$Y$48=11,Drawing!AG63,IF(Pricing!U38="","",Pricing!U38))))))))</f>
        <v/>
      </c>
      <c r="X42" s="240" t="str">
        <f>UPPER(IF(Drawing!$F$2=11,Drawing!BB5,IF(Drawing!$Y$2=11,Drawing!AH17,IF(Drawing!$F$25=11,Drawing!O40,IF(Drawing!$Y$25=11,Drawing!AH40,IF(Drawing!$F$48=11,Drawing!O63,IF(Drawing!$Y$48=11,Drawing!AH63,IF(Pricing!V38="","",Pricing!V38))))))))</f>
        <v/>
      </c>
      <c r="Y42" s="240" t="str">
        <f>UPPER(IF(Drawing!$F$2=11,Drawing!BC5,IF(Drawing!$Y$2=11,Drawing!AI17,IF(Drawing!$F$25=11,Drawing!P40,IF(Drawing!$Y$25=11,Drawing!AI40,IF(Drawing!$F$48=11,Drawing!P63,IF(Drawing!$Y$48=11,Drawing!AI63,IF(Pricing!W38="","",Pricing!W38))))))))</f>
        <v/>
      </c>
      <c r="Z42" s="240" t="str">
        <f>UPPER(IF(Drawing!$F$2=11,Drawing!BD5,IF(Drawing!$Y$2=11,Drawing!AJ17,IF(Drawing!$F$25=11,Drawing!Q40,IF(Drawing!$Y$25=11,Drawing!AJ40,IF(Drawing!$F$48=11,Drawing!Q63,IF(Drawing!$Y$48=11,Drawing!AJ63,IF(Pricing!X38="","",Pricing!X38))))))))</f>
        <v/>
      </c>
      <c r="AA42" s="240" t="str">
        <f>UPPER(IF(Drawing!$F$2=11,Drawing!BE5,IF(Drawing!$Y$2=11,Drawing!AK17,IF(Drawing!$F$25=11,Drawing!R40,IF(Drawing!$Y$25=11,Drawing!AK40,IF(Drawing!$F$48=11,Drawing!R63,IF(Drawing!$Y$48=11,Drawing!AK63,IF(Pricing!Y38="","",Pricing!Y38))))))))</f>
        <v/>
      </c>
      <c r="AB42" s="240" t="str">
        <f>UPPER(IF(Drawing!$F$2=11,Drawing!BF5,IF(Drawing!$Y$2=11,Drawing!AL17,IF(Drawing!$F$25=11,Drawing!S40,IF(Drawing!$Y$25=11,Drawing!AL40,IF(Drawing!$F$48=11,Drawing!S63,IF(Drawing!$Y$48=11,Drawing!AL63,IF(Pricing!Z38="","",Pricing!Z38))))))))</f>
        <v/>
      </c>
      <c r="AC42" s="240" t="str">
        <f>UPPER(IF(Drawing!$F$2=11,Drawing!BG5,IF(Drawing!$Y$2=11,Drawing!AM17,IF(Drawing!$F$25=11,Drawing!T40,IF(Drawing!$Y$25=11,Drawing!AM40,IF(Drawing!$F$48=11,Drawing!T63,IF(Drawing!$Y$48=11,Drawing!AM63,IF(Pricing!AA38="","",Pricing!AA38))))))))</f>
        <v/>
      </c>
      <c r="AD42" s="280"/>
      <c r="AE42" s="11" t="s">
        <v>22</v>
      </c>
    </row>
    <row r="43" spans="2:31" x14ac:dyDescent="0.25">
      <c r="B43" s="336"/>
      <c r="C43" s="10" t="str">
        <f>IF(Pricing!C39="","",Pricing!C39)</f>
        <v>Right</v>
      </c>
      <c r="D43" s="710"/>
      <c r="E43" s="710"/>
      <c r="F43" s="524" t="str">
        <f>IF(Pricing!F39="","",Pricing!F39)</f>
        <v/>
      </c>
      <c r="G43" s="721"/>
      <c r="H43" s="702"/>
      <c r="I43" s="702"/>
      <c r="J43" s="710"/>
      <c r="K43" s="702"/>
      <c r="L43" s="702"/>
      <c r="M43" s="702"/>
      <c r="N43" s="702"/>
      <c r="O43" s="714"/>
      <c r="P43" s="655"/>
      <c r="Q43" s="710"/>
      <c r="R43" s="277" t="s">
        <v>155</v>
      </c>
      <c r="S43" s="13" t="str">
        <f>UPPER(IF(Drawing!$F$2=11,Drawing!J18,IF(Drawing!$Y$2=11,Drawing!AC18,IF(Drawing!$F$25=11,Drawing!J40,IF(Drawing!$Y$25=11,Drawing!AC41,IF(Drawing!$F$48=11,Drawing!J63,IF(Drawing!$Y$48=11,Drawing!AC63,"")))))))</f>
        <v/>
      </c>
      <c r="T43" s="13" t="str">
        <f>UPPER(IF(Drawing!$F$2=11,Drawing!K18,IF(Drawing!$Y$2=11,Drawing!AD18,IF(Drawing!$F$25=11,Drawing!K40,IF(Drawing!$Y$25=11,Drawing!AD41,IF(Drawing!$F$48=11,Drawing!K63,IF(Drawing!$Y$48=11,Drawing!AD63,"")))))))</f>
        <v/>
      </c>
      <c r="U43" s="13" t="str">
        <f>UPPER(IF(Drawing!$F$2=11,Drawing!L18,IF(Drawing!$Y$2=11,Drawing!AE18,IF(Drawing!$F$25=11,Drawing!L40,IF(Drawing!$Y$25=11,Drawing!AE41,IF(Drawing!$F$48=11,Drawing!L63,IF(Drawing!$Y$48=11,Drawing!AE63,"")))))))</f>
        <v/>
      </c>
      <c r="V43" s="13" t="str">
        <f>UPPER(IF(Drawing!$F$2=11,Drawing!M18,IF(Drawing!$Y$2=11,Drawing!AF18,IF(Drawing!$F$25=11,Drawing!M40,IF(Drawing!$Y$25=11,Drawing!AF41,IF(Drawing!$F$48=11,Drawing!M63,IF(Drawing!$Y$48=11,Drawing!AF63,"")))))))</f>
        <v/>
      </c>
      <c r="W43" s="13" t="str">
        <f>UPPER(IF(Drawing!$F$2=11,Drawing!N18,IF(Drawing!$Y$2=11,Drawing!AG18,IF(Drawing!$F$25=11,Drawing!N40,IF(Drawing!$Y$25=11,Drawing!AG41,IF(Drawing!$F$48=11,Drawing!N63,IF(Drawing!$Y$48=11,Drawing!AG63,"")))))))</f>
        <v/>
      </c>
      <c r="X43" s="13" t="str">
        <f>UPPER(IF(Drawing!$F$2=11,Drawing!O18,IF(Drawing!$Y$2=11,Drawing!AH18,IF(Drawing!$F$25=11,Drawing!O40,IF(Drawing!$Y$25=11,Drawing!AH41,IF(Drawing!$F$48=11,Drawing!O63,IF(Drawing!$Y$48=11,Drawing!AH63,"")))))))</f>
        <v/>
      </c>
      <c r="Y43" s="13" t="str">
        <f>UPPER(IF(Drawing!$F$2=11,Drawing!P18,IF(Drawing!$Y$2=11,Drawing!AI18,IF(Drawing!$F$25=11,Drawing!P40,IF(Drawing!$Y$25=11,Drawing!AI41,IF(Drawing!$F$48=11,Drawing!P63,IF(Drawing!$Y$48=11,Drawing!AI63,"")))))))</f>
        <v/>
      </c>
      <c r="Z43" s="13" t="str">
        <f>UPPER(IF(Drawing!$F$2=11,Drawing!Q18,IF(Drawing!$Y$2=11,Drawing!AJ18,IF(Drawing!$F$25=11,Drawing!Q40,IF(Drawing!$Y$25=11,Drawing!AJ41,IF(Drawing!$F$48=11,Drawing!Q63,IF(Drawing!$Y$48=11,Drawing!AJ63,"")))))))</f>
        <v/>
      </c>
      <c r="AA43" s="13" t="str">
        <f>UPPER(IF(Drawing!$F$2=11,Drawing!R18,IF(Drawing!$Y$2=11,Drawing!AK18,IF(Drawing!$F$25=11,Drawing!R40,IF(Drawing!$Y$25=11,Drawing!AK41,IF(Drawing!$F$48=11,Drawing!R63,IF(Drawing!$Y$48=11,Drawing!AK63,"")))))))</f>
        <v/>
      </c>
      <c r="AB43" s="13" t="str">
        <f>UPPER(IF(Drawing!$F$2=11,Drawing!S18,IF(Drawing!$Y$2=11,Drawing!AL18,IF(Drawing!$F$25=11,Drawing!S40,IF(Drawing!$Y$25=11,Drawing!AL41,IF(Drawing!$F$48=11,Drawing!S63,IF(Drawing!$Y$48=11,Drawing!AL63,"")))))))</f>
        <v/>
      </c>
      <c r="AC43" s="13" t="s">
        <v>20</v>
      </c>
      <c r="AD43" s="278"/>
      <c r="AE43" s="708">
        <f>IF(ISERROR(M42*N42/1000000),,M42*N42/1000000)</f>
        <v>0</v>
      </c>
    </row>
    <row r="44" spans="2:31" ht="15.75" thickBot="1" x14ac:dyDescent="0.3">
      <c r="B44" s="336"/>
      <c r="C44" s="242" t="str">
        <f>IF(Pricing!C40="","",Pricing!C40)</f>
        <v/>
      </c>
      <c r="D44" s="717"/>
      <c r="E44" s="717"/>
      <c r="F44" s="281" t="s">
        <v>28</v>
      </c>
      <c r="G44" s="14" t="str">
        <f>IF(Pricing!G40="","",Pricing!G40)</f>
        <v/>
      </c>
      <c r="H44" s="705"/>
      <c r="I44" s="705"/>
      <c r="J44" s="717"/>
      <c r="K44" s="705"/>
      <c r="L44" s="705"/>
      <c r="M44" s="705"/>
      <c r="N44" s="705"/>
      <c r="O44" s="715"/>
      <c r="P44" s="656"/>
      <c r="Q44" s="27" t="s">
        <v>156</v>
      </c>
      <c r="R44" s="27" t="s">
        <v>157</v>
      </c>
      <c r="S44" s="396"/>
      <c r="T44" s="397"/>
      <c r="U44" s="397"/>
      <c r="V44" s="397"/>
      <c r="W44" s="397"/>
      <c r="X44" s="397"/>
      <c r="Y44" s="397"/>
      <c r="Z44" s="397"/>
      <c r="AA44" s="397"/>
      <c r="AB44" s="397"/>
      <c r="AC44" s="398"/>
      <c r="AD44" s="266"/>
      <c r="AE44" s="709"/>
    </row>
    <row r="45" spans="2:31" x14ac:dyDescent="0.25">
      <c r="B45" s="336">
        <v>12</v>
      </c>
      <c r="C45" s="10" t="str">
        <f>IF(Pricing!C41="","",Pricing!C41)</f>
        <v>Kitchen</v>
      </c>
      <c r="D45" s="716" t="str">
        <f>IF(Pricing!D41="","",Pricing!D41)</f>
        <v/>
      </c>
      <c r="E45" s="716" t="str">
        <f>IF(Pricing!E41="","",Pricing!E41)</f>
        <v/>
      </c>
      <c r="F45" s="723" t="str">
        <f>IF(Pricing!F41="","",Pricing!F41)</f>
        <v/>
      </c>
      <c r="G45" s="724"/>
      <c r="H45" s="702" t="str">
        <f>IF(Pricing!H41="","",Pricing!H41)</f>
        <v/>
      </c>
      <c r="I45" s="706" t="str">
        <f>IF(Pricing!I41="","",Pricing!I41)</f>
        <v/>
      </c>
      <c r="J45" s="25">
        <v>0</v>
      </c>
      <c r="K45" s="702"/>
      <c r="L45" s="702" t="str">
        <f>IF(Pricing!J41="","",Pricing!J41)</f>
        <v/>
      </c>
      <c r="M45" s="702" t="str">
        <f>UPPER(IF(Drawing!$F$2=12,Drawing!D17,IF(Drawing!$Y$2=12,Drawing!W17,IF(Drawing!$F$25=12,Drawing!D40,IF(Drawing!$Y$25=12,Drawing!W40,IF(Drawing!$F$48=12,Drawing!D63,IF(Drawing!$Y$48=12,Drawing!W63,"")))))))</f>
        <v/>
      </c>
      <c r="N45" s="702" t="str">
        <f>UPPER(IF(Drawing!$F$2=12,Drawing!D19,IF(Drawing!$Y$2=12,Drawing!W19,IF(Drawing!$F$25=12,Drawing!D42,IF(Drawing!$Y$25=12,Drawing!W42,IF(Drawing!$F$48=12,Drawing!D65,IF(Drawing!$Y$48=12,Drawing!W65,"")))))))</f>
        <v/>
      </c>
      <c r="O45" s="714" t="str">
        <f>UPPER(IF(Drawing!$F$2=12,Drawing!D21,IF(Drawing!$Y$2=12,Drawing!W21,IF(Drawing!$F$25=12,Drawing!D44,IF(Drawing!$Y$25=12,Drawing!W44,IF(Drawing!$F$48=12,Drawing!D67,IF(Drawing!$Y$48=12,Drawing!W67,"")))))))</f>
        <v/>
      </c>
      <c r="P45" s="654"/>
      <c r="Q45" s="716"/>
      <c r="R45" s="277" t="s">
        <v>154</v>
      </c>
      <c r="S45" s="240" t="str">
        <f>UPPER(IF(Drawing!$F$2=12,Drawing!AW5,IF(Drawing!$Y$2=12,Drawing!AC17,IF(Drawing!$F$25=12,Drawing!J40,IF(Drawing!$Y$25=12,Drawing!AC40,IF(Drawing!$F$48=12,Drawing!J63,IF(Drawing!$Y$48=12,Drawing!AC63,IF(Pricing!Q41="","",Pricing!Q41))))))))</f>
        <v/>
      </c>
      <c r="T45" s="240" t="str">
        <f>UPPER(IF(Drawing!$F$2=12,Drawing!AX5,IF(Drawing!$Y$2=12,Drawing!AD17,IF(Drawing!$F$25=12,Drawing!K40,IF(Drawing!$Y$25=12,Drawing!AD40,IF(Drawing!$F$48=12,Drawing!K63,IF(Drawing!$Y$48=12,Drawing!AD63,IF(Pricing!R41="","",Pricing!R41))))))))</f>
        <v/>
      </c>
      <c r="U45" s="240" t="str">
        <f>UPPER(IF(Drawing!$F$2=12,Drawing!AY5,IF(Drawing!$Y$2=12,Drawing!AE17,IF(Drawing!$F$25=12,Drawing!L40,IF(Drawing!$Y$25=12,Drawing!AE40,IF(Drawing!$F$48=12,Drawing!L63,IF(Drawing!$Y$48=12,Drawing!AE63,IF(Pricing!S41="","",Pricing!S41))))))))</f>
        <v/>
      </c>
      <c r="V45" s="240" t="str">
        <f>UPPER(IF(Drawing!$F$2=12,Drawing!AZ5,IF(Drawing!$Y$2=12,Drawing!AF17,IF(Drawing!$F$25=12,Drawing!M40,IF(Drawing!$Y$25=12,Drawing!AF40,IF(Drawing!$F$48=12,Drawing!M63,IF(Drawing!$Y$48=12,Drawing!AF63,IF(Pricing!T41="","",Pricing!T41))))))))</f>
        <v/>
      </c>
      <c r="W45" s="240" t="str">
        <f>UPPER(IF(Drawing!$F$2=12,Drawing!BA5,IF(Drawing!$Y$2=12,Drawing!AG17,IF(Drawing!$F$25=12,Drawing!N40,IF(Drawing!$Y$25=12,Drawing!AG40,IF(Drawing!$F$48=12,Drawing!N63,IF(Drawing!$Y$48=12,Drawing!AG63,IF(Pricing!U41="","",Pricing!U41))))))))</f>
        <v/>
      </c>
      <c r="X45" s="240" t="str">
        <f>UPPER(IF(Drawing!$F$2=12,Drawing!BB5,IF(Drawing!$Y$2=12,Drawing!AH17,IF(Drawing!$F$25=12,Drawing!O40,IF(Drawing!$Y$25=12,Drawing!AH40,IF(Drawing!$F$48=12,Drawing!O63,IF(Drawing!$Y$48=12,Drawing!AH63,IF(Pricing!V41="","",Pricing!V41))))))))</f>
        <v/>
      </c>
      <c r="Y45" s="240" t="str">
        <f>UPPER(IF(Drawing!$F$2=12,Drawing!BC5,IF(Drawing!$Y$2=12,Drawing!AI17,IF(Drawing!$F$25=12,Drawing!P40,IF(Drawing!$Y$25=12,Drawing!AI40,IF(Drawing!$F$48=12,Drawing!P63,IF(Drawing!$Y$48=12,Drawing!AI63,IF(Pricing!W41="","",Pricing!W41))))))))</f>
        <v/>
      </c>
      <c r="Z45" s="240" t="str">
        <f>UPPER(IF(Drawing!$F$2=12,Drawing!BD5,IF(Drawing!$Y$2=12,Drawing!AJ17,IF(Drawing!$F$25=12,Drawing!Q40,IF(Drawing!$Y$25=12,Drawing!AJ40,IF(Drawing!$F$48=12,Drawing!Q63,IF(Drawing!$Y$48=12,Drawing!AJ63,IF(Pricing!X41="","",Pricing!X41))))))))</f>
        <v/>
      </c>
      <c r="AA45" s="240" t="str">
        <f>UPPER(IF(Drawing!$F$2=12,Drawing!BE5,IF(Drawing!$Y$2=12,Drawing!AK17,IF(Drawing!$F$25=12,Drawing!R40,IF(Drawing!$Y$25=12,Drawing!AK40,IF(Drawing!$F$48=12,Drawing!R63,IF(Drawing!$Y$48=12,Drawing!AK63,IF(Pricing!Y41="","",Pricing!Y41))))))))</f>
        <v/>
      </c>
      <c r="AB45" s="240" t="str">
        <f>UPPER(IF(Drawing!$F$2=12,Drawing!BF5,IF(Drawing!$Y$2=12,Drawing!AL17,IF(Drawing!$F$25=12,Drawing!S40,IF(Drawing!$Y$25=12,Drawing!AL40,IF(Drawing!$F$48=12,Drawing!S63,IF(Drawing!$Y$48=12,Drawing!AL63,IF(Pricing!Z41="","",Pricing!Z41))))))))</f>
        <v/>
      </c>
      <c r="AC45" s="240" t="str">
        <f>UPPER(IF(Drawing!$F$2=12,Drawing!BG5,IF(Drawing!$Y$2=12,Drawing!AM17,IF(Drawing!$F$25=12,Drawing!T40,IF(Drawing!$Y$25=12,Drawing!AM40,IF(Drawing!$F$48=12,Drawing!T63,IF(Drawing!$Y$48=12,Drawing!AM63,IF(Pricing!AA41="","",Pricing!AA41))))))))</f>
        <v/>
      </c>
      <c r="AD45" s="280"/>
      <c r="AE45" s="11" t="s">
        <v>22</v>
      </c>
    </row>
    <row r="46" spans="2:31" x14ac:dyDescent="0.25">
      <c r="B46" s="336"/>
      <c r="C46" s="10" t="str">
        <f>IF(Pricing!C42="","",Pricing!C42)</f>
        <v/>
      </c>
      <c r="D46" s="710"/>
      <c r="E46" s="710"/>
      <c r="F46" s="524" t="str">
        <f>IF(Pricing!F42="","",Pricing!F42)</f>
        <v/>
      </c>
      <c r="G46" s="523"/>
      <c r="H46" s="702"/>
      <c r="I46" s="702"/>
      <c r="J46" s="710"/>
      <c r="K46" s="702"/>
      <c r="L46" s="702"/>
      <c r="M46" s="702"/>
      <c r="N46" s="702"/>
      <c r="O46" s="714"/>
      <c r="P46" s="655"/>
      <c r="Q46" s="710"/>
      <c r="R46" s="277" t="s">
        <v>155</v>
      </c>
      <c r="S46" s="13" t="str">
        <f>UPPER(IF(Drawing!$F$2=12,Drawing!J18,IF(Drawing!$Y$2=12,Drawing!AC18,IF(Drawing!$F$25=12,Drawing!J40,IF(Drawing!$Y$25=12,Drawing!AC41,IF(Drawing!$F$48=12,Drawing!J63,IF(Drawing!$Y$48=12,Drawing!AC63,"")))))))</f>
        <v/>
      </c>
      <c r="T46" s="13" t="str">
        <f>UPPER(IF(Drawing!$F$2=12,Drawing!K18,IF(Drawing!$Y$2=12,Drawing!AD18,IF(Drawing!$F$25=12,Drawing!K40,IF(Drawing!$Y$25=12,Drawing!AD41,IF(Drawing!$F$48=12,Drawing!K63,IF(Drawing!$Y$48=12,Drawing!AD63,"")))))))</f>
        <v/>
      </c>
      <c r="U46" s="13" t="str">
        <f>UPPER(IF(Drawing!$F$2=12,Drawing!L18,IF(Drawing!$Y$2=12,Drawing!AE18,IF(Drawing!$F$25=12,Drawing!L40,IF(Drawing!$Y$25=12,Drawing!AE41,IF(Drawing!$F$48=12,Drawing!L63,IF(Drawing!$Y$48=12,Drawing!AE63,"")))))))</f>
        <v/>
      </c>
      <c r="V46" s="13" t="str">
        <f>UPPER(IF(Drawing!$F$2=12,Drawing!M18,IF(Drawing!$Y$2=12,Drawing!AF18,IF(Drawing!$F$25=12,Drawing!M40,IF(Drawing!$Y$25=12,Drawing!AF41,IF(Drawing!$F$48=12,Drawing!M63,IF(Drawing!$Y$48=12,Drawing!AF63,"")))))))</f>
        <v/>
      </c>
      <c r="W46" s="13" t="str">
        <f>UPPER(IF(Drawing!$F$2=12,Drawing!N18,IF(Drawing!$Y$2=12,Drawing!AG18,IF(Drawing!$F$25=12,Drawing!N40,IF(Drawing!$Y$25=12,Drawing!AG41,IF(Drawing!$F$48=12,Drawing!N63,IF(Drawing!$Y$48=12,Drawing!AG63,"")))))))</f>
        <v/>
      </c>
      <c r="X46" s="13" t="str">
        <f>UPPER(IF(Drawing!$F$2=12,Drawing!O18,IF(Drawing!$Y$2=12,Drawing!AH18,IF(Drawing!$F$25=12,Drawing!O40,IF(Drawing!$Y$25=12,Drawing!AH41,IF(Drawing!$F$48=12,Drawing!O63,IF(Drawing!$Y$48=12,Drawing!AH63,"")))))))</f>
        <v/>
      </c>
      <c r="Y46" s="13" t="str">
        <f>UPPER(IF(Drawing!$F$2=12,Drawing!P18,IF(Drawing!$Y$2=12,Drawing!AI18,IF(Drawing!$F$25=12,Drawing!P40,IF(Drawing!$Y$25=12,Drawing!AI41,IF(Drawing!$F$48=12,Drawing!P63,IF(Drawing!$Y$48=12,Drawing!AI63,"")))))))</f>
        <v/>
      </c>
      <c r="Z46" s="13" t="str">
        <f>UPPER(IF(Drawing!$F$2=12,Drawing!Q18,IF(Drawing!$Y$2=12,Drawing!AJ18,IF(Drawing!$F$25=12,Drawing!Q40,IF(Drawing!$Y$25=12,Drawing!AJ41,IF(Drawing!$F$48=12,Drawing!Q63,IF(Drawing!$Y$48=12,Drawing!AJ63,"")))))))</f>
        <v/>
      </c>
      <c r="AA46" s="13" t="str">
        <f>UPPER(IF(Drawing!$F$2=12,Drawing!R18,IF(Drawing!$Y$2=12,Drawing!AK18,IF(Drawing!$F$25=12,Drawing!R40,IF(Drawing!$Y$25=12,Drawing!AK41,IF(Drawing!$F$48=12,Drawing!R63,IF(Drawing!$Y$48=12,Drawing!AK63,"")))))))</f>
        <v/>
      </c>
      <c r="AB46" s="13" t="str">
        <f>UPPER(IF(Drawing!$F$2=12,Drawing!S18,IF(Drawing!$Y$2=12,Drawing!AL18,IF(Drawing!$F$25=12,Drawing!S40,IF(Drawing!$Y$25=12,Drawing!AL41,IF(Drawing!$F$48=12,Drawing!S63,IF(Drawing!$Y$48=12,Drawing!AL63,"")))))))</f>
        <v/>
      </c>
      <c r="AC46" s="13" t="s">
        <v>20</v>
      </c>
      <c r="AD46" s="278"/>
      <c r="AE46" s="708">
        <f>IF(ISERROR(M45*N45/1000000),,M45*N45/1000000)</f>
        <v>0</v>
      </c>
    </row>
    <row r="47" spans="2:31" ht="15.75" thickBot="1" x14ac:dyDescent="0.3">
      <c r="B47" s="336"/>
      <c r="C47" s="10" t="str">
        <f>IF(Pricing!C43="","",Pricing!C43)</f>
        <v/>
      </c>
      <c r="D47" s="710"/>
      <c r="E47" s="710"/>
      <c r="F47" s="279" t="s">
        <v>28</v>
      </c>
      <c r="G47" s="26" t="str">
        <f>IF(Pricing!G43="","",Pricing!G43)</f>
        <v/>
      </c>
      <c r="H47" s="705"/>
      <c r="I47" s="705"/>
      <c r="J47" s="717"/>
      <c r="K47" s="705"/>
      <c r="L47" s="705"/>
      <c r="M47" s="705"/>
      <c r="N47" s="705"/>
      <c r="O47" s="715"/>
      <c r="P47" s="656"/>
      <c r="Q47" s="27" t="s">
        <v>156</v>
      </c>
      <c r="R47" s="27" t="s">
        <v>157</v>
      </c>
      <c r="S47" s="396"/>
      <c r="T47" s="397"/>
      <c r="U47" s="397"/>
      <c r="V47" s="397"/>
      <c r="W47" s="397"/>
      <c r="X47" s="397"/>
      <c r="Y47" s="397"/>
      <c r="Z47" s="397"/>
      <c r="AA47" s="397"/>
      <c r="AB47" s="397"/>
      <c r="AC47" s="398"/>
      <c r="AD47" s="266"/>
      <c r="AE47" s="709"/>
    </row>
    <row r="48" spans="2:31" x14ac:dyDescent="0.25">
      <c r="B48" s="336">
        <v>13</v>
      </c>
      <c r="C48" s="12" t="str">
        <f>IF(Pricing!C44="","",Pricing!C44)</f>
        <v>Kitchen</v>
      </c>
      <c r="D48" s="710" t="str">
        <f>IF(Pricing!D44="","",Pricing!D44)</f>
        <v/>
      </c>
      <c r="E48" s="710" t="str">
        <f>IF(Pricing!E44="","",Pricing!E44)</f>
        <v/>
      </c>
      <c r="F48" s="523" t="str">
        <f>IF(Pricing!F44="","",Pricing!F44)</f>
        <v/>
      </c>
      <c r="G48" s="524"/>
      <c r="H48" s="702" t="str">
        <f>IF(Pricing!H44="","",Pricing!H44)</f>
        <v/>
      </c>
      <c r="I48" s="706" t="str">
        <f>IF(Pricing!I44="","",Pricing!I44)</f>
        <v/>
      </c>
      <c r="J48" s="25">
        <v>0</v>
      </c>
      <c r="K48" s="702"/>
      <c r="L48" s="702" t="str">
        <f>IF(Pricing!J44="","",Pricing!J44)</f>
        <v/>
      </c>
      <c r="M48" s="702" t="str">
        <f>UPPER(IF(Drawing!$F$2=13,Drawing!D17,IF(Drawing!$Y$2=13,Drawing!W17,IF(Drawing!$F$25=13,Drawing!D40,IF(Drawing!$Y$25=13,Drawing!W40,IF(Drawing!$F$48=13,Drawing!D63,IF(Drawing!$Y$48=13,Drawing!W63,"")))))))</f>
        <v/>
      </c>
      <c r="N48" s="702" t="str">
        <f>UPPER(IF(Drawing!$F$2=13,Drawing!D19,IF(Drawing!$Y$2=13,Drawing!W19,IF(Drawing!$F$25=13,Drawing!D42,IF(Drawing!$Y$25=13,Drawing!W42,IF(Drawing!$F$48=13,Drawing!D65,IF(Drawing!$Y$48=13,Drawing!W65,"")))))))</f>
        <v/>
      </c>
      <c r="O48" s="714" t="str">
        <f>UPPER(IF(Drawing!$F$2=13,Drawing!D21,IF(Drawing!$Y$2=13,Drawing!W21,IF(Drawing!$F$25=13,Drawing!D44,IF(Drawing!$Y$25=13,Drawing!W44,IF(Drawing!$F$48=13,Drawing!D67,IF(Drawing!$Y$48=13,Drawing!W67,"")))))))</f>
        <v/>
      </c>
      <c r="P48" s="654"/>
      <c r="Q48" s="716"/>
      <c r="R48" s="277" t="s">
        <v>154</v>
      </c>
      <c r="S48" s="240" t="str">
        <f>UPPER(IF(Drawing!$F$2=13,Drawing!AW5,IF(Drawing!$Y$2=13,Drawing!AC17,IF(Drawing!$F$25=13,Drawing!J40,IF(Drawing!$Y$25=13,Drawing!AC40,IF(Drawing!$F$48=13,Drawing!J63,IF(Drawing!$Y$48=13,Drawing!AC63,IF(Pricing!Q44="","",Pricing!Q44))))))))</f>
        <v/>
      </c>
      <c r="T48" s="240" t="str">
        <f>UPPER(IF(Drawing!$F$2=13,Drawing!AX5,IF(Drawing!$Y$2=13,Drawing!AD17,IF(Drawing!$F$25=13,Drawing!K40,IF(Drawing!$Y$25=13,Drawing!AD40,IF(Drawing!$F$48=13,Drawing!K63,IF(Drawing!$Y$48=13,Drawing!AD63,IF(Pricing!R44="","",Pricing!R44))))))))</f>
        <v/>
      </c>
      <c r="U48" s="240" t="str">
        <f>UPPER(IF(Drawing!$F$2=13,Drawing!AY5,IF(Drawing!$Y$2=13,Drawing!AE17,IF(Drawing!$F$25=13,Drawing!L40,IF(Drawing!$Y$25=13,Drawing!AE40,IF(Drawing!$F$48=13,Drawing!L63,IF(Drawing!$Y$48=13,Drawing!AE63,IF(Pricing!S44="","",Pricing!S44))))))))</f>
        <v/>
      </c>
      <c r="V48" s="240" t="str">
        <f>UPPER(IF(Drawing!$F$2=13,Drawing!AZ5,IF(Drawing!$Y$2=13,Drawing!AF17,IF(Drawing!$F$25=13,Drawing!M40,IF(Drawing!$Y$25=13,Drawing!AF40,IF(Drawing!$F$48=13,Drawing!M63,IF(Drawing!$Y$48=13,Drawing!AF63,IF(Pricing!T44="","",Pricing!T44))))))))</f>
        <v/>
      </c>
      <c r="W48" s="240" t="str">
        <f>UPPER(IF(Drawing!$F$2=13,Drawing!BA5,IF(Drawing!$Y$2=13,Drawing!AG17,IF(Drawing!$F$25=13,Drawing!N40,IF(Drawing!$Y$25=13,Drawing!AG40,IF(Drawing!$F$48=13,Drawing!N63,IF(Drawing!$Y$48=13,Drawing!AG63,IF(Pricing!U44="","",Pricing!U44))))))))</f>
        <v/>
      </c>
      <c r="X48" s="240" t="str">
        <f>UPPER(IF(Drawing!$F$2=13,Drawing!BB5,IF(Drawing!$Y$2=13,Drawing!AH17,IF(Drawing!$F$25=13,Drawing!O40,IF(Drawing!$Y$25=13,Drawing!AH40,IF(Drawing!$F$48=13,Drawing!O63,IF(Drawing!$Y$48=13,Drawing!AH63,IF(Pricing!V44="","",Pricing!V44))))))))</f>
        <v/>
      </c>
      <c r="Y48" s="240" t="str">
        <f>UPPER(IF(Drawing!$F$2=13,Drawing!BC5,IF(Drawing!$Y$2=13,Drawing!AI17,IF(Drawing!$F$25=13,Drawing!P40,IF(Drawing!$Y$25=13,Drawing!AI40,IF(Drawing!$F$48=13,Drawing!P63,IF(Drawing!$Y$48=13,Drawing!AI63,IF(Pricing!W44="","",Pricing!W44))))))))</f>
        <v/>
      </c>
      <c r="Z48" s="240" t="str">
        <f>UPPER(IF(Drawing!$F$2=13,Drawing!BD5,IF(Drawing!$Y$2=13,Drawing!AJ17,IF(Drawing!$F$25=13,Drawing!Q40,IF(Drawing!$Y$25=13,Drawing!AJ40,IF(Drawing!$F$48=13,Drawing!Q63,IF(Drawing!$Y$48=13,Drawing!AJ63,IF(Pricing!X44="","",Pricing!X44))))))))</f>
        <v/>
      </c>
      <c r="AA48" s="240" t="str">
        <f>UPPER(IF(Drawing!$F$2=13,Drawing!BE5,IF(Drawing!$Y$2=13,Drawing!AK17,IF(Drawing!$F$25=13,Drawing!R40,IF(Drawing!$Y$25=13,Drawing!AK40,IF(Drawing!$F$48=13,Drawing!R63,IF(Drawing!$Y$48=13,Drawing!AK63,IF(Pricing!Y44="","",Pricing!Y44))))))))</f>
        <v/>
      </c>
      <c r="AB48" s="240" t="str">
        <f>UPPER(IF(Drawing!$F$2=13,Drawing!BF5,IF(Drawing!$Y$2=13,Drawing!AL17,IF(Drawing!$F$25=13,Drawing!S40,IF(Drawing!$Y$25=13,Drawing!AL40,IF(Drawing!$F$48=13,Drawing!S63,IF(Drawing!$Y$48=13,Drawing!AL63,IF(Pricing!Z44="","",Pricing!Z44))))))))</f>
        <v/>
      </c>
      <c r="AC48" s="240" t="str">
        <f>UPPER(IF(Drawing!$F$2=13,Drawing!BG5,IF(Drawing!$Y$2=13,Drawing!AM17,IF(Drawing!$F$25=13,Drawing!T40,IF(Drawing!$Y$25=13,Drawing!AM40,IF(Drawing!$F$48=13,Drawing!T63,IF(Drawing!$Y$48=13,Drawing!AM63,IF(Pricing!AA44="","",Pricing!AA44))))))))</f>
        <v/>
      </c>
      <c r="AD48" s="280"/>
      <c r="AE48" s="11" t="s">
        <v>22</v>
      </c>
    </row>
    <row r="49" spans="2:31" x14ac:dyDescent="0.25">
      <c r="B49" s="336"/>
      <c r="C49" s="10" t="str">
        <f>IF(Pricing!C45="","",Pricing!C45)</f>
        <v>patio L</v>
      </c>
      <c r="D49" s="710"/>
      <c r="E49" s="710"/>
      <c r="F49" s="524" t="str">
        <f>IF(Pricing!F45="","",Pricing!F45)</f>
        <v/>
      </c>
      <c r="G49" s="721"/>
      <c r="H49" s="702"/>
      <c r="I49" s="702"/>
      <c r="J49" s="710"/>
      <c r="K49" s="702"/>
      <c r="L49" s="702"/>
      <c r="M49" s="702"/>
      <c r="N49" s="702"/>
      <c r="O49" s="714"/>
      <c r="P49" s="655"/>
      <c r="Q49" s="710"/>
      <c r="R49" s="277" t="s">
        <v>155</v>
      </c>
      <c r="S49" s="13" t="str">
        <f>UPPER(IF(Drawing!$F$2=13,Drawing!J18,IF(Drawing!$Y$2=13,Drawing!AC18,IF(Drawing!$F$25=13,Drawing!J40,IF(Drawing!$Y$25=13,Drawing!AC41,IF(Drawing!$F$48=13,Drawing!J63,IF(Drawing!$Y$48=13,Drawing!AC63,"")))))))</f>
        <v/>
      </c>
      <c r="T49" s="13" t="str">
        <f>UPPER(IF(Drawing!$F$2=13,Drawing!K18,IF(Drawing!$Y$2=13,Drawing!AD18,IF(Drawing!$F$25=13,Drawing!K40,IF(Drawing!$Y$25=13,Drawing!AD41,IF(Drawing!$F$48=13,Drawing!K63,IF(Drawing!$Y$48=13,Drawing!AD63,"")))))))</f>
        <v/>
      </c>
      <c r="U49" s="13" t="str">
        <f>UPPER(IF(Drawing!$F$2=13,Drawing!L18,IF(Drawing!$Y$2=13,Drawing!AE18,IF(Drawing!$F$25=13,Drawing!L40,IF(Drawing!$Y$25=13,Drawing!AE41,IF(Drawing!$F$48=13,Drawing!L63,IF(Drawing!$Y$48=13,Drawing!AE63,"")))))))</f>
        <v/>
      </c>
      <c r="V49" s="13" t="str">
        <f>UPPER(IF(Drawing!$F$2=13,Drawing!M18,IF(Drawing!$Y$2=13,Drawing!AF18,IF(Drawing!$F$25=13,Drawing!M40,IF(Drawing!$Y$25=13,Drawing!AF41,IF(Drawing!$F$48=13,Drawing!M63,IF(Drawing!$Y$48=13,Drawing!AF63,"")))))))</f>
        <v/>
      </c>
      <c r="W49" s="13" t="str">
        <f>UPPER(IF(Drawing!$F$2=13,Drawing!N18,IF(Drawing!$Y$2=13,Drawing!AG18,IF(Drawing!$F$25=13,Drawing!N40,IF(Drawing!$Y$25=13,Drawing!AG41,IF(Drawing!$F$48=13,Drawing!N63,IF(Drawing!$Y$48=13,Drawing!AG63,"")))))))</f>
        <v/>
      </c>
      <c r="X49" s="13" t="str">
        <f>UPPER(IF(Drawing!$F$2=13,Drawing!O18,IF(Drawing!$Y$2=13,Drawing!AH18,IF(Drawing!$F$25=13,Drawing!O40,IF(Drawing!$Y$25=13,Drawing!AH41,IF(Drawing!$F$48=13,Drawing!O63,IF(Drawing!$Y$48=13,Drawing!AH63,"")))))))</f>
        <v/>
      </c>
      <c r="Y49" s="13" t="str">
        <f>UPPER(IF(Drawing!$F$2=13,Drawing!P18,IF(Drawing!$Y$2=13,Drawing!AI18,IF(Drawing!$F$25=13,Drawing!P40,IF(Drawing!$Y$25=13,Drawing!AI41,IF(Drawing!$F$48=13,Drawing!P63,IF(Drawing!$Y$48=13,Drawing!AI63,"")))))))</f>
        <v/>
      </c>
      <c r="Z49" s="13" t="str">
        <f>UPPER(IF(Drawing!$F$2=13,Drawing!Q18,IF(Drawing!$Y$2=13,Drawing!AJ18,IF(Drawing!$F$25=13,Drawing!Q40,IF(Drawing!$Y$25=13,Drawing!AJ41,IF(Drawing!$F$48=13,Drawing!Q63,IF(Drawing!$Y$48=13,Drawing!AJ63,"")))))))</f>
        <v/>
      </c>
      <c r="AA49" s="13" t="str">
        <f>UPPER(IF(Drawing!$F$2=13,Drawing!R18,IF(Drawing!$Y$2=13,Drawing!AK18,IF(Drawing!$F$25=13,Drawing!R40,IF(Drawing!$Y$25=13,Drawing!AK41,IF(Drawing!$F$48=13,Drawing!R63,IF(Drawing!$Y$48=13,Drawing!AK63,"")))))))</f>
        <v/>
      </c>
      <c r="AB49" s="13" t="str">
        <f>UPPER(IF(Drawing!$F$2=13,Drawing!S18,IF(Drawing!$Y$2=13,Drawing!AL18,IF(Drawing!$F$25=13,Drawing!S40,IF(Drawing!$Y$25=13,Drawing!AL41,IF(Drawing!$F$48=13,Drawing!S63,IF(Drawing!$Y$48=13,Drawing!AL63,"")))))))</f>
        <v/>
      </c>
      <c r="AC49" s="13" t="s">
        <v>20</v>
      </c>
      <c r="AD49" s="278"/>
      <c r="AE49" s="708">
        <f>IF(ISERROR(M48*N48/1000000),,M48*N48/1000000)</f>
        <v>0</v>
      </c>
    </row>
    <row r="50" spans="2:31" ht="15.75" thickBot="1" x14ac:dyDescent="0.3">
      <c r="B50" s="336"/>
      <c r="C50" s="242" t="str">
        <f>IF(Pricing!C46="","",Pricing!C46)</f>
        <v/>
      </c>
      <c r="D50" s="717"/>
      <c r="E50" s="717"/>
      <c r="F50" s="281" t="s">
        <v>28</v>
      </c>
      <c r="G50" s="14" t="str">
        <f>IF(Pricing!G46="","",Pricing!G46)</f>
        <v/>
      </c>
      <c r="H50" s="705"/>
      <c r="I50" s="705"/>
      <c r="J50" s="717"/>
      <c r="K50" s="705"/>
      <c r="L50" s="705"/>
      <c r="M50" s="705"/>
      <c r="N50" s="705"/>
      <c r="O50" s="715"/>
      <c r="P50" s="656"/>
      <c r="Q50" s="27" t="s">
        <v>156</v>
      </c>
      <c r="R50" s="27" t="s">
        <v>157</v>
      </c>
      <c r="S50" s="396"/>
      <c r="T50" s="397"/>
      <c r="U50" s="397"/>
      <c r="V50" s="397"/>
      <c r="W50" s="397"/>
      <c r="X50" s="397"/>
      <c r="Y50" s="397"/>
      <c r="Z50" s="397"/>
      <c r="AA50" s="397"/>
      <c r="AB50" s="397"/>
      <c r="AC50" s="398"/>
      <c r="AD50" s="266"/>
      <c r="AE50" s="709"/>
    </row>
    <row r="51" spans="2:31" x14ac:dyDescent="0.25">
      <c r="B51" s="336">
        <v>14</v>
      </c>
      <c r="C51" s="10" t="str">
        <f>IF(Pricing!C47="","",Pricing!C47)</f>
        <v>Kitchen</v>
      </c>
      <c r="D51" s="716" t="str">
        <f>IF(Pricing!D47="","",Pricing!D47)</f>
        <v/>
      </c>
      <c r="E51" s="716" t="str">
        <f>IF(Pricing!E47="","",Pricing!E47)</f>
        <v/>
      </c>
      <c r="F51" s="723" t="str">
        <f>IF(Pricing!F47="","",Pricing!F47)</f>
        <v/>
      </c>
      <c r="G51" s="724"/>
      <c r="H51" s="702" t="str">
        <f>IF(Pricing!H47="","",Pricing!H47)</f>
        <v/>
      </c>
      <c r="I51" s="706" t="str">
        <f>IF(Pricing!I47="","",Pricing!I47)</f>
        <v/>
      </c>
      <c r="J51" s="25">
        <v>0</v>
      </c>
      <c r="K51" s="702"/>
      <c r="L51" s="702" t="str">
        <f>IF(Pricing!J47="","",Pricing!J47)</f>
        <v/>
      </c>
      <c r="M51" s="702" t="str">
        <f>UPPER(IF(Drawing!$F$2=14,Drawing!D17,IF(Drawing!$Y$2=14,Drawing!W17,IF(Drawing!$F$25=14,Drawing!D40,IF(Drawing!$Y$25=14,Drawing!W40,IF(Drawing!$F$48=14,Drawing!D63,IF(Drawing!$Y$48=14,Drawing!W63,"")))))))</f>
        <v/>
      </c>
      <c r="N51" s="702" t="str">
        <f>UPPER(IF(Drawing!$F$2=14,Drawing!D19,IF(Drawing!$Y$2=14,Drawing!W19,IF(Drawing!$F$25=14,Drawing!D42,IF(Drawing!$Y$25=14,Drawing!W42,IF(Drawing!$F$48=14,Drawing!D65,IF(Drawing!$Y$48=14,Drawing!W65,"")))))))</f>
        <v/>
      </c>
      <c r="O51" s="714" t="str">
        <f>UPPER(IF(Drawing!$F$2=14,Drawing!D21,IF(Drawing!$Y$2=14,Drawing!W21,IF(Drawing!$F$25=14,Drawing!D44,IF(Drawing!$Y$25=14,Drawing!W44,IF(Drawing!$F$48=14,Drawing!D67,IF(Drawing!$Y$48=14,Drawing!W67,"")))))))</f>
        <v/>
      </c>
      <c r="P51" s="654"/>
      <c r="Q51" s="716"/>
      <c r="R51" s="277" t="s">
        <v>154</v>
      </c>
      <c r="S51" s="240" t="str">
        <f>UPPER(IF(Drawing!$F$2=14,Drawing!AW5,IF(Drawing!$Y$2=14,Drawing!AC17,IF(Drawing!$F$25=14,Drawing!J40,IF(Drawing!$Y$25=14,Drawing!AC40,IF(Drawing!$F$48=14,Drawing!J63,IF(Drawing!$Y$48=14,Drawing!AC63,IF(Pricing!Q47="","",Pricing!Q47))))))))</f>
        <v/>
      </c>
      <c r="T51" s="240" t="str">
        <f>UPPER(IF(Drawing!$F$2=14,Drawing!AX5,IF(Drawing!$Y$2=14,Drawing!AD17,IF(Drawing!$F$25=14,Drawing!K40,IF(Drawing!$Y$25=14,Drawing!AD40,IF(Drawing!$F$48=14,Drawing!K63,IF(Drawing!$Y$48=14,Drawing!AD63,IF(Pricing!R47="","",Pricing!R47))))))))</f>
        <v/>
      </c>
      <c r="U51" s="240" t="str">
        <f>UPPER(IF(Drawing!$F$2=14,Drawing!AY5,IF(Drawing!$Y$2=14,Drawing!AE17,IF(Drawing!$F$25=14,Drawing!L40,IF(Drawing!$Y$25=14,Drawing!AE40,IF(Drawing!$F$48=14,Drawing!L63,IF(Drawing!$Y$48=14,Drawing!AE63,IF(Pricing!S47="","",Pricing!S47))))))))</f>
        <v/>
      </c>
      <c r="V51" s="240" t="str">
        <f>UPPER(IF(Drawing!$F$2=14,Drawing!AZ5,IF(Drawing!$Y$2=14,Drawing!AF17,IF(Drawing!$F$25=14,Drawing!M40,IF(Drawing!$Y$25=14,Drawing!AF40,IF(Drawing!$F$48=14,Drawing!M63,IF(Drawing!$Y$48=14,Drawing!AF63,IF(Pricing!T47="","",Pricing!T47))))))))</f>
        <v/>
      </c>
      <c r="W51" s="240" t="str">
        <f>UPPER(IF(Drawing!$F$2=14,Drawing!BA5,IF(Drawing!$Y$2=14,Drawing!AG17,IF(Drawing!$F$25=14,Drawing!N40,IF(Drawing!$Y$25=14,Drawing!AG40,IF(Drawing!$F$48=14,Drawing!N63,IF(Drawing!$Y$48=14,Drawing!AG63,IF(Pricing!U47="","",Pricing!U47))))))))</f>
        <v/>
      </c>
      <c r="X51" s="240" t="str">
        <f>UPPER(IF(Drawing!$F$2=14,Drawing!BB5,IF(Drawing!$Y$2=14,Drawing!AH17,IF(Drawing!$F$25=14,Drawing!O40,IF(Drawing!$Y$25=14,Drawing!AH40,IF(Drawing!$F$48=14,Drawing!O63,IF(Drawing!$Y$48=14,Drawing!AH63,IF(Pricing!V47="","",Pricing!V47))))))))</f>
        <v/>
      </c>
      <c r="Y51" s="240" t="str">
        <f>UPPER(IF(Drawing!$F$2=14,Drawing!BC5,IF(Drawing!$Y$2=14,Drawing!AI17,IF(Drawing!$F$25=14,Drawing!P40,IF(Drawing!$Y$25=14,Drawing!AI40,IF(Drawing!$F$48=14,Drawing!P63,IF(Drawing!$Y$48=14,Drawing!AI63,IF(Pricing!W47="","",Pricing!W47))))))))</f>
        <v/>
      </c>
      <c r="Z51" s="240" t="str">
        <f>UPPER(IF(Drawing!$F$2=14,Drawing!BD5,IF(Drawing!$Y$2=14,Drawing!AJ17,IF(Drawing!$F$25=14,Drawing!Q40,IF(Drawing!$Y$25=14,Drawing!AJ40,IF(Drawing!$F$48=14,Drawing!Q63,IF(Drawing!$Y$48=14,Drawing!AJ63,IF(Pricing!X47="","",Pricing!X47))))))))</f>
        <v/>
      </c>
      <c r="AA51" s="240" t="str">
        <f>UPPER(IF(Drawing!$F$2=14,Drawing!BE5,IF(Drawing!$Y$2=14,Drawing!AK17,IF(Drawing!$F$25=14,Drawing!R40,IF(Drawing!$Y$25=14,Drawing!AK40,IF(Drawing!$F$48=14,Drawing!R63,IF(Drawing!$Y$48=14,Drawing!AK63,IF(Pricing!Y47="","",Pricing!Y47))))))))</f>
        <v/>
      </c>
      <c r="AB51" s="240" t="str">
        <f>UPPER(IF(Drawing!$F$2=14,Drawing!BF5,IF(Drawing!$Y$2=14,Drawing!AL17,IF(Drawing!$F$25=14,Drawing!S40,IF(Drawing!$Y$25=14,Drawing!AL40,IF(Drawing!$F$48=14,Drawing!S63,IF(Drawing!$Y$48=14,Drawing!AL63,IF(Pricing!Z47="","",Pricing!Z47))))))))</f>
        <v/>
      </c>
      <c r="AC51" s="240" t="str">
        <f>UPPER(IF(Drawing!$F$2=14,Drawing!BG5,IF(Drawing!$Y$2=14,Drawing!AM17,IF(Drawing!$F$25=14,Drawing!T40,IF(Drawing!$Y$25=14,Drawing!AM40,IF(Drawing!$F$48=14,Drawing!T63,IF(Drawing!$Y$48=14,Drawing!AM63,IF(Pricing!AA47="","",Pricing!AA47))))))))</f>
        <v/>
      </c>
      <c r="AD51" s="280"/>
      <c r="AE51" s="11" t="s">
        <v>22</v>
      </c>
    </row>
    <row r="52" spans="2:31" x14ac:dyDescent="0.25">
      <c r="B52" s="336"/>
      <c r="C52" s="10" t="str">
        <f>IF(Pricing!C48="","",Pricing!C48)</f>
        <v>patio R</v>
      </c>
      <c r="D52" s="710"/>
      <c r="E52" s="710"/>
      <c r="F52" s="524" t="str">
        <f>IF(Pricing!F48="","",Pricing!F48)</f>
        <v/>
      </c>
      <c r="G52" s="721"/>
      <c r="H52" s="702"/>
      <c r="I52" s="702"/>
      <c r="J52" s="710"/>
      <c r="K52" s="702"/>
      <c r="L52" s="702"/>
      <c r="M52" s="702"/>
      <c r="N52" s="702"/>
      <c r="O52" s="714"/>
      <c r="P52" s="655"/>
      <c r="Q52" s="710"/>
      <c r="R52" s="277" t="s">
        <v>155</v>
      </c>
      <c r="S52" s="13" t="str">
        <f>UPPER(IF(Drawing!$F$2=14,Drawing!J18,IF(Drawing!$Y$2=14,Drawing!AC18,IF(Drawing!$F$25=14,Drawing!J40,IF(Drawing!$Y$25=14,Drawing!AC41,IF(Drawing!$F$48=14,Drawing!J63,IF(Drawing!$Y$48=14,Drawing!AC63,"")))))))</f>
        <v/>
      </c>
      <c r="T52" s="13" t="str">
        <f>UPPER(IF(Drawing!$F$2=14,Drawing!K18,IF(Drawing!$Y$2=14,Drawing!AD18,IF(Drawing!$F$25=14,Drawing!K40,IF(Drawing!$Y$25=14,Drawing!AD41,IF(Drawing!$F$48=14,Drawing!K63,IF(Drawing!$Y$48=14,Drawing!AD63,"")))))))</f>
        <v/>
      </c>
      <c r="U52" s="13" t="str">
        <f>UPPER(IF(Drawing!$F$2=14,Drawing!L18,IF(Drawing!$Y$2=14,Drawing!AE18,IF(Drawing!$F$25=14,Drawing!L40,IF(Drawing!$Y$25=14,Drawing!AE41,IF(Drawing!$F$48=14,Drawing!L63,IF(Drawing!$Y$48=14,Drawing!AE63,"")))))))</f>
        <v/>
      </c>
      <c r="V52" s="13" t="str">
        <f>UPPER(IF(Drawing!$F$2=14,Drawing!M18,IF(Drawing!$Y$2=14,Drawing!AF18,IF(Drawing!$F$25=14,Drawing!M40,IF(Drawing!$Y$25=14,Drawing!AF41,IF(Drawing!$F$48=14,Drawing!M63,IF(Drawing!$Y$48=14,Drawing!AF63,"")))))))</f>
        <v/>
      </c>
      <c r="W52" s="13" t="str">
        <f>UPPER(IF(Drawing!$F$2=14,Drawing!N18,IF(Drawing!$Y$2=14,Drawing!AG18,IF(Drawing!$F$25=14,Drawing!N40,IF(Drawing!$Y$25=14,Drawing!AG41,IF(Drawing!$F$48=14,Drawing!N63,IF(Drawing!$Y$48=14,Drawing!AG63,"")))))))</f>
        <v/>
      </c>
      <c r="X52" s="13" t="str">
        <f>UPPER(IF(Drawing!$F$2=14,Drawing!O18,IF(Drawing!$Y$2=14,Drawing!AH18,IF(Drawing!$F$25=14,Drawing!O40,IF(Drawing!$Y$25=14,Drawing!AH41,IF(Drawing!$F$48=14,Drawing!O63,IF(Drawing!$Y$48=14,Drawing!AH63,"")))))))</f>
        <v/>
      </c>
      <c r="Y52" s="13" t="str">
        <f>UPPER(IF(Drawing!$F$2=14,Drawing!P18,IF(Drawing!$Y$2=14,Drawing!AI18,IF(Drawing!$F$25=14,Drawing!P40,IF(Drawing!$Y$25=14,Drawing!AI41,IF(Drawing!$F$48=14,Drawing!P63,IF(Drawing!$Y$48=14,Drawing!AI63,"")))))))</f>
        <v/>
      </c>
      <c r="Z52" s="13" t="str">
        <f>UPPER(IF(Drawing!$F$2=14,Drawing!Q18,IF(Drawing!$Y$2=14,Drawing!AJ18,IF(Drawing!$F$25=14,Drawing!Q40,IF(Drawing!$Y$25=14,Drawing!AJ41,IF(Drawing!$F$48=14,Drawing!Q63,IF(Drawing!$Y$48=14,Drawing!AJ63,"")))))))</f>
        <v/>
      </c>
      <c r="AA52" s="13" t="str">
        <f>UPPER(IF(Drawing!$F$2=14,Drawing!R18,IF(Drawing!$Y$2=14,Drawing!AK18,IF(Drawing!$F$25=14,Drawing!R40,IF(Drawing!$Y$25=14,Drawing!AK41,IF(Drawing!$F$48=14,Drawing!R63,IF(Drawing!$Y$48=14,Drawing!AK63,"")))))))</f>
        <v/>
      </c>
      <c r="AB52" s="13" t="str">
        <f>UPPER(IF(Drawing!$F$2=14,Drawing!S18,IF(Drawing!$Y$2=14,Drawing!AL18,IF(Drawing!$F$25=14,Drawing!S40,IF(Drawing!$Y$25=14,Drawing!AL41,IF(Drawing!$F$48=14,Drawing!S63,IF(Drawing!$Y$48=14,Drawing!AL63,"")))))))</f>
        <v/>
      </c>
      <c r="AC52" s="13" t="s">
        <v>20</v>
      </c>
      <c r="AD52" s="278"/>
      <c r="AE52" s="708">
        <f>IF(ISERROR(M51*N51/1000000),,M51*N51/1000000)</f>
        <v>0</v>
      </c>
    </row>
    <row r="53" spans="2:31" ht="15.75" thickBot="1" x14ac:dyDescent="0.3">
      <c r="B53" s="336"/>
      <c r="C53" s="242" t="str">
        <f>IF(Pricing!C49="","",Pricing!C49)</f>
        <v/>
      </c>
      <c r="D53" s="717"/>
      <c r="E53" s="717"/>
      <c r="F53" s="281" t="s">
        <v>28</v>
      </c>
      <c r="G53" s="14" t="str">
        <f>IF(Pricing!G49="","",Pricing!G49)</f>
        <v/>
      </c>
      <c r="H53" s="705"/>
      <c r="I53" s="705"/>
      <c r="J53" s="717"/>
      <c r="K53" s="705"/>
      <c r="L53" s="705"/>
      <c r="M53" s="705"/>
      <c r="N53" s="705"/>
      <c r="O53" s="715"/>
      <c r="P53" s="656"/>
      <c r="Q53" s="27" t="s">
        <v>156</v>
      </c>
      <c r="R53" s="27" t="s">
        <v>157</v>
      </c>
      <c r="S53" s="396"/>
      <c r="T53" s="397"/>
      <c r="U53" s="397"/>
      <c r="V53" s="397"/>
      <c r="W53" s="397"/>
      <c r="X53" s="397"/>
      <c r="Y53" s="397"/>
      <c r="Z53" s="397"/>
      <c r="AA53" s="397"/>
      <c r="AB53" s="397"/>
      <c r="AC53" s="398"/>
      <c r="AD53" s="266"/>
      <c r="AE53" s="709"/>
    </row>
    <row r="54" spans="2:31" x14ac:dyDescent="0.25">
      <c r="B54" s="336">
        <v>15</v>
      </c>
      <c r="C54" s="10" t="str">
        <f>IF(Pricing!C50="","",Pricing!C50)</f>
        <v/>
      </c>
      <c r="D54" s="702" t="str">
        <f>IF(Pricing!D50="","",Pricing!D50)</f>
        <v/>
      </c>
      <c r="E54" s="702" t="str">
        <f>IF(Pricing!E50="","",Pricing!E50)</f>
        <v/>
      </c>
      <c r="F54" s="723" t="str">
        <f>IF(Pricing!F50="","",Pricing!F50)</f>
        <v/>
      </c>
      <c r="G54" s="724"/>
      <c r="H54" s="702" t="str">
        <f>IF(Pricing!H50="","",Pricing!H50)</f>
        <v/>
      </c>
      <c r="I54" s="706" t="str">
        <f>IF(Pricing!I50="","",Pricing!I50)</f>
        <v/>
      </c>
      <c r="J54" s="25">
        <v>0</v>
      </c>
      <c r="K54" s="702"/>
      <c r="L54" s="702" t="str">
        <f>IF(Pricing!J50="","",Pricing!J50)</f>
        <v/>
      </c>
      <c r="M54" s="702" t="str">
        <f>UPPER(IF(Drawing!$F$2=15,Drawing!D17,IF(Drawing!$Y$2=15,Drawing!W17,IF(Drawing!$F$25=15,Drawing!D40,IF(Drawing!$Y$25=15,Drawing!W40,IF(Drawing!$F$48=15,Drawing!D63,IF(Drawing!$Y$48=15,Drawing!W63,"")))))))</f>
        <v/>
      </c>
      <c r="N54" s="702" t="str">
        <f>UPPER(IF(Drawing!$F$2=15,Drawing!D19,IF(Drawing!$Y$2=15,Drawing!W19,IF(Drawing!$F$25=15,Drawing!D42,IF(Drawing!$Y$25=15,Drawing!W42,IF(Drawing!$F$48=15,Drawing!D65,IF(Drawing!$Y$48=15,Drawing!W65,"")))))))</f>
        <v/>
      </c>
      <c r="O54" s="714" t="str">
        <f>UPPER(IF(Drawing!$F$2=15,Drawing!D21,IF(Drawing!$Y$2=15,Drawing!W21,IF(Drawing!$F$25=15,Drawing!D44,IF(Drawing!$Y$25=15,Drawing!W44,IF(Drawing!$F$48=15,Drawing!D67,IF(Drawing!$Y$48=15,Drawing!W67,"")))))))</f>
        <v/>
      </c>
      <c r="P54" s="654"/>
      <c r="Q54" s="716"/>
      <c r="R54" s="277" t="s">
        <v>154</v>
      </c>
      <c r="S54" s="240"/>
      <c r="T54" s="240" t="str">
        <f>UPPER(IF(Drawing!$F$2=15,Drawing!AX5,IF(Drawing!$Y$2=15,Drawing!AD17,IF(Drawing!$F$25=15,Drawing!K40,IF(Drawing!$Y$25=15,Drawing!AD40,IF(Drawing!$F$48=15,Drawing!K63,IF(Drawing!$Y$48=15,Drawing!AD63,IF(Pricing!R50="","",Pricing!R50))))))))</f>
        <v/>
      </c>
      <c r="U54" s="240" t="str">
        <f>UPPER(IF(Drawing!$F$2=15,Drawing!AY5,IF(Drawing!$Y$2=15,Drawing!AE17,IF(Drawing!$F$25=15,Drawing!L40,IF(Drawing!$Y$25=15,Drawing!AE40,IF(Drawing!$F$48=15,Drawing!L63,IF(Drawing!$Y$48=15,Drawing!AE63,IF(Pricing!S50="","",Pricing!S50))))))))</f>
        <v/>
      </c>
      <c r="V54" s="240" t="str">
        <f>UPPER(IF(Drawing!$F$2=15,Drawing!AZ5,IF(Drawing!$Y$2=15,Drawing!AF17,IF(Drawing!$F$25=15,Drawing!M40,IF(Drawing!$Y$25=15,Drawing!AF40,IF(Drawing!$F$48=15,Drawing!M63,IF(Drawing!$Y$48=15,Drawing!AF63,IF(Pricing!T50="","",Pricing!T50))))))))</f>
        <v/>
      </c>
      <c r="W54" s="240" t="str">
        <f>UPPER(IF(Drawing!$F$2=15,Drawing!BA5,IF(Drawing!$Y$2=15,Drawing!AG17,IF(Drawing!$F$25=15,Drawing!N40,IF(Drawing!$Y$25=15,Drawing!AG40,IF(Drawing!$F$48=15,Drawing!N63,IF(Drawing!$Y$48=15,Drawing!AG63,IF(Pricing!U50="","",Pricing!U50))))))))</f>
        <v/>
      </c>
      <c r="X54" s="240" t="str">
        <f>UPPER(IF(Drawing!$F$2=15,Drawing!BB5,IF(Drawing!$Y$2=15,Drawing!AH17,IF(Drawing!$F$25=15,Drawing!O40,IF(Drawing!$Y$25=15,Drawing!AH40,IF(Drawing!$F$48=15,Drawing!O63,IF(Drawing!$Y$48=15,Drawing!AH63,IF(Pricing!V50="","",Pricing!V50))))))))</f>
        <v/>
      </c>
      <c r="Y54" s="240" t="str">
        <f>UPPER(IF(Drawing!$F$2=15,Drawing!BC5,IF(Drawing!$Y$2=15,Drawing!AI17,IF(Drawing!$F$25=15,Drawing!P40,IF(Drawing!$Y$25=15,Drawing!AI40,IF(Drawing!$F$48=15,Drawing!P63,IF(Drawing!$Y$48=15,Drawing!AI63,IF(Pricing!W50="","",Pricing!W50))))))))</f>
        <v/>
      </c>
      <c r="Z54" s="240" t="str">
        <f>UPPER(IF(Drawing!$F$2=15,Drawing!BD5,IF(Drawing!$Y$2=15,Drawing!AJ17,IF(Drawing!$F$25=15,Drawing!Q40,IF(Drawing!$Y$25=15,Drawing!AJ40,IF(Drawing!$F$48=15,Drawing!Q63,IF(Drawing!$Y$48=15,Drawing!AJ63,IF(Pricing!X50="","",Pricing!X50))))))))</f>
        <v/>
      </c>
      <c r="AA54" s="240" t="str">
        <f>UPPER(IF(Drawing!$F$2=15,Drawing!BE5,IF(Drawing!$Y$2=15,Drawing!AK17,IF(Drawing!$F$25=15,Drawing!R40,IF(Drawing!$Y$25=15,Drawing!AK40,IF(Drawing!$F$48=15,Drawing!R63,IF(Drawing!$Y$48=15,Drawing!AK63,IF(Pricing!Y50="","",Pricing!Y50))))))))</f>
        <v/>
      </c>
      <c r="AB54" s="240" t="str">
        <f>UPPER(IF(Drawing!$F$2=15,Drawing!BF5,IF(Drawing!$Y$2=15,Drawing!AL17,IF(Drawing!$F$25=15,Drawing!S40,IF(Drawing!$Y$25=15,Drawing!AL40,IF(Drawing!$F$48=15,Drawing!S63,IF(Drawing!$Y$48=15,Drawing!AL63,IF(Pricing!Z50="","",Pricing!Z50))))))))</f>
        <v/>
      </c>
      <c r="AC54" s="240" t="str">
        <f>UPPER(IF(Drawing!$F$2=15,Drawing!BG5,IF(Drawing!$Y$2=15,Drawing!AM17,IF(Drawing!$F$25=15,Drawing!T40,IF(Drawing!$Y$25=15,Drawing!AM40,IF(Drawing!$F$48=15,Drawing!T63,IF(Drawing!$Y$48=15,Drawing!AM63,IF(Pricing!AA50="","",Pricing!AA50))))))))</f>
        <v/>
      </c>
      <c r="AD54" s="280"/>
      <c r="AE54" s="11" t="s">
        <v>22</v>
      </c>
    </row>
    <row r="55" spans="2:31" x14ac:dyDescent="0.25">
      <c r="B55" s="336"/>
      <c r="C55" s="10" t="str">
        <f>IF(Pricing!C51="","",Pricing!C51)</f>
        <v/>
      </c>
      <c r="D55" s="702"/>
      <c r="E55" s="702"/>
      <c r="F55" s="524" t="str">
        <f>IF(Pricing!F51="","",Pricing!F51)</f>
        <v/>
      </c>
      <c r="G55" s="523"/>
      <c r="H55" s="702"/>
      <c r="I55" s="702"/>
      <c r="J55" s="710"/>
      <c r="K55" s="702"/>
      <c r="L55" s="702"/>
      <c r="M55" s="702"/>
      <c r="N55" s="702"/>
      <c r="O55" s="714"/>
      <c r="P55" s="655"/>
      <c r="Q55" s="710"/>
      <c r="R55" s="277" t="s">
        <v>155</v>
      </c>
      <c r="S55" s="13" t="str">
        <f>UPPER(IF(Drawing!$F$2=15,Drawing!J18,IF(Drawing!$Y$2=15,Drawing!AC18,IF(Drawing!$F$25=15,Drawing!J40,IF(Drawing!$Y$25=15,Drawing!AC41,IF(Drawing!$F$48=15,Drawing!J63,IF(Drawing!$Y$48=15,Drawing!AC63,"")))))))</f>
        <v/>
      </c>
      <c r="T55" s="13" t="str">
        <f>UPPER(IF(Drawing!$F$2=15,Drawing!K18,IF(Drawing!$Y$2=15,Drawing!AD18,IF(Drawing!$F$25=15,Drawing!K40,IF(Drawing!$Y$25=15,Drawing!AD41,IF(Drawing!$F$48=15,Drawing!K63,IF(Drawing!$Y$48=15,Drawing!AD63,"")))))))</f>
        <v/>
      </c>
      <c r="U55" s="13" t="str">
        <f>UPPER(IF(Drawing!$F$2=15,Drawing!L18,IF(Drawing!$Y$2=15,Drawing!AE18,IF(Drawing!$F$25=15,Drawing!L40,IF(Drawing!$Y$25=15,Drawing!AE41,IF(Drawing!$F$48=15,Drawing!L63,IF(Drawing!$Y$48=15,Drawing!AE63,"")))))))</f>
        <v/>
      </c>
      <c r="V55" s="13" t="str">
        <f>UPPER(IF(Drawing!$F$2=15,Drawing!M18,IF(Drawing!$Y$2=15,Drawing!AF18,IF(Drawing!$F$25=15,Drawing!M40,IF(Drawing!$Y$25=15,Drawing!AF41,IF(Drawing!$F$48=15,Drawing!M63,IF(Drawing!$Y$48=15,Drawing!AF63,"")))))))</f>
        <v/>
      </c>
      <c r="W55" s="13" t="str">
        <f>UPPER(IF(Drawing!$F$2=15,Drawing!N18,IF(Drawing!$Y$2=15,Drawing!AG18,IF(Drawing!$F$25=15,Drawing!N40,IF(Drawing!$Y$25=15,Drawing!AG41,IF(Drawing!$F$48=15,Drawing!N63,IF(Drawing!$Y$48=15,Drawing!AG63,"")))))))</f>
        <v/>
      </c>
      <c r="X55" s="13" t="str">
        <f>UPPER(IF(Drawing!$F$2=15,Drawing!O18,IF(Drawing!$Y$2=15,Drawing!AH18,IF(Drawing!$F$25=15,Drawing!O40,IF(Drawing!$Y$25=15,Drawing!AH41,IF(Drawing!$F$48=15,Drawing!O63,IF(Drawing!$Y$48=15,Drawing!AH63,"")))))))</f>
        <v/>
      </c>
      <c r="Y55" s="13" t="str">
        <f>UPPER(IF(Drawing!$F$2=15,Drawing!P18,IF(Drawing!$Y$2=15,Drawing!AI18,IF(Drawing!$F$25=15,Drawing!P40,IF(Drawing!$Y$25=15,Drawing!AI41,IF(Drawing!$F$48=15,Drawing!P63,IF(Drawing!$Y$48=15,Drawing!AI63,"")))))))</f>
        <v/>
      </c>
      <c r="Z55" s="13" t="str">
        <f>UPPER(IF(Drawing!$F$2=15,Drawing!Q18,IF(Drawing!$Y$2=15,Drawing!AJ18,IF(Drawing!$F$25=15,Drawing!Q40,IF(Drawing!$Y$25=15,Drawing!AJ41,IF(Drawing!$F$48=15,Drawing!Q63,IF(Drawing!$Y$48=15,Drawing!AJ63,"")))))))</f>
        <v/>
      </c>
      <c r="AA55" s="13" t="str">
        <f>UPPER(IF(Drawing!$F$2=15,Drawing!R18,IF(Drawing!$Y$2=15,Drawing!AK18,IF(Drawing!$F$25=15,Drawing!R40,IF(Drawing!$Y$25=15,Drawing!AK41,IF(Drawing!$F$48=15,Drawing!R63,IF(Drawing!$Y$48=15,Drawing!AK63,"")))))))</f>
        <v/>
      </c>
      <c r="AB55" s="13" t="str">
        <f>UPPER(IF(Drawing!$F$2=15,Drawing!S18,IF(Drawing!$Y$2=15,Drawing!AL18,IF(Drawing!$F$25=15,Drawing!S40,IF(Drawing!$Y$25=15,Drawing!AL41,IF(Drawing!$F$48=15,Drawing!S63,IF(Drawing!$Y$48=15,Drawing!AL63,"")))))))</f>
        <v/>
      </c>
      <c r="AC55" s="13" t="s">
        <v>20</v>
      </c>
      <c r="AD55" s="278"/>
      <c r="AE55" s="708">
        <f>IF(ISERROR(M54*N54/1000000),,M54*N54/1000000)</f>
        <v>0</v>
      </c>
    </row>
    <row r="56" spans="2:31" ht="15.75" thickBot="1" x14ac:dyDescent="0.3">
      <c r="B56" s="336"/>
      <c r="C56" s="10" t="str">
        <f>IF(Pricing!C52="","",Pricing!C52)</f>
        <v/>
      </c>
      <c r="D56" s="705"/>
      <c r="E56" s="702"/>
      <c r="F56" s="279" t="s">
        <v>28</v>
      </c>
      <c r="G56" s="26" t="str">
        <f>IF(Pricing!G52="","",Pricing!G52)</f>
        <v/>
      </c>
      <c r="H56" s="705"/>
      <c r="I56" s="705"/>
      <c r="J56" s="717"/>
      <c r="K56" s="705"/>
      <c r="L56" s="705"/>
      <c r="M56" s="705"/>
      <c r="N56" s="705"/>
      <c r="O56" s="715"/>
      <c r="P56" s="656"/>
      <c r="Q56" s="27" t="s">
        <v>156</v>
      </c>
      <c r="R56" s="27" t="s">
        <v>157</v>
      </c>
      <c r="S56" s="396"/>
      <c r="T56" s="397"/>
      <c r="U56" s="397"/>
      <c r="V56" s="397"/>
      <c r="W56" s="397"/>
      <c r="X56" s="397"/>
      <c r="Y56" s="397"/>
      <c r="Z56" s="397"/>
      <c r="AA56" s="397"/>
      <c r="AB56" s="397"/>
      <c r="AC56" s="398"/>
      <c r="AD56" s="266"/>
      <c r="AE56" s="709"/>
    </row>
    <row r="57" spans="2:31" x14ac:dyDescent="0.25">
      <c r="B57" s="382" t="s">
        <v>158</v>
      </c>
      <c r="C57" s="383"/>
      <c r="D57" s="384"/>
      <c r="E57" s="391"/>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739"/>
    </row>
    <row r="58" spans="2:31" x14ac:dyDescent="0.25">
      <c r="B58" s="385"/>
      <c r="C58" s="386"/>
      <c r="D58" s="387"/>
      <c r="E58" s="394"/>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740"/>
    </row>
    <row r="59" spans="2:31" ht="15.75" thickBot="1" x14ac:dyDescent="0.3">
      <c r="B59" s="388"/>
      <c r="C59" s="389"/>
      <c r="D59" s="390"/>
      <c r="E59" s="396"/>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741"/>
    </row>
    <row r="60" spans="2:31" ht="15.75" thickBot="1" x14ac:dyDescent="0.3">
      <c r="B60" s="742"/>
      <c r="C60" s="743"/>
      <c r="D60" s="743"/>
      <c r="E60" s="743"/>
      <c r="F60" s="743"/>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c r="AE60" s="744"/>
    </row>
    <row r="61" spans="2:31" ht="15.75" thickTop="1" x14ac:dyDescent="0.25"/>
  </sheetData>
  <dataConsolidate/>
  <mergeCells count="280">
    <mergeCell ref="AA6:AB7"/>
    <mergeCell ref="AC6:AD7"/>
    <mergeCell ref="AA8:AB9"/>
    <mergeCell ref="AC8:AD9"/>
    <mergeCell ref="AE55:AE56"/>
    <mergeCell ref="S56:AC56"/>
    <mergeCell ref="B57:D59"/>
    <mergeCell ref="E57:AE59"/>
    <mergeCell ref="B60:AE60"/>
    <mergeCell ref="M54:M56"/>
    <mergeCell ref="N54:N56"/>
    <mergeCell ref="O54:O56"/>
    <mergeCell ref="Q54:Q55"/>
    <mergeCell ref="F55:G55"/>
    <mergeCell ref="J55:J56"/>
    <mergeCell ref="B54:B56"/>
    <mergeCell ref="D54:D56"/>
    <mergeCell ref="E54:E56"/>
    <mergeCell ref="F54:G54"/>
    <mergeCell ref="H54:H56"/>
    <mergeCell ref="I54:I56"/>
    <mergeCell ref="K54:K56"/>
    <mergeCell ref="L54:L56"/>
    <mergeCell ref="P54:P56"/>
    <mergeCell ref="M51:M53"/>
    <mergeCell ref="F52:G52"/>
    <mergeCell ref="J52:J53"/>
    <mergeCell ref="AE49:AE50"/>
    <mergeCell ref="S50:AC50"/>
    <mergeCell ref="B51:B53"/>
    <mergeCell ref="D51:D53"/>
    <mergeCell ref="E51:E53"/>
    <mergeCell ref="F51:G51"/>
    <mergeCell ref="H51:H53"/>
    <mergeCell ref="I51:I53"/>
    <mergeCell ref="K51:K53"/>
    <mergeCell ref="L51:L53"/>
    <mergeCell ref="M48:M50"/>
    <mergeCell ref="N48:N50"/>
    <mergeCell ref="O48:O50"/>
    <mergeCell ref="Q48:Q49"/>
    <mergeCell ref="F49:G49"/>
    <mergeCell ref="J49:J50"/>
    <mergeCell ref="AE52:AE53"/>
    <mergeCell ref="S53:AC53"/>
    <mergeCell ref="N51:N53"/>
    <mergeCell ref="O51:O53"/>
    <mergeCell ref="Q51:Q52"/>
    <mergeCell ref="AE46:AE47"/>
    <mergeCell ref="S47:AC47"/>
    <mergeCell ref="N45:N47"/>
    <mergeCell ref="O45:O47"/>
    <mergeCell ref="Q45:Q46"/>
    <mergeCell ref="B42:B44"/>
    <mergeCell ref="D42:D44"/>
    <mergeCell ref="E42:E44"/>
    <mergeCell ref="B48:B50"/>
    <mergeCell ref="D48:D50"/>
    <mergeCell ref="E48:E50"/>
    <mergeCell ref="F48:G48"/>
    <mergeCell ref="H48:H50"/>
    <mergeCell ref="I48:I50"/>
    <mergeCell ref="K48:K50"/>
    <mergeCell ref="L48:L50"/>
    <mergeCell ref="M45:M47"/>
    <mergeCell ref="F46:G46"/>
    <mergeCell ref="J46:J47"/>
    <mergeCell ref="B45:B47"/>
    <mergeCell ref="D45:D47"/>
    <mergeCell ref="E45:E47"/>
    <mergeCell ref="F45:G45"/>
    <mergeCell ref="H45:H47"/>
    <mergeCell ref="I45:I47"/>
    <mergeCell ref="K45:K47"/>
    <mergeCell ref="L45:L47"/>
    <mergeCell ref="M42:M44"/>
    <mergeCell ref="F43:G43"/>
    <mergeCell ref="J43:J44"/>
    <mergeCell ref="F42:G42"/>
    <mergeCell ref="H42:H44"/>
    <mergeCell ref="I42:I44"/>
    <mergeCell ref="K42:K44"/>
    <mergeCell ref="L42:L44"/>
    <mergeCell ref="AE37:AE38"/>
    <mergeCell ref="S38:AC38"/>
    <mergeCell ref="N36:N38"/>
    <mergeCell ref="O36:O38"/>
    <mergeCell ref="Q36:Q37"/>
    <mergeCell ref="AE40:AE41"/>
    <mergeCell ref="S41:AC41"/>
    <mergeCell ref="N39:N41"/>
    <mergeCell ref="O39:O41"/>
    <mergeCell ref="Q39:Q40"/>
    <mergeCell ref="AE43:AE44"/>
    <mergeCell ref="S44:AC44"/>
    <mergeCell ref="N42:N44"/>
    <mergeCell ref="O42:O44"/>
    <mergeCell ref="Q42:Q43"/>
    <mergeCell ref="B39:B41"/>
    <mergeCell ref="D39:D41"/>
    <mergeCell ref="E39:E41"/>
    <mergeCell ref="F39:G39"/>
    <mergeCell ref="H39:H41"/>
    <mergeCell ref="I39:I41"/>
    <mergeCell ref="K39:K41"/>
    <mergeCell ref="L39:L41"/>
    <mergeCell ref="M39:M41"/>
    <mergeCell ref="F40:G40"/>
    <mergeCell ref="J40:J41"/>
    <mergeCell ref="B36:B38"/>
    <mergeCell ref="D36:D38"/>
    <mergeCell ref="E36:E38"/>
    <mergeCell ref="F36:G36"/>
    <mergeCell ref="H36:H38"/>
    <mergeCell ref="I36:I38"/>
    <mergeCell ref="K36:K38"/>
    <mergeCell ref="L36:L38"/>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O30:O32"/>
    <mergeCell ref="Q30:Q31"/>
    <mergeCell ref="F31:G31"/>
    <mergeCell ref="J31:J32"/>
    <mergeCell ref="AE34:AE35"/>
    <mergeCell ref="S35:AC35"/>
    <mergeCell ref="N33:N35"/>
    <mergeCell ref="O33:O35"/>
    <mergeCell ref="Q33:Q34"/>
    <mergeCell ref="AE28:AE29"/>
    <mergeCell ref="S29:AC29"/>
    <mergeCell ref="N27:N29"/>
    <mergeCell ref="O27:O29"/>
    <mergeCell ref="Q27:Q28"/>
    <mergeCell ref="B24:B26"/>
    <mergeCell ref="D24:D26"/>
    <mergeCell ref="E24:E26"/>
    <mergeCell ref="B30:B32"/>
    <mergeCell ref="D30:D32"/>
    <mergeCell ref="E30:E32"/>
    <mergeCell ref="F30:G30"/>
    <mergeCell ref="H30:H32"/>
    <mergeCell ref="I30:I32"/>
    <mergeCell ref="K30:K32"/>
    <mergeCell ref="L30:L32"/>
    <mergeCell ref="M27:M29"/>
    <mergeCell ref="F28:G28"/>
    <mergeCell ref="J28:J29"/>
    <mergeCell ref="B27:B29"/>
    <mergeCell ref="D27:D29"/>
    <mergeCell ref="E27:E29"/>
    <mergeCell ref="F27:G27"/>
    <mergeCell ref="H27:H29"/>
    <mergeCell ref="I27:I29"/>
    <mergeCell ref="K27:K29"/>
    <mergeCell ref="L27:L29"/>
    <mergeCell ref="M24:M26"/>
    <mergeCell ref="F25:G25"/>
    <mergeCell ref="J25:J26"/>
    <mergeCell ref="F24:G24"/>
    <mergeCell ref="H24:H26"/>
    <mergeCell ref="I24:I26"/>
    <mergeCell ref="K24:K26"/>
    <mergeCell ref="L24:L26"/>
    <mergeCell ref="AE19:AE20"/>
    <mergeCell ref="S20:AC20"/>
    <mergeCell ref="N18:N20"/>
    <mergeCell ref="O18:O20"/>
    <mergeCell ref="Q18:Q19"/>
    <mergeCell ref="AE22:AE23"/>
    <mergeCell ref="S23:AC23"/>
    <mergeCell ref="N21:N23"/>
    <mergeCell ref="O21:O23"/>
    <mergeCell ref="Q21:Q22"/>
    <mergeCell ref="P18:P20"/>
    <mergeCell ref="AE25:AE26"/>
    <mergeCell ref="S26:AC26"/>
    <mergeCell ref="N24:N26"/>
    <mergeCell ref="O24:O26"/>
    <mergeCell ref="Q24:Q25"/>
    <mergeCell ref="B21:B23"/>
    <mergeCell ref="D21:D23"/>
    <mergeCell ref="E21:E23"/>
    <mergeCell ref="F21:G21"/>
    <mergeCell ref="H21:H23"/>
    <mergeCell ref="I21:I23"/>
    <mergeCell ref="K21:K23"/>
    <mergeCell ref="L21:L23"/>
    <mergeCell ref="M21:M23"/>
    <mergeCell ref="F22:G22"/>
    <mergeCell ref="J22:J23"/>
    <mergeCell ref="P21:P23"/>
    <mergeCell ref="P24:P26"/>
    <mergeCell ref="B18:B20"/>
    <mergeCell ref="D18:D20"/>
    <mergeCell ref="E18:E20"/>
    <mergeCell ref="F18:G18"/>
    <mergeCell ref="H18:H20"/>
    <mergeCell ref="I18:I20"/>
    <mergeCell ref="K18:K20"/>
    <mergeCell ref="L18:L20"/>
    <mergeCell ref="M15:M17"/>
    <mergeCell ref="F16:G16"/>
    <mergeCell ref="J16:J17"/>
    <mergeCell ref="M18:M20"/>
    <mergeCell ref="F19:G19"/>
    <mergeCell ref="J19:J20"/>
    <mergeCell ref="AE13:AE14"/>
    <mergeCell ref="S14:AC14"/>
    <mergeCell ref="B15:B17"/>
    <mergeCell ref="D15:D17"/>
    <mergeCell ref="E15:E17"/>
    <mergeCell ref="F15:G15"/>
    <mergeCell ref="H15:H17"/>
    <mergeCell ref="I15:I17"/>
    <mergeCell ref="K15:K17"/>
    <mergeCell ref="L15:L17"/>
    <mergeCell ref="M12:M14"/>
    <mergeCell ref="N12:N14"/>
    <mergeCell ref="O12:O14"/>
    <mergeCell ref="Q12:Q13"/>
    <mergeCell ref="F13:G13"/>
    <mergeCell ref="J13:J14"/>
    <mergeCell ref="AE16:AE17"/>
    <mergeCell ref="S17:AC17"/>
    <mergeCell ref="N15:N17"/>
    <mergeCell ref="O15:O17"/>
    <mergeCell ref="Q15:Q16"/>
    <mergeCell ref="P15:P17"/>
    <mergeCell ref="F11:G11"/>
    <mergeCell ref="R11:AC11"/>
    <mergeCell ref="B12:B14"/>
    <mergeCell ref="D12:D14"/>
    <mergeCell ref="E12:E14"/>
    <mergeCell ref="F12:G12"/>
    <mergeCell ref="H12:H14"/>
    <mergeCell ref="I12:I14"/>
    <mergeCell ref="K12:K14"/>
    <mergeCell ref="L12:L14"/>
    <mergeCell ref="P12:P14"/>
    <mergeCell ref="B6:C9"/>
    <mergeCell ref="E6:H7"/>
    <mergeCell ref="J6:L7"/>
    <mergeCell ref="M6:N7"/>
    <mergeCell ref="O6:Q7"/>
    <mergeCell ref="R6:T7"/>
    <mergeCell ref="U6:Z7"/>
    <mergeCell ref="E8:H9"/>
    <mergeCell ref="J8:L9"/>
    <mergeCell ref="M8:N8"/>
    <mergeCell ref="O8:Q8"/>
    <mergeCell ref="R8:T9"/>
    <mergeCell ref="U8:V9"/>
    <mergeCell ref="W8:Z9"/>
    <mergeCell ref="M9:N9"/>
    <mergeCell ref="O9:Q9"/>
    <mergeCell ref="P27:P29"/>
    <mergeCell ref="P30:P32"/>
    <mergeCell ref="P33:P35"/>
    <mergeCell ref="P36:P38"/>
    <mergeCell ref="P39:P41"/>
    <mergeCell ref="P42:P44"/>
    <mergeCell ref="P45:P47"/>
    <mergeCell ref="P48:P50"/>
    <mergeCell ref="P51:P53"/>
  </mergeCells>
  <conditionalFormatting sqref="J13:J14 J34:J35">
    <cfRule type="expression" dxfId="603" priority="566">
      <formula>$J12&gt;=4</formula>
    </cfRule>
  </conditionalFormatting>
  <conditionalFormatting sqref="L12:L14">
    <cfRule type="expression" dxfId="602" priority="562">
      <formula>AND($H12="89mm",$N12-$O12&lt;370)</formula>
    </cfRule>
    <cfRule type="expression" dxfId="601" priority="563">
      <formula>AND($H12="63mm",$N12-$O12&lt;290)</formula>
    </cfRule>
    <cfRule type="expression" dxfId="600" priority="564">
      <formula>AND($H12="76mm",$N$12-$O$12&lt;370)</formula>
    </cfRule>
  </conditionalFormatting>
  <conditionalFormatting sqref="C21:AE23">
    <cfRule type="expression" dxfId="599" priority="548">
      <formula>$AD$21="Q"</formula>
    </cfRule>
  </conditionalFormatting>
  <conditionalFormatting sqref="C12:G14 O12:AE14 I15:I17 I12:L14">
    <cfRule type="expression" dxfId="598" priority="154">
      <formula>$AD$12="Q"</formula>
    </cfRule>
  </conditionalFormatting>
  <conditionalFormatting sqref="C15:D17 AD16:AE16 M12:N14 J16:AB16 J17:AE17 J15:AE15 F15:G17">
    <cfRule type="expression" dxfId="597" priority="546">
      <formula>$AD$15="Q"</formula>
    </cfRule>
  </conditionalFormatting>
  <conditionalFormatting sqref="C24:AE26">
    <cfRule type="expression" dxfId="596" priority="545">
      <formula>$AD$24="Q"</formula>
    </cfRule>
  </conditionalFormatting>
  <conditionalFormatting sqref="C30:AE32">
    <cfRule type="expression" dxfId="595" priority="544">
      <formula>$AD$30="Q"</formula>
    </cfRule>
  </conditionalFormatting>
  <conditionalFormatting sqref="J16:J17">
    <cfRule type="expression" dxfId="594" priority="538">
      <formula>$J15&gt;=4</formula>
    </cfRule>
  </conditionalFormatting>
  <conditionalFormatting sqref="L15:L17">
    <cfRule type="expression" dxfId="593" priority="534">
      <formula>AND($H15="89mm",$N15-$O15&lt;370)</formula>
    </cfRule>
    <cfRule type="expression" dxfId="592" priority="535">
      <formula>AND($H15="63mm",$N15-$O15&lt;290)</formula>
    </cfRule>
    <cfRule type="expression" dxfId="591" priority="536">
      <formula>AND($H15="76mm",$N$12-$O$12&lt;370)</formula>
    </cfRule>
  </conditionalFormatting>
  <conditionalFormatting sqref="N12:N17">
    <cfRule type="expression" dxfId="590" priority="523">
      <formula>AND($N12&gt;3657,$E12="Antigua")</formula>
    </cfRule>
    <cfRule type="expression" dxfId="589" priority="524">
      <formula>AND($N12&gt;3657,$E12="Bermuda")</formula>
    </cfRule>
    <cfRule type="expression" dxfId="588" priority="525">
      <formula>AND($N12&gt;3657,$E12="Cuba")</formula>
    </cfRule>
    <cfRule type="expression" dxfId="587" priority="526">
      <formula>AND($N12&gt;3657,$E12="Java")</formula>
    </cfRule>
    <cfRule type="expression" dxfId="586" priority="527">
      <formula>AND($N12&gt;3000,$E12="Fiji")</formula>
    </cfRule>
    <cfRule type="expression" dxfId="585" priority="528">
      <formula>AND($N12&gt;3657,$E12="Samoa")</formula>
    </cfRule>
  </conditionalFormatting>
  <conditionalFormatting sqref="M12:M17">
    <cfRule type="expression" dxfId="584" priority="521">
      <formula>AND($E12="Antigua",$H12="47mm",$M12&gt;644,$AB$11="R")</formula>
    </cfRule>
    <cfRule type="expression" dxfId="583" priority="522">
      <formula>AND($E12="Antigua",$H12="47mm",$M12&gt;644,$AB$11="L")</formula>
    </cfRule>
  </conditionalFormatting>
  <conditionalFormatting sqref="M12:M17">
    <cfRule type="expression" dxfId="582" priority="539">
      <formula>AND($E12="Antigua",$H12="47mm",$M12&gt;644,$AB$11="L")</formula>
    </cfRule>
  </conditionalFormatting>
  <conditionalFormatting sqref="M12:M17">
    <cfRule type="expression" dxfId="581" priority="540">
      <formula>AND($E12="Antigua",$H12="47mm",$M12&gt;644,$AB$11="R")</formula>
    </cfRule>
  </conditionalFormatting>
  <conditionalFormatting sqref="J19:J20">
    <cfRule type="expression" dxfId="580" priority="518">
      <formula>$J18&gt;=4</formula>
    </cfRule>
  </conditionalFormatting>
  <conditionalFormatting sqref="O18:P18 O19:O20">
    <cfRule type="expression" dxfId="579" priority="509">
      <formula>AND($N$12&gt;2133,$E18="Samoa",$O$12 ="")</formula>
    </cfRule>
    <cfRule type="expression" dxfId="578" priority="510">
      <formula>AND($N18&gt;1981,$E18="Fiji",$O$12 ="")</formula>
    </cfRule>
    <cfRule type="expression" dxfId="577" priority="511">
      <formula>AND($N$12&gt;1828,$E18="Java",$O$12 ="")</formula>
    </cfRule>
    <cfRule type="expression" dxfId="576" priority="512">
      <formula>AND($N$12&gt;1981,$E18="Cuba",$O$12 ="")</formula>
    </cfRule>
    <cfRule type="expression" dxfId="575" priority="513">
      <formula>AND($N$12&gt;1981,$E18="Bermuda",$O$12 ="")</formula>
    </cfRule>
    <cfRule type="expression" dxfId="574" priority="517">
      <formula>AND($N$12&gt;1879,$E18="Antigua",$O$12 ="")</formula>
    </cfRule>
  </conditionalFormatting>
  <conditionalFormatting sqref="L18:L20">
    <cfRule type="expression" dxfId="573" priority="514">
      <formula>AND($H18="89mm",$N18-$O18&lt;370)</formula>
    </cfRule>
    <cfRule type="expression" dxfId="572" priority="515">
      <formula>AND($H18="63mm",$N18-$O18&lt;290)</formula>
    </cfRule>
    <cfRule type="expression" dxfId="571" priority="516">
      <formula>AND($H18="76mm",$N$12-$O$12&lt;370)</formula>
    </cfRule>
  </conditionalFormatting>
  <conditionalFormatting sqref="N18:N20">
    <cfRule type="expression" dxfId="570" priority="503">
      <formula>AND($N18&gt;3657,$E18="Antigua")</formula>
    </cfRule>
    <cfRule type="expression" dxfId="569" priority="504">
      <formula>AND($N18&gt;3657,$E18="Bermuda")</formula>
    </cfRule>
    <cfRule type="expression" dxfId="568" priority="505">
      <formula>AND($N18&gt;3657,$E18="Cuba")</formula>
    </cfRule>
    <cfRule type="expression" dxfId="567" priority="506">
      <formula>AND($N18&gt;3657,$E18="Java")</formula>
    </cfRule>
    <cfRule type="expression" dxfId="566" priority="507">
      <formula>AND($N18&gt;3000,$E18="Fiji")</formula>
    </cfRule>
    <cfRule type="expression" dxfId="565" priority="508">
      <formula>AND($N18&gt;3657,$E18="Samoa")</formula>
    </cfRule>
  </conditionalFormatting>
  <conditionalFormatting sqref="M18:M20">
    <cfRule type="expression" dxfId="564" priority="501">
      <formula>AND($E18="Antigua",$H18="47mm",$M18&gt;644,$AB$11="R")</formula>
    </cfRule>
    <cfRule type="expression" dxfId="563" priority="502">
      <formula>AND($E18="Antigua",$H18="47mm",$M18&gt;644,$AB$11="L")</formula>
    </cfRule>
  </conditionalFormatting>
  <conditionalFormatting sqref="M18:M20">
    <cfRule type="expression" dxfId="562" priority="519">
      <formula>AND($E18="Antigua",$H18="47mm",$M18&gt;644,$AB$11="L")</formula>
    </cfRule>
  </conditionalFormatting>
  <conditionalFormatting sqref="M18:M20">
    <cfRule type="expression" dxfId="561" priority="520">
      <formula>AND($E18="Antigua",$H18="47mm",$M18&gt;644,$AB$11="R")</formula>
    </cfRule>
  </conditionalFormatting>
  <conditionalFormatting sqref="J22:J23">
    <cfRule type="expression" dxfId="560" priority="498">
      <formula>$J21&gt;=4</formula>
    </cfRule>
  </conditionalFormatting>
  <conditionalFormatting sqref="O21:P21 O22:O23">
    <cfRule type="expression" dxfId="559" priority="489">
      <formula>AND($N$12&gt;2133,$E21="Samoa",$O$12 ="")</formula>
    </cfRule>
    <cfRule type="expression" dxfId="558" priority="490">
      <formula>AND($N21&gt;1981,$E21="Fiji",$O$12 ="")</formula>
    </cfRule>
    <cfRule type="expression" dxfId="557" priority="491">
      <formula>AND($N$12&gt;1828,$E21="Java",$O$12 ="")</formula>
    </cfRule>
    <cfRule type="expression" dxfId="556" priority="492">
      <formula>AND($N$12&gt;1981,$E21="Cuba",$O$12 ="")</formula>
    </cfRule>
    <cfRule type="expression" dxfId="555" priority="493">
      <formula>AND($N$12&gt;1981,$E21="Bermuda",$O$12 ="")</formula>
    </cfRule>
    <cfRule type="expression" dxfId="554" priority="497">
      <formula>AND($N$12&gt;1879,$E21="Antigua",$O$12 ="")</formula>
    </cfRule>
  </conditionalFormatting>
  <conditionalFormatting sqref="L21:L23">
    <cfRule type="expression" dxfId="553" priority="494">
      <formula>AND($H21="89mm",$N21-$O21&lt;370)</formula>
    </cfRule>
    <cfRule type="expression" dxfId="552" priority="495">
      <formula>AND($H21="63mm",$N21-$O21&lt;290)</formula>
    </cfRule>
    <cfRule type="expression" dxfId="551" priority="496">
      <formula>AND($H21="76mm",$N$12-$O$12&lt;370)</formula>
    </cfRule>
  </conditionalFormatting>
  <conditionalFormatting sqref="N21:N23">
    <cfRule type="expression" dxfId="550" priority="483">
      <formula>AND($N21&gt;3657,$E21="Antigua")</formula>
    </cfRule>
    <cfRule type="expression" dxfId="549" priority="484">
      <formula>AND($N21&gt;3657,$E21="Bermuda")</formula>
    </cfRule>
    <cfRule type="expression" dxfId="548" priority="485">
      <formula>AND($N21&gt;3657,$E21="Cuba")</formula>
    </cfRule>
    <cfRule type="expression" dxfId="547" priority="486">
      <formula>AND($N21&gt;3657,$E21="Java")</formula>
    </cfRule>
    <cfRule type="expression" dxfId="546" priority="487">
      <formula>AND($N21&gt;3000,$E21="Fiji")</formula>
    </cfRule>
    <cfRule type="expression" dxfId="545" priority="488">
      <formula>AND($N21&gt;3657,$E21="Samoa")</formula>
    </cfRule>
  </conditionalFormatting>
  <conditionalFormatting sqref="M21:M23">
    <cfRule type="expression" dxfId="544" priority="481">
      <formula>AND($E21="Antigua",$H21="47mm",$M21&gt;644,$AB$11="R")</formula>
    </cfRule>
    <cfRule type="expression" dxfId="543" priority="482">
      <formula>AND($E21="Antigua",$H21="47mm",$M21&gt;644,$AB$11="L")</formula>
    </cfRule>
  </conditionalFormatting>
  <conditionalFormatting sqref="M21:M23">
    <cfRule type="expression" dxfId="542" priority="499">
      <formula>AND($E21="Antigua",$H21="47mm",$M21&gt;644,$AB$11="L")</formula>
    </cfRule>
  </conditionalFormatting>
  <conditionalFormatting sqref="M21:M23">
    <cfRule type="expression" dxfId="541" priority="500">
      <formula>AND($E21="Antigua",$H21="47mm",$M21&gt;644,$AB$11="R")</formula>
    </cfRule>
  </conditionalFormatting>
  <conditionalFormatting sqref="J25:J26">
    <cfRule type="expression" dxfId="540" priority="478">
      <formula>$J24&gt;=4</formula>
    </cfRule>
  </conditionalFormatting>
  <conditionalFormatting sqref="O24:P24 O25:O26">
    <cfRule type="expression" dxfId="539" priority="469">
      <formula>AND($N$12&gt;2133,$E24="Samoa",$O$12 ="")</formula>
    </cfRule>
    <cfRule type="expression" dxfId="538" priority="470">
      <formula>AND($N24&gt;1981,$E24="Fiji",$O$12 ="")</formula>
    </cfRule>
    <cfRule type="expression" dxfId="537" priority="471">
      <formula>AND($N$12&gt;1828,$E24="Java",$O$12 ="")</formula>
    </cfRule>
    <cfRule type="expression" dxfId="536" priority="472">
      <formula>AND($N$12&gt;1981,$E24="Cuba",$O$12 ="")</formula>
    </cfRule>
    <cfRule type="expression" dxfId="535" priority="473">
      <formula>AND($N$12&gt;1981,$E24="Bermuda",$O$12 ="")</formula>
    </cfRule>
    <cfRule type="expression" dxfId="534" priority="477">
      <formula>AND($N$12&gt;1879,$E24="Antigua",$O$12 ="")</formula>
    </cfRule>
  </conditionalFormatting>
  <conditionalFormatting sqref="L24:L26">
    <cfRule type="expression" dxfId="533" priority="474">
      <formula>AND($H24="89mm",$N24-$O24&lt;370)</formula>
    </cfRule>
    <cfRule type="expression" dxfId="532" priority="475">
      <formula>AND($H24="63mm",$N24-$O24&lt;290)</formula>
    </cfRule>
    <cfRule type="expression" dxfId="531" priority="476">
      <formula>AND($H24="76mm",$N$12-$O$12&lt;370)</formula>
    </cfRule>
  </conditionalFormatting>
  <conditionalFormatting sqref="N24:N26">
    <cfRule type="expression" dxfId="530" priority="463">
      <formula>AND($N24&gt;3657,$E24="Antigua")</formula>
    </cfRule>
    <cfRule type="expression" dxfId="529" priority="464">
      <formula>AND($N24&gt;3657,$E24="Bermuda")</formula>
    </cfRule>
    <cfRule type="expression" dxfId="528" priority="465">
      <formula>AND($N24&gt;3657,$E24="Cuba")</formula>
    </cfRule>
    <cfRule type="expression" dxfId="527" priority="466">
      <formula>AND($N24&gt;3657,$E24="Java")</formula>
    </cfRule>
    <cfRule type="expression" dxfId="526" priority="467">
      <formula>AND($N24&gt;3000,$E24="Fiji")</formula>
    </cfRule>
    <cfRule type="expression" dxfId="525" priority="468">
      <formula>AND($N24&gt;3657,$E24="Samoa")</formula>
    </cfRule>
  </conditionalFormatting>
  <conditionalFormatting sqref="M24:M26">
    <cfRule type="expression" dxfId="524" priority="461">
      <formula>AND($E24="Antigua",$H24="47mm",$M24&gt;644,$AB$11="R")</formula>
    </cfRule>
    <cfRule type="expression" dxfId="523" priority="462">
      <formula>AND($E24="Antigua",$H24="47mm",$M24&gt;644,$AB$11="L")</formula>
    </cfRule>
  </conditionalFormatting>
  <conditionalFormatting sqref="M24:M26">
    <cfRule type="expression" dxfId="522" priority="479">
      <formula>AND($E24="Antigua",$H24="47mm",$M24&gt;644,$AB$11="L")</formula>
    </cfRule>
  </conditionalFormatting>
  <conditionalFormatting sqref="M24:M26">
    <cfRule type="expression" dxfId="521" priority="480">
      <formula>AND($E24="Antigua",$H24="47mm",$M24&gt;644,$AB$11="R")</formula>
    </cfRule>
  </conditionalFormatting>
  <conditionalFormatting sqref="J28:J29">
    <cfRule type="expression" dxfId="520" priority="458">
      <formula>$J27&gt;=4</formula>
    </cfRule>
  </conditionalFormatting>
  <conditionalFormatting sqref="O27:P27 O28:O29">
    <cfRule type="expression" dxfId="519" priority="449">
      <formula>AND($N$12&gt;2133,$E27="Samoa",$O$12 ="")</formula>
    </cfRule>
    <cfRule type="expression" dxfId="518" priority="450">
      <formula>AND($N27&gt;1981,$E27="Fiji",$O$12 ="")</formula>
    </cfRule>
    <cfRule type="expression" dxfId="517" priority="451">
      <formula>AND($N$12&gt;1828,$E27="Java",$O$12 ="")</formula>
    </cfRule>
    <cfRule type="expression" dxfId="516" priority="452">
      <formula>AND($N$12&gt;1981,$E27="Cuba",$O$12 ="")</formula>
    </cfRule>
    <cfRule type="expression" dxfId="515" priority="453">
      <formula>AND($N$12&gt;1981,$E27="Bermuda",$O$12 ="")</formula>
    </cfRule>
    <cfRule type="expression" dxfId="514" priority="457">
      <formula>AND($N$12&gt;1879,$E27="Antigua",$O$12 ="")</formula>
    </cfRule>
  </conditionalFormatting>
  <conditionalFormatting sqref="L27:L29">
    <cfRule type="expression" dxfId="513" priority="454">
      <formula>AND($H27="89mm",$N27-$O27&lt;370)</formula>
    </cfRule>
    <cfRule type="expression" dxfId="512" priority="455">
      <formula>AND($H27="63mm",$N27-$O27&lt;290)</formula>
    </cfRule>
    <cfRule type="expression" dxfId="511" priority="456">
      <formula>AND($H27="76mm",$N$12-$O$12&lt;370)</formula>
    </cfRule>
  </conditionalFormatting>
  <conditionalFormatting sqref="N27:N29">
    <cfRule type="expression" dxfId="510" priority="443">
      <formula>AND($N27&gt;3657,$E27="Antigua")</formula>
    </cfRule>
    <cfRule type="expression" dxfId="509" priority="444">
      <formula>AND($N27&gt;3657,$E27="Bermuda")</formula>
    </cfRule>
    <cfRule type="expression" dxfId="508" priority="445">
      <formula>AND($N27&gt;3657,$E27="Cuba")</formula>
    </cfRule>
    <cfRule type="expression" dxfId="507" priority="446">
      <formula>AND($N27&gt;3657,$E27="Java")</formula>
    </cfRule>
    <cfRule type="expression" dxfId="506" priority="447">
      <formula>AND($N27&gt;3000,$E27="Fiji")</formula>
    </cfRule>
    <cfRule type="expression" dxfId="505" priority="448">
      <formula>AND($N27&gt;3657,$E27="Samoa")</formula>
    </cfRule>
  </conditionalFormatting>
  <conditionalFormatting sqref="M27:M29">
    <cfRule type="expression" dxfId="504" priority="441">
      <formula>AND($E27="Antigua",$H27="47mm",$M27&gt;644,$AB$11="R")</formula>
    </cfRule>
    <cfRule type="expression" dxfId="503" priority="442">
      <formula>AND($E27="Antigua",$H27="47mm",$M27&gt;644,$AB$11="L")</formula>
    </cfRule>
  </conditionalFormatting>
  <conditionalFormatting sqref="M27:M29">
    <cfRule type="expression" dxfId="502" priority="459">
      <formula>AND($E27="Antigua",$H27="47mm",$M27&gt;644,$AB$11="L")</formula>
    </cfRule>
  </conditionalFormatting>
  <conditionalFormatting sqref="M27:M29">
    <cfRule type="expression" dxfId="501" priority="460">
      <formula>AND($E27="Antigua",$H27="47mm",$M27&gt;644,$AB$11="R")</formula>
    </cfRule>
  </conditionalFormatting>
  <conditionalFormatting sqref="J31:J32">
    <cfRule type="expression" dxfId="500" priority="438">
      <formula>$J30&gt;=4</formula>
    </cfRule>
  </conditionalFormatting>
  <conditionalFormatting sqref="O30:P30 O31:O32">
    <cfRule type="expression" dxfId="499" priority="429">
      <formula>AND($N$12&gt;2133,$E30="Samoa",$O$12 ="")</formula>
    </cfRule>
    <cfRule type="expression" dxfId="498" priority="430">
      <formula>AND($N30&gt;1981,$E30="Fiji",$O$12 ="")</formula>
    </cfRule>
    <cfRule type="expression" dxfId="497" priority="431">
      <formula>AND($N$12&gt;1828,$E30="Java",$O$12 ="")</formula>
    </cfRule>
    <cfRule type="expression" dxfId="496" priority="432">
      <formula>AND($N$12&gt;1981,$E30="Cuba",$O$12 ="")</formula>
    </cfRule>
    <cfRule type="expression" dxfId="495" priority="433">
      <formula>AND($N$12&gt;1981,$E30="Bermuda",$O$12 ="")</formula>
    </cfRule>
    <cfRule type="expression" dxfId="494" priority="437">
      <formula>AND($N$12&gt;1879,$E30="Antigua",$O$12 ="")</formula>
    </cfRule>
  </conditionalFormatting>
  <conditionalFormatting sqref="L30:L32">
    <cfRule type="expression" dxfId="493" priority="434">
      <formula>AND($H30="89mm",$N30-$O30&lt;370)</formula>
    </cfRule>
    <cfRule type="expression" dxfId="492" priority="435">
      <formula>AND($H30="63mm",$N30-$O30&lt;290)</formula>
    </cfRule>
    <cfRule type="expression" dxfId="491" priority="436">
      <formula>AND($H30="76mm",$N$12-$O$12&lt;370)</formula>
    </cfRule>
  </conditionalFormatting>
  <conditionalFormatting sqref="N30:N32">
    <cfRule type="expression" dxfId="490" priority="423">
      <formula>AND($N30&gt;3657,$E30="Antigua")</formula>
    </cfRule>
    <cfRule type="expression" dxfId="489" priority="424">
      <formula>AND($N30&gt;3657,$E30="Bermuda")</formula>
    </cfRule>
    <cfRule type="expression" dxfId="488" priority="425">
      <formula>AND($N30&gt;3657,$E30="Cuba")</formula>
    </cfRule>
    <cfRule type="expression" dxfId="487" priority="426">
      <formula>AND($N30&gt;3657,$E30="Java")</formula>
    </cfRule>
    <cfRule type="expression" dxfId="486" priority="427">
      <formula>AND($N30&gt;3000,$E30="Fiji")</formula>
    </cfRule>
    <cfRule type="expression" dxfId="485" priority="428">
      <formula>AND($N30&gt;3657,$E30="Samoa")</formula>
    </cfRule>
  </conditionalFormatting>
  <conditionalFormatting sqref="M30:M32">
    <cfRule type="expression" dxfId="484" priority="421">
      <formula>AND($E30="Antigua",$H30="47mm",$M30&gt;644,$AB$11="R")</formula>
    </cfRule>
    <cfRule type="expression" dxfId="483" priority="422">
      <formula>AND($E30="Antigua",$H30="47mm",$M30&gt;644,$AB$11="L")</formula>
    </cfRule>
  </conditionalFormatting>
  <conditionalFormatting sqref="M30:M32">
    <cfRule type="expression" dxfId="482" priority="439">
      <formula>AND($E30="Antigua",$H30="47mm",$M30&gt;644,$AB$11="L")</formula>
    </cfRule>
  </conditionalFormatting>
  <conditionalFormatting sqref="M30:M32">
    <cfRule type="expression" dxfId="481" priority="440">
      <formula>AND($E30="Antigua",$H30="47mm",$M30&gt;644,$AB$11="R")</formula>
    </cfRule>
  </conditionalFormatting>
  <conditionalFormatting sqref="O33:P33 O34:O35">
    <cfRule type="expression" dxfId="480" priority="410">
      <formula>AND($N$12&gt;2133,$E33="Samoa",$O$12 ="")</formula>
    </cfRule>
    <cfRule type="expression" dxfId="479" priority="411">
      <formula>AND($N33&gt;1981,$E33="Fiji",$O$12 ="")</formula>
    </cfRule>
    <cfRule type="expression" dxfId="478" priority="412">
      <formula>AND($N$12&gt;1828,$E33="Java",$O$12 ="")</formula>
    </cfRule>
    <cfRule type="expression" dxfId="477" priority="413">
      <formula>AND($N$12&gt;1981,$E33="Cuba",$O$12 ="")</formula>
    </cfRule>
    <cfRule type="expression" dxfId="476" priority="414">
      <formula>AND($N$12&gt;1981,$E33="Bermuda",$O$12 ="")</formula>
    </cfRule>
    <cfRule type="expression" dxfId="475" priority="418">
      <formula>AND($N$12&gt;1879,$E33="Antigua",$O$12 ="")</formula>
    </cfRule>
  </conditionalFormatting>
  <conditionalFormatting sqref="L33:L35">
    <cfRule type="expression" dxfId="474" priority="415">
      <formula>AND($H33="89mm",$N33-$O33&lt;370)</formula>
    </cfRule>
    <cfRule type="expression" dxfId="473" priority="416">
      <formula>AND($H33="63mm",$N33-$O33&lt;290)</formula>
    </cfRule>
    <cfRule type="expression" dxfId="472" priority="417">
      <formula>AND($H33="76mm",$N$12-$O$12&lt;370)</formula>
    </cfRule>
  </conditionalFormatting>
  <conditionalFormatting sqref="N33:N35">
    <cfRule type="expression" dxfId="471" priority="404">
      <formula>AND($N33&gt;3657,$E33="Antigua")</formula>
    </cfRule>
    <cfRule type="expression" dxfId="470" priority="405">
      <formula>AND($N33&gt;3657,$E33="Bermuda")</formula>
    </cfRule>
    <cfRule type="expression" dxfId="469" priority="406">
      <formula>AND($N33&gt;3657,$E33="Cuba")</formula>
    </cfRule>
    <cfRule type="expression" dxfId="468" priority="407">
      <formula>AND($N33&gt;3657,$E33="Java")</formula>
    </cfRule>
    <cfRule type="expression" dxfId="467" priority="408">
      <formula>AND($N33&gt;3000,$E33="Fiji")</formula>
    </cfRule>
    <cfRule type="expression" dxfId="466" priority="409">
      <formula>AND($N33&gt;3657,$E33="Samoa")</formula>
    </cfRule>
  </conditionalFormatting>
  <conditionalFormatting sqref="M33:M35">
    <cfRule type="expression" dxfId="465" priority="402">
      <formula>AND($E33="Antigua",$H33="47mm",$M33&gt;644,$AB$11="R")</formula>
    </cfRule>
    <cfRule type="expression" dxfId="464" priority="403">
      <formula>AND($E33="Antigua",$H33="47mm",$M33&gt;644,$AB$11="L")</formula>
    </cfRule>
  </conditionalFormatting>
  <conditionalFormatting sqref="M33:M35">
    <cfRule type="expression" dxfId="463" priority="419">
      <formula>AND($E33="Antigua",$H33="47mm",$M33&gt;644,$AB$11="L")</formula>
    </cfRule>
  </conditionalFormatting>
  <conditionalFormatting sqref="M33:M35">
    <cfRule type="expression" dxfId="462" priority="420">
      <formula>AND($E33="Antigua",$H33="47mm",$M33&gt;644,$AB$11="R")</formula>
    </cfRule>
  </conditionalFormatting>
  <conditionalFormatting sqref="M12:M35">
    <cfRule type="expression" dxfId="461" priority="541">
      <formula>AND($E12="Antigua",$H12="47mm",$M12&gt;644,$AB$11="R")</formula>
    </cfRule>
  </conditionalFormatting>
  <conditionalFormatting sqref="C18:AE20 H12:H17 E15:E17">
    <cfRule type="expression" dxfId="460" priority="401">
      <formula>$AD$18="Q"</formula>
    </cfRule>
  </conditionalFormatting>
  <conditionalFormatting sqref="M29:M35">
    <cfRule type="expression" dxfId="459" priority="571">
      <formula>AND($E29="Antigua",$H29="47mm",$M29&gt;644,$X$11="R")</formula>
    </cfRule>
  </conditionalFormatting>
  <conditionalFormatting sqref="M29">
    <cfRule type="expression" dxfId="458" priority="572">
      <formula>AND($E29="Antigua",$H29&lt;&gt;"47mm",$M29&gt;794,$X28="L")</formula>
    </cfRule>
  </conditionalFormatting>
  <conditionalFormatting sqref="M12:M28">
    <cfRule type="expression" dxfId="457" priority="575">
      <formula>AND($E12="Antigua",$H12="47mm",$M12&gt;644,$AG$11="R")</formula>
    </cfRule>
  </conditionalFormatting>
  <conditionalFormatting sqref="M30:M35">
    <cfRule type="expression" dxfId="456" priority="576">
      <formula>AND($E30="Antigua",$H30="47mm",$M30&gt;644,$AG$11="R")</formula>
    </cfRule>
  </conditionalFormatting>
  <conditionalFormatting sqref="M30">
    <cfRule type="expression" dxfId="455" priority="578">
      <formula>AND($E30="Bermuda",$H30="47mm",$M30&gt;654,$AG$11="R")</formula>
    </cfRule>
  </conditionalFormatting>
  <conditionalFormatting sqref="M32:M35">
    <cfRule type="expression" dxfId="454" priority="579">
      <formula>AND($E32="Bermuda",$H32="47mm",$M32&gt;654,$AG$11="R")</formula>
    </cfRule>
  </conditionalFormatting>
  <conditionalFormatting sqref="M31">
    <cfRule type="expression" dxfId="453" priority="580">
      <formula>AND($E31="Bermuda",$H31="47mm",$M31&gt;654,$AG$11="R")</formula>
    </cfRule>
  </conditionalFormatting>
  <conditionalFormatting sqref="M30">
    <cfRule type="expression" dxfId="452" priority="581">
      <formula>AND($E30="Bermuda",$H30="47mm",$M30&gt;654,$AG$11="R")</formula>
    </cfRule>
  </conditionalFormatting>
  <conditionalFormatting sqref="M32:M35">
    <cfRule type="expression" dxfId="451" priority="582">
      <formula>AND($E32="Bermuda",$H32="47mm",$M32&gt;654,$AG$11="R")</formula>
    </cfRule>
  </conditionalFormatting>
  <conditionalFormatting sqref="M31">
    <cfRule type="expression" dxfId="450" priority="583">
      <formula>AND($E31="Bermuda",$H31="47mm",$M31&gt;654,$AG$11="R")</formula>
    </cfRule>
  </conditionalFormatting>
  <conditionalFormatting sqref="M30">
    <cfRule type="expression" dxfId="449" priority="584">
      <formula>AND($E30="Bermuda",$H30="47mm",$M30&gt;654,$AG$11="L")</formula>
    </cfRule>
    <cfRule type="expression" dxfId="448" priority="587">
      <formula>AND($E30="Bermuda",$H30="47mm",$M30&gt;654,$AG$11="R")</formula>
    </cfRule>
  </conditionalFormatting>
  <conditionalFormatting sqref="M32:M35">
    <cfRule type="expression" dxfId="447" priority="585">
      <formula>AND($E32="Bermuda",$H32="47mm",$M32&gt;654,$AG$11="L")</formula>
    </cfRule>
    <cfRule type="expression" dxfId="446" priority="588">
      <formula>AND($E32="Bermuda",$H32="47mm",$M32&gt;654,$AG$11="R")</formula>
    </cfRule>
  </conditionalFormatting>
  <conditionalFormatting sqref="M31">
    <cfRule type="expression" dxfId="445" priority="586">
      <formula>AND($E31="Bermuda",$H31="47mm",$M31&gt;654,$AG$11="L")</formula>
    </cfRule>
    <cfRule type="expression" dxfId="444" priority="589">
      <formula>AND($E31="Bermuda",$H31="47mm",$M31&gt;654,$AG$11="R")</formula>
    </cfRule>
  </conditionalFormatting>
  <conditionalFormatting sqref="M30">
    <cfRule type="expression" dxfId="443" priority="590">
      <formula>AND($E30="Bermuda",$H30="47mm",$M30&gt;654,$AG$11="R")</formula>
    </cfRule>
  </conditionalFormatting>
  <conditionalFormatting sqref="M32:M35">
    <cfRule type="expression" dxfId="442" priority="591">
      <formula>AND($E32="Bermuda",$H32="47mm",$M32&gt;654,$AG$11="R")</formula>
    </cfRule>
  </conditionalFormatting>
  <conditionalFormatting sqref="M31">
    <cfRule type="expression" dxfId="441" priority="592">
      <formula>AND($E31="Bermuda",$H31="47mm",$M31&gt;654,$AG$11="R")</formula>
    </cfRule>
  </conditionalFormatting>
  <conditionalFormatting sqref="M12:M28">
    <cfRule type="expression" dxfId="440" priority="594">
      <formula>AND($E12="Antigua",$H12="47mm",$M12&gt;644,$AG$11="R")</formula>
    </cfRule>
  </conditionalFormatting>
  <conditionalFormatting sqref="M30:M35">
    <cfRule type="expression" dxfId="439" priority="595">
      <formula>AND($E30="Antigua",$H30="47mm",$M30&gt;644,$AG$11="R")</formula>
    </cfRule>
  </conditionalFormatting>
  <conditionalFormatting sqref="M30">
    <cfRule type="expression" dxfId="438" priority="596">
      <formula>AND($E30="Bermuda",$H30="47mm",$M30&gt;654,$AG$11="R")</formula>
    </cfRule>
  </conditionalFormatting>
  <conditionalFormatting sqref="M32:M35">
    <cfRule type="expression" dxfId="437" priority="597">
      <formula>AND($E32="Bermuda",$H32="47mm",$M32&gt;654,$AG$11="R")</formula>
    </cfRule>
  </conditionalFormatting>
  <conditionalFormatting sqref="M31">
    <cfRule type="expression" dxfId="436" priority="598">
      <formula>AND($E31="Bermuda",$H31="47mm",$M31&gt;654,$AG$11="R")</formula>
    </cfRule>
  </conditionalFormatting>
  <conditionalFormatting sqref="M30">
    <cfRule type="expression" dxfId="435" priority="599">
      <formula>AND($E30="Bermuda",$H30="47mm",$M30&gt;654,$AG$11="L")</formula>
    </cfRule>
    <cfRule type="expression" dxfId="434" priority="600">
      <formula>AND($E30="Bermuda",$H30="47mm",$M30&gt;654,$AG$11="R")</formula>
    </cfRule>
  </conditionalFormatting>
  <conditionalFormatting sqref="M32:M35">
    <cfRule type="expression" dxfId="433" priority="601">
      <formula>AND($E32="Bermuda",$H32="47mm",$M32&gt;654,$AG$11="L")</formula>
    </cfRule>
    <cfRule type="expression" dxfId="432" priority="602">
      <formula>AND($E32="Bermuda",$H32="47mm",$M32&gt;654,$AG$11="R")</formula>
    </cfRule>
  </conditionalFormatting>
  <conditionalFormatting sqref="M31">
    <cfRule type="expression" dxfId="431" priority="603">
      <formula>AND($E31="Bermuda",$H31="47mm",$M31&gt;654,$AG$11="L")</formula>
    </cfRule>
    <cfRule type="expression" dxfId="430" priority="604">
      <formula>AND($E31="Bermuda",$H31="47mm",$M31&gt;654,$AG$11="R")</formula>
    </cfRule>
  </conditionalFormatting>
  <conditionalFormatting sqref="M12:M20">
    <cfRule type="expression" dxfId="429" priority="606">
      <formula>AND($E12="Antigua",$H12="47mm",$M12&gt;644,$AG$11="R")</formula>
    </cfRule>
  </conditionalFormatting>
  <conditionalFormatting sqref="M21:M28">
    <cfRule type="expression" dxfId="428" priority="607">
      <formula>AND($E21="Antigua",$H21="47mm",$M21&gt;644,$AG$11="R")</formula>
    </cfRule>
  </conditionalFormatting>
  <conditionalFormatting sqref="M30:M35">
    <cfRule type="expression" dxfId="427" priority="608">
      <formula>AND($E30="Antigua",$H30="47mm",$M30&gt;644,$AG$11="R")</formula>
    </cfRule>
  </conditionalFormatting>
  <conditionalFormatting sqref="M12:M20">
    <cfRule type="expression" dxfId="426" priority="577">
      <formula>AND($E12="Antigua",$H12&lt;&gt;"47mm",$M12&gt;794,$AG11="L")</formula>
    </cfRule>
  </conditionalFormatting>
  <conditionalFormatting sqref="M30">
    <cfRule type="expression" dxfId="425" priority="609">
      <formula>AND($E30="Bermuda",$H30="47mm",$M30&gt;654,$AG$11="R")</formula>
    </cfRule>
  </conditionalFormatting>
  <conditionalFormatting sqref="M32:M35">
    <cfRule type="expression" dxfId="424" priority="610">
      <formula>AND($E32="Bermuda",$H32="47mm",$M32&gt;654,$AG$11="R")</formula>
    </cfRule>
  </conditionalFormatting>
  <conditionalFormatting sqref="M31">
    <cfRule type="expression" dxfId="423" priority="611">
      <formula>AND($E31="Bermuda",$H31="47mm",$M31&gt;654,$AG$11="R")</formula>
    </cfRule>
  </conditionalFormatting>
  <conditionalFormatting sqref="J37:J38">
    <cfRule type="expression" dxfId="422" priority="387">
      <formula>$J36&gt;=4</formula>
    </cfRule>
  </conditionalFormatting>
  <conditionalFormatting sqref="O36:P36 O37:O38">
    <cfRule type="expression" dxfId="421" priority="375">
      <formula>AND($N$12&gt;2133,$E36="Samoa",$O$12 ="")</formula>
    </cfRule>
    <cfRule type="expression" dxfId="420" priority="376">
      <formula>AND($N36&gt;1981,$E36="Fiji",$O$12 ="")</formula>
    </cfRule>
    <cfRule type="expression" dxfId="419" priority="377">
      <formula>AND($N$12&gt;1828,$E36="Java",$O$12 ="")</formula>
    </cfRule>
    <cfRule type="expression" dxfId="418" priority="378">
      <formula>AND($N$12&gt;1981,$E36="Cuba",$O$12 ="")</formula>
    </cfRule>
    <cfRule type="expression" dxfId="417" priority="379">
      <formula>AND($N$12&gt;1981,$E36="Bermuda",$O$12 ="")</formula>
    </cfRule>
    <cfRule type="expression" dxfId="416" priority="383">
      <formula>AND($N$12&gt;1879,$E36="Antigua",$O$12 ="")</formula>
    </cfRule>
  </conditionalFormatting>
  <conditionalFormatting sqref="L36:L38">
    <cfRule type="expression" dxfId="415" priority="380">
      <formula>AND($H36="89mm",$N36-$O36&lt;370)</formula>
    </cfRule>
    <cfRule type="expression" dxfId="414" priority="381">
      <formula>AND($H36="63mm",$N36-$O36&lt;290)</formula>
    </cfRule>
    <cfRule type="expression" dxfId="413" priority="382">
      <formula>AND($H36="76mm",$N$12-$O$12&lt;370)</formula>
    </cfRule>
  </conditionalFormatting>
  <conditionalFormatting sqref="N36:N38">
    <cfRule type="expression" dxfId="412" priority="369">
      <formula>AND($N36&gt;3657,$E36="Antigua")</formula>
    </cfRule>
    <cfRule type="expression" dxfId="411" priority="370">
      <formula>AND($N36&gt;3657,$E36="Bermuda")</formula>
    </cfRule>
    <cfRule type="expression" dxfId="410" priority="371">
      <formula>AND($N36&gt;3657,$E36="Cuba")</formula>
    </cfRule>
    <cfRule type="expression" dxfId="409" priority="372">
      <formula>AND($N36&gt;3657,$E36="Java")</formula>
    </cfRule>
    <cfRule type="expression" dxfId="408" priority="373">
      <formula>AND($N36&gt;3000,$E36="Fiji")</formula>
    </cfRule>
    <cfRule type="expression" dxfId="407" priority="374">
      <formula>AND($N36&gt;3657,$E36="Samoa")</formula>
    </cfRule>
  </conditionalFormatting>
  <conditionalFormatting sqref="M36:M38">
    <cfRule type="expression" dxfId="406" priority="367">
      <formula>AND($E36="Antigua",$H36="47mm",$M36&gt;644,$AB$11="R")</formula>
    </cfRule>
    <cfRule type="expression" dxfId="405" priority="368">
      <formula>AND($E36="Antigua",$H36="47mm",$M36&gt;644,$AB$11="L")</formula>
    </cfRule>
  </conditionalFormatting>
  <conditionalFormatting sqref="M36:M38">
    <cfRule type="expression" dxfId="404" priority="384">
      <formula>AND($E36="Antigua",$H36="47mm",$M36&gt;644,$AB$11="L")</formula>
    </cfRule>
  </conditionalFormatting>
  <conditionalFormatting sqref="M36:M38">
    <cfRule type="expression" dxfId="403" priority="385">
      <formula>AND($E36="Antigua",$H36="47mm",$M36&gt;644,$AB$11="R")</formula>
    </cfRule>
  </conditionalFormatting>
  <conditionalFormatting sqref="M36:M38">
    <cfRule type="expression" dxfId="402" priority="386">
      <formula>AND($E36="Antigua",$H36="47mm",$M36&gt;644,$AB$11="R")</formula>
    </cfRule>
  </conditionalFormatting>
  <conditionalFormatting sqref="M36:M38">
    <cfRule type="expression" dxfId="401" priority="388">
      <formula>AND($E36="Antigua",$H36="47mm",$M36&gt;644,$X$11="R")</formula>
    </cfRule>
  </conditionalFormatting>
  <conditionalFormatting sqref="M36:M38">
    <cfRule type="expression" dxfId="400" priority="389">
      <formula>AND($E36="Antigua",$H36="47mm",$M36&gt;644,$AG$11="R")</formula>
    </cfRule>
  </conditionalFormatting>
  <conditionalFormatting sqref="M36:M38">
    <cfRule type="expression" dxfId="399" priority="390">
      <formula>AND($E36="Bermuda",$H36="47mm",$M36&gt;654,$AG$11="R")</formula>
    </cfRule>
  </conditionalFormatting>
  <conditionalFormatting sqref="M36:M38">
    <cfRule type="expression" dxfId="398" priority="391">
      <formula>AND($E36="Bermuda",$H36="47mm",$M36&gt;654,$AG$11="R")</formula>
    </cfRule>
  </conditionalFormatting>
  <conditionalFormatting sqref="M36:M38">
    <cfRule type="expression" dxfId="397" priority="392">
      <formula>AND($E36="Bermuda",$H36="47mm",$M36&gt;654,$AG$11="L")</formula>
    </cfRule>
    <cfRule type="expression" dxfId="396" priority="393">
      <formula>AND($E36="Bermuda",$H36="47mm",$M36&gt;654,$AG$11="R")</formula>
    </cfRule>
  </conditionalFormatting>
  <conditionalFormatting sqref="M36:M38">
    <cfRule type="expression" dxfId="395" priority="394">
      <formula>AND($E36="Bermuda",$H36="47mm",$M36&gt;654,$AG$11="R")</formula>
    </cfRule>
  </conditionalFormatting>
  <conditionalFormatting sqref="M36:M38">
    <cfRule type="expression" dxfId="394" priority="395">
      <formula>AND($E36="Antigua",$H36="47mm",$M36&gt;644,$AG$11="R")</formula>
    </cfRule>
  </conditionalFormatting>
  <conditionalFormatting sqref="M36:M38">
    <cfRule type="expression" dxfId="393" priority="396">
      <formula>AND($E36="Bermuda",$H36="47mm",$M36&gt;654,$AG$11="R")</formula>
    </cfRule>
  </conditionalFormatting>
  <conditionalFormatting sqref="M36:M38">
    <cfRule type="expression" dxfId="392" priority="397">
      <formula>AND($E36="Bermuda",$H36="47mm",$M36&gt;654,$AG$11="L")</formula>
    </cfRule>
    <cfRule type="expression" dxfId="391" priority="398">
      <formula>AND($E36="Bermuda",$H36="47mm",$M36&gt;654,$AG$11="R")</formula>
    </cfRule>
  </conditionalFormatting>
  <conditionalFormatting sqref="M36:M38">
    <cfRule type="expression" dxfId="390" priority="399">
      <formula>AND($E36="Antigua",$H36="47mm",$M36&gt;644,$AG$11="R")</formula>
    </cfRule>
  </conditionalFormatting>
  <conditionalFormatting sqref="M36:M38">
    <cfRule type="expression" dxfId="389" priority="400">
      <formula>AND($E36="Bermuda",$H36="47mm",$M36&gt;654,$AG$11="R")</formula>
    </cfRule>
  </conditionalFormatting>
  <conditionalFormatting sqref="J40:J41">
    <cfRule type="expression" dxfId="388" priority="353">
      <formula>$J39&gt;=4</formula>
    </cfRule>
  </conditionalFormatting>
  <conditionalFormatting sqref="O39:P39 O40:O41">
    <cfRule type="expression" dxfId="387" priority="341">
      <formula>AND($N$12&gt;2133,$E39="Samoa",$O$12 ="")</formula>
    </cfRule>
    <cfRule type="expression" dxfId="386" priority="342">
      <formula>AND($N39&gt;1981,$E39="Fiji",$O$12 ="")</formula>
    </cfRule>
    <cfRule type="expression" dxfId="385" priority="343">
      <formula>AND($N$12&gt;1828,$E39="Java",$O$12 ="")</formula>
    </cfRule>
    <cfRule type="expression" dxfId="384" priority="344">
      <formula>AND($N$12&gt;1981,$E39="Cuba",$O$12 ="")</formula>
    </cfRule>
    <cfRule type="expression" dxfId="383" priority="345">
      <formula>AND($N$12&gt;1981,$E39="Bermuda",$O$12 ="")</formula>
    </cfRule>
    <cfRule type="expression" dxfId="382" priority="349">
      <formula>AND($N$12&gt;1879,$E39="Antigua",$O$12 ="")</formula>
    </cfRule>
  </conditionalFormatting>
  <conditionalFormatting sqref="L39:L41">
    <cfRule type="expression" dxfId="381" priority="346">
      <formula>AND($H39="89mm",$N39-$O39&lt;370)</formula>
    </cfRule>
    <cfRule type="expression" dxfId="380" priority="347">
      <formula>AND($H39="63mm",$N39-$O39&lt;290)</formula>
    </cfRule>
    <cfRule type="expression" dxfId="379" priority="348">
      <formula>AND($H39="76mm",$N$12-$O$12&lt;370)</formula>
    </cfRule>
  </conditionalFormatting>
  <conditionalFormatting sqref="N39:N41">
    <cfRule type="expression" dxfId="378" priority="335">
      <formula>AND($N39&gt;3657,$E39="Antigua")</formula>
    </cfRule>
    <cfRule type="expression" dxfId="377" priority="336">
      <formula>AND($N39&gt;3657,$E39="Bermuda")</formula>
    </cfRule>
    <cfRule type="expression" dxfId="376" priority="337">
      <formula>AND($N39&gt;3657,$E39="Cuba")</formula>
    </cfRule>
    <cfRule type="expression" dxfId="375" priority="338">
      <formula>AND($N39&gt;3657,$E39="Java")</formula>
    </cfRule>
    <cfRule type="expression" dxfId="374" priority="339">
      <formula>AND($N39&gt;3000,$E39="Fiji")</formula>
    </cfRule>
    <cfRule type="expression" dxfId="373" priority="340">
      <formula>AND($N39&gt;3657,$E39="Samoa")</formula>
    </cfRule>
  </conditionalFormatting>
  <conditionalFormatting sqref="M39:M41">
    <cfRule type="expression" dxfId="372" priority="333">
      <formula>AND($E39="Antigua",$H39="47mm",$M39&gt;644,$AB$11="R")</formula>
    </cfRule>
    <cfRule type="expression" dxfId="371" priority="334">
      <formula>AND($E39="Antigua",$H39="47mm",$M39&gt;644,$AB$11="L")</formula>
    </cfRule>
  </conditionalFormatting>
  <conditionalFormatting sqref="M39:M41">
    <cfRule type="expression" dxfId="370" priority="350">
      <formula>AND($E39="Antigua",$H39="47mm",$M39&gt;644,$AB$11="L")</formula>
    </cfRule>
  </conditionalFormatting>
  <conditionalFormatting sqref="M39:M41">
    <cfRule type="expression" dxfId="369" priority="351">
      <formula>AND($E39="Antigua",$H39="47mm",$M39&gt;644,$AB$11="R")</formula>
    </cfRule>
  </conditionalFormatting>
  <conditionalFormatting sqref="M39:M41">
    <cfRule type="expression" dxfId="368" priority="352">
      <formula>AND($E39="Antigua",$H39="47mm",$M39&gt;644,$AB$11="R")</formula>
    </cfRule>
  </conditionalFormatting>
  <conditionalFormatting sqref="M39:M41">
    <cfRule type="expression" dxfId="367" priority="354">
      <formula>AND($E39="Antigua",$H39="47mm",$M39&gt;644,$X$11="R")</formula>
    </cfRule>
  </conditionalFormatting>
  <conditionalFormatting sqref="M39:M41">
    <cfRule type="expression" dxfId="366" priority="355">
      <formula>AND($E39="Antigua",$H39="47mm",$M39&gt;644,$AG$11="R")</formula>
    </cfRule>
  </conditionalFormatting>
  <conditionalFormatting sqref="M39:M41">
    <cfRule type="expression" dxfId="365" priority="356">
      <formula>AND($E39="Bermuda",$H39="47mm",$M39&gt;654,$AG$11="R")</formula>
    </cfRule>
  </conditionalFormatting>
  <conditionalFormatting sqref="M39:M41">
    <cfRule type="expression" dxfId="364" priority="357">
      <formula>AND($E39="Bermuda",$H39="47mm",$M39&gt;654,$AG$11="R")</formula>
    </cfRule>
  </conditionalFormatting>
  <conditionalFormatting sqref="M39:M41">
    <cfRule type="expression" dxfId="363" priority="358">
      <formula>AND($E39="Bermuda",$H39="47mm",$M39&gt;654,$AG$11="L")</formula>
    </cfRule>
    <cfRule type="expression" dxfId="362" priority="359">
      <formula>AND($E39="Bermuda",$H39="47mm",$M39&gt;654,$AG$11="R")</formula>
    </cfRule>
  </conditionalFormatting>
  <conditionalFormatting sqref="M39:M41">
    <cfRule type="expression" dxfId="361" priority="360">
      <formula>AND($E39="Bermuda",$H39="47mm",$M39&gt;654,$AG$11="R")</formula>
    </cfRule>
  </conditionalFormatting>
  <conditionalFormatting sqref="M39:M41">
    <cfRule type="expression" dxfId="360" priority="361">
      <formula>AND($E39="Antigua",$H39="47mm",$M39&gt;644,$AG$11="R")</formula>
    </cfRule>
  </conditionalFormatting>
  <conditionalFormatting sqref="M39:M41">
    <cfRule type="expression" dxfId="359" priority="362">
      <formula>AND($E39="Bermuda",$H39="47mm",$M39&gt;654,$AG$11="R")</formula>
    </cfRule>
  </conditionalFormatting>
  <conditionalFormatting sqref="M39:M41">
    <cfRule type="expression" dxfId="358" priority="363">
      <formula>AND($E39="Bermuda",$H39="47mm",$M39&gt;654,$AG$11="L")</formula>
    </cfRule>
    <cfRule type="expression" dxfId="357" priority="364">
      <formula>AND($E39="Bermuda",$H39="47mm",$M39&gt;654,$AG$11="R")</formula>
    </cfRule>
  </conditionalFormatting>
  <conditionalFormatting sqref="M39:M41">
    <cfRule type="expression" dxfId="356" priority="365">
      <formula>AND($E39="Antigua",$H39="47mm",$M39&gt;644,$AG$11="R")</formula>
    </cfRule>
  </conditionalFormatting>
  <conditionalFormatting sqref="M39:M41">
    <cfRule type="expression" dxfId="355" priority="366">
      <formula>AND($E39="Bermuda",$H39="47mm",$M39&gt;654,$AG$11="R")</formula>
    </cfRule>
  </conditionalFormatting>
  <conditionalFormatting sqref="J43:J44">
    <cfRule type="expression" dxfId="354" priority="319">
      <formula>$J42&gt;=4</formula>
    </cfRule>
  </conditionalFormatting>
  <conditionalFormatting sqref="O42:P42 O43:O44">
    <cfRule type="expression" dxfId="353" priority="307">
      <formula>AND($N$12&gt;2133,$E42="Samoa",$O$12 ="")</formula>
    </cfRule>
    <cfRule type="expression" dxfId="352" priority="308">
      <formula>AND($N42&gt;1981,$E42="Fiji",$O$12 ="")</formula>
    </cfRule>
    <cfRule type="expression" dxfId="351" priority="309">
      <formula>AND($N$12&gt;1828,$E42="Java",$O$12 ="")</formula>
    </cfRule>
    <cfRule type="expression" dxfId="350" priority="310">
      <formula>AND($N$12&gt;1981,$E42="Cuba",$O$12 ="")</formula>
    </cfRule>
    <cfRule type="expression" dxfId="349" priority="311">
      <formula>AND($N$12&gt;1981,$E42="Bermuda",$O$12 ="")</formula>
    </cfRule>
    <cfRule type="expression" dxfId="348" priority="315">
      <formula>AND($N$12&gt;1879,$E42="Antigua",$O$12 ="")</formula>
    </cfRule>
  </conditionalFormatting>
  <conditionalFormatting sqref="L42:L44">
    <cfRule type="expression" dxfId="347" priority="312">
      <formula>AND($H42="89mm",$N42-$O42&lt;370)</formula>
    </cfRule>
    <cfRule type="expression" dxfId="346" priority="313">
      <formula>AND($H42="63mm",$N42-$O42&lt;290)</formula>
    </cfRule>
    <cfRule type="expression" dxfId="345" priority="314">
      <formula>AND($H42="76mm",$N$12-$O$12&lt;370)</formula>
    </cfRule>
  </conditionalFormatting>
  <conditionalFormatting sqref="N42:N44">
    <cfRule type="expression" dxfId="344" priority="301">
      <formula>AND($N42&gt;3657,$E42="Antigua")</formula>
    </cfRule>
    <cfRule type="expression" dxfId="343" priority="302">
      <formula>AND($N42&gt;3657,$E42="Bermuda")</formula>
    </cfRule>
    <cfRule type="expression" dxfId="342" priority="303">
      <formula>AND($N42&gt;3657,$E42="Cuba")</formula>
    </cfRule>
    <cfRule type="expression" dxfId="341" priority="304">
      <formula>AND($N42&gt;3657,$E42="Java")</formula>
    </cfRule>
    <cfRule type="expression" dxfId="340" priority="305">
      <formula>AND($N42&gt;3000,$E42="Fiji")</formula>
    </cfRule>
    <cfRule type="expression" dxfId="339" priority="306">
      <formula>AND($N42&gt;3657,$E42="Samoa")</formula>
    </cfRule>
  </conditionalFormatting>
  <conditionalFormatting sqref="M42:M44">
    <cfRule type="expression" dxfId="338" priority="299">
      <formula>AND($E42="Antigua",$H42="47mm",$M42&gt;644,$AB$11="R")</formula>
    </cfRule>
    <cfRule type="expression" dxfId="337" priority="300">
      <formula>AND($E42="Antigua",$H42="47mm",$M42&gt;644,$AB$11="L")</formula>
    </cfRule>
  </conditionalFormatting>
  <conditionalFormatting sqref="M42:M44">
    <cfRule type="expression" dxfId="336" priority="316">
      <formula>AND($E42="Antigua",$H42="47mm",$M42&gt;644,$AB$11="L")</formula>
    </cfRule>
  </conditionalFormatting>
  <conditionalFormatting sqref="M42:M44">
    <cfRule type="expression" dxfId="335" priority="317">
      <formula>AND($E42="Antigua",$H42="47mm",$M42&gt;644,$AB$11="R")</formula>
    </cfRule>
  </conditionalFormatting>
  <conditionalFormatting sqref="M42:M44">
    <cfRule type="expression" dxfId="334" priority="318">
      <formula>AND($E42="Antigua",$H42="47mm",$M42&gt;644,$AB$11="R")</formula>
    </cfRule>
  </conditionalFormatting>
  <conditionalFormatting sqref="M42:M44">
    <cfRule type="expression" dxfId="333" priority="320">
      <formula>AND($E42="Antigua",$H42="47mm",$M42&gt;644,$X$11="R")</formula>
    </cfRule>
  </conditionalFormatting>
  <conditionalFormatting sqref="M42:M44">
    <cfRule type="expression" dxfId="332" priority="321">
      <formula>AND($E42="Antigua",$H42="47mm",$M42&gt;644,$AG$11="R")</formula>
    </cfRule>
  </conditionalFormatting>
  <conditionalFormatting sqref="M42:M44">
    <cfRule type="expression" dxfId="331" priority="322">
      <formula>AND($E42="Bermuda",$H42="47mm",$M42&gt;654,$AG$11="R")</formula>
    </cfRule>
  </conditionalFormatting>
  <conditionalFormatting sqref="M42:M44">
    <cfRule type="expression" dxfId="330" priority="323">
      <formula>AND($E42="Bermuda",$H42="47mm",$M42&gt;654,$AG$11="R")</formula>
    </cfRule>
  </conditionalFormatting>
  <conditionalFormatting sqref="M42:M44">
    <cfRule type="expression" dxfId="329" priority="324">
      <formula>AND($E42="Bermuda",$H42="47mm",$M42&gt;654,$AG$11="L")</formula>
    </cfRule>
    <cfRule type="expression" dxfId="328" priority="325">
      <formula>AND($E42="Bermuda",$H42="47mm",$M42&gt;654,$AG$11="R")</formula>
    </cfRule>
  </conditionalFormatting>
  <conditionalFormatting sqref="M42:M44">
    <cfRule type="expression" dxfId="327" priority="326">
      <formula>AND($E42="Bermuda",$H42="47mm",$M42&gt;654,$AG$11="R")</formula>
    </cfRule>
  </conditionalFormatting>
  <conditionalFormatting sqref="M42:M44">
    <cfRule type="expression" dxfId="326" priority="327">
      <formula>AND($E42="Antigua",$H42="47mm",$M42&gt;644,$AG$11="R")</formula>
    </cfRule>
  </conditionalFormatting>
  <conditionalFormatting sqref="M42:M44">
    <cfRule type="expression" dxfId="325" priority="328">
      <formula>AND($E42="Bermuda",$H42="47mm",$M42&gt;654,$AG$11="R")</formula>
    </cfRule>
  </conditionalFormatting>
  <conditionalFormatting sqref="M42:M44">
    <cfRule type="expression" dxfId="324" priority="329">
      <formula>AND($E42="Bermuda",$H42="47mm",$M42&gt;654,$AG$11="L")</formula>
    </cfRule>
    <cfRule type="expression" dxfId="323" priority="330">
      <formula>AND($E42="Bermuda",$H42="47mm",$M42&gt;654,$AG$11="R")</formula>
    </cfRule>
  </conditionalFormatting>
  <conditionalFormatting sqref="M42:M44">
    <cfRule type="expression" dxfId="322" priority="331">
      <formula>AND($E42="Antigua",$H42="47mm",$M42&gt;644,$AG$11="R")</formula>
    </cfRule>
  </conditionalFormatting>
  <conditionalFormatting sqref="M42:M44">
    <cfRule type="expression" dxfId="321" priority="332">
      <formula>AND($E42="Bermuda",$H42="47mm",$M42&gt;654,$AG$11="R")</formula>
    </cfRule>
  </conditionalFormatting>
  <conditionalFormatting sqref="J46:J47">
    <cfRule type="expression" dxfId="320" priority="285">
      <formula>$J45&gt;=4</formula>
    </cfRule>
  </conditionalFormatting>
  <conditionalFormatting sqref="O45:P45 O46:O47">
    <cfRule type="expression" dxfId="319" priority="273">
      <formula>AND($N$12&gt;2133,$E45="Samoa",$O$12 ="")</formula>
    </cfRule>
    <cfRule type="expression" dxfId="318" priority="274">
      <formula>AND($N45&gt;1981,$E45="Fiji",$O$12 ="")</formula>
    </cfRule>
    <cfRule type="expression" dxfId="317" priority="275">
      <formula>AND($N$12&gt;1828,$E45="Java",$O$12 ="")</formula>
    </cfRule>
    <cfRule type="expression" dxfId="316" priority="276">
      <formula>AND($N$12&gt;1981,$E45="Cuba",$O$12 ="")</formula>
    </cfRule>
    <cfRule type="expression" dxfId="315" priority="277">
      <formula>AND($N$12&gt;1981,$E45="Bermuda",$O$12 ="")</formula>
    </cfRule>
    <cfRule type="expression" dxfId="314" priority="281">
      <formula>AND($N$12&gt;1879,$E45="Antigua",$O$12 ="")</formula>
    </cfRule>
  </conditionalFormatting>
  <conditionalFormatting sqref="L45:L47">
    <cfRule type="expression" dxfId="313" priority="278">
      <formula>AND($H45="89mm",$N45-$O45&lt;370)</formula>
    </cfRule>
    <cfRule type="expression" dxfId="312" priority="279">
      <formula>AND($H45="63mm",$N45-$O45&lt;290)</formula>
    </cfRule>
    <cfRule type="expression" dxfId="311" priority="280">
      <formula>AND($H45="76mm",$N$12-$O$12&lt;370)</formula>
    </cfRule>
  </conditionalFormatting>
  <conditionalFormatting sqref="N45:N47">
    <cfRule type="expression" dxfId="310" priority="267">
      <formula>AND($N45&gt;3657,$E45="Antigua")</formula>
    </cfRule>
    <cfRule type="expression" dxfId="309" priority="268">
      <formula>AND($N45&gt;3657,$E45="Bermuda")</formula>
    </cfRule>
    <cfRule type="expression" dxfId="308" priority="269">
      <formula>AND($N45&gt;3657,$E45="Cuba")</formula>
    </cfRule>
    <cfRule type="expression" dxfId="307" priority="270">
      <formula>AND($N45&gt;3657,$E45="Java")</formula>
    </cfRule>
    <cfRule type="expression" dxfId="306" priority="271">
      <formula>AND($N45&gt;3000,$E45="Fiji")</formula>
    </cfRule>
    <cfRule type="expression" dxfId="305" priority="272">
      <formula>AND($N45&gt;3657,$E45="Samoa")</formula>
    </cfRule>
  </conditionalFormatting>
  <conditionalFormatting sqref="M45:M47">
    <cfRule type="expression" dxfId="304" priority="265">
      <formula>AND($E45="Antigua",$H45="47mm",$M45&gt;644,$AB$11="R")</formula>
    </cfRule>
    <cfRule type="expression" dxfId="303" priority="266">
      <formula>AND($E45="Antigua",$H45="47mm",$M45&gt;644,$AB$11="L")</formula>
    </cfRule>
  </conditionalFormatting>
  <conditionalFormatting sqref="M45:M47">
    <cfRule type="expression" dxfId="302" priority="282">
      <formula>AND($E45="Antigua",$H45="47mm",$M45&gt;644,$AB$11="L")</formula>
    </cfRule>
  </conditionalFormatting>
  <conditionalFormatting sqref="M45:M47">
    <cfRule type="expression" dxfId="301" priority="283">
      <formula>AND($E45="Antigua",$H45="47mm",$M45&gt;644,$AB$11="R")</formula>
    </cfRule>
  </conditionalFormatting>
  <conditionalFormatting sqref="M45:M47">
    <cfRule type="expression" dxfId="300" priority="284">
      <formula>AND($E45="Antigua",$H45="47mm",$M45&gt;644,$AB$11="R")</formula>
    </cfRule>
  </conditionalFormatting>
  <conditionalFormatting sqref="M45:M47">
    <cfRule type="expression" dxfId="299" priority="286">
      <formula>AND($E45="Antigua",$H45="47mm",$M45&gt;644,$X$11="R")</formula>
    </cfRule>
  </conditionalFormatting>
  <conditionalFormatting sqref="M45:M47">
    <cfRule type="expression" dxfId="298" priority="287">
      <formula>AND($E45="Antigua",$H45="47mm",$M45&gt;644,$AG$11="R")</formula>
    </cfRule>
  </conditionalFormatting>
  <conditionalFormatting sqref="M45:M47">
    <cfRule type="expression" dxfId="297" priority="288">
      <formula>AND($E45="Bermuda",$H45="47mm",$M45&gt;654,$AG$11="R")</formula>
    </cfRule>
  </conditionalFormatting>
  <conditionalFormatting sqref="M45:M47">
    <cfRule type="expression" dxfId="296" priority="289">
      <formula>AND($E45="Bermuda",$H45="47mm",$M45&gt;654,$AG$11="R")</formula>
    </cfRule>
  </conditionalFormatting>
  <conditionalFormatting sqref="M45:M47">
    <cfRule type="expression" dxfId="295" priority="290">
      <formula>AND($E45="Bermuda",$H45="47mm",$M45&gt;654,$AG$11="L")</formula>
    </cfRule>
    <cfRule type="expression" dxfId="294" priority="291">
      <formula>AND($E45="Bermuda",$H45="47mm",$M45&gt;654,$AG$11="R")</formula>
    </cfRule>
  </conditionalFormatting>
  <conditionalFormatting sqref="M45:M47">
    <cfRule type="expression" dxfId="293" priority="292">
      <formula>AND($E45="Bermuda",$H45="47mm",$M45&gt;654,$AG$11="R")</formula>
    </cfRule>
  </conditionalFormatting>
  <conditionalFormatting sqref="M45:M47">
    <cfRule type="expression" dxfId="292" priority="293">
      <formula>AND($E45="Antigua",$H45="47mm",$M45&gt;644,$AG$11="R")</formula>
    </cfRule>
  </conditionalFormatting>
  <conditionalFormatting sqref="M45:M47">
    <cfRule type="expression" dxfId="291" priority="294">
      <formula>AND($E45="Bermuda",$H45="47mm",$M45&gt;654,$AG$11="R")</formula>
    </cfRule>
  </conditionalFormatting>
  <conditionalFormatting sqref="M45:M47">
    <cfRule type="expression" dxfId="290" priority="295">
      <formula>AND($E45="Bermuda",$H45="47mm",$M45&gt;654,$AG$11="L")</formula>
    </cfRule>
    <cfRule type="expression" dxfId="289" priority="296">
      <formula>AND($E45="Bermuda",$H45="47mm",$M45&gt;654,$AG$11="R")</formula>
    </cfRule>
  </conditionalFormatting>
  <conditionalFormatting sqref="M45:M47">
    <cfRule type="expression" dxfId="288" priority="297">
      <formula>AND($E45="Antigua",$H45="47mm",$M45&gt;644,$AG$11="R")</formula>
    </cfRule>
  </conditionalFormatting>
  <conditionalFormatting sqref="M45:M47">
    <cfRule type="expression" dxfId="287" priority="298">
      <formula>AND($E45="Bermuda",$H45="47mm",$M45&gt;654,$AG$11="R")</formula>
    </cfRule>
  </conditionalFormatting>
  <conditionalFormatting sqref="J49:J50">
    <cfRule type="expression" dxfId="286" priority="251">
      <formula>$J48&gt;=4</formula>
    </cfRule>
  </conditionalFormatting>
  <conditionalFormatting sqref="O48:P48 O49:O50">
    <cfRule type="expression" dxfId="285" priority="239">
      <formula>AND($N$12&gt;2133,$E48="Samoa",$O$12 ="")</formula>
    </cfRule>
    <cfRule type="expression" dxfId="284" priority="240">
      <formula>AND($N48&gt;1981,$E48="Fiji",$O$12 ="")</formula>
    </cfRule>
    <cfRule type="expression" dxfId="283" priority="241">
      <formula>AND($N$12&gt;1828,$E48="Java",$O$12 ="")</formula>
    </cfRule>
    <cfRule type="expression" dxfId="282" priority="242">
      <formula>AND($N$12&gt;1981,$E48="Cuba",$O$12 ="")</formula>
    </cfRule>
    <cfRule type="expression" dxfId="281" priority="243">
      <formula>AND($N$12&gt;1981,$E48="Bermuda",$O$12 ="")</formula>
    </cfRule>
    <cfRule type="expression" dxfId="280" priority="247">
      <formula>AND($N$12&gt;1879,$E48="Antigua",$O$12 ="")</formula>
    </cfRule>
  </conditionalFormatting>
  <conditionalFormatting sqref="L48:L50">
    <cfRule type="expression" dxfId="279" priority="244">
      <formula>AND($H48="89mm",$N48-$O48&lt;370)</formula>
    </cfRule>
    <cfRule type="expression" dxfId="278" priority="245">
      <formula>AND($H48="63mm",$N48-$O48&lt;290)</formula>
    </cfRule>
    <cfRule type="expression" dxfId="277" priority="246">
      <formula>AND($H48="76mm",$N$12-$O$12&lt;370)</formula>
    </cfRule>
  </conditionalFormatting>
  <conditionalFormatting sqref="N48:N50">
    <cfRule type="expression" dxfId="276" priority="233">
      <formula>AND($N48&gt;3657,$E48="Antigua")</formula>
    </cfRule>
    <cfRule type="expression" dxfId="275" priority="234">
      <formula>AND($N48&gt;3657,$E48="Bermuda")</formula>
    </cfRule>
    <cfRule type="expression" dxfId="274" priority="235">
      <formula>AND($N48&gt;3657,$E48="Cuba")</formula>
    </cfRule>
    <cfRule type="expression" dxfId="273" priority="236">
      <formula>AND($N48&gt;3657,$E48="Java")</formula>
    </cfRule>
    <cfRule type="expression" dxfId="272" priority="237">
      <formula>AND($N48&gt;3000,$E48="Fiji")</formula>
    </cfRule>
    <cfRule type="expression" dxfId="271" priority="238">
      <formula>AND($N48&gt;3657,$E48="Samoa")</formula>
    </cfRule>
  </conditionalFormatting>
  <conditionalFormatting sqref="M48:M50">
    <cfRule type="expression" dxfId="270" priority="231">
      <formula>AND($E48="Antigua",$H48="47mm",$M48&gt;644,$AB$11="R")</formula>
    </cfRule>
    <cfRule type="expression" dxfId="269" priority="232">
      <formula>AND($E48="Antigua",$H48="47mm",$M48&gt;644,$AB$11="L")</formula>
    </cfRule>
  </conditionalFormatting>
  <conditionalFormatting sqref="M48:M50">
    <cfRule type="expression" dxfId="268" priority="248">
      <formula>AND($E48="Antigua",$H48="47mm",$M48&gt;644,$AB$11="L")</formula>
    </cfRule>
  </conditionalFormatting>
  <conditionalFormatting sqref="M48:M50">
    <cfRule type="expression" dxfId="267" priority="249">
      <formula>AND($E48="Antigua",$H48="47mm",$M48&gt;644,$AB$11="R")</formula>
    </cfRule>
  </conditionalFormatting>
  <conditionalFormatting sqref="M48:M50">
    <cfRule type="expression" dxfId="266" priority="250">
      <formula>AND($E48="Antigua",$H48="47mm",$M48&gt;644,$AB$11="R")</formula>
    </cfRule>
  </conditionalFormatting>
  <conditionalFormatting sqref="M48:M50">
    <cfRule type="expression" dxfId="265" priority="252">
      <formula>AND($E48="Antigua",$H48="47mm",$M48&gt;644,$X$11="R")</formula>
    </cfRule>
  </conditionalFormatting>
  <conditionalFormatting sqref="M48:M50">
    <cfRule type="expression" dxfId="264" priority="253">
      <formula>AND($E48="Antigua",$H48="47mm",$M48&gt;644,$AG$11="R")</formula>
    </cfRule>
  </conditionalFormatting>
  <conditionalFormatting sqref="M48:M50">
    <cfRule type="expression" dxfId="263" priority="254">
      <formula>AND($E48="Bermuda",$H48="47mm",$M48&gt;654,$AG$11="R")</formula>
    </cfRule>
  </conditionalFormatting>
  <conditionalFormatting sqref="M48:M50">
    <cfRule type="expression" dxfId="262" priority="255">
      <formula>AND($E48="Bermuda",$H48="47mm",$M48&gt;654,$AG$11="R")</formula>
    </cfRule>
  </conditionalFormatting>
  <conditionalFormatting sqref="M48:M50">
    <cfRule type="expression" dxfId="261" priority="256">
      <formula>AND($E48="Bermuda",$H48="47mm",$M48&gt;654,$AG$11="L")</formula>
    </cfRule>
    <cfRule type="expression" dxfId="260" priority="257">
      <formula>AND($E48="Bermuda",$H48="47mm",$M48&gt;654,$AG$11="R")</formula>
    </cfRule>
  </conditionalFormatting>
  <conditionalFormatting sqref="M48:M50">
    <cfRule type="expression" dxfId="259" priority="258">
      <formula>AND($E48="Bermuda",$H48="47mm",$M48&gt;654,$AG$11="R")</formula>
    </cfRule>
  </conditionalFormatting>
  <conditionalFormatting sqref="M48:M50">
    <cfRule type="expression" dxfId="258" priority="259">
      <formula>AND($E48="Antigua",$H48="47mm",$M48&gt;644,$AG$11="R")</formula>
    </cfRule>
  </conditionalFormatting>
  <conditionalFormatting sqref="M48:M50">
    <cfRule type="expression" dxfId="257" priority="260">
      <formula>AND($E48="Bermuda",$H48="47mm",$M48&gt;654,$AG$11="R")</formula>
    </cfRule>
  </conditionalFormatting>
  <conditionalFormatting sqref="M48:M50">
    <cfRule type="expression" dxfId="256" priority="261">
      <formula>AND($E48="Bermuda",$H48="47mm",$M48&gt;654,$AG$11="L")</formula>
    </cfRule>
    <cfRule type="expression" dxfId="255" priority="262">
      <formula>AND($E48="Bermuda",$H48="47mm",$M48&gt;654,$AG$11="R")</formula>
    </cfRule>
  </conditionalFormatting>
  <conditionalFormatting sqref="M48:M50">
    <cfRule type="expression" dxfId="254" priority="263">
      <formula>AND($E48="Antigua",$H48="47mm",$M48&gt;644,$AG$11="R")</formula>
    </cfRule>
  </conditionalFormatting>
  <conditionalFormatting sqref="M48:M50">
    <cfRule type="expression" dxfId="253" priority="264">
      <formula>AND($E48="Bermuda",$H48="47mm",$M48&gt;654,$AG$11="R")</formula>
    </cfRule>
  </conditionalFormatting>
  <conditionalFormatting sqref="J52:J53">
    <cfRule type="expression" dxfId="252" priority="217">
      <formula>$J51&gt;=4</formula>
    </cfRule>
  </conditionalFormatting>
  <conditionalFormatting sqref="O51:P51 O52:O53">
    <cfRule type="expression" dxfId="251" priority="205">
      <formula>AND($N$12&gt;2133,$E51="Samoa",$O$12 ="")</formula>
    </cfRule>
    <cfRule type="expression" dxfId="250" priority="206">
      <formula>AND($N51&gt;1981,$E51="Fiji",$O$12 ="")</formula>
    </cfRule>
    <cfRule type="expression" dxfId="249" priority="207">
      <formula>AND($N$12&gt;1828,$E51="Java",$O$12 ="")</formula>
    </cfRule>
    <cfRule type="expression" dxfId="248" priority="208">
      <formula>AND($N$12&gt;1981,$E51="Cuba",$O$12 ="")</formula>
    </cfRule>
    <cfRule type="expression" dxfId="247" priority="209">
      <formula>AND($N$12&gt;1981,$E51="Bermuda",$O$12 ="")</formula>
    </cfRule>
    <cfRule type="expression" dxfId="246" priority="213">
      <formula>AND($N$12&gt;1879,$E51="Antigua",$O$12 ="")</formula>
    </cfRule>
  </conditionalFormatting>
  <conditionalFormatting sqref="L51:L53">
    <cfRule type="expression" dxfId="245" priority="210">
      <formula>AND($H51="89mm",$N51-$O51&lt;370)</formula>
    </cfRule>
    <cfRule type="expression" dxfId="244" priority="211">
      <formula>AND($H51="63mm",$N51-$O51&lt;290)</formula>
    </cfRule>
    <cfRule type="expression" dxfId="243" priority="212">
      <formula>AND($H51="76mm",$N$12-$O$12&lt;370)</formula>
    </cfRule>
  </conditionalFormatting>
  <conditionalFormatting sqref="N51:N53">
    <cfRule type="expression" dxfId="242" priority="199">
      <formula>AND($N51&gt;3657,$E51="Antigua")</formula>
    </cfRule>
    <cfRule type="expression" dxfId="241" priority="200">
      <formula>AND($N51&gt;3657,$E51="Bermuda")</formula>
    </cfRule>
    <cfRule type="expression" dxfId="240" priority="201">
      <formula>AND($N51&gt;3657,$E51="Cuba")</formula>
    </cfRule>
    <cfRule type="expression" dxfId="239" priority="202">
      <formula>AND($N51&gt;3657,$E51="Java")</formula>
    </cfRule>
    <cfRule type="expression" dxfId="238" priority="203">
      <formula>AND($N51&gt;3000,$E51="Fiji")</formula>
    </cfRule>
    <cfRule type="expression" dxfId="237" priority="204">
      <formula>AND($N51&gt;3657,$E51="Samoa")</formula>
    </cfRule>
  </conditionalFormatting>
  <conditionalFormatting sqref="M51:M53">
    <cfRule type="expression" dxfId="236" priority="197">
      <formula>AND($E51="Antigua",$H51="47mm",$M51&gt;644,$AB$11="R")</formula>
    </cfRule>
    <cfRule type="expression" dxfId="235" priority="198">
      <formula>AND($E51="Antigua",$H51="47mm",$M51&gt;644,$AB$11="L")</formula>
    </cfRule>
  </conditionalFormatting>
  <conditionalFormatting sqref="M51:M53">
    <cfRule type="expression" dxfId="234" priority="214">
      <formula>AND($E51="Antigua",$H51="47mm",$M51&gt;644,$AB$11="L")</formula>
    </cfRule>
  </conditionalFormatting>
  <conditionalFormatting sqref="M51:M53">
    <cfRule type="expression" dxfId="233" priority="215">
      <formula>AND($E51="Antigua",$H51="47mm",$M51&gt;644,$AB$11="R")</formula>
    </cfRule>
  </conditionalFormatting>
  <conditionalFormatting sqref="M51:M53">
    <cfRule type="expression" dxfId="232" priority="216">
      <formula>AND($E51="Antigua",$H51="47mm",$M51&gt;644,$AB$11="R")</formula>
    </cfRule>
  </conditionalFormatting>
  <conditionalFormatting sqref="M51:M53">
    <cfRule type="expression" dxfId="231" priority="218">
      <formula>AND($E51="Antigua",$H51="47mm",$M51&gt;644,$X$11="R")</formula>
    </cfRule>
  </conditionalFormatting>
  <conditionalFormatting sqref="M51:M53">
    <cfRule type="expression" dxfId="230" priority="219">
      <formula>AND($E51="Antigua",$H51="47mm",$M51&gt;644,$AG$11="R")</formula>
    </cfRule>
  </conditionalFormatting>
  <conditionalFormatting sqref="M51:M53">
    <cfRule type="expression" dxfId="229" priority="220">
      <formula>AND($E51="Bermuda",$H51="47mm",$M51&gt;654,$AG$11="R")</formula>
    </cfRule>
  </conditionalFormatting>
  <conditionalFormatting sqref="M51:M53">
    <cfRule type="expression" dxfId="228" priority="221">
      <formula>AND($E51="Bermuda",$H51="47mm",$M51&gt;654,$AG$11="R")</formula>
    </cfRule>
  </conditionalFormatting>
  <conditionalFormatting sqref="M51:M53">
    <cfRule type="expression" dxfId="227" priority="222">
      <formula>AND($E51="Bermuda",$H51="47mm",$M51&gt;654,$AG$11="L")</formula>
    </cfRule>
    <cfRule type="expression" dxfId="226" priority="223">
      <formula>AND($E51="Bermuda",$H51="47mm",$M51&gt;654,$AG$11="R")</formula>
    </cfRule>
  </conditionalFormatting>
  <conditionalFormatting sqref="M51:M53">
    <cfRule type="expression" dxfId="225" priority="224">
      <formula>AND($E51="Bermuda",$H51="47mm",$M51&gt;654,$AG$11="R")</formula>
    </cfRule>
  </conditionalFormatting>
  <conditionalFormatting sqref="M51:M53">
    <cfRule type="expression" dxfId="224" priority="225">
      <formula>AND($E51="Antigua",$H51="47mm",$M51&gt;644,$AG$11="R")</formula>
    </cfRule>
  </conditionalFormatting>
  <conditionalFormatting sqref="M51:M53">
    <cfRule type="expression" dxfId="223" priority="226">
      <formula>AND($E51="Bermuda",$H51="47mm",$M51&gt;654,$AG$11="R")</formula>
    </cfRule>
  </conditionalFormatting>
  <conditionalFormatting sqref="M51:M53">
    <cfRule type="expression" dxfId="222" priority="227">
      <formula>AND($E51="Bermuda",$H51="47mm",$M51&gt;654,$AG$11="L")</formula>
    </cfRule>
    <cfRule type="expression" dxfId="221" priority="228">
      <formula>AND($E51="Bermuda",$H51="47mm",$M51&gt;654,$AG$11="R")</formula>
    </cfRule>
  </conditionalFormatting>
  <conditionalFormatting sqref="M51:M53">
    <cfRule type="expression" dxfId="220" priority="229">
      <formula>AND($E51="Antigua",$H51="47mm",$M51&gt;644,$AG$11="R")</formula>
    </cfRule>
  </conditionalFormatting>
  <conditionalFormatting sqref="M51:M53">
    <cfRule type="expression" dxfId="219" priority="230">
      <formula>AND($E51="Bermuda",$H51="47mm",$M51&gt;654,$AG$11="R")</formula>
    </cfRule>
  </conditionalFormatting>
  <conditionalFormatting sqref="J55:J56">
    <cfRule type="expression" dxfId="218" priority="183">
      <formula>$J54&gt;=4</formula>
    </cfRule>
  </conditionalFormatting>
  <conditionalFormatting sqref="O54:P54 O55:O56">
    <cfRule type="expression" dxfId="217" priority="171">
      <formula>AND($N$12&gt;2133,$E54="Samoa",$O$12 ="")</formula>
    </cfRule>
    <cfRule type="expression" dxfId="216" priority="172">
      <formula>AND($N54&gt;1981,$E54="Fiji",$O$12 ="")</formula>
    </cfRule>
    <cfRule type="expression" dxfId="215" priority="173">
      <formula>AND($N$12&gt;1828,$E54="Java",$O$12 ="")</formula>
    </cfRule>
    <cfRule type="expression" dxfId="214" priority="174">
      <formula>AND($N$12&gt;1981,$E54="Cuba",$O$12 ="")</formula>
    </cfRule>
    <cfRule type="expression" dxfId="213" priority="175">
      <formula>AND($N$12&gt;1981,$E54="Bermuda",$O$12 ="")</formula>
    </cfRule>
    <cfRule type="expression" dxfId="212" priority="179">
      <formula>AND($N$12&gt;1879,$E54="Antigua",$O$12 ="")</formula>
    </cfRule>
  </conditionalFormatting>
  <conditionalFormatting sqref="L54:L56">
    <cfRule type="expression" dxfId="211" priority="176">
      <formula>AND($H54="89mm",$N54-$O54&lt;370)</formula>
    </cfRule>
    <cfRule type="expression" dxfId="210" priority="177">
      <formula>AND($H54="63mm",$N54-$O54&lt;290)</formula>
    </cfRule>
    <cfRule type="expression" dxfId="209" priority="178">
      <formula>AND($H54="76mm",$N$12-$O$12&lt;370)</formula>
    </cfRule>
  </conditionalFormatting>
  <conditionalFormatting sqref="N54:N56">
    <cfRule type="expression" dxfId="208" priority="165">
      <formula>AND($N54&gt;3657,$E54="Antigua")</formula>
    </cfRule>
    <cfRule type="expression" dxfId="207" priority="166">
      <formula>AND($N54&gt;3657,$E54="Bermuda")</formula>
    </cfRule>
    <cfRule type="expression" dxfId="206" priority="167">
      <formula>AND($N54&gt;3657,$E54="Cuba")</formula>
    </cfRule>
    <cfRule type="expression" dxfId="205" priority="168">
      <formula>AND($N54&gt;3657,$E54="Java")</formula>
    </cfRule>
    <cfRule type="expression" dxfId="204" priority="169">
      <formula>AND($N54&gt;3000,$E54="Fiji")</formula>
    </cfRule>
    <cfRule type="expression" dxfId="203" priority="170">
      <formula>AND($N54&gt;3657,$E54="Samoa")</formula>
    </cfRule>
  </conditionalFormatting>
  <conditionalFormatting sqref="M54:M56">
    <cfRule type="expression" dxfId="202" priority="163">
      <formula>AND($E54="Antigua",$H54="47mm",$M54&gt;644,$AB$11="R")</formula>
    </cfRule>
    <cfRule type="expression" dxfId="201" priority="164">
      <formula>AND($E54="Antigua",$H54="47mm",$M54&gt;644,$AB$11="L")</formula>
    </cfRule>
  </conditionalFormatting>
  <conditionalFormatting sqref="M54:M56">
    <cfRule type="expression" dxfId="200" priority="180">
      <formula>AND($E54="Antigua",$H54="47mm",$M54&gt;644,$AB$11="L")</formula>
    </cfRule>
  </conditionalFormatting>
  <conditionalFormatting sqref="M54:M56">
    <cfRule type="expression" dxfId="199" priority="181">
      <formula>AND($E54="Antigua",$H54="47mm",$M54&gt;644,$AB$11="R")</formula>
    </cfRule>
  </conditionalFormatting>
  <conditionalFormatting sqref="M54:M56">
    <cfRule type="expression" dxfId="198" priority="182">
      <formula>AND($E54="Antigua",$H54="47mm",$M54&gt;644,$AB$11="R")</formula>
    </cfRule>
  </conditionalFormatting>
  <conditionalFormatting sqref="M54:M56">
    <cfRule type="expression" dxfId="197" priority="184">
      <formula>AND($E54="Antigua",$H54="47mm",$M54&gt;644,$X$11="R")</formula>
    </cfRule>
  </conditionalFormatting>
  <conditionalFormatting sqref="M54:M56">
    <cfRule type="expression" dxfId="196" priority="185">
      <formula>AND($E54="Antigua",$H54="47mm",$M54&gt;644,$AG$11="R")</formula>
    </cfRule>
  </conditionalFormatting>
  <conditionalFormatting sqref="M54:M56">
    <cfRule type="expression" dxfId="195" priority="186">
      <formula>AND($E54="Bermuda",$H54="47mm",$M54&gt;654,$AG$11="R")</formula>
    </cfRule>
  </conditionalFormatting>
  <conditionalFormatting sqref="M54:M56">
    <cfRule type="expression" dxfId="194" priority="187">
      <formula>AND($E54="Bermuda",$H54="47mm",$M54&gt;654,$AG$11="R")</formula>
    </cfRule>
  </conditionalFormatting>
  <conditionalFormatting sqref="M54:M56">
    <cfRule type="expression" dxfId="193" priority="188">
      <formula>AND($E54="Bermuda",$H54="47mm",$M54&gt;654,$AG$11="L")</formula>
    </cfRule>
    <cfRule type="expression" dxfId="192" priority="189">
      <formula>AND($E54="Bermuda",$H54="47mm",$M54&gt;654,$AG$11="R")</formula>
    </cfRule>
  </conditionalFormatting>
  <conditionalFormatting sqref="M54:M56">
    <cfRule type="expression" dxfId="191" priority="190">
      <formula>AND($E54="Bermuda",$H54="47mm",$M54&gt;654,$AG$11="R")</formula>
    </cfRule>
  </conditionalFormatting>
  <conditionalFormatting sqref="M54:M56">
    <cfRule type="expression" dxfId="190" priority="191">
      <formula>AND($E54="Antigua",$H54="47mm",$M54&gt;644,$AG$11="R")</formula>
    </cfRule>
  </conditionalFormatting>
  <conditionalFormatting sqref="M54:M56">
    <cfRule type="expression" dxfId="189" priority="192">
      <formula>AND($E54="Bermuda",$H54="47mm",$M54&gt;654,$AG$11="R")</formula>
    </cfRule>
  </conditionalFormatting>
  <conditionalFormatting sqref="M54:M56">
    <cfRule type="expression" dxfId="188" priority="193">
      <formula>AND($E54="Bermuda",$H54="47mm",$M54&gt;654,$AG$11="L")</formula>
    </cfRule>
    <cfRule type="expression" dxfId="187" priority="194">
      <formula>AND($E54="Bermuda",$H54="47mm",$M54&gt;654,$AG$11="R")</formula>
    </cfRule>
  </conditionalFormatting>
  <conditionalFormatting sqref="M54:M56">
    <cfRule type="expression" dxfId="186" priority="195">
      <formula>AND($E54="Antigua",$H54="47mm",$M54&gt;644,$AG$11="R")</formula>
    </cfRule>
  </conditionalFormatting>
  <conditionalFormatting sqref="M54:M56">
    <cfRule type="expression" dxfId="185" priority="196">
      <formula>AND($E54="Bermuda",$H54="47mm",$M54&gt;654,$AG$11="R")</formula>
    </cfRule>
  </conditionalFormatting>
  <conditionalFormatting sqref="C33:AE35">
    <cfRule type="expression" dxfId="184" priority="162">
      <formula>$AD$33="Q"</formula>
    </cfRule>
  </conditionalFormatting>
  <conditionalFormatting sqref="C36:AE38">
    <cfRule type="expression" dxfId="183" priority="161">
      <formula>$AD$36="Q"</formula>
    </cfRule>
  </conditionalFormatting>
  <conditionalFormatting sqref="C39:AE41">
    <cfRule type="expression" dxfId="182" priority="160">
      <formula>$AD$39="Q"</formula>
    </cfRule>
  </conditionalFormatting>
  <conditionalFormatting sqref="C42:AE44">
    <cfRule type="expression" dxfId="181" priority="159">
      <formula>$AD$42="Q"</formula>
    </cfRule>
  </conditionalFormatting>
  <conditionalFormatting sqref="C45:AE47">
    <cfRule type="expression" dxfId="180" priority="158">
      <formula>$AD$45="Q"</formula>
    </cfRule>
  </conditionalFormatting>
  <conditionalFormatting sqref="C48:AE50">
    <cfRule type="expression" dxfId="179" priority="157">
      <formula>$AD$48="Q"</formula>
    </cfRule>
  </conditionalFormatting>
  <conditionalFormatting sqref="C51:AE53">
    <cfRule type="expression" dxfId="178" priority="156">
      <formula>$AD$51="Q"</formula>
    </cfRule>
  </conditionalFormatting>
  <conditionalFormatting sqref="C54:AE56">
    <cfRule type="expression" dxfId="177" priority="155">
      <formula>$AD$54="Q"</formula>
    </cfRule>
  </conditionalFormatting>
  <conditionalFormatting sqref="C27:AE29">
    <cfRule type="expression" dxfId="176" priority="4">
      <formula>$AD$27="Q"</formula>
    </cfRule>
  </conditionalFormatting>
  <conditionalFormatting sqref="AE9">
    <cfRule type="expression" dxfId="175" priority="3">
      <formula>OR((AE9-AE7)&lt;=-0.05,(AE9-AE7)&gt;=0.05)</formula>
    </cfRule>
  </conditionalFormatting>
  <conditionalFormatting sqref="AC16">
    <cfRule type="expression" dxfId="174" priority="1">
      <formula>$AD$18="Q"</formula>
    </cfRule>
  </conditionalFormatting>
  <dataValidations count="37">
    <dataValidation type="list" allowBlank="1" showInputMessage="1" sqref="L12:L56" xr:uid="{A287C2E5-47FA-4494-BC32-07C6781FD1B7}">
      <formula1>TiltRod</formula1>
    </dataValidation>
    <dataValidation type="list" allowBlank="1" showInputMessage="1" sqref="AD15 AD18 AD21 AD27 AD30 AD33 AD36 AD39 AD42 AD45 AD48 AD51 AD54" xr:uid="{33FE0209-6A0B-4BAB-A4BA-450AF5DB058A}">
      <formula1>"Q"</formula1>
    </dataValidation>
    <dataValidation type="list" allowBlank="1" showInputMessage="1" sqref="F12:G12 F15:G15" xr:uid="{82017E4F-D34D-4F12-AC73-771A29CB862C}">
      <formula1>INDIRECT(E12)</formula1>
    </dataValidation>
    <dataValidation type="list" allowBlank="1" showInputMessage="1" sqref="D12:D56" xr:uid="{BD311E8B-CFD7-4C98-BABB-59F2DBB6CAA7}">
      <formula1>Shuttype</formula1>
    </dataValidation>
    <dataValidation type="list" allowBlank="1" showInputMessage="1" showErrorMessage="1" sqref="S21:AC21 S51:AC51 S45:AC45 S48:AC48 S54:AC54 S12:AC12 S15:AC15 S24:AC24 S27:AC27 S30:AC30 S33:AC33 S36:AC36 S39:AC39 S42:AC42 S18:AC18" xr:uid="{00A3AC23-35A9-404A-9982-B05373861955}">
      <formula1>Config</formula1>
    </dataValidation>
    <dataValidation type="list" allowBlank="1" showInputMessage="1" sqref="H12:H56" xr:uid="{4668DA88-419A-4577-83A9-6FF90C27F039}">
      <formula1>INDIRECT(E12 &amp; "L")</formula1>
    </dataValidation>
    <dataValidation type="list" allowBlank="1" showInputMessage="1" sqref="I54:I56" xr:uid="{D926A1E1-C4FE-489D-B035-30CBEB3EC9E0}">
      <formula1>IF($D$54="Tracked",TFrame,IF($D$54="S/Shade",SSFrame,Frame))</formula1>
    </dataValidation>
    <dataValidation type="list" allowBlank="1" showInputMessage="1" showError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29 G32 G17 G20 G23 G26 G35 G38 G41 G44 G47 G50 G53" xr:uid="{41192733-2E09-4F3C-B381-E85702648BA7}">
      <formula1>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HorizontalPost</formula1>
    </dataValidation>
    <dataValidation type="list" allowBlank="1" showInputMessage="1" sqref="K12:K56" xr:uid="{7516A68C-953E-43C4-B055-7D7CBA978573}">
      <formula1>Style</formula1>
    </dataValidation>
    <dataValidation type="list" allowBlank="1" showInputMessage="1" showErrorMessage="1" sqref="F33:G33 F30:G30 F27:G27 F18:G18 F21:G21 F24:G24 F36:G36 F39:G39 F42:G42 F45:G45 F48:G48 F51:G51 F54:G54" xr:uid="{8838DA1E-908F-491F-8FBA-FC9D3DAFC091}">
      <formula1>INDIRECT(E18)</formula1>
    </dataValidation>
    <dataValidation type="list" allowBlank="1" showInputMessage="1" sqref="C13 C19 C22 C25:C26 C28:C29 C31:C32 C34:C35 C37:C38 C40:C41 C43 C46 C49 C52 C55" xr:uid="{4BFB10E6-6921-479B-B38C-67EA0319C5DE}">
      <formula1>RoomLoc</formula1>
    </dataValidation>
    <dataValidation type="list" allowBlank="1" showInputMessage="1" sqref="C12 C15 C51 C18 C21 C24 C27 C30 C33 C36 C39 C42 C48 C45 C54" xr:uid="{B13E9DD2-21D1-482C-8E2C-2C704E9C5D8D}">
      <formula1>rooms</formula1>
    </dataValidation>
    <dataValidation type="list" allowBlank="1" showInputMessage="1" sqref="E12:E56" xr:uid="{011DBE14-02E8-4443-807D-B76DC5D6B155}">
      <formula1>IF(++$D$12="Shape",Shapes,MMaterial)</formula1>
    </dataValidation>
    <dataValidation type="list" allowBlank="1" showInputMessage="1" sqref="I12:I17" xr:uid="{8DF4DA5B-8B1C-4D62-9DCF-6BC0119605B7}">
      <formula1>IF($D$15="Tracked",TFrame,IF($D$15="S/Shade",SSFrame,Frame))</formula1>
    </dataValidation>
    <dataValidation type="list" allowBlank="1" showInputMessage="1" sqref="I18:I20" xr:uid="{0D438D1A-A66E-457F-B788-91AD2E0B6B70}">
      <formula1>IF($D$18="Tracked",TFrame,IF($D$18="S/Shade",SSFrame,Frame))</formula1>
    </dataValidation>
    <dataValidation type="list" allowBlank="1" showInputMessage="1" sqref="I21:I23" xr:uid="{F0C99E44-27A7-4D08-886A-2A900FF86DAE}">
      <formula1>IF($D$21="Tracked",TFrame,IF($D$21="S/Shade",SSFrame,Frame))</formula1>
    </dataValidation>
    <dataValidation type="list" allowBlank="1" showInputMessage="1" sqref="I24:I26" xr:uid="{23919742-6C2D-4B13-B5C8-ABB83BED863C}">
      <formula1>IF($D$24="Tracked",TFrame,IF($D$24="S/Shade",SSFrame,Frame))</formula1>
    </dataValidation>
    <dataValidation type="list" allowBlank="1" showInputMessage="1" sqref="I27:I29" xr:uid="{793728BF-7BC6-45B6-B6F9-D0DDB1261104}">
      <formula1>IF($D$27="Tracked",TFrame,IF($D$27="S/Shade",SSFrame,Frame))</formula1>
    </dataValidation>
    <dataValidation type="list" allowBlank="1" showInputMessage="1" sqref="I30:I32" xr:uid="{F71B8CD1-1AC9-4837-8734-5F8E6E6A81CB}">
      <formula1>IF($D$30="Tracked",TFrame,IF($D$30="S/Shade",SSFrame,Frame))</formula1>
    </dataValidation>
    <dataValidation type="list" allowBlank="1" showInputMessage="1" sqref="I33:I35" xr:uid="{C122A0E8-FF37-48ED-B202-A6A576B7F3EB}">
      <formula1>IF($D$33="Tracked",TFrame,IF($D$33="S/Shade",SSFrame,Frame))</formula1>
    </dataValidation>
    <dataValidation type="list" allowBlank="1" showInputMessage="1" sqref="I36:I38" xr:uid="{5D04DEF5-8270-40D0-B69B-2C85E2127ADE}">
      <formula1>IF($D$36="Tracked",TFrame,IF($D$36="S/Shade",SSFrame,Frame))</formula1>
    </dataValidation>
    <dataValidation type="list" allowBlank="1" showInputMessage="1" sqref="I39:I41" xr:uid="{6CB035EB-2B82-4527-A2A9-5B6E15032F9A}">
      <formula1>IF($D$39="Tracked",TFrame,IF($D$39="S/Shade",SSFrame,Frame))</formula1>
    </dataValidation>
    <dataValidation type="list" allowBlank="1" showInputMessage="1" sqref="I42:I44" xr:uid="{0F3CEF07-52A5-4E6E-BD5E-6F4F68ED673C}">
      <formula1>IF($D$42="Tracked",TFrame,IF($D$42="S/Shade",SSFrame,Frame))</formula1>
    </dataValidation>
    <dataValidation type="list" allowBlank="1" showInputMessage="1" sqref="I45:I47" xr:uid="{3A55B71B-C68C-4104-B31B-1872BA931243}">
      <formula1>IF($D$45="Tracked",TFrame,IF($D$45="S/Shade",SSFrame,Frame))</formula1>
    </dataValidation>
    <dataValidation type="list" allowBlank="1" showInputMessage="1" sqref="I48:I50" xr:uid="{2690AE1D-F604-4A49-A5F3-9E1034161846}">
      <formula1>IF($D$48="Tracked",TFrame,IF($D$48="S/Shade",SSFrame,Frame))</formula1>
    </dataValidation>
    <dataValidation type="list" allowBlank="1" showInputMessage="1" sqref="I51:I53" xr:uid="{D38023FD-92DB-4A8F-BEF3-2DC823332A28}">
      <formula1>IF($D$51="Tracked",TFrame,IF($D$51="S/Shade",SSFrame,Frame))</formula1>
    </dataValidation>
    <dataValidation type="list" allowBlank="1" showInputMessage="1" sqref="C14 C17 C56 C20 C23 C50 C53 C47 C44" xr:uid="{2435A238-92E8-4368-9B20-A0C9DF26679A}">
      <formula1>"Left, Centre, Right"</formula1>
    </dataValidation>
    <dataValidation type="list" allowBlank="1" showInputMessage="1" showErrorMessage="1" sqref="C16" xr:uid="{F8F1EB1A-25D2-4C01-A083-67DA24D96128}">
      <formula1>RoomLoc</formula1>
    </dataValidation>
    <dataValidation type="list" allowBlank="1" showInputMessage="1" sqref="G14" xr:uid="{D9633426-4EEF-47CF-A5BA-DC9737DF02F1}">
      <formula1>INDIRECT(E12 &amp; "H")</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9" id="{5CB92138-0477-400D-8B88-19B86960D8FC}">
            <xm:f>$L$12&lt;&gt;Pricing!$J$8</xm:f>
            <x14:dxf>
              <font>
                <color theme="5"/>
              </font>
              <fill>
                <patternFill>
                  <bgColor theme="7" tint="0.79998168889431442"/>
                </patternFill>
              </fill>
            </x14:dxf>
          </x14:cfRule>
          <xm:sqref>L12:L14</xm:sqref>
        </x14:conditionalFormatting>
        <x14:conditionalFormatting xmlns:xm="http://schemas.microsoft.com/office/excel/2006/main">
          <x14:cfRule type="expression" priority="18" id="{A0307C71-0249-46EF-AE96-933122DB7493}">
            <xm:f>$L$15&lt;&gt;Pricing!$J$11</xm:f>
            <x14:dxf>
              <font>
                <color theme="5"/>
              </font>
              <fill>
                <patternFill>
                  <bgColor theme="7" tint="0.79998168889431442"/>
                </patternFill>
              </fill>
            </x14:dxf>
          </x14:cfRule>
          <xm:sqref>L15:L17</xm:sqref>
        </x14:conditionalFormatting>
        <x14:conditionalFormatting xmlns:xm="http://schemas.microsoft.com/office/excel/2006/main">
          <x14:cfRule type="expression" priority="17" id="{DD1D12E7-E195-464F-929E-074CBED67C06}">
            <xm:f>$L$18&lt;&gt;Pricing!$J$14</xm:f>
            <x14:dxf>
              <font>
                <color theme="5"/>
              </font>
              <fill>
                <patternFill>
                  <bgColor theme="7" tint="0.79998168889431442"/>
                </patternFill>
              </fill>
            </x14:dxf>
          </x14:cfRule>
          <xm:sqref>L18:L20</xm:sqref>
        </x14:conditionalFormatting>
        <x14:conditionalFormatting xmlns:xm="http://schemas.microsoft.com/office/excel/2006/main">
          <x14:cfRule type="expression" priority="16" id="{F762103F-E9C3-44E3-978C-CC79DDABF93F}">
            <xm:f>$L$21&lt;&gt;Pricing!$J$17</xm:f>
            <x14:dxf>
              <font>
                <color theme="5"/>
              </font>
              <fill>
                <patternFill>
                  <bgColor theme="7" tint="0.79998168889431442"/>
                </patternFill>
              </fill>
            </x14:dxf>
          </x14:cfRule>
          <xm:sqref>L21:L23</xm:sqref>
        </x14:conditionalFormatting>
        <x14:conditionalFormatting xmlns:xm="http://schemas.microsoft.com/office/excel/2006/main">
          <x14:cfRule type="expression" priority="15" id="{B3CF6491-0B0D-47F4-8145-1848CF16F7B4}">
            <xm:f>$L$24&lt;&gt;Pricing!$J$20</xm:f>
            <x14:dxf>
              <font>
                <color theme="5"/>
              </font>
              <fill>
                <patternFill>
                  <bgColor theme="7" tint="0.79998168889431442"/>
                </patternFill>
              </fill>
            </x14:dxf>
          </x14:cfRule>
          <xm:sqref>L24:L26</xm:sqref>
        </x14:conditionalFormatting>
        <x14:conditionalFormatting xmlns:xm="http://schemas.microsoft.com/office/excel/2006/main">
          <x14:cfRule type="expression" priority="14" id="{E729753E-591B-4056-A244-9449BC50D8A9}">
            <xm:f>$L$27&lt;&gt;Pricing!$J$23</xm:f>
            <x14:dxf>
              <font>
                <color theme="5"/>
              </font>
              <fill>
                <patternFill>
                  <bgColor theme="7" tint="0.79998168889431442"/>
                </patternFill>
              </fill>
            </x14:dxf>
          </x14:cfRule>
          <xm:sqref>L27:L29</xm:sqref>
        </x14:conditionalFormatting>
        <x14:conditionalFormatting xmlns:xm="http://schemas.microsoft.com/office/excel/2006/main">
          <x14:cfRule type="expression" priority="13" id="{8660DC10-0B35-4BF4-B4E5-1C3AFFEBC8EA}">
            <xm:f>$L$30&lt;&gt;Pricing!$J$26</xm:f>
            <x14:dxf>
              <font>
                <color theme="5"/>
              </font>
              <fill>
                <patternFill>
                  <bgColor theme="7" tint="0.79998168889431442"/>
                </patternFill>
              </fill>
            </x14:dxf>
          </x14:cfRule>
          <xm:sqref>L30:L32</xm:sqref>
        </x14:conditionalFormatting>
        <x14:conditionalFormatting xmlns:xm="http://schemas.microsoft.com/office/excel/2006/main">
          <x14:cfRule type="expression" priority="12" id="{400167A3-5E9A-4759-960D-7BF2CC12D8EF}">
            <xm:f>$L$33&lt;&gt;Pricing!$J$29</xm:f>
            <x14:dxf>
              <font>
                <color theme="5"/>
              </font>
              <fill>
                <patternFill>
                  <bgColor theme="7" tint="0.79998168889431442"/>
                </patternFill>
              </fill>
            </x14:dxf>
          </x14:cfRule>
          <xm:sqref>L33:L35</xm:sqref>
        </x14:conditionalFormatting>
        <x14:conditionalFormatting xmlns:xm="http://schemas.microsoft.com/office/excel/2006/main">
          <x14:cfRule type="expression" priority="11" id="{6E75DCEF-E748-455A-8E0F-9EFBC9F27C1C}">
            <xm:f>$L$36&lt;&gt;Pricing!$J$32</xm:f>
            <x14:dxf>
              <font>
                <color theme="5"/>
              </font>
              <fill>
                <patternFill>
                  <bgColor theme="7" tint="0.79998168889431442"/>
                </patternFill>
              </fill>
            </x14:dxf>
          </x14:cfRule>
          <xm:sqref>L36:L38</xm:sqref>
        </x14:conditionalFormatting>
        <x14:conditionalFormatting xmlns:xm="http://schemas.microsoft.com/office/excel/2006/main">
          <x14:cfRule type="expression" priority="10" id="{C3E4091E-9971-4DB5-8F71-6AC028A8F1C9}">
            <xm:f>$L$39&lt;&gt;Pricing!$J$35</xm:f>
            <x14:dxf>
              <font>
                <color theme="5"/>
              </font>
              <fill>
                <patternFill>
                  <bgColor theme="7" tint="0.79998168889431442"/>
                </patternFill>
              </fill>
            </x14:dxf>
          </x14:cfRule>
          <xm:sqref>L39:L41</xm:sqref>
        </x14:conditionalFormatting>
        <x14:conditionalFormatting xmlns:xm="http://schemas.microsoft.com/office/excel/2006/main">
          <x14:cfRule type="expression" priority="9" id="{49F630ED-3ACA-4A6E-B868-B700AEF4ABD7}">
            <xm:f>$L$42&lt;&gt;Pricing!$J$38</xm:f>
            <x14:dxf>
              <font>
                <color theme="5"/>
              </font>
              <fill>
                <patternFill>
                  <bgColor theme="7" tint="0.79998168889431442"/>
                </patternFill>
              </fill>
            </x14:dxf>
          </x14:cfRule>
          <xm:sqref>L42:L44</xm:sqref>
        </x14:conditionalFormatting>
        <x14:conditionalFormatting xmlns:xm="http://schemas.microsoft.com/office/excel/2006/main">
          <x14:cfRule type="expression" priority="8" id="{C388AF0D-A910-4881-BC99-EA1F014BDDA5}">
            <xm:f>$L$45&lt;&gt;Pricing!$J$41</xm:f>
            <x14:dxf>
              <font>
                <color theme="5"/>
              </font>
              <fill>
                <patternFill>
                  <bgColor theme="7" tint="0.79998168889431442"/>
                </patternFill>
              </fill>
            </x14:dxf>
          </x14:cfRule>
          <xm:sqref>L45:L47</xm:sqref>
        </x14:conditionalFormatting>
        <x14:conditionalFormatting xmlns:xm="http://schemas.microsoft.com/office/excel/2006/main">
          <x14:cfRule type="expression" priority="7" id="{95112C4E-4EC5-4C44-87F0-D369C6F157F7}">
            <xm:f>$L$48&lt;&gt;Pricing!$J$44</xm:f>
            <x14:dxf>
              <font>
                <color theme="5"/>
              </font>
              <fill>
                <patternFill>
                  <bgColor theme="7" tint="0.79998168889431442"/>
                </patternFill>
              </fill>
            </x14:dxf>
          </x14:cfRule>
          <xm:sqref>L48:L50</xm:sqref>
        </x14:conditionalFormatting>
        <x14:conditionalFormatting xmlns:xm="http://schemas.microsoft.com/office/excel/2006/main">
          <x14:cfRule type="expression" priority="6" id="{C9EA7A92-79CA-4ED6-A61E-2F177E19CF89}">
            <xm:f>$L$51&lt;&gt;Pricing!$J$47</xm:f>
            <x14:dxf>
              <font>
                <color theme="5"/>
              </font>
              <fill>
                <patternFill>
                  <bgColor theme="7" tint="0.79998168889431442"/>
                </patternFill>
              </fill>
            </x14:dxf>
          </x14:cfRule>
          <xm:sqref>L51:L53</xm:sqref>
        </x14:conditionalFormatting>
        <x14:conditionalFormatting xmlns:xm="http://schemas.microsoft.com/office/excel/2006/main">
          <x14:cfRule type="expression" priority="5" id="{8FF9F1BF-7E2B-425C-BD2F-F10E78876EBB}">
            <xm:f>$L$54&lt;&gt;Pricing!$J$50</xm:f>
            <x14:dxf>
              <font>
                <color theme="5"/>
              </font>
              <fill>
                <patternFill>
                  <bgColor theme="7" tint="0.79998168889431442"/>
                </patternFill>
              </fill>
            </x14:dxf>
          </x14:cfRule>
          <xm:sqref>L54:L56</xm:sqref>
        </x14:conditionalFormatting>
        <x14:conditionalFormatting xmlns:xm="http://schemas.microsoft.com/office/excel/2006/main">
          <x14:cfRule type="expression" priority="153" id="{A84E8D38-E30F-4524-870A-DD260D400F2F}">
            <xm:f>$C$12&lt;&gt;Pricing!$C$8</xm:f>
            <x14:dxf>
              <font>
                <color theme="5"/>
              </font>
              <fill>
                <patternFill>
                  <bgColor theme="7" tint="0.79998168889431442"/>
                </patternFill>
              </fill>
            </x14:dxf>
          </x14:cfRule>
          <xm:sqref>C12</xm:sqref>
        </x14:conditionalFormatting>
        <x14:conditionalFormatting xmlns:xm="http://schemas.microsoft.com/office/excel/2006/main">
          <x14:cfRule type="expression" priority="152" id="{3EA826A8-D4DF-4457-B287-A9649461E131}">
            <xm:f>$C$13&lt;&gt;Pricing!$C$9</xm:f>
            <x14:dxf>
              <font>
                <color theme="5"/>
              </font>
              <fill>
                <patternFill>
                  <bgColor theme="7" tint="0.79998168889431442"/>
                </patternFill>
              </fill>
            </x14:dxf>
          </x14:cfRule>
          <xm:sqref>C13</xm:sqref>
        </x14:conditionalFormatting>
        <x14:conditionalFormatting xmlns:xm="http://schemas.microsoft.com/office/excel/2006/main">
          <x14:cfRule type="expression" priority="151" id="{39F681EF-0861-4E99-B041-1A1F3FB04FB9}">
            <xm:f>$C$14&lt;&gt;Pricing!$C10</xm:f>
            <x14:dxf>
              <font>
                <color theme="5"/>
              </font>
              <fill>
                <patternFill>
                  <bgColor theme="7" tint="0.79998168889431442"/>
                </patternFill>
              </fill>
            </x14:dxf>
          </x14:cfRule>
          <xm:sqref>C14</xm:sqref>
        </x14:conditionalFormatting>
        <x14:conditionalFormatting xmlns:xm="http://schemas.microsoft.com/office/excel/2006/main">
          <x14:cfRule type="expression" priority="150" id="{0E9DE7D7-A76A-40CA-AE56-E6BEEC4595D9}">
            <xm:f>$C$17&lt;&gt;Pricing!$C$13</xm:f>
            <x14:dxf>
              <font>
                <color theme="5"/>
              </font>
              <fill>
                <patternFill>
                  <bgColor theme="7" tint="0.79998168889431442"/>
                </patternFill>
              </fill>
            </x14:dxf>
          </x14:cfRule>
          <xm:sqref>C17</xm:sqref>
        </x14:conditionalFormatting>
        <x14:conditionalFormatting xmlns:xm="http://schemas.microsoft.com/office/excel/2006/main">
          <x14:cfRule type="expression" priority="149" id="{F48BEBE4-3B95-412E-9679-446E24CEB49B}">
            <xm:f>$C$20&lt;&gt;Pricing!$C$16</xm:f>
            <x14:dxf>
              <font>
                <color theme="5"/>
              </font>
              <fill>
                <patternFill>
                  <bgColor theme="7" tint="0.79998168889431442"/>
                </patternFill>
              </fill>
            </x14:dxf>
          </x14:cfRule>
          <xm:sqref>C20</xm:sqref>
        </x14:conditionalFormatting>
        <x14:conditionalFormatting xmlns:xm="http://schemas.microsoft.com/office/excel/2006/main">
          <x14:cfRule type="expression" priority="148" id="{99A0328F-2F33-4A6B-8247-DEDCC5EA3A48}">
            <xm:f>$C$23&lt;&gt;Pricing!$C$19</xm:f>
            <x14:dxf>
              <font>
                <color theme="5"/>
              </font>
              <fill>
                <patternFill>
                  <bgColor theme="7" tint="0.79998168889431442"/>
                </patternFill>
              </fill>
            </x14:dxf>
          </x14:cfRule>
          <xm:sqref>C23</xm:sqref>
        </x14:conditionalFormatting>
        <x14:conditionalFormatting xmlns:xm="http://schemas.microsoft.com/office/excel/2006/main">
          <x14:cfRule type="expression" priority="147" id="{762D8CF2-0CF1-4CDD-B40D-6A69F5A4155A}">
            <xm:f>$C$26&lt;&gt;Pricing!$C$22</xm:f>
            <x14:dxf>
              <font>
                <color theme="5"/>
              </font>
              <fill>
                <patternFill>
                  <bgColor theme="7" tint="0.79998168889431442"/>
                </patternFill>
              </fill>
            </x14:dxf>
          </x14:cfRule>
          <xm:sqref>C26</xm:sqref>
        </x14:conditionalFormatting>
        <x14:conditionalFormatting xmlns:xm="http://schemas.microsoft.com/office/excel/2006/main">
          <x14:cfRule type="expression" priority="146" id="{73ABD93E-EAFC-43C9-8CB0-6A8BBA5D14FC}">
            <xm:f>$C$29&lt;&gt;Pricing!$C$25</xm:f>
            <x14:dxf>
              <font>
                <color theme="5"/>
              </font>
              <fill>
                <patternFill>
                  <bgColor theme="7" tint="0.79998168889431442"/>
                </patternFill>
              </fill>
            </x14:dxf>
          </x14:cfRule>
          <xm:sqref>C29</xm:sqref>
        </x14:conditionalFormatting>
        <x14:conditionalFormatting xmlns:xm="http://schemas.microsoft.com/office/excel/2006/main">
          <x14:cfRule type="expression" priority="145" id="{61D4C69E-C0A2-458C-B9DA-E7E89FCE2FEC}">
            <xm:f>$C$32&lt;&gt;Pricing!$C$28</xm:f>
            <x14:dxf>
              <font>
                <color theme="5"/>
              </font>
              <fill>
                <patternFill>
                  <bgColor theme="7" tint="0.79998168889431442"/>
                </patternFill>
              </fill>
            </x14:dxf>
          </x14:cfRule>
          <xm:sqref>C32</xm:sqref>
        </x14:conditionalFormatting>
        <x14:conditionalFormatting xmlns:xm="http://schemas.microsoft.com/office/excel/2006/main">
          <x14:cfRule type="expression" priority="144" id="{7E935AC9-936B-4430-9793-D741DD5AF23F}">
            <xm:f>$C$35&lt;&gt;Pricing!$C$31</xm:f>
            <x14:dxf>
              <font>
                <color theme="5"/>
              </font>
              <fill>
                <patternFill>
                  <bgColor theme="7" tint="0.79998168889431442"/>
                </patternFill>
              </fill>
            </x14:dxf>
          </x14:cfRule>
          <xm:sqref>C35</xm:sqref>
        </x14:conditionalFormatting>
        <x14:conditionalFormatting xmlns:xm="http://schemas.microsoft.com/office/excel/2006/main">
          <x14:cfRule type="expression" priority="143" id="{186FBEAC-19EC-4B68-AD68-0F39B80D8AD9}">
            <xm:f>$C$38&lt;&gt;Pricing!$C$34</xm:f>
            <x14:dxf>
              <font>
                <color theme="5"/>
              </font>
              <fill>
                <patternFill>
                  <bgColor theme="7" tint="0.79998168889431442"/>
                </patternFill>
              </fill>
            </x14:dxf>
          </x14:cfRule>
          <xm:sqref>C38</xm:sqref>
        </x14:conditionalFormatting>
        <x14:conditionalFormatting xmlns:xm="http://schemas.microsoft.com/office/excel/2006/main">
          <x14:cfRule type="expression" priority="142" id="{0D6304EA-ECC7-4DB6-A122-949C140D44D4}">
            <xm:f>$C$41&lt;&gt;Pricing!$C$37</xm:f>
            <x14:dxf>
              <font>
                <color theme="5"/>
              </font>
              <fill>
                <patternFill>
                  <bgColor theme="7" tint="0.79998168889431442"/>
                </patternFill>
              </fill>
            </x14:dxf>
          </x14:cfRule>
          <xm:sqref>C41</xm:sqref>
        </x14:conditionalFormatting>
        <x14:conditionalFormatting xmlns:xm="http://schemas.microsoft.com/office/excel/2006/main">
          <x14:cfRule type="expression" priority="141" id="{DECEEFF2-C120-4E3F-8FEB-62116F2F280B}">
            <xm:f>$C$44&lt;&gt;Pricing!$C$40</xm:f>
            <x14:dxf>
              <font>
                <color theme="5"/>
              </font>
              <fill>
                <patternFill>
                  <bgColor theme="7" tint="0.79998168889431442"/>
                </patternFill>
              </fill>
            </x14:dxf>
          </x14:cfRule>
          <xm:sqref>C44</xm:sqref>
        </x14:conditionalFormatting>
        <x14:conditionalFormatting xmlns:xm="http://schemas.microsoft.com/office/excel/2006/main">
          <x14:cfRule type="expression" priority="140" id="{09FA11DC-77AC-4FB2-B33C-664C79092647}">
            <xm:f>$C$47&lt;&gt;Pricing!$C$43</xm:f>
            <x14:dxf>
              <font>
                <color theme="5"/>
              </font>
              <fill>
                <patternFill>
                  <bgColor theme="7" tint="0.79998168889431442"/>
                </patternFill>
              </fill>
            </x14:dxf>
          </x14:cfRule>
          <xm:sqref>C47</xm:sqref>
        </x14:conditionalFormatting>
        <x14:conditionalFormatting xmlns:xm="http://schemas.microsoft.com/office/excel/2006/main">
          <x14:cfRule type="expression" priority="139" id="{527CB8A0-81A6-4D8D-8918-96662CB79801}">
            <xm:f>$C$53&lt;&gt;Pricing!$C$49</xm:f>
            <x14:dxf>
              <font>
                <color theme="5"/>
              </font>
              <fill>
                <patternFill>
                  <bgColor theme="7" tint="0.79998168889431442"/>
                </patternFill>
              </fill>
            </x14:dxf>
          </x14:cfRule>
          <xm:sqref>C53</xm:sqref>
        </x14:conditionalFormatting>
        <x14:conditionalFormatting xmlns:xm="http://schemas.microsoft.com/office/excel/2006/main">
          <x14:cfRule type="expression" priority="138" id="{A6992DE1-FD89-43C9-A79B-CB2D4D67C297}">
            <xm:f>$C$50&lt;&gt;Pricing!$C$46</xm:f>
            <x14:dxf>
              <font>
                <color theme="5"/>
              </font>
              <fill>
                <patternFill>
                  <bgColor theme="7" tint="0.79998168889431442"/>
                </patternFill>
              </fill>
            </x14:dxf>
          </x14:cfRule>
          <xm:sqref>C50</xm:sqref>
        </x14:conditionalFormatting>
        <x14:conditionalFormatting xmlns:xm="http://schemas.microsoft.com/office/excel/2006/main">
          <x14:cfRule type="expression" priority="137" id="{7F7C7DDD-BC49-494C-A9F3-5940F9A264F0}">
            <xm:f>$C$56&lt;&gt;Pricing!$C$52</xm:f>
            <x14:dxf>
              <font>
                <color theme="5"/>
              </font>
              <fill>
                <patternFill>
                  <bgColor theme="7" tint="0.79998168889431442"/>
                </patternFill>
              </fill>
            </x14:dxf>
          </x14:cfRule>
          <xm:sqref>C56</xm:sqref>
        </x14:conditionalFormatting>
        <x14:conditionalFormatting xmlns:xm="http://schemas.microsoft.com/office/excel/2006/main">
          <x14:cfRule type="expression" priority="136" id="{8A48B596-B587-4BF7-9518-0000B48FAC89}">
            <xm:f>$C$16&lt;&gt;Pricing!$C$12</xm:f>
            <x14:dxf>
              <font>
                <color theme="5"/>
              </font>
              <fill>
                <patternFill>
                  <bgColor theme="7" tint="0.79998168889431442"/>
                </patternFill>
              </fill>
            </x14:dxf>
          </x14:cfRule>
          <xm:sqref>C16</xm:sqref>
        </x14:conditionalFormatting>
        <x14:conditionalFormatting xmlns:xm="http://schemas.microsoft.com/office/excel/2006/main">
          <x14:cfRule type="expression" priority="135" id="{0EF8717C-46FE-462C-A76C-C91CC9AFF5C2}">
            <xm:f>$C$15&lt;&gt;Pricing!$C$11</xm:f>
            <x14:dxf>
              <font>
                <color theme="5"/>
              </font>
              <fill>
                <patternFill>
                  <bgColor theme="7" tint="0.79998168889431442"/>
                </patternFill>
              </fill>
            </x14:dxf>
          </x14:cfRule>
          <xm:sqref>C15</xm:sqref>
        </x14:conditionalFormatting>
        <x14:conditionalFormatting xmlns:xm="http://schemas.microsoft.com/office/excel/2006/main">
          <x14:cfRule type="expression" priority="134" id="{C072EDAA-4131-4660-A708-FA8F21FED002}">
            <xm:f>$C$18&lt;&gt;Pricing!$C$14</xm:f>
            <x14:dxf>
              <font>
                <color theme="5"/>
              </font>
              <fill>
                <patternFill>
                  <bgColor theme="7" tint="0.79998168889431442"/>
                </patternFill>
              </fill>
            </x14:dxf>
          </x14:cfRule>
          <xm:sqref>C18</xm:sqref>
        </x14:conditionalFormatting>
        <x14:conditionalFormatting xmlns:xm="http://schemas.microsoft.com/office/excel/2006/main">
          <x14:cfRule type="expression" priority="133" id="{A388E597-458D-4E5A-BD76-9F294BE27F07}">
            <xm:f>$C$19&lt;&gt;Pricing!$C$15</xm:f>
            <x14:dxf>
              <font>
                <color theme="5"/>
              </font>
              <fill>
                <patternFill>
                  <bgColor theme="7" tint="0.79998168889431442"/>
                </patternFill>
              </fill>
            </x14:dxf>
          </x14:cfRule>
          <xm:sqref>C19</xm:sqref>
        </x14:conditionalFormatting>
        <x14:conditionalFormatting xmlns:xm="http://schemas.microsoft.com/office/excel/2006/main">
          <x14:cfRule type="expression" priority="132" id="{FE20B26E-858E-4D32-A349-12D3A86FB10C}">
            <xm:f>$C$21&lt;&gt;Pricing!$C$17</xm:f>
            <x14:dxf>
              <font>
                <color theme="5"/>
              </font>
              <fill>
                <patternFill>
                  <bgColor theme="7" tint="0.79998168889431442"/>
                </patternFill>
              </fill>
            </x14:dxf>
          </x14:cfRule>
          <xm:sqref>C21</xm:sqref>
        </x14:conditionalFormatting>
        <x14:conditionalFormatting xmlns:xm="http://schemas.microsoft.com/office/excel/2006/main">
          <x14:cfRule type="expression" priority="131" id="{AE923154-FDBC-40E0-A5F6-CEC1A3369BC6}">
            <xm:f>$C$22&lt;&gt;Pricing!$C$18</xm:f>
            <x14:dxf>
              <font>
                <color theme="5"/>
              </font>
              <fill>
                <patternFill>
                  <bgColor theme="7" tint="0.79998168889431442"/>
                </patternFill>
              </fill>
            </x14:dxf>
          </x14:cfRule>
          <xm:sqref>C22</xm:sqref>
        </x14:conditionalFormatting>
        <x14:conditionalFormatting xmlns:xm="http://schemas.microsoft.com/office/excel/2006/main">
          <x14:cfRule type="expression" priority="130" id="{E8510432-DDEE-468E-BC4A-4D4D8B135288}">
            <xm:f>$C$24&lt;&gt;Pricing!$C$20</xm:f>
            <x14:dxf>
              <font>
                <color theme="5"/>
              </font>
              <fill>
                <patternFill>
                  <bgColor theme="7" tint="0.79998168889431442"/>
                </patternFill>
              </fill>
            </x14:dxf>
          </x14:cfRule>
          <xm:sqref>C24</xm:sqref>
        </x14:conditionalFormatting>
        <x14:conditionalFormatting xmlns:xm="http://schemas.microsoft.com/office/excel/2006/main">
          <x14:cfRule type="expression" priority="129" id="{1F179138-1A0E-4B21-B7E0-EF1EA84458CE}">
            <xm:f>$C$25&lt;&gt;Pricing!$C$21</xm:f>
            <x14:dxf>
              <font>
                <color theme="5"/>
              </font>
              <fill>
                <patternFill>
                  <bgColor theme="7" tint="0.79998168889431442"/>
                </patternFill>
              </fill>
            </x14:dxf>
          </x14:cfRule>
          <xm:sqref>C25</xm:sqref>
        </x14:conditionalFormatting>
        <x14:conditionalFormatting xmlns:xm="http://schemas.microsoft.com/office/excel/2006/main">
          <x14:cfRule type="expression" priority="128" id="{ABEBE3EA-6766-4CAC-B436-00C84691F0FF}">
            <xm:f>$C$27&lt;&gt;Pricing!$C$23</xm:f>
            <x14:dxf>
              <font>
                <color theme="5"/>
              </font>
              <fill>
                <patternFill>
                  <bgColor theme="7" tint="0.79998168889431442"/>
                </patternFill>
              </fill>
            </x14:dxf>
          </x14:cfRule>
          <xm:sqref>C27</xm:sqref>
        </x14:conditionalFormatting>
        <x14:conditionalFormatting xmlns:xm="http://schemas.microsoft.com/office/excel/2006/main">
          <x14:cfRule type="expression" priority="127" id="{2C4E91D6-3D78-4A07-B078-4D0A4C45C728}">
            <xm:f>$C$28&lt;&gt;Pricing!$C$24</xm:f>
            <x14:dxf>
              <font>
                <color theme="5"/>
              </font>
              <fill>
                <patternFill>
                  <bgColor theme="7" tint="0.79998168889431442"/>
                </patternFill>
              </fill>
            </x14:dxf>
          </x14:cfRule>
          <xm:sqref>C28</xm:sqref>
        </x14:conditionalFormatting>
        <x14:conditionalFormatting xmlns:xm="http://schemas.microsoft.com/office/excel/2006/main">
          <x14:cfRule type="expression" priority="126" id="{E5E9CA95-1D59-40AF-9BD9-B827B71DF7A9}">
            <xm:f>$C$30&lt;&gt;Pricing!$C$26</xm:f>
            <x14:dxf>
              <font>
                <color theme="5"/>
              </font>
              <fill>
                <patternFill>
                  <bgColor theme="7" tint="0.79998168889431442"/>
                </patternFill>
              </fill>
            </x14:dxf>
          </x14:cfRule>
          <xm:sqref>C30</xm:sqref>
        </x14:conditionalFormatting>
        <x14:conditionalFormatting xmlns:xm="http://schemas.microsoft.com/office/excel/2006/main">
          <x14:cfRule type="expression" priority="124" id="{5328211A-CA46-41AB-9930-7A6E0D433249}">
            <xm:f>$C$31&lt;&gt;Pricing!$C$27</xm:f>
            <x14:dxf>
              <font>
                <color theme="5"/>
              </font>
              <fill>
                <patternFill>
                  <bgColor theme="7" tint="0.79998168889431442"/>
                </patternFill>
              </fill>
            </x14:dxf>
          </x14:cfRule>
          <xm:sqref>C31</xm:sqref>
        </x14:conditionalFormatting>
        <x14:conditionalFormatting xmlns:xm="http://schemas.microsoft.com/office/excel/2006/main">
          <x14:cfRule type="expression" priority="123" id="{4873EEDC-2044-4FE1-AEF9-4601A75290E8}">
            <xm:f>$C$33&lt;&gt;Pricing!$C$29</xm:f>
            <x14:dxf>
              <font>
                <color theme="5"/>
              </font>
              <fill>
                <patternFill>
                  <bgColor theme="7" tint="0.79998168889431442"/>
                </patternFill>
              </fill>
            </x14:dxf>
          </x14:cfRule>
          <xm:sqref>C33</xm:sqref>
        </x14:conditionalFormatting>
        <x14:conditionalFormatting xmlns:xm="http://schemas.microsoft.com/office/excel/2006/main">
          <x14:cfRule type="expression" priority="122" id="{BA53EE30-1DC2-43EA-8C4F-870D8EF95507}">
            <xm:f>$C$34&lt;&gt;Pricing!$C$30</xm:f>
            <x14:dxf>
              <font>
                <color theme="5"/>
              </font>
              <fill>
                <patternFill>
                  <bgColor theme="7" tint="0.79998168889431442"/>
                </patternFill>
              </fill>
            </x14:dxf>
          </x14:cfRule>
          <xm:sqref>C34</xm:sqref>
        </x14:conditionalFormatting>
        <x14:conditionalFormatting xmlns:xm="http://schemas.microsoft.com/office/excel/2006/main">
          <x14:cfRule type="expression" priority="121" id="{ADB0D424-8B7A-4220-9610-2F3C5D9358DC}">
            <xm:f>$C$36&lt;&gt;Pricing!$C$32</xm:f>
            <x14:dxf>
              <font>
                <color theme="5"/>
              </font>
              <fill>
                <patternFill>
                  <bgColor theme="7" tint="0.79998168889431442"/>
                </patternFill>
              </fill>
            </x14:dxf>
          </x14:cfRule>
          <xm:sqref>C36</xm:sqref>
        </x14:conditionalFormatting>
        <x14:conditionalFormatting xmlns:xm="http://schemas.microsoft.com/office/excel/2006/main">
          <x14:cfRule type="expression" priority="120" id="{A5717F31-D36A-4D49-BD22-507873125B5C}">
            <xm:f>$C$37&lt;&gt;Pricing!$C$33</xm:f>
            <x14:dxf>
              <font>
                <color theme="5"/>
              </font>
              <fill>
                <patternFill>
                  <bgColor theme="7" tint="0.79998168889431442"/>
                </patternFill>
              </fill>
            </x14:dxf>
          </x14:cfRule>
          <xm:sqref>C37</xm:sqref>
        </x14:conditionalFormatting>
        <x14:conditionalFormatting xmlns:xm="http://schemas.microsoft.com/office/excel/2006/main">
          <x14:cfRule type="expression" priority="119" id="{CB78998C-F0A1-4218-A606-0D3093AC2667}">
            <xm:f>$C$39&lt;&gt;Pricing!$C$35</xm:f>
            <x14:dxf>
              <font>
                <color theme="5"/>
              </font>
              <fill>
                <patternFill>
                  <bgColor theme="7" tint="0.79998168889431442"/>
                </patternFill>
              </fill>
            </x14:dxf>
          </x14:cfRule>
          <xm:sqref>C39</xm:sqref>
        </x14:conditionalFormatting>
        <x14:conditionalFormatting xmlns:xm="http://schemas.microsoft.com/office/excel/2006/main">
          <x14:cfRule type="expression" priority="117" id="{9D143606-47E9-4F24-AF4C-ED2F017E78B1}">
            <xm:f>$C$40&lt;&gt;Pricing!$C$36</xm:f>
            <x14:dxf>
              <font>
                <color theme="5"/>
              </font>
              <fill>
                <patternFill>
                  <bgColor theme="7" tint="0.79998168889431442"/>
                </patternFill>
              </fill>
            </x14:dxf>
          </x14:cfRule>
          <xm:sqref>C40</xm:sqref>
        </x14:conditionalFormatting>
        <x14:conditionalFormatting xmlns:xm="http://schemas.microsoft.com/office/excel/2006/main">
          <x14:cfRule type="expression" priority="116" id="{F834669E-D791-44BC-95B4-B9A0CC54ECDC}">
            <xm:f>$C$42&lt;&gt;Pricing!$C$38</xm:f>
            <x14:dxf>
              <font>
                <color theme="5"/>
              </font>
              <fill>
                <patternFill>
                  <bgColor theme="7" tint="0.79998168889431442"/>
                </patternFill>
              </fill>
            </x14:dxf>
          </x14:cfRule>
          <xm:sqref>C42</xm:sqref>
        </x14:conditionalFormatting>
        <x14:conditionalFormatting xmlns:xm="http://schemas.microsoft.com/office/excel/2006/main">
          <x14:cfRule type="expression" priority="115" id="{783A0720-7BDF-44D5-BA53-BF5C0409E86F}">
            <xm:f>$C$43&lt;&gt;Pricing!$C$39</xm:f>
            <x14:dxf>
              <font>
                <color theme="5"/>
              </font>
              <fill>
                <patternFill>
                  <bgColor theme="7" tint="0.79998168889431442"/>
                </patternFill>
              </fill>
            </x14:dxf>
          </x14:cfRule>
          <xm:sqref>C43</xm:sqref>
        </x14:conditionalFormatting>
        <x14:conditionalFormatting xmlns:xm="http://schemas.microsoft.com/office/excel/2006/main">
          <x14:cfRule type="expression" priority="114" id="{209727EB-FACA-498B-9853-D5726FCFC742}">
            <xm:f>$C$45&lt;&gt;Pricing!$C$41</xm:f>
            <x14:dxf>
              <font>
                <color theme="5"/>
              </font>
              <fill>
                <patternFill>
                  <bgColor theme="7" tint="0.79998168889431442"/>
                </patternFill>
              </fill>
            </x14:dxf>
          </x14:cfRule>
          <xm:sqref>C45</xm:sqref>
        </x14:conditionalFormatting>
        <x14:conditionalFormatting xmlns:xm="http://schemas.microsoft.com/office/excel/2006/main">
          <x14:cfRule type="expression" priority="113" id="{A9A9292A-62E2-4634-AEC7-66B902598F64}">
            <xm:f>$C$46&lt;&gt;Pricing!$C$42</xm:f>
            <x14:dxf>
              <font>
                <color theme="5"/>
              </font>
              <fill>
                <patternFill>
                  <bgColor theme="7" tint="0.79998168889431442"/>
                </patternFill>
              </fill>
            </x14:dxf>
          </x14:cfRule>
          <xm:sqref>C46</xm:sqref>
        </x14:conditionalFormatting>
        <x14:conditionalFormatting xmlns:xm="http://schemas.microsoft.com/office/excel/2006/main">
          <x14:cfRule type="expression" priority="112" id="{5ABA23DD-7221-44C6-B33F-3DC0FF11565D}">
            <xm:f>$C$48&lt;&gt;Pricing!$C$44</xm:f>
            <x14:dxf>
              <font>
                <color theme="5"/>
              </font>
              <fill>
                <patternFill>
                  <bgColor theme="7" tint="0.79998168889431442"/>
                </patternFill>
              </fill>
            </x14:dxf>
          </x14:cfRule>
          <xm:sqref>C48</xm:sqref>
        </x14:conditionalFormatting>
        <x14:conditionalFormatting xmlns:xm="http://schemas.microsoft.com/office/excel/2006/main">
          <x14:cfRule type="expression" priority="111" id="{B874EAFF-0D0B-42E6-8779-A760A1851FB0}">
            <xm:f>$C$49&lt;&gt;Pricing!$C$45</xm:f>
            <x14:dxf>
              <font>
                <color theme="5"/>
              </font>
              <fill>
                <patternFill>
                  <bgColor theme="7" tint="0.79998168889431442"/>
                </patternFill>
              </fill>
            </x14:dxf>
          </x14:cfRule>
          <xm:sqref>C49</xm:sqref>
        </x14:conditionalFormatting>
        <x14:conditionalFormatting xmlns:xm="http://schemas.microsoft.com/office/excel/2006/main">
          <x14:cfRule type="expression" priority="110" id="{D4866EC9-F162-4A14-A0AC-F0C6239D2550}">
            <xm:f>$C$51&lt;&gt;Pricing!$C$47</xm:f>
            <x14:dxf>
              <font>
                <color theme="5"/>
              </font>
              <fill>
                <patternFill>
                  <bgColor theme="7" tint="0.79998168889431442"/>
                </patternFill>
              </fill>
            </x14:dxf>
          </x14:cfRule>
          <xm:sqref>C51</xm:sqref>
        </x14:conditionalFormatting>
        <x14:conditionalFormatting xmlns:xm="http://schemas.microsoft.com/office/excel/2006/main">
          <x14:cfRule type="expression" priority="109" id="{6780D84F-0DFF-4063-A184-BF81FA0ECDF7}">
            <xm:f>$C$52&lt;&gt;Pricing!$C$48</xm:f>
            <x14:dxf>
              <font>
                <color theme="5"/>
              </font>
              <fill>
                <patternFill>
                  <bgColor theme="7" tint="0.79998168889431442"/>
                </patternFill>
              </fill>
            </x14:dxf>
          </x14:cfRule>
          <xm:sqref>C52</xm:sqref>
        </x14:conditionalFormatting>
        <x14:conditionalFormatting xmlns:xm="http://schemas.microsoft.com/office/excel/2006/main">
          <x14:cfRule type="expression" priority="107" id="{C35853EE-F847-46C6-87AF-8F1BADB80640}">
            <xm:f>$C$54&lt;&gt;Pricing!$C$50</xm:f>
            <x14:dxf>
              <font>
                <color theme="5"/>
              </font>
              <fill>
                <patternFill>
                  <bgColor theme="7" tint="0.79998168889431442"/>
                </patternFill>
              </fill>
            </x14:dxf>
          </x14:cfRule>
          <xm:sqref>C54</xm:sqref>
        </x14:conditionalFormatting>
        <x14:conditionalFormatting xmlns:xm="http://schemas.microsoft.com/office/excel/2006/main">
          <x14:cfRule type="expression" priority="106" id="{F333D11D-74DF-4A2C-8249-AE0864F00160}">
            <xm:f>$C$55&lt;&gt;Pricing!$C$51</xm:f>
            <x14:dxf>
              <font>
                <color theme="5"/>
              </font>
              <fill>
                <patternFill>
                  <bgColor theme="7" tint="0.79998168889431442"/>
                </patternFill>
              </fill>
            </x14:dxf>
          </x14:cfRule>
          <xm:sqref>C55</xm:sqref>
        </x14:conditionalFormatting>
        <x14:conditionalFormatting xmlns:xm="http://schemas.microsoft.com/office/excel/2006/main">
          <x14:cfRule type="expression" priority="105" id="{9DFD3D16-29E5-41B5-9A6D-6633338C6CCB}">
            <xm:f>$D$12&lt;&gt;Pricing!$D$8</xm:f>
            <x14:dxf>
              <font>
                <color theme="5"/>
              </font>
              <fill>
                <patternFill>
                  <bgColor theme="7" tint="0.79998168889431442"/>
                </patternFill>
              </fill>
            </x14:dxf>
          </x14:cfRule>
          <xm:sqref>D12:D14</xm:sqref>
        </x14:conditionalFormatting>
        <x14:conditionalFormatting xmlns:xm="http://schemas.microsoft.com/office/excel/2006/main">
          <x14:cfRule type="expression" priority="104" id="{0616EFC3-4516-4620-A127-AE6FCEFA6016}">
            <xm:f>$D$15&lt;&gt;Pricing!$D$11</xm:f>
            <x14:dxf>
              <font>
                <color theme="5"/>
              </font>
              <fill>
                <patternFill>
                  <bgColor theme="7" tint="0.79998168889431442"/>
                </patternFill>
              </fill>
            </x14:dxf>
          </x14:cfRule>
          <xm:sqref>D15:D17</xm:sqref>
        </x14:conditionalFormatting>
        <x14:conditionalFormatting xmlns:xm="http://schemas.microsoft.com/office/excel/2006/main">
          <x14:cfRule type="expression" priority="103" id="{A79B6B45-2890-49FD-913C-970751BC469D}">
            <xm:f>$D$18&lt;&gt;Pricing!$D$14</xm:f>
            <x14:dxf>
              <font>
                <color theme="5"/>
              </font>
              <fill>
                <patternFill>
                  <bgColor theme="7" tint="0.79998168889431442"/>
                </patternFill>
              </fill>
            </x14:dxf>
          </x14:cfRule>
          <xm:sqref>D18:D20</xm:sqref>
        </x14:conditionalFormatting>
        <x14:conditionalFormatting xmlns:xm="http://schemas.microsoft.com/office/excel/2006/main">
          <x14:cfRule type="expression" priority="102" id="{DFCCAE3A-E8E3-4AB0-8F4A-FC7FA36F9A2E}">
            <xm:f>$D$21&lt;&gt;Pricing!$D$17</xm:f>
            <x14:dxf>
              <font>
                <color theme="5"/>
              </font>
              <fill>
                <patternFill>
                  <bgColor theme="7" tint="0.79998168889431442"/>
                </patternFill>
              </fill>
            </x14:dxf>
          </x14:cfRule>
          <xm:sqref>D21:D23</xm:sqref>
        </x14:conditionalFormatting>
        <x14:conditionalFormatting xmlns:xm="http://schemas.microsoft.com/office/excel/2006/main">
          <x14:cfRule type="expression" priority="101" id="{32CF3EDE-7FD2-45AF-BA91-F9D0B1CA47A8}">
            <xm:f>$D$24&lt;&gt;Pricing!$D$20</xm:f>
            <x14:dxf>
              <font>
                <color theme="5"/>
              </font>
              <fill>
                <patternFill>
                  <bgColor theme="7" tint="0.79998168889431442"/>
                </patternFill>
              </fill>
            </x14:dxf>
          </x14:cfRule>
          <xm:sqref>D24:D26</xm:sqref>
        </x14:conditionalFormatting>
        <x14:conditionalFormatting xmlns:xm="http://schemas.microsoft.com/office/excel/2006/main">
          <x14:cfRule type="expression" priority="100" id="{D500E46B-7627-463B-BB14-FF86129CFAF2}">
            <xm:f>$D$27&lt;&gt;Pricing!$D$23</xm:f>
            <x14:dxf>
              <font>
                <color theme="5"/>
              </font>
              <fill>
                <patternFill>
                  <bgColor theme="7" tint="0.79998168889431442"/>
                </patternFill>
              </fill>
            </x14:dxf>
          </x14:cfRule>
          <xm:sqref>D27:D29</xm:sqref>
        </x14:conditionalFormatting>
        <x14:conditionalFormatting xmlns:xm="http://schemas.microsoft.com/office/excel/2006/main">
          <x14:cfRule type="expression" priority="99" id="{60698B85-A98F-4C19-91F2-FE4F526143F8}">
            <xm:f>$D$30&lt;&gt;Pricing!$D$26</xm:f>
            <x14:dxf>
              <font>
                <color theme="5"/>
              </font>
              <fill>
                <patternFill>
                  <bgColor theme="7" tint="0.79998168889431442"/>
                </patternFill>
              </fill>
            </x14:dxf>
          </x14:cfRule>
          <xm:sqref>D30:D32</xm:sqref>
        </x14:conditionalFormatting>
        <x14:conditionalFormatting xmlns:xm="http://schemas.microsoft.com/office/excel/2006/main">
          <x14:cfRule type="expression" priority="98" id="{8D70337A-B336-411A-92BC-476FA76E8B61}">
            <xm:f>$D$33&lt;&gt;Pricing!$D$29</xm:f>
            <x14:dxf>
              <font>
                <color theme="5"/>
              </font>
              <fill>
                <patternFill>
                  <bgColor theme="7" tint="0.79998168889431442"/>
                </patternFill>
              </fill>
            </x14:dxf>
          </x14:cfRule>
          <xm:sqref>D33:D35</xm:sqref>
        </x14:conditionalFormatting>
        <x14:conditionalFormatting xmlns:xm="http://schemas.microsoft.com/office/excel/2006/main">
          <x14:cfRule type="expression" priority="97" id="{2539131B-E2E9-414E-9950-3512B90F4017}">
            <xm:f>$D$36&lt;&gt;Pricing!$D$32</xm:f>
            <x14:dxf>
              <font>
                <color theme="5"/>
              </font>
              <fill>
                <patternFill>
                  <bgColor theme="7" tint="0.79998168889431442"/>
                </patternFill>
              </fill>
            </x14:dxf>
          </x14:cfRule>
          <xm:sqref>D36:D38</xm:sqref>
        </x14:conditionalFormatting>
        <x14:conditionalFormatting xmlns:xm="http://schemas.microsoft.com/office/excel/2006/main">
          <x14:cfRule type="expression" priority="96" id="{3423981E-BD0E-47F6-AB85-B5CDE68E31D6}">
            <xm:f>$D$39&lt;&gt;Pricing!$D$35</xm:f>
            <x14:dxf>
              <font>
                <color theme="5"/>
              </font>
              <fill>
                <patternFill>
                  <bgColor theme="7" tint="0.79998168889431442"/>
                </patternFill>
              </fill>
            </x14:dxf>
          </x14:cfRule>
          <xm:sqref>D39:D41</xm:sqref>
        </x14:conditionalFormatting>
        <x14:conditionalFormatting xmlns:xm="http://schemas.microsoft.com/office/excel/2006/main">
          <x14:cfRule type="expression" priority="95" id="{5944592A-4459-4A82-8099-287A2D037F21}">
            <xm:f>$D$42:$D$44&lt;&gt;Pricing!$D$38</xm:f>
            <x14:dxf>
              <font>
                <color theme="5"/>
              </font>
              <fill>
                <patternFill>
                  <bgColor theme="7" tint="0.79998168889431442"/>
                </patternFill>
              </fill>
            </x14:dxf>
          </x14:cfRule>
          <xm:sqref>D42:D44</xm:sqref>
        </x14:conditionalFormatting>
        <x14:conditionalFormatting xmlns:xm="http://schemas.microsoft.com/office/excel/2006/main">
          <x14:cfRule type="expression" priority="94" id="{694E7EE7-E2B9-4A2D-B122-5FD20E08878F}">
            <xm:f>$D$45&lt;&gt;Pricing!$D$41</xm:f>
            <x14:dxf>
              <font>
                <color theme="5"/>
              </font>
              <fill>
                <patternFill>
                  <bgColor theme="7" tint="0.79998168889431442"/>
                </patternFill>
              </fill>
            </x14:dxf>
          </x14:cfRule>
          <xm:sqref>D45:D47</xm:sqref>
        </x14:conditionalFormatting>
        <x14:conditionalFormatting xmlns:xm="http://schemas.microsoft.com/office/excel/2006/main">
          <x14:cfRule type="expression" priority="93" id="{C5CFEACA-8146-4730-8211-9EDB4EE8756C}">
            <xm:f>$D$48&lt;&gt;Pricing!$D$44</xm:f>
            <x14:dxf>
              <font>
                <color theme="5"/>
              </font>
              <fill>
                <patternFill>
                  <bgColor theme="7" tint="0.79998168889431442"/>
                </patternFill>
              </fill>
            </x14:dxf>
          </x14:cfRule>
          <xm:sqref>D48:D50</xm:sqref>
        </x14:conditionalFormatting>
        <x14:conditionalFormatting xmlns:xm="http://schemas.microsoft.com/office/excel/2006/main">
          <x14:cfRule type="expression" priority="92" id="{2317BE45-DF11-41C8-B98D-0AB937E55741}">
            <xm:f>$D$51&lt;&gt;Pricing!$D$47</xm:f>
            <x14:dxf>
              <font>
                <color theme="5"/>
              </font>
              <fill>
                <patternFill>
                  <bgColor theme="7" tint="0.79998168889431442"/>
                </patternFill>
              </fill>
            </x14:dxf>
          </x14:cfRule>
          <xm:sqref>D51:D53</xm:sqref>
        </x14:conditionalFormatting>
        <x14:conditionalFormatting xmlns:xm="http://schemas.microsoft.com/office/excel/2006/main">
          <x14:cfRule type="expression" priority="91" id="{D5CDD245-775E-4C1F-B618-3C10883F3C8E}">
            <xm:f>$D$54&lt;&gt;Pricing!$D$50</xm:f>
            <x14:dxf>
              <font>
                <color theme="5"/>
              </font>
              <fill>
                <patternFill>
                  <bgColor theme="7" tint="0.79998168889431442"/>
                </patternFill>
              </fill>
            </x14:dxf>
          </x14:cfRule>
          <xm:sqref>D54:D56</xm:sqref>
        </x14:conditionalFormatting>
        <x14:conditionalFormatting xmlns:xm="http://schemas.microsoft.com/office/excel/2006/main">
          <x14:cfRule type="expression" priority="90" id="{EC25A362-4F1C-48E6-B7EE-C82579052DED}">
            <xm:f>$E$12&lt;&gt;Pricing!$E$8</xm:f>
            <x14:dxf>
              <font>
                <color theme="5"/>
              </font>
              <fill>
                <patternFill>
                  <bgColor theme="7" tint="0.79998168889431442"/>
                </patternFill>
              </fill>
            </x14:dxf>
          </x14:cfRule>
          <xm:sqref>E12:E14</xm:sqref>
        </x14:conditionalFormatting>
        <x14:conditionalFormatting xmlns:xm="http://schemas.microsoft.com/office/excel/2006/main">
          <x14:cfRule type="expression" priority="88" id="{D58FE8B3-57BC-4345-8A92-CA3853772A1B}">
            <xm:f>$E$18&lt;&gt;Pricing!$E$14</xm:f>
            <x14:dxf>
              <font>
                <color theme="5"/>
              </font>
              <fill>
                <patternFill>
                  <bgColor theme="7" tint="0.79998168889431442"/>
                </patternFill>
              </fill>
            </x14:dxf>
          </x14:cfRule>
          <xm:sqref>E15:E20</xm:sqref>
        </x14:conditionalFormatting>
        <x14:conditionalFormatting xmlns:xm="http://schemas.microsoft.com/office/excel/2006/main">
          <x14:cfRule type="expression" priority="87" id="{331BDEE4-BE82-4944-85C4-8C100D6539E5}">
            <xm:f>$E$21&lt;&gt;Pricing!$E$17</xm:f>
            <x14:dxf>
              <font>
                <color theme="5"/>
              </font>
              <fill>
                <patternFill>
                  <bgColor theme="7" tint="0.79998168889431442"/>
                </patternFill>
              </fill>
            </x14:dxf>
          </x14:cfRule>
          <xm:sqref>E21:E23</xm:sqref>
        </x14:conditionalFormatting>
        <x14:conditionalFormatting xmlns:xm="http://schemas.microsoft.com/office/excel/2006/main">
          <x14:cfRule type="expression" priority="85" id="{A20101A9-A2CC-4393-919C-6563A4ABA634}">
            <xm:f>$E$24&lt;&gt;Pricing!$E$20</xm:f>
            <x14:dxf>
              <font>
                <color theme="5"/>
              </font>
              <fill>
                <patternFill>
                  <bgColor theme="7" tint="0.79998168889431442"/>
                </patternFill>
              </fill>
            </x14:dxf>
          </x14:cfRule>
          <xm:sqref>E24:E26</xm:sqref>
        </x14:conditionalFormatting>
        <x14:conditionalFormatting xmlns:xm="http://schemas.microsoft.com/office/excel/2006/main">
          <x14:cfRule type="expression" priority="84" id="{3CA3437D-F24E-4845-A1CA-176389BFA2B3}">
            <xm:f>$E$27&lt;&gt;Pricing!$E$23</xm:f>
            <x14:dxf>
              <font>
                <color theme="5"/>
              </font>
              <fill>
                <patternFill>
                  <bgColor theme="7" tint="0.79998168889431442"/>
                </patternFill>
              </fill>
            </x14:dxf>
          </x14:cfRule>
          <xm:sqref>E27:E29</xm:sqref>
        </x14:conditionalFormatting>
        <x14:conditionalFormatting xmlns:xm="http://schemas.microsoft.com/office/excel/2006/main">
          <x14:cfRule type="expression" priority="83" id="{7B166CED-69D3-4E69-948C-8161DA7B2B52}">
            <xm:f>$E$30&lt;&gt;Pricing!$E$26</xm:f>
            <x14:dxf>
              <font>
                <color theme="5"/>
              </font>
              <fill>
                <patternFill>
                  <bgColor theme="7" tint="0.79998168889431442"/>
                </patternFill>
              </fill>
            </x14:dxf>
          </x14:cfRule>
          <xm:sqref>E30:E32</xm:sqref>
        </x14:conditionalFormatting>
        <x14:conditionalFormatting xmlns:xm="http://schemas.microsoft.com/office/excel/2006/main">
          <x14:cfRule type="expression" priority="82" id="{5D629F3E-2F99-4151-9DCA-E79194205853}">
            <xm:f>$E$33&lt;&gt;Pricing!$E$29</xm:f>
            <x14:dxf>
              <font>
                <color theme="5"/>
              </font>
              <fill>
                <patternFill>
                  <bgColor theme="7" tint="0.79998168889431442"/>
                </patternFill>
              </fill>
            </x14:dxf>
          </x14:cfRule>
          <xm:sqref>E33:E35</xm:sqref>
        </x14:conditionalFormatting>
        <x14:conditionalFormatting xmlns:xm="http://schemas.microsoft.com/office/excel/2006/main">
          <x14:cfRule type="expression" priority="81" id="{8F357B47-3537-45B2-8F8B-18C4BE6E17AD}">
            <xm:f>$E$36&lt;&gt;Pricing!$E$32</xm:f>
            <x14:dxf>
              <font>
                <color theme="5"/>
              </font>
              <fill>
                <patternFill>
                  <bgColor theme="7" tint="0.79998168889431442"/>
                </patternFill>
              </fill>
            </x14:dxf>
          </x14:cfRule>
          <xm:sqref>E36:E38</xm:sqref>
        </x14:conditionalFormatting>
        <x14:conditionalFormatting xmlns:xm="http://schemas.microsoft.com/office/excel/2006/main">
          <x14:cfRule type="expression" priority="80" id="{2504D56E-971D-4AC1-B4AC-C6249812C45B}">
            <xm:f>$E$39&lt;&gt;Pricing!$E$35</xm:f>
            <x14:dxf>
              <font>
                <color theme="5"/>
              </font>
              <fill>
                <patternFill>
                  <bgColor theme="7" tint="0.79998168889431442"/>
                </patternFill>
              </fill>
            </x14:dxf>
          </x14:cfRule>
          <xm:sqref>E39:E41</xm:sqref>
        </x14:conditionalFormatting>
        <x14:conditionalFormatting xmlns:xm="http://schemas.microsoft.com/office/excel/2006/main">
          <x14:cfRule type="expression" priority="79" id="{7DB7E9C6-EA8E-42C9-AE10-46A4C61257D0}">
            <xm:f>$E$42&lt;&gt;Pricing!$E$38</xm:f>
            <x14:dxf>
              <font>
                <color theme="5"/>
              </font>
              <fill>
                <patternFill>
                  <bgColor theme="7" tint="0.79998168889431442"/>
                </patternFill>
              </fill>
            </x14:dxf>
          </x14:cfRule>
          <xm:sqref>E42:E44</xm:sqref>
        </x14:conditionalFormatting>
        <x14:conditionalFormatting xmlns:xm="http://schemas.microsoft.com/office/excel/2006/main">
          <x14:cfRule type="expression" priority="78" id="{CF2A895F-B4AD-48BC-8478-C5D093FEC435}">
            <xm:f>$E$45&lt;&gt;Pricing!$E$41</xm:f>
            <x14:dxf>
              <font>
                <color theme="5"/>
              </font>
              <fill>
                <patternFill>
                  <bgColor theme="7" tint="0.79998168889431442"/>
                </patternFill>
              </fill>
            </x14:dxf>
          </x14:cfRule>
          <xm:sqref>E45:E47</xm:sqref>
        </x14:conditionalFormatting>
        <x14:conditionalFormatting xmlns:xm="http://schemas.microsoft.com/office/excel/2006/main">
          <x14:cfRule type="expression" priority="77" id="{473DDC12-4FED-452A-A4B8-06203DAB5450}">
            <xm:f>$E$48&lt;&gt;Pricing!$E$44</xm:f>
            <x14:dxf>
              <font>
                <color theme="5"/>
              </font>
              <fill>
                <patternFill>
                  <bgColor theme="7" tint="0.79998168889431442"/>
                </patternFill>
              </fill>
            </x14:dxf>
          </x14:cfRule>
          <xm:sqref>E48:E50</xm:sqref>
        </x14:conditionalFormatting>
        <x14:conditionalFormatting xmlns:xm="http://schemas.microsoft.com/office/excel/2006/main">
          <x14:cfRule type="expression" priority="75" id="{F2B1B795-E44B-4E92-9099-CE74532AA930}">
            <xm:f>$E$51&lt;&gt;Pricing!$E$47</xm:f>
            <x14:dxf>
              <font>
                <color theme="5"/>
              </font>
              <fill>
                <patternFill>
                  <bgColor theme="7" tint="0.79998168889431442"/>
                </patternFill>
              </fill>
            </x14:dxf>
          </x14:cfRule>
          <xm:sqref>E51:E53</xm:sqref>
        </x14:conditionalFormatting>
        <x14:conditionalFormatting xmlns:xm="http://schemas.microsoft.com/office/excel/2006/main">
          <x14:cfRule type="expression" priority="74" id="{4AFEF432-9052-4A7D-95B1-544ED3DBC500}">
            <xm:f>$E$54&lt;&gt;Pricing!$E$50</xm:f>
            <x14:dxf>
              <font>
                <color theme="5"/>
              </font>
              <fill>
                <patternFill>
                  <bgColor theme="7" tint="0.79998168889431442"/>
                </patternFill>
              </fill>
            </x14:dxf>
          </x14:cfRule>
          <xm:sqref>E54:E56</xm:sqref>
        </x14:conditionalFormatting>
        <x14:conditionalFormatting xmlns:xm="http://schemas.microsoft.com/office/excel/2006/main">
          <x14:cfRule type="expression" priority="71" id="{D5252F1B-EA55-4C36-9C0C-D30927E82E25}">
            <xm:f>$F$12&lt;&gt;Pricing!$F$8</xm:f>
            <x14:dxf>
              <font>
                <color theme="5"/>
              </font>
              <fill>
                <patternFill>
                  <bgColor theme="7" tint="0.79998168889431442"/>
                </patternFill>
              </fill>
            </x14:dxf>
          </x14:cfRule>
          <xm:sqref>F12:G12</xm:sqref>
        </x14:conditionalFormatting>
        <x14:conditionalFormatting xmlns:xm="http://schemas.microsoft.com/office/excel/2006/main">
          <x14:cfRule type="expression" priority="70" id="{C0DBAD90-F16D-48EE-9CBC-0E6FDE1BB050}">
            <xm:f>$F$13&lt;&gt;Pricing!$F$9</xm:f>
            <x14:dxf>
              <font>
                <color theme="5"/>
              </font>
              <fill>
                <patternFill>
                  <bgColor theme="7" tint="0.79998168889431442"/>
                </patternFill>
              </fill>
            </x14:dxf>
          </x14:cfRule>
          <xm:sqref>F13:G13</xm:sqref>
        </x14:conditionalFormatting>
        <x14:conditionalFormatting xmlns:xm="http://schemas.microsoft.com/office/excel/2006/main">
          <x14:cfRule type="expression" priority="69" id="{7F2DC94D-3768-4A44-9161-3BA3CB58A213}">
            <xm:f>$G$14&lt;&gt;Pricing!$G$10</xm:f>
            <x14:dxf>
              <font>
                <color theme="5"/>
              </font>
              <fill>
                <patternFill>
                  <bgColor theme="7" tint="0.79998168889431442"/>
                </patternFill>
              </fill>
            </x14:dxf>
          </x14:cfRule>
          <xm:sqref>G14</xm:sqref>
        </x14:conditionalFormatting>
        <x14:conditionalFormatting xmlns:xm="http://schemas.microsoft.com/office/excel/2006/main">
          <x14:cfRule type="expression" priority="68" id="{AD115903-AF2E-43ED-92F3-4DEBAC5D954B}">
            <xm:f>$F$15&lt;&gt;Pricing!$F$11</xm:f>
            <x14:dxf>
              <font>
                <color theme="5"/>
              </font>
              <fill>
                <patternFill>
                  <bgColor theme="7" tint="0.79998168889431442"/>
                </patternFill>
              </fill>
            </x14:dxf>
          </x14:cfRule>
          <xm:sqref>F15:G15</xm:sqref>
        </x14:conditionalFormatting>
        <x14:conditionalFormatting xmlns:xm="http://schemas.microsoft.com/office/excel/2006/main">
          <x14:cfRule type="expression" priority="67" id="{11FD08ED-0BEE-4E1A-9CF2-44E36AD09C97}">
            <xm:f>$F$16&lt;&gt;Pricing!$F$12</xm:f>
            <x14:dxf>
              <font>
                <color theme="5"/>
              </font>
              <fill>
                <patternFill>
                  <bgColor theme="7" tint="0.79998168889431442"/>
                </patternFill>
              </fill>
            </x14:dxf>
          </x14:cfRule>
          <xm:sqref>F16:G16</xm:sqref>
        </x14:conditionalFormatting>
        <x14:conditionalFormatting xmlns:xm="http://schemas.microsoft.com/office/excel/2006/main">
          <x14:cfRule type="expression" priority="66" id="{427B4FA5-D273-4542-BA7A-601BC0DDCC23}">
            <xm:f>$G$17&lt;&gt;Pricing!$G$13</xm:f>
            <x14:dxf>
              <font>
                <color theme="5"/>
              </font>
              <fill>
                <patternFill>
                  <bgColor theme="7" tint="0.79998168889431442"/>
                </patternFill>
              </fill>
            </x14:dxf>
          </x14:cfRule>
          <xm:sqref>G17</xm:sqref>
        </x14:conditionalFormatting>
        <x14:conditionalFormatting xmlns:xm="http://schemas.microsoft.com/office/excel/2006/main">
          <x14:cfRule type="expression" priority="65" id="{463B9679-06E4-4B29-ACBA-46E91BD5734D}">
            <xm:f>$F$18&lt;&gt;Pricing!$F$14</xm:f>
            <x14:dxf>
              <font>
                <color theme="5"/>
              </font>
              <fill>
                <patternFill>
                  <bgColor theme="7" tint="0.79998168889431442"/>
                </patternFill>
              </fill>
            </x14:dxf>
          </x14:cfRule>
          <xm:sqref>F18:G18</xm:sqref>
        </x14:conditionalFormatting>
        <x14:conditionalFormatting xmlns:xm="http://schemas.microsoft.com/office/excel/2006/main">
          <x14:cfRule type="expression" priority="64" id="{A4B04795-69C0-457D-9A28-DB0316A7F70F}">
            <xm:f>$F$19&lt;&gt;Pricing!$F$15</xm:f>
            <x14:dxf>
              <font>
                <color theme="5"/>
              </font>
              <fill>
                <patternFill>
                  <bgColor theme="7" tint="0.79998168889431442"/>
                </patternFill>
              </fill>
            </x14:dxf>
          </x14:cfRule>
          <xm:sqref>F19:G19</xm:sqref>
        </x14:conditionalFormatting>
        <x14:conditionalFormatting xmlns:xm="http://schemas.microsoft.com/office/excel/2006/main">
          <x14:cfRule type="expression" priority="62" id="{84B78545-7611-4A89-874B-1E7D71B63699}">
            <xm:f>$G$20&lt;&gt;Pricing!$G$16</xm:f>
            <x14:dxf>
              <font>
                <color theme="5"/>
              </font>
              <fill>
                <patternFill>
                  <bgColor theme="7" tint="0.79998168889431442"/>
                </patternFill>
              </fill>
            </x14:dxf>
          </x14:cfRule>
          <xm:sqref>G20</xm:sqref>
        </x14:conditionalFormatting>
        <x14:conditionalFormatting xmlns:xm="http://schemas.microsoft.com/office/excel/2006/main">
          <x14:cfRule type="expression" priority="61" id="{2E18F051-A0A3-4666-AF34-A7664487F069}">
            <xm:f>$F$21&lt;&gt;Pricing!$F$17</xm:f>
            <x14:dxf>
              <font>
                <color theme="5"/>
              </font>
              <fill>
                <patternFill>
                  <bgColor theme="7" tint="0.79998168889431442"/>
                </patternFill>
              </fill>
            </x14:dxf>
          </x14:cfRule>
          <xm:sqref>F21:G21</xm:sqref>
        </x14:conditionalFormatting>
        <x14:conditionalFormatting xmlns:xm="http://schemas.microsoft.com/office/excel/2006/main">
          <x14:cfRule type="expression" priority="60" id="{5037E709-3493-423A-99FE-796EC39CED44}">
            <xm:f>$F$22&lt;&gt;Pricing!$F$18</xm:f>
            <x14:dxf>
              <font>
                <color theme="5"/>
              </font>
              <fill>
                <patternFill>
                  <bgColor theme="7" tint="0.79998168889431442"/>
                </patternFill>
              </fill>
            </x14:dxf>
          </x14:cfRule>
          <xm:sqref>F22:G22</xm:sqref>
        </x14:conditionalFormatting>
        <x14:conditionalFormatting xmlns:xm="http://schemas.microsoft.com/office/excel/2006/main">
          <x14:cfRule type="expression" priority="59" id="{325E5525-E06C-4E57-9A8F-E24B021F6985}">
            <xm:f>$G$23&lt;&gt;Pricing!$G$19</xm:f>
            <x14:dxf>
              <font>
                <color theme="5"/>
              </font>
              <fill>
                <patternFill>
                  <bgColor theme="7" tint="0.79998168889431442"/>
                </patternFill>
              </fill>
            </x14:dxf>
          </x14:cfRule>
          <xm:sqref>G23</xm:sqref>
        </x14:conditionalFormatting>
        <x14:conditionalFormatting xmlns:xm="http://schemas.microsoft.com/office/excel/2006/main">
          <x14:cfRule type="expression" priority="58" id="{61C26554-DFB0-4CFB-BAA6-1F96996B9060}">
            <xm:f>$F$24&lt;&gt;Pricing!$F$20</xm:f>
            <x14:dxf>
              <font>
                <color theme="5"/>
              </font>
              <fill>
                <patternFill>
                  <bgColor theme="7" tint="0.79998168889431442"/>
                </patternFill>
              </fill>
            </x14:dxf>
          </x14:cfRule>
          <xm:sqref>F24:G24</xm:sqref>
        </x14:conditionalFormatting>
        <x14:conditionalFormatting xmlns:xm="http://schemas.microsoft.com/office/excel/2006/main">
          <x14:cfRule type="expression" priority="57" id="{B969516E-35C8-4E78-972B-3CBA26CF61B1}">
            <xm:f>$F$25&lt;&gt;Pricing!$F$21</xm:f>
            <x14:dxf>
              <font>
                <color theme="5"/>
              </font>
              <fill>
                <patternFill>
                  <bgColor theme="7" tint="0.79998168889431442"/>
                </patternFill>
              </fill>
            </x14:dxf>
          </x14:cfRule>
          <xm:sqref>F25:G25</xm:sqref>
        </x14:conditionalFormatting>
        <x14:conditionalFormatting xmlns:xm="http://schemas.microsoft.com/office/excel/2006/main">
          <x14:cfRule type="expression" priority="56" id="{F8F10BDD-20F5-427B-AB6C-506F988A7D5B}">
            <xm:f>$G$26&lt;&gt;Pricing!$G$22</xm:f>
            <x14:dxf>
              <font>
                <color theme="5"/>
              </font>
              <fill>
                <patternFill>
                  <bgColor theme="7" tint="0.79998168889431442"/>
                </patternFill>
              </fill>
            </x14:dxf>
          </x14:cfRule>
          <xm:sqref>G26</xm:sqref>
        </x14:conditionalFormatting>
        <x14:conditionalFormatting xmlns:xm="http://schemas.microsoft.com/office/excel/2006/main">
          <x14:cfRule type="expression" priority="55" id="{0149D033-B91D-4D69-92A1-E80331AA637D}">
            <xm:f>$F$27&lt;&gt;Pricing!$F$23</xm:f>
            <x14:dxf>
              <font>
                <color theme="5"/>
              </font>
              <fill>
                <patternFill>
                  <bgColor theme="7" tint="0.79998168889431442"/>
                </patternFill>
              </fill>
            </x14:dxf>
          </x14:cfRule>
          <xm:sqref>F27:G27</xm:sqref>
        </x14:conditionalFormatting>
        <x14:conditionalFormatting xmlns:xm="http://schemas.microsoft.com/office/excel/2006/main">
          <x14:cfRule type="expression" priority="54" id="{C08430AC-2D86-49C7-9E15-E7EDAF86E6C4}">
            <xm:f>$F$28&lt;&gt;Pricing!$F$24</xm:f>
            <x14:dxf>
              <font>
                <color theme="5"/>
              </font>
              <fill>
                <patternFill>
                  <bgColor theme="7" tint="0.79998168889431442"/>
                </patternFill>
              </fill>
            </x14:dxf>
          </x14:cfRule>
          <xm:sqref>F28:G28</xm:sqref>
        </x14:conditionalFormatting>
        <x14:conditionalFormatting xmlns:xm="http://schemas.microsoft.com/office/excel/2006/main">
          <x14:cfRule type="expression" priority="53" id="{F1A3302E-071D-485C-86EE-B42601EF6282}">
            <xm:f>$G$29&lt;&gt;Pricing!$G$25</xm:f>
            <x14:dxf>
              <font>
                <color theme="5"/>
              </font>
              <fill>
                <patternFill>
                  <bgColor theme="7" tint="0.79998168889431442"/>
                </patternFill>
              </fill>
            </x14:dxf>
          </x14:cfRule>
          <xm:sqref>G29</xm:sqref>
        </x14:conditionalFormatting>
        <x14:conditionalFormatting xmlns:xm="http://schemas.microsoft.com/office/excel/2006/main">
          <x14:cfRule type="expression" priority="52" id="{09B1BC9D-B178-4212-8C18-DC71A69A63D4}">
            <xm:f>$F$30&lt;&gt;Pricing!$F$26</xm:f>
            <x14:dxf>
              <font>
                <color theme="5"/>
              </font>
              <fill>
                <patternFill>
                  <bgColor theme="7" tint="0.79998168889431442"/>
                </patternFill>
              </fill>
            </x14:dxf>
          </x14:cfRule>
          <xm:sqref>F30:G30</xm:sqref>
        </x14:conditionalFormatting>
        <x14:conditionalFormatting xmlns:xm="http://schemas.microsoft.com/office/excel/2006/main">
          <x14:cfRule type="expression" priority="51" id="{086B21F6-D34E-46B5-BB55-33220148E9FB}">
            <xm:f>$F$31&lt;&gt;Pricing!$F$27</xm:f>
            <x14:dxf>
              <font>
                <color theme="5"/>
              </font>
              <fill>
                <patternFill>
                  <bgColor theme="7" tint="0.79998168889431442"/>
                </patternFill>
              </fill>
            </x14:dxf>
          </x14:cfRule>
          <xm:sqref>F31:G31</xm:sqref>
        </x14:conditionalFormatting>
        <x14:conditionalFormatting xmlns:xm="http://schemas.microsoft.com/office/excel/2006/main">
          <x14:cfRule type="expression" priority="50" id="{20CF34AA-9AA4-4839-B3BE-846FE1074A9F}">
            <xm:f>$G$32&lt;&gt;Pricing!$G$28</xm:f>
            <x14:dxf>
              <font>
                <color theme="5"/>
              </font>
              <fill>
                <patternFill>
                  <bgColor theme="7" tint="0.79998168889431442"/>
                </patternFill>
              </fill>
            </x14:dxf>
          </x14:cfRule>
          <xm:sqref>G32</xm:sqref>
        </x14:conditionalFormatting>
        <x14:conditionalFormatting xmlns:xm="http://schemas.microsoft.com/office/excel/2006/main">
          <x14:cfRule type="expression" priority="47" id="{A121958B-C7CF-44EA-9DF7-7A33BCA0AE18}">
            <xm:f>$H$18&lt;&gt;Pricing!$H$14</xm:f>
            <x14:dxf>
              <font>
                <color theme="5"/>
              </font>
              <fill>
                <patternFill>
                  <bgColor theme="7" tint="0.79998168889431442"/>
                </patternFill>
              </fill>
            </x14:dxf>
          </x14:cfRule>
          <xm:sqref>H12:H20</xm:sqref>
        </x14:conditionalFormatting>
        <x14:conditionalFormatting xmlns:xm="http://schemas.microsoft.com/office/excel/2006/main">
          <x14:cfRule type="expression" priority="46" id="{5A25A55F-7754-4343-80D0-BDC4256E490C}">
            <xm:f>$H$21&lt;&gt;Pricing!$H$17</xm:f>
            <x14:dxf>
              <font>
                <color theme="5"/>
              </font>
              <fill>
                <patternFill>
                  <bgColor theme="7" tint="0.79998168889431442"/>
                </patternFill>
              </fill>
            </x14:dxf>
          </x14:cfRule>
          <xm:sqref>H21:H23</xm:sqref>
        </x14:conditionalFormatting>
        <x14:conditionalFormatting xmlns:xm="http://schemas.microsoft.com/office/excel/2006/main">
          <x14:cfRule type="expression" priority="45" id="{81B212DE-6E52-4F48-887F-2E565D648B0E}">
            <xm:f>$H$24&lt;&gt;Pricing!$H$20</xm:f>
            <x14:dxf>
              <font>
                <color theme="5"/>
              </font>
              <fill>
                <patternFill>
                  <bgColor theme="7" tint="0.79998168889431442"/>
                </patternFill>
              </fill>
            </x14:dxf>
          </x14:cfRule>
          <xm:sqref>H24:H26</xm:sqref>
        </x14:conditionalFormatting>
        <x14:conditionalFormatting xmlns:xm="http://schemas.microsoft.com/office/excel/2006/main">
          <x14:cfRule type="expression" priority="44" id="{C05D7341-6B05-496D-88DA-E71CECA4B050}">
            <xm:f>$H$27&lt;&gt;Pricing!$H$23</xm:f>
            <x14:dxf>
              <font>
                <color theme="5"/>
              </font>
              <fill>
                <patternFill>
                  <bgColor theme="7" tint="0.79998168889431442"/>
                </patternFill>
              </fill>
            </x14:dxf>
          </x14:cfRule>
          <xm:sqref>H27:H29</xm:sqref>
        </x14:conditionalFormatting>
        <x14:conditionalFormatting xmlns:xm="http://schemas.microsoft.com/office/excel/2006/main">
          <x14:cfRule type="expression" priority="43" id="{D0E5CDFC-8C02-41F6-90FC-E18DDE37116F}">
            <xm:f>$H$30&lt;&gt;Pricing!$H$26</xm:f>
            <x14:dxf>
              <font>
                <color theme="5"/>
              </font>
              <fill>
                <patternFill>
                  <bgColor theme="7" tint="0.79998168889431442"/>
                </patternFill>
              </fill>
            </x14:dxf>
          </x14:cfRule>
          <xm:sqref>H30:H32</xm:sqref>
        </x14:conditionalFormatting>
        <x14:conditionalFormatting xmlns:xm="http://schemas.microsoft.com/office/excel/2006/main">
          <x14:cfRule type="expression" priority="42" id="{1DD80CC7-591F-4EDF-9F48-E51A2F1DB4FE}">
            <xm:f>$H$33&lt;&gt;Pricing!$H$29</xm:f>
            <x14:dxf>
              <font>
                <color theme="5"/>
              </font>
              <fill>
                <patternFill>
                  <bgColor theme="7" tint="0.79998168889431442"/>
                </patternFill>
              </fill>
            </x14:dxf>
          </x14:cfRule>
          <xm:sqref>H33:H35</xm:sqref>
        </x14:conditionalFormatting>
        <x14:conditionalFormatting xmlns:xm="http://schemas.microsoft.com/office/excel/2006/main">
          <x14:cfRule type="expression" priority="41" id="{F163460D-8EBA-4F49-A716-8DC5AAF1AD34}">
            <xm:f>$H$36&lt;&gt;Pricing!$H$32</xm:f>
            <x14:dxf>
              <font>
                <color theme="5"/>
              </font>
              <fill>
                <patternFill>
                  <bgColor theme="7" tint="0.79998168889431442"/>
                </patternFill>
              </fill>
            </x14:dxf>
          </x14:cfRule>
          <xm:sqref>H36:H38</xm:sqref>
        </x14:conditionalFormatting>
        <x14:conditionalFormatting xmlns:xm="http://schemas.microsoft.com/office/excel/2006/main">
          <x14:cfRule type="expression" priority="40" id="{88C6A7A8-3507-4ECB-AAEC-15834B8F675B}">
            <xm:f>$H$39&lt;&gt;Pricing!$H$35</xm:f>
            <x14:dxf>
              <font>
                <color theme="5"/>
              </font>
              <fill>
                <patternFill>
                  <bgColor theme="7" tint="0.79998168889431442"/>
                </patternFill>
              </fill>
            </x14:dxf>
          </x14:cfRule>
          <xm:sqref>H39:H41</xm:sqref>
        </x14:conditionalFormatting>
        <x14:conditionalFormatting xmlns:xm="http://schemas.microsoft.com/office/excel/2006/main">
          <x14:cfRule type="expression" priority="39" id="{790DDBA2-A7EF-4505-8AC4-601175CA7744}">
            <xm:f>$H$42&lt;&gt;Pricing!$H$38</xm:f>
            <x14:dxf>
              <font>
                <color theme="5"/>
              </font>
              <fill>
                <patternFill>
                  <bgColor theme="7" tint="0.79998168889431442"/>
                </patternFill>
              </fill>
            </x14:dxf>
          </x14:cfRule>
          <xm:sqref>H42:H44</xm:sqref>
        </x14:conditionalFormatting>
        <x14:conditionalFormatting xmlns:xm="http://schemas.microsoft.com/office/excel/2006/main">
          <x14:cfRule type="expression" priority="38" id="{7CADF51A-574B-4570-AB4F-CC795314D70D}">
            <xm:f>$H$45&lt;&gt;Pricing!$H$41</xm:f>
            <x14:dxf>
              <font>
                <color theme="5"/>
              </font>
              <fill>
                <patternFill>
                  <bgColor theme="7" tint="0.79998168889431442"/>
                </patternFill>
              </fill>
            </x14:dxf>
          </x14:cfRule>
          <xm:sqref>H45:H47</xm:sqref>
        </x14:conditionalFormatting>
        <x14:conditionalFormatting xmlns:xm="http://schemas.microsoft.com/office/excel/2006/main">
          <x14:cfRule type="expression" priority="37" id="{FD32880B-3725-435E-BA9B-45B514F9BDBB}">
            <xm:f>$H$48&lt;&gt;Pricing!$H$44</xm:f>
            <x14:dxf>
              <font>
                <color theme="5"/>
              </font>
              <fill>
                <patternFill>
                  <bgColor theme="7" tint="0.79998168889431442"/>
                </patternFill>
              </fill>
            </x14:dxf>
          </x14:cfRule>
          <xm:sqref>H48:H50</xm:sqref>
        </x14:conditionalFormatting>
        <x14:conditionalFormatting xmlns:xm="http://schemas.microsoft.com/office/excel/2006/main">
          <x14:cfRule type="expression" priority="36" id="{01322818-2D1C-4ECB-A949-70F3EC3A2C9C}">
            <xm:f>$H$51&lt;&gt;Pricing!$H$47</xm:f>
            <x14:dxf>
              <font>
                <color theme="5"/>
              </font>
              <fill>
                <patternFill>
                  <bgColor theme="7" tint="0.79998168889431442"/>
                </patternFill>
              </fill>
            </x14:dxf>
          </x14:cfRule>
          <xm:sqref>H51:H53</xm:sqref>
        </x14:conditionalFormatting>
        <x14:conditionalFormatting xmlns:xm="http://schemas.microsoft.com/office/excel/2006/main">
          <x14:cfRule type="expression" priority="35" id="{3F0E6F51-A243-4207-A813-E87F820465B0}">
            <xm:f>$H$54&lt;&gt;Pricing!$H$50</xm:f>
            <x14:dxf>
              <font>
                <color theme="5"/>
              </font>
              <fill>
                <patternFill>
                  <bgColor theme="7" tint="0.79998168889431442"/>
                </patternFill>
              </fill>
            </x14:dxf>
          </x14:cfRule>
          <xm:sqref>H54:H56</xm:sqref>
        </x14:conditionalFormatting>
        <x14:conditionalFormatting xmlns:xm="http://schemas.microsoft.com/office/excel/2006/main">
          <x14:cfRule type="expression" priority="34" id="{EF2B5FCD-2F8C-4AA0-B6D2-7DC7AD25124A}">
            <xm:f>$I$12&lt;&gt;Pricing!$I$8</xm:f>
            <x14:dxf>
              <font>
                <color theme="5"/>
              </font>
              <fill>
                <patternFill>
                  <bgColor theme="7" tint="0.79998168889431442"/>
                </patternFill>
              </fill>
            </x14:dxf>
          </x14:cfRule>
          <xm:sqref>I12:I17</xm:sqref>
        </x14:conditionalFormatting>
        <x14:conditionalFormatting xmlns:xm="http://schemas.microsoft.com/office/excel/2006/main">
          <x14:cfRule type="expression" priority="32" id="{C274C5D9-29F7-49AF-87F6-64289222A60D}">
            <xm:f>$I$18&lt;&gt;Pricing!$I$14</xm:f>
            <x14:dxf>
              <font>
                <color theme="5"/>
              </font>
              <fill>
                <patternFill>
                  <bgColor theme="7" tint="0.79998168889431442"/>
                </patternFill>
              </fill>
            </x14:dxf>
          </x14:cfRule>
          <xm:sqref>I18:I20</xm:sqref>
        </x14:conditionalFormatting>
        <x14:conditionalFormatting xmlns:xm="http://schemas.microsoft.com/office/excel/2006/main">
          <x14:cfRule type="expression" priority="31" id="{0B97D412-3999-4F95-B03A-AF3BE829EA6C}">
            <xm:f>$I$21&lt;&gt;Pricing!$I$17</xm:f>
            <x14:dxf>
              <font>
                <color theme="5"/>
              </font>
              <fill>
                <patternFill>
                  <bgColor theme="7" tint="0.79998168889431442"/>
                </patternFill>
              </fill>
            </x14:dxf>
          </x14:cfRule>
          <xm:sqref>I21:I23</xm:sqref>
        </x14:conditionalFormatting>
        <x14:conditionalFormatting xmlns:xm="http://schemas.microsoft.com/office/excel/2006/main">
          <x14:cfRule type="expression" priority="30" id="{8BB09BE0-F62A-4199-9AD9-D624AFEEE51D}">
            <xm:f>$I$24&lt;&gt;Pricing!$I$20</xm:f>
            <x14:dxf>
              <font>
                <color theme="5"/>
              </font>
              <fill>
                <patternFill>
                  <bgColor theme="7" tint="0.79998168889431442"/>
                </patternFill>
              </fill>
            </x14:dxf>
          </x14:cfRule>
          <xm:sqref>I24:I26</xm:sqref>
        </x14:conditionalFormatting>
        <x14:conditionalFormatting xmlns:xm="http://schemas.microsoft.com/office/excel/2006/main">
          <x14:cfRule type="expression" priority="29" id="{F339F65C-E4B7-4162-A7EA-AB0811E4255D}">
            <xm:f>$I$27&lt;&gt;Pricing!$I$23</xm:f>
            <x14:dxf>
              <font>
                <color theme="5"/>
              </font>
              <fill>
                <patternFill>
                  <bgColor theme="7" tint="0.79998168889431442"/>
                </patternFill>
              </fill>
            </x14:dxf>
          </x14:cfRule>
          <xm:sqref>I27:I29</xm:sqref>
        </x14:conditionalFormatting>
        <x14:conditionalFormatting xmlns:xm="http://schemas.microsoft.com/office/excel/2006/main">
          <x14:cfRule type="expression" priority="28" id="{EE9FC299-A620-46D7-AAC3-F9D6D6BB625A}">
            <xm:f>$I$30&lt;&gt;Pricing!$I$26</xm:f>
            <x14:dxf>
              <font>
                <color theme="5"/>
              </font>
              <fill>
                <patternFill>
                  <bgColor theme="7" tint="0.79998168889431442"/>
                </patternFill>
              </fill>
            </x14:dxf>
          </x14:cfRule>
          <xm:sqref>I30:I32</xm:sqref>
        </x14:conditionalFormatting>
        <x14:conditionalFormatting xmlns:xm="http://schemas.microsoft.com/office/excel/2006/main">
          <x14:cfRule type="expression" priority="27" id="{C1003F02-2099-4C24-A708-0DF74BBD76F7}">
            <xm:f>$I$33&lt;&gt;Pricing!$I$29</xm:f>
            <x14:dxf>
              <font>
                <color theme="5"/>
              </font>
              <fill>
                <patternFill>
                  <bgColor theme="7" tint="0.79998168889431442"/>
                </patternFill>
              </fill>
            </x14:dxf>
          </x14:cfRule>
          <xm:sqref>I33:I35</xm:sqref>
        </x14:conditionalFormatting>
        <x14:conditionalFormatting xmlns:xm="http://schemas.microsoft.com/office/excel/2006/main">
          <x14:cfRule type="expression" priority="26" id="{155E2E17-263D-4E95-9DA0-0AE5500B342E}">
            <xm:f>$I$36&lt;&gt;Pricing!$I$32</xm:f>
            <x14:dxf>
              <font>
                <color theme="5"/>
              </font>
              <fill>
                <patternFill>
                  <bgColor theme="7" tint="0.79998168889431442"/>
                </patternFill>
              </fill>
            </x14:dxf>
          </x14:cfRule>
          <xm:sqref>I36:I38</xm:sqref>
        </x14:conditionalFormatting>
        <x14:conditionalFormatting xmlns:xm="http://schemas.microsoft.com/office/excel/2006/main">
          <x14:cfRule type="expression" priority="25" id="{5109020D-FB6B-409E-848F-37725F11C18E}">
            <xm:f>$I$39&lt;&gt;Pricing!$I$35</xm:f>
            <x14:dxf>
              <font>
                <color theme="5"/>
              </font>
              <fill>
                <patternFill>
                  <bgColor theme="7" tint="0.79998168889431442"/>
                </patternFill>
              </fill>
            </x14:dxf>
          </x14:cfRule>
          <xm:sqref>I39:I41</xm:sqref>
        </x14:conditionalFormatting>
        <x14:conditionalFormatting xmlns:xm="http://schemas.microsoft.com/office/excel/2006/main">
          <x14:cfRule type="expression" priority="24" id="{4377A64A-6775-47D2-A8B5-2D2F34CE872B}">
            <xm:f>$I$42&lt;&gt;Pricing!$I$38</xm:f>
            <x14:dxf>
              <font>
                <color theme="5"/>
              </font>
              <fill>
                <patternFill>
                  <bgColor theme="7" tint="0.79998168889431442"/>
                </patternFill>
              </fill>
            </x14:dxf>
          </x14:cfRule>
          <xm:sqref>I42:I44</xm:sqref>
        </x14:conditionalFormatting>
        <x14:conditionalFormatting xmlns:xm="http://schemas.microsoft.com/office/excel/2006/main">
          <x14:cfRule type="expression" priority="23" id="{F1FBDE90-99F6-4DA7-A12F-4850BFB48739}">
            <xm:f>$I$45&lt;&gt;Pricing!$I$41</xm:f>
            <x14:dxf>
              <font>
                <color theme="5"/>
              </font>
              <fill>
                <patternFill>
                  <bgColor theme="7" tint="0.79998168889431442"/>
                </patternFill>
              </fill>
            </x14:dxf>
          </x14:cfRule>
          <xm:sqref>I45:I47</xm:sqref>
        </x14:conditionalFormatting>
        <x14:conditionalFormatting xmlns:xm="http://schemas.microsoft.com/office/excel/2006/main">
          <x14:cfRule type="expression" priority="22" id="{48362477-63BD-44B6-8627-63CAB933D375}">
            <xm:f>$I$48&lt;&gt;Pricing!$I$44</xm:f>
            <x14:dxf>
              <font>
                <color theme="5"/>
              </font>
              <fill>
                <patternFill>
                  <bgColor theme="7" tint="0.79998168889431442"/>
                </patternFill>
              </fill>
            </x14:dxf>
          </x14:cfRule>
          <xm:sqref>I48:I50</xm:sqref>
        </x14:conditionalFormatting>
        <x14:conditionalFormatting xmlns:xm="http://schemas.microsoft.com/office/excel/2006/main">
          <x14:cfRule type="expression" priority="21" id="{D4472991-3A56-434F-A4A9-FBB5DB6644B6}">
            <xm:f>$I$51&lt;&gt;Pricing!$I$47</xm:f>
            <x14:dxf>
              <font>
                <color theme="5"/>
              </font>
              <fill>
                <patternFill>
                  <bgColor theme="7" tint="0.79998168889431442"/>
                </patternFill>
              </fill>
            </x14:dxf>
          </x14:cfRule>
          <xm:sqref>I51:I53</xm:sqref>
        </x14:conditionalFormatting>
        <x14:conditionalFormatting xmlns:xm="http://schemas.microsoft.com/office/excel/2006/main">
          <x14:cfRule type="expression" priority="20" id="{3A284F78-D183-4893-8522-BA35E4947D72}">
            <xm:f>$I$54&lt;&gt;Pricing!$I$50</xm:f>
            <x14:dxf>
              <font>
                <color theme="5"/>
              </font>
              <fill>
                <patternFill>
                  <bgColor theme="7" tint="0.79998168889431442"/>
                </patternFill>
              </fill>
            </x14:dxf>
          </x14:cfRule>
          <xm:sqref>I54:I56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dimension ref="B1:BJ93"/>
  <sheetViews>
    <sheetView zoomScaleNormal="100" workbookViewId="0">
      <selection activeCell="W17" sqref="W17:Z18"/>
    </sheetView>
  </sheetViews>
  <sheetFormatPr defaultRowHeight="15" x14ac:dyDescent="0.25"/>
  <cols>
    <col min="1" max="1" width="2.42578125" customWidth="1"/>
    <col min="2" max="39" width="5" customWidth="1"/>
    <col min="44" max="44" width="5.140625" customWidth="1"/>
    <col min="45" max="45" width="12.28515625" customWidth="1"/>
    <col min="48" max="48" width="6.28515625" hidden="1" customWidth="1"/>
    <col min="49" max="59" width="5.7109375" hidden="1" customWidth="1"/>
    <col min="60" max="62" width="0" hidden="1" customWidth="1"/>
  </cols>
  <sheetData>
    <row r="1" spans="2:62" ht="6.95" customHeight="1" thickBot="1" x14ac:dyDescent="0.3"/>
    <row r="2" spans="2:62" ht="15.75" thickTop="1" x14ac:dyDescent="0.25">
      <c r="B2" s="767">
        <v>1</v>
      </c>
      <c r="C2" s="768"/>
      <c r="D2" s="771" t="s">
        <v>159</v>
      </c>
      <c r="E2" s="772"/>
      <c r="F2" s="773" t="s">
        <v>160</v>
      </c>
      <c r="G2" s="774"/>
      <c r="H2" s="772" t="str">
        <f>IF(F2=1,'Survey Front'!C12&amp;" "&amp;'Survey Front'!C13&amp;" "&amp;'Survey Front'!C14,IF(F2=2,'Survey Front'!C15&amp;" "&amp;'Survey Front'!C16&amp;" "&amp;'Survey Front'!C17,IF(F2=3,'Survey Front'!C18&amp;" "&amp;'Survey Front'!C19&amp;" "&amp;'Survey Front'!C20,IF(F2=4,'Survey Front'!C21&amp;" "&amp;'Survey Front'!C22&amp;" "&amp;'Survey Front'!C23,IF(F2=5,'Survey Front'!C24&amp;" "&amp;'Survey Front'!C25&amp;" "&amp;'Survey Front'!C26,IF(F2=6,'Survey Front'!C27&amp;" "&amp;'Survey Front'!C28&amp;" "&amp;'Survey Front'!C29,IF(F2=7,'Survey Front'!C30&amp;" "&amp;'Survey Front'!C31&amp;" "&amp;'Survey Front'!C32,IF(F2=8,'Survey Front'!C33&amp;" "&amp;'Survey Front'!C34&amp;" "&amp;'Survey Front'!C35,IF(F2=9,'Survey Front'!C36&amp;" "&amp;'Survey Front'!C37&amp;" "&amp;'Survey Front'!C38,IF(F2=10,'Survey Front'!C39 &amp;" " &amp;'Survey Front'!C40 &amp; " " &amp; 'Survey Front'!C41,IF(F2=11,'Survey Front'!C42 &amp;" " &amp;'Survey Front'!C43 &amp; " " &amp; 'Survey Front'!C44,IF(F2=12,'Survey Front'!C45 &amp;" " &amp;'Survey Front'!C46 &amp; " " &amp; 'Survey Front'!C47,IF(F2=13,'Survey Front'!C48 &amp;" " &amp;'Survey Front'!C49 &amp; " " &amp; 'Survey Front'!C50,IF(F2=14,'Survey Front'!C51 &amp;" " &amp;'Survey Front'!C52 &amp; " " &amp; 'Survey Front'!C53,IF(F2=15,'Survey Front'!C54 &amp;" " &amp;'Survey Front'!C55 &amp; " " &amp; 'Survey Front'!C56,"")))))))))))))))</f>
        <v/>
      </c>
      <c r="I2" s="772"/>
      <c r="J2" s="772"/>
      <c r="K2" s="772"/>
      <c r="L2" s="772"/>
      <c r="M2" s="772"/>
      <c r="N2" s="772"/>
      <c r="O2" s="772"/>
      <c r="P2" s="777"/>
      <c r="Q2" s="780" t="s">
        <v>161</v>
      </c>
      <c r="R2" s="781"/>
      <c r="S2" s="781"/>
      <c r="T2" s="782"/>
      <c r="U2" s="767">
        <v>2</v>
      </c>
      <c r="V2" s="768"/>
      <c r="W2" s="771" t="s">
        <v>159</v>
      </c>
      <c r="X2" s="772"/>
      <c r="Y2" s="773" t="s">
        <v>160</v>
      </c>
      <c r="Z2" s="774"/>
      <c r="AA2" s="772" t="str">
        <f>IF(Y2=1,'Survey Front'!C12&amp;" "&amp;'Survey Front'!C13&amp;" "&amp;'Survey Front'!C14,IF(Y2=2,'Survey Front'!C15&amp;" "&amp;'Survey Front'!C16&amp;" "&amp;'Survey Front'!C17,IF(Y2=3,'Survey Front'!C18&amp;" "&amp;'Survey Front'!C19&amp;" "&amp;'Survey Front'!C20,IF(Y2=4,'Survey Front'!C21&amp;" "&amp;'Survey Front'!C22&amp;" "&amp;'Survey Front'!C23,IF(Y2=5,'Survey Front'!C24&amp;" "&amp;'Survey Front'!C25&amp;" "&amp;'Survey Front'!C26,IF(Y2=6,'Survey Front'!C27&amp;" "&amp;'Survey Front'!C28&amp;" "&amp;'Survey Front'!C29,IF(Y2=7,'Survey Front'!C30&amp;" "&amp;'Survey Front'!C31&amp;" "&amp;'Survey Front'!C32,IF(Y2=8,'Survey Front'!C33&amp;" "&amp;'Survey Front'!C34&amp;" "&amp;'Survey Front'!C35,IF(Y2=9,'Survey Front'!C36&amp;" "&amp;'Survey Front'!C37&amp;" "&amp;'Survey Front'!C38,IF(Y2=10,'Survey Front'!C39 &amp;" " &amp;'Survey Front'!C40 &amp; " " &amp; 'Survey Front'!C41,IF(Y2=11,'Survey Front'!C42 &amp;" " &amp;'Survey Front'!C43 &amp; " " &amp; 'Survey Front'!C44,IF(Y2=12,'Survey Front'!C45 &amp;" " &amp;'Survey Front'!C46 &amp; " " &amp; 'Survey Front'!C47,IF(Y2=13,'Survey Front'!C48 &amp;" " &amp;'Survey Front'!C49 &amp; " " &amp; 'Survey Front'!C50,IF(Y2=14,'Survey Front'!C51 &amp;" " &amp;'Survey Front'!C52 &amp; " " &amp; 'Survey Front'!C53,IF(Y2=15,'Survey Front'!C54 &amp;" " &amp;'Survey Front'!C55 &amp; " " &amp; 'Survey Front'!C56,"")))))))))))))))</f>
        <v/>
      </c>
      <c r="AB2" s="772"/>
      <c r="AC2" s="772"/>
      <c r="AD2" s="772"/>
      <c r="AE2" s="772"/>
      <c r="AF2" s="772"/>
      <c r="AG2" s="772"/>
      <c r="AH2" s="772"/>
      <c r="AI2" s="777"/>
      <c r="AJ2" s="787" t="s">
        <v>161</v>
      </c>
      <c r="AK2" s="784"/>
      <c r="AL2" s="784"/>
      <c r="AM2" s="788"/>
      <c r="AN2" s="783" t="s">
        <v>162</v>
      </c>
      <c r="AO2" s="784"/>
      <c r="AP2" s="784"/>
      <c r="AQ2" s="784"/>
      <c r="AR2" s="256"/>
      <c r="AS2" s="257"/>
    </row>
    <row r="3" spans="2:62" ht="15.75" thickBot="1" x14ac:dyDescent="0.3">
      <c r="B3" s="769"/>
      <c r="C3" s="770"/>
      <c r="D3" s="761"/>
      <c r="E3" s="762"/>
      <c r="F3" s="775"/>
      <c r="G3" s="776"/>
      <c r="H3" s="759"/>
      <c r="I3" s="759"/>
      <c r="J3" s="759"/>
      <c r="K3" s="759"/>
      <c r="L3" s="759"/>
      <c r="M3" s="759"/>
      <c r="N3" s="759"/>
      <c r="O3" s="759"/>
      <c r="P3" s="778"/>
      <c r="Q3" s="758" t="s">
        <v>160</v>
      </c>
      <c r="R3" s="759"/>
      <c r="S3" s="759"/>
      <c r="T3" s="760"/>
      <c r="U3" s="769"/>
      <c r="V3" s="770"/>
      <c r="W3" s="761"/>
      <c r="X3" s="762"/>
      <c r="Y3" s="775"/>
      <c r="Z3" s="776"/>
      <c r="AA3" s="759"/>
      <c r="AB3" s="759"/>
      <c r="AC3" s="759"/>
      <c r="AD3" s="759"/>
      <c r="AE3" s="759"/>
      <c r="AF3" s="759"/>
      <c r="AG3" s="759"/>
      <c r="AH3" s="759"/>
      <c r="AI3" s="778"/>
      <c r="AJ3" s="758" t="s">
        <v>160</v>
      </c>
      <c r="AK3" s="759"/>
      <c r="AL3" s="759"/>
      <c r="AM3" s="760"/>
      <c r="AN3" s="785"/>
      <c r="AO3" s="786"/>
      <c r="AP3" s="786"/>
      <c r="AQ3" s="786"/>
      <c r="AR3" s="258" t="s">
        <v>163</v>
      </c>
      <c r="AS3" s="259" t="s">
        <v>164</v>
      </c>
    </row>
    <row r="4" spans="2:62" ht="15.75" thickBot="1" x14ac:dyDescent="0.3">
      <c r="B4" s="28"/>
      <c r="C4" s="17"/>
      <c r="D4" s="17"/>
      <c r="E4" s="764"/>
      <c r="F4" s="764"/>
      <c r="G4" s="764"/>
      <c r="H4" s="762"/>
      <c r="I4" s="762"/>
      <c r="J4" s="762"/>
      <c r="K4" s="762"/>
      <c r="L4" s="762"/>
      <c r="M4" s="762"/>
      <c r="N4" s="762"/>
      <c r="O4" s="762"/>
      <c r="P4" s="779"/>
      <c r="Q4" s="761"/>
      <c r="R4" s="762"/>
      <c r="S4" s="762"/>
      <c r="T4" s="763"/>
      <c r="U4" s="28"/>
      <c r="V4" s="17"/>
      <c r="W4" s="764"/>
      <c r="X4" s="764"/>
      <c r="Y4" s="764"/>
      <c r="Z4" s="764"/>
      <c r="AA4" s="762"/>
      <c r="AB4" s="762"/>
      <c r="AC4" s="762"/>
      <c r="AD4" s="762"/>
      <c r="AE4" s="762"/>
      <c r="AF4" s="762"/>
      <c r="AG4" s="762"/>
      <c r="AH4" s="762"/>
      <c r="AI4" s="779"/>
      <c r="AJ4" s="761"/>
      <c r="AK4" s="762"/>
      <c r="AL4" s="762"/>
      <c r="AM4" s="763"/>
      <c r="AN4" s="765">
        <v>1</v>
      </c>
      <c r="AO4" s="745" t="s">
        <v>165</v>
      </c>
      <c r="AP4" s="746"/>
      <c r="AQ4" s="260" t="s">
        <v>160</v>
      </c>
      <c r="AR4" s="237">
        <v>0</v>
      </c>
      <c r="AS4" s="238" t="s">
        <v>166</v>
      </c>
      <c r="BI4" s="4" t="s">
        <v>167</v>
      </c>
      <c r="BJ4" s="4" t="s">
        <v>168</v>
      </c>
    </row>
    <row r="5" spans="2:62" ht="22.5" customHeight="1" thickBot="1" x14ac:dyDescent="0.3">
      <c r="B5" s="29"/>
      <c r="C5" s="30"/>
      <c r="D5" s="30"/>
      <c r="E5" s="30"/>
      <c r="F5" s="30"/>
      <c r="G5" s="30"/>
      <c r="H5" s="30"/>
      <c r="I5" s="30"/>
      <c r="J5" s="30"/>
      <c r="K5" s="30"/>
      <c r="L5" s="30"/>
      <c r="M5" s="30"/>
      <c r="N5" s="30"/>
      <c r="O5" s="30"/>
      <c r="P5" s="30"/>
      <c r="Q5" s="30"/>
      <c r="R5" s="30"/>
      <c r="S5" s="30"/>
      <c r="T5" s="31"/>
      <c r="U5" s="29"/>
      <c r="V5" s="30"/>
      <c r="W5" s="30"/>
      <c r="X5" s="30"/>
      <c r="Y5" s="30"/>
      <c r="Z5" s="30"/>
      <c r="AA5" s="30"/>
      <c r="AB5" s="30"/>
      <c r="AC5" s="30"/>
      <c r="AD5" s="30"/>
      <c r="AE5" s="30"/>
      <c r="AF5" s="30"/>
      <c r="AG5" s="30"/>
      <c r="AH5" s="30"/>
      <c r="AI5" s="30"/>
      <c r="AJ5" s="32"/>
      <c r="AK5" s="32"/>
      <c r="AL5" s="32"/>
      <c r="AM5" s="33"/>
      <c r="AN5" s="766"/>
      <c r="AO5" s="235"/>
      <c r="AP5" s="236"/>
      <c r="AQ5" s="236"/>
      <c r="AR5" s="237">
        <v>0</v>
      </c>
      <c r="AS5" s="238" t="s">
        <v>166</v>
      </c>
      <c r="AV5" t="str">
        <f>F2</f>
        <v>Select</v>
      </c>
      <c r="AW5" s="34" t="str">
        <f>IF(IF($F$2=1,J17,IF($F$2=2,J17,IF($F$2=3,J17,IF($F$2=4,J17,IF($F$2=5,J17,IF($F$2=6,J17,IF($F$2=7,J17,IF($F$2=8,J17,IF($F$2=9,J17,IF($F$2=10,J17,IF($F$2=11,J17,IF($F$2=12,J17,IF($F$2=13,J17,IF($F$2=14,J17,IF($F$2=15,J17,)))))))))))))))=0,"",IF($F$2=1,J17,IF($F$2=2,J17,IF($F$2=3,J17,IF($F$2=4,J17,IF($F$2=5,J17,IF($F$2=6,J17,IF($F$2=7,J17,IF($F$2=8,J17,IF($F$2=9,J17,IF($F$2=10,J17,IF($F$2=11,J17,IF($F$2=12,J17,IF($F$2=13,J17,IF($F$2=14,J17,IF($F$2=15,J17,))))))))))))))))</f>
        <v/>
      </c>
      <c r="AX5" s="34" t="str">
        <f>IF(IF($F$2=1,K17,IF($F$2=2,K17,IF($F$2=3,K17,IF($F$2=4,K17,IF($F$2=5,K17,IF($F$2=6,K17,IF($F$2=7,K17,IF($F$2=8,K17,IF($F$2=9,K17,IF($F$2=10,K17,IF($F$2=11,K17,IF($F$2=12,K17,IF($F$2=13,K17,IF($F$2=14,K17,IF($F$2=15,K17,)))))))))))))))=0,"",IF($F$2=1,K17,IF($F$2=2,K17,IF($F$2=3,K17,IF($F$2=4,K17,IF($F$2=5,K17,IF($F$2=6,K17,IF($F$2=7,K17,IF($F$2=8,K17,IF($F$2=9,K17,IF($F$2=10,K17,IF($F$2=11,K17,IF($F$2=12,K17,IF($F$2=13,K17,IF($F$2=14,K17,IF($F$2=15,K17,))))))))))))))))</f>
        <v/>
      </c>
      <c r="AY5" s="34" t="str">
        <f>IF(IF($F$2=1,L17,IF($F$2=2,L17,IF($F$2=3,L17,IF($F$2=4,L17,IF($F$2=5,L17,IF($F$2=6,L17,IF($F$2=7,L17,IF($F$2=8,L17,IF($F$2=9,L17,IF($F$2=10,L17,IF($F$2=11,L17,IF($F$2=12,L17,IF($F$2=13,L17,IF($F$2=14,L17,IF($F$2=15,L17,"")))))))))))))))=0,"",IF($F$2=1,L17,IF($F$2=2,L17,IF($F$2=3,L17,IF($F$2=4,L17,IF($F$2=5,L17,IF($F$2=6,L17,IF($F$2=7,L17,IF($F$2=8,L17,IF($F$2=9,L17,IF($F$2=10,L17,IF($F$2=11,L17,IF($F$2=12,L17,IF($F$2=13,L17,IF($F$2=14,L17,IF($F$2=15,L17,""))))))))))))))))</f>
        <v/>
      </c>
      <c r="AZ5" s="34"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34" t="str">
        <f t="shared" si="0"/>
        <v/>
      </c>
      <c r="BB5" s="34" t="str">
        <f t="shared" si="0"/>
        <v/>
      </c>
      <c r="BC5" s="34" t="str">
        <f t="shared" si="0"/>
        <v/>
      </c>
      <c r="BD5" s="34" t="str">
        <f t="shared" si="0"/>
        <v/>
      </c>
      <c r="BE5" s="34" t="str">
        <f t="shared" si="0"/>
        <v/>
      </c>
      <c r="BF5" s="34" t="str">
        <f t="shared" si="0"/>
        <v/>
      </c>
      <c r="BG5" s="34" t="str">
        <f t="shared" si="0"/>
        <v/>
      </c>
      <c r="BI5" s="35">
        <f>SUMPRODUCT(LEN(AW5:BG5)-LEN(SUBSTITUTE(AW5:BG5,"L",""))+LEN(AW5:BG5)-LEN(SUBSTITUTE(AW5:BG5,"R","")))</f>
        <v>0</v>
      </c>
      <c r="BJ5" s="4">
        <f>SUMPRODUCT(LEN(AW5:BG5)-LEN(SUBSTITUTE(AW5:BG5,"(","")))</f>
        <v>0</v>
      </c>
    </row>
    <row r="6" spans="2:62" ht="22.5" customHeight="1" thickBot="1" x14ac:dyDescent="0.3">
      <c r="B6" s="29"/>
      <c r="C6" s="30"/>
      <c r="D6" s="30"/>
      <c r="E6" s="30"/>
      <c r="F6" s="30"/>
      <c r="G6" s="30"/>
      <c r="H6" s="30"/>
      <c r="I6" s="30"/>
      <c r="J6" s="30"/>
      <c r="K6" s="30"/>
      <c r="L6" s="30"/>
      <c r="M6" s="30"/>
      <c r="N6" s="30"/>
      <c r="O6" s="30"/>
      <c r="P6" s="30"/>
      <c r="Q6" s="30"/>
      <c r="R6" s="30"/>
      <c r="S6" s="30"/>
      <c r="T6" s="31"/>
      <c r="U6" s="29"/>
      <c r="V6" s="30"/>
      <c r="W6" s="30"/>
      <c r="X6" s="30"/>
      <c r="Y6" s="30"/>
      <c r="Z6" s="30"/>
      <c r="AA6" s="30"/>
      <c r="AB6" s="30"/>
      <c r="AC6" s="30"/>
      <c r="AD6" s="30"/>
      <c r="AE6" s="30"/>
      <c r="AF6" s="30"/>
      <c r="AG6" s="30"/>
      <c r="AH6" s="30"/>
      <c r="AI6" s="30"/>
      <c r="AJ6" s="30"/>
      <c r="AK6" s="30"/>
      <c r="AL6" s="30"/>
      <c r="AM6" s="31"/>
      <c r="AN6" s="747"/>
      <c r="AO6" s="748"/>
      <c r="AP6" s="748"/>
      <c r="AQ6" s="749"/>
      <c r="AR6" s="237">
        <v>0</v>
      </c>
      <c r="AS6" s="238" t="s">
        <v>166</v>
      </c>
      <c r="AW6" s="36">
        <f>J18</f>
        <v>0</v>
      </c>
      <c r="AX6" s="36">
        <f t="shared" ref="AX6:BG6" si="1">K18</f>
        <v>0</v>
      </c>
      <c r="AY6" s="36">
        <f t="shared" si="1"/>
        <v>0</v>
      </c>
      <c r="AZ6" s="36">
        <f t="shared" si="1"/>
        <v>0</v>
      </c>
      <c r="BA6" s="36">
        <f t="shared" si="1"/>
        <v>0</v>
      </c>
      <c r="BB6" s="36">
        <f t="shared" si="1"/>
        <v>0</v>
      </c>
      <c r="BC6" s="36">
        <f t="shared" si="1"/>
        <v>0</v>
      </c>
      <c r="BD6" s="36">
        <f t="shared" si="1"/>
        <v>0</v>
      </c>
      <c r="BE6" s="36">
        <f>R18</f>
        <v>0</v>
      </c>
      <c r="BF6" s="36">
        <f t="shared" si="1"/>
        <v>0</v>
      </c>
      <c r="BG6" s="36">
        <f t="shared" si="1"/>
        <v>0</v>
      </c>
    </row>
    <row r="7" spans="2:62" ht="22.5" customHeight="1" thickBot="1" x14ac:dyDescent="0.3">
      <c r="B7" s="29"/>
      <c r="C7" s="30"/>
      <c r="D7" s="30"/>
      <c r="E7" s="30"/>
      <c r="F7" s="30"/>
      <c r="G7" s="30"/>
      <c r="H7" s="30"/>
      <c r="I7" s="30"/>
      <c r="J7" s="30"/>
      <c r="K7" s="30"/>
      <c r="L7" s="30"/>
      <c r="M7" s="30"/>
      <c r="N7" s="30"/>
      <c r="O7" s="30"/>
      <c r="P7" s="30"/>
      <c r="Q7" s="30"/>
      <c r="R7" s="30"/>
      <c r="S7" s="30"/>
      <c r="T7" s="31"/>
      <c r="U7" s="29"/>
      <c r="V7" s="30"/>
      <c r="W7" s="30"/>
      <c r="X7" s="30"/>
      <c r="Y7" s="30"/>
      <c r="Z7" s="30"/>
      <c r="AA7" s="30"/>
      <c r="AB7" s="30"/>
      <c r="AC7" s="30"/>
      <c r="AD7" s="30"/>
      <c r="AE7" s="30"/>
      <c r="AF7" s="30"/>
      <c r="AG7" s="30"/>
      <c r="AH7" s="30"/>
      <c r="AI7" s="30"/>
      <c r="AJ7" s="30"/>
      <c r="AK7" s="30"/>
      <c r="AL7" s="30"/>
      <c r="AM7" s="31"/>
      <c r="AN7" s="750"/>
      <c r="AO7" s="751"/>
      <c r="AP7" s="751"/>
      <c r="AQ7" s="752"/>
      <c r="AR7" s="237">
        <v>0</v>
      </c>
      <c r="AS7" s="238" t="s">
        <v>166</v>
      </c>
      <c r="AW7" s="37">
        <f t="shared" ref="AW7:AY7" si="2">IF(AW6&gt;0,AW6-(IF(AV6&gt;0,AV6,IF(AU6&gt;0,AU6,IF(AT6&gt;0,AT6,IF(AS6&gt;0,AS6,))))),0)</f>
        <v>0</v>
      </c>
      <c r="AX7" s="37">
        <f t="shared" si="2"/>
        <v>0</v>
      </c>
      <c r="AY7" s="37">
        <f t="shared" si="2"/>
        <v>0</v>
      </c>
      <c r="AZ7" s="37">
        <f>IF(AZ6&gt;0,AZ6-(IF(AY6&gt;0,AY6,IF(AX6&gt;0,AX6,IF(AW6&gt;0,AW6,IF(AV6&gt;0,AV6,))))),0)</f>
        <v>0</v>
      </c>
      <c r="BA7" s="37">
        <f>IF(BA6&gt;0,BA6-(IF(AZ6&gt;0,AZ6,IF(AY6&gt;0,AY6,IF(AX6&gt;0,AX6,IF(AW6&gt;0,AW6,))))),0)</f>
        <v>0</v>
      </c>
      <c r="BB7" s="37">
        <f>IF(BB6&gt;0,BB6 -(IF(BA6&gt;0,BA6,IF(AZ6&gt;0,AZ6,IF(AY6&gt;0,AY6,IF(AX6&gt;0,AX6,IF(AW6&gt;0,AW6)))))),0)</f>
        <v>0</v>
      </c>
      <c r="BC7" s="37">
        <f>IF(BC6&gt;0,BC6-(IF(BB6&gt;0,BB6,IF(BA6&gt;0,BA6,IF(AZ6&gt;0,AZ6,IF(AY6&gt;0,AY6,IF(AX6&gt;0,AX6,IF(AW6&gt;0,AW6,))))))),0)</f>
        <v>0</v>
      </c>
      <c r="BD7" s="37">
        <f t="shared" ref="BD7:BG7" si="3">IF(BD6&gt;0,BD6-(IF(BC6&gt;0,BC6,IF(BB6&gt;0,BB6,IF(BA6&gt;0,BA6,IF(AZ6&gt;0,AZ6,IF(AY6&gt;0,AY6,IF(AX6&gt;0,AX6,))))))),0)</f>
        <v>0</v>
      </c>
      <c r="BE7" s="37">
        <f t="shared" si="3"/>
        <v>0</v>
      </c>
      <c r="BF7" s="37">
        <f t="shared" si="3"/>
        <v>0</v>
      </c>
      <c r="BG7" s="37">
        <f t="shared" si="3"/>
        <v>0</v>
      </c>
    </row>
    <row r="8" spans="2:62" ht="22.5" customHeight="1" thickBot="1" x14ac:dyDescent="0.3">
      <c r="B8" s="29"/>
      <c r="C8" s="30"/>
      <c r="D8" s="30"/>
      <c r="E8" s="30"/>
      <c r="F8" s="30"/>
      <c r="G8" s="30"/>
      <c r="H8" s="30"/>
      <c r="I8" s="30"/>
      <c r="J8" s="30"/>
      <c r="K8" s="30"/>
      <c r="L8" s="30"/>
      <c r="M8" s="30"/>
      <c r="N8" s="30"/>
      <c r="O8" s="30"/>
      <c r="P8" s="30"/>
      <c r="Q8" s="30"/>
      <c r="R8" s="30"/>
      <c r="S8" s="30"/>
      <c r="T8" s="31"/>
      <c r="U8" s="29"/>
      <c r="V8" s="30"/>
      <c r="W8" s="30"/>
      <c r="X8" s="30"/>
      <c r="Y8" s="30"/>
      <c r="Z8" s="30"/>
      <c r="AA8" s="30"/>
      <c r="AB8" s="30"/>
      <c r="AC8" s="30"/>
      <c r="AD8" s="30"/>
      <c r="AE8" s="30"/>
      <c r="AF8" s="30"/>
      <c r="AG8" s="30"/>
      <c r="AH8" s="30"/>
      <c r="AI8" s="30"/>
      <c r="AJ8" s="30"/>
      <c r="AK8" s="30"/>
      <c r="AL8" s="30"/>
      <c r="AM8" s="31"/>
      <c r="AN8" s="753"/>
      <c r="AO8" s="754"/>
      <c r="AP8" s="754"/>
      <c r="AQ8" s="755"/>
      <c r="AR8" s="237">
        <v>0</v>
      </c>
      <c r="AS8" s="238" t="s">
        <v>166</v>
      </c>
    </row>
    <row r="9" spans="2:62" ht="22.5" customHeight="1" thickTop="1" thickBot="1" x14ac:dyDescent="0.3">
      <c r="B9" s="29"/>
      <c r="C9" s="30"/>
      <c r="D9" s="30"/>
      <c r="E9" s="30"/>
      <c r="F9" s="30"/>
      <c r="G9" s="30"/>
      <c r="H9" s="30"/>
      <c r="I9" s="30"/>
      <c r="J9" s="30"/>
      <c r="K9" s="30"/>
      <c r="L9" s="30"/>
      <c r="M9" s="30"/>
      <c r="N9" s="30"/>
      <c r="O9" s="30"/>
      <c r="P9" s="30"/>
      <c r="Q9" s="30"/>
      <c r="R9" s="30"/>
      <c r="S9" s="30"/>
      <c r="T9" s="31"/>
      <c r="U9" s="29"/>
      <c r="V9" s="30"/>
      <c r="W9" s="30"/>
      <c r="X9" s="30"/>
      <c r="Y9" s="30"/>
      <c r="Z9" s="30"/>
      <c r="AA9" s="30"/>
      <c r="AB9" s="30"/>
      <c r="AC9" s="30"/>
      <c r="AD9" s="30"/>
      <c r="AE9" s="30"/>
      <c r="AF9" s="30"/>
      <c r="AG9" s="30"/>
      <c r="AH9" s="30"/>
      <c r="AI9" s="30"/>
      <c r="AJ9" s="30"/>
      <c r="AK9" s="30"/>
      <c r="AL9" s="30"/>
      <c r="AM9" s="31"/>
      <c r="AN9" s="765">
        <v>2</v>
      </c>
      <c r="AO9" s="745" t="s">
        <v>165</v>
      </c>
      <c r="AP9" s="746"/>
      <c r="AQ9" s="261" t="s">
        <v>160</v>
      </c>
      <c r="AR9" s="237">
        <v>0</v>
      </c>
      <c r="AS9" s="238" t="s">
        <v>166</v>
      </c>
    </row>
    <row r="10" spans="2:62" ht="22.5" customHeight="1" thickBot="1" x14ac:dyDescent="0.3">
      <c r="B10" s="29"/>
      <c r="C10" s="30"/>
      <c r="D10" s="30"/>
      <c r="E10" s="30"/>
      <c r="F10" s="30"/>
      <c r="G10" s="30"/>
      <c r="H10" s="30"/>
      <c r="I10" s="30"/>
      <c r="J10" s="30"/>
      <c r="K10" s="30"/>
      <c r="L10" s="30"/>
      <c r="M10" s="30"/>
      <c r="N10" s="30"/>
      <c r="O10" s="30"/>
      <c r="P10" s="30"/>
      <c r="Q10" s="30"/>
      <c r="R10" s="30"/>
      <c r="S10" s="30"/>
      <c r="T10" s="31"/>
      <c r="U10" s="29"/>
      <c r="V10" s="30"/>
      <c r="W10" s="30"/>
      <c r="X10" s="30"/>
      <c r="Y10" s="30"/>
      <c r="Z10" s="30"/>
      <c r="AA10" s="30"/>
      <c r="AB10" s="30"/>
      <c r="AC10" s="30"/>
      <c r="AD10" s="30"/>
      <c r="AE10" s="30"/>
      <c r="AF10" s="30"/>
      <c r="AG10" s="30"/>
      <c r="AH10" s="30"/>
      <c r="AI10" s="30"/>
      <c r="AJ10" s="30"/>
      <c r="AK10" s="30"/>
      <c r="AL10" s="30"/>
      <c r="AM10" s="31"/>
      <c r="AN10" s="766"/>
      <c r="AO10" s="235"/>
      <c r="AP10" s="236"/>
      <c r="AQ10" s="236"/>
      <c r="AR10" s="237">
        <v>0</v>
      </c>
      <c r="AS10" s="238" t="s">
        <v>166</v>
      </c>
      <c r="AV10" t="str">
        <f>Y2</f>
        <v>Select</v>
      </c>
      <c r="AW10" s="34" t="str">
        <f t="shared" ref="AW10:BB10" si="4">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34" t="str">
        <f t="shared" si="4"/>
        <v/>
      </c>
      <c r="AY10" s="34" t="str">
        <f t="shared" si="4"/>
        <v/>
      </c>
      <c r="AZ10" s="34" t="str">
        <f t="shared" si="4"/>
        <v/>
      </c>
      <c r="BA10" s="34" t="str">
        <f t="shared" si="4"/>
        <v/>
      </c>
      <c r="BB10" s="34" t="str">
        <f t="shared" si="4"/>
        <v/>
      </c>
      <c r="BC10" s="34">
        <f t="shared" ref="BC10:BG10" si="5">IF($Y$2=1,AI17,IF($Y$2=2,AI17,IF($Y$2=3,AI17,IF($Y$2=4,AI17,IF($Y$2=5,AI17,IF($Y$2=6,AI17,IF($Y$2=7,AI17,IF($Y$2=8,AI17,IF($Y$2=9,AI17,IF($Y$2=10,AI17,IF($Y$2=11,AI17,IF($Y$2=12,AI17,IF($Y$2=13,AI17,IF($Y$2=14,AI17,IF($Y$2=15,AI17,)))))))))))))))</f>
        <v>0</v>
      </c>
      <c r="BD10" s="34">
        <f t="shared" si="5"/>
        <v>0</v>
      </c>
      <c r="BE10" s="34">
        <f t="shared" si="5"/>
        <v>0</v>
      </c>
      <c r="BF10" s="34">
        <f t="shared" si="5"/>
        <v>0</v>
      </c>
      <c r="BG10" s="34">
        <f t="shared" si="5"/>
        <v>0</v>
      </c>
    </row>
    <row r="11" spans="2:62" ht="22.5" customHeight="1" thickBot="1" x14ac:dyDescent="0.3">
      <c r="B11" s="29"/>
      <c r="C11" s="30"/>
      <c r="D11" s="30"/>
      <c r="E11" s="30"/>
      <c r="F11" s="30"/>
      <c r="G11" s="30"/>
      <c r="H11" s="30"/>
      <c r="I11" s="30"/>
      <c r="J11" s="30"/>
      <c r="K11" s="30"/>
      <c r="L11" s="30"/>
      <c r="M11" s="30"/>
      <c r="N11" s="30"/>
      <c r="O11" s="30"/>
      <c r="P11" s="30"/>
      <c r="Q11" s="30"/>
      <c r="R11" s="30"/>
      <c r="S11" s="30"/>
      <c r="T11" s="31"/>
      <c r="U11" s="29"/>
      <c r="V11" s="30"/>
      <c r="W11" s="30"/>
      <c r="X11" s="30"/>
      <c r="Y11" s="30"/>
      <c r="Z11" s="30"/>
      <c r="AA11" s="30"/>
      <c r="AB11" s="30"/>
      <c r="AC11" s="30"/>
      <c r="AD11" s="30"/>
      <c r="AE11" s="30"/>
      <c r="AF11" s="30"/>
      <c r="AG11" s="30"/>
      <c r="AH11" s="30"/>
      <c r="AI11" s="30"/>
      <c r="AJ11" s="30"/>
      <c r="AK11" s="30"/>
      <c r="AL11" s="30"/>
      <c r="AM11" s="31"/>
      <c r="AN11" s="747"/>
      <c r="AO11" s="748"/>
      <c r="AP11" s="748"/>
      <c r="AQ11" s="749"/>
      <c r="AR11" s="237">
        <v>0</v>
      </c>
      <c r="AS11" s="238" t="s">
        <v>166</v>
      </c>
      <c r="AW11" s="36">
        <f>AC18</f>
        <v>0</v>
      </c>
      <c r="AX11" s="36">
        <f t="shared" ref="AX11:BG11" si="6">AD18</f>
        <v>0</v>
      </c>
      <c r="AY11" s="36">
        <f t="shared" si="6"/>
        <v>0</v>
      </c>
      <c r="AZ11" s="36">
        <f t="shared" si="6"/>
        <v>0</v>
      </c>
      <c r="BA11" s="36">
        <f t="shared" si="6"/>
        <v>0</v>
      </c>
      <c r="BB11" s="36">
        <f t="shared" si="6"/>
        <v>0</v>
      </c>
      <c r="BC11" s="36">
        <f t="shared" si="6"/>
        <v>0</v>
      </c>
      <c r="BD11" s="36">
        <f t="shared" si="6"/>
        <v>0</v>
      </c>
      <c r="BE11" s="36">
        <f t="shared" si="6"/>
        <v>0</v>
      </c>
      <c r="BF11" s="36">
        <f t="shared" si="6"/>
        <v>0</v>
      </c>
      <c r="BG11" s="36">
        <f t="shared" si="6"/>
        <v>0</v>
      </c>
    </row>
    <row r="12" spans="2:62" ht="22.5" customHeight="1" thickBot="1" x14ac:dyDescent="0.3">
      <c r="B12" s="29"/>
      <c r="C12" s="30"/>
      <c r="D12" s="30"/>
      <c r="E12" s="30"/>
      <c r="F12" s="30"/>
      <c r="G12" s="30"/>
      <c r="H12" s="30"/>
      <c r="I12" s="30"/>
      <c r="J12" s="30"/>
      <c r="K12" s="30"/>
      <c r="L12" s="30"/>
      <c r="M12" s="30"/>
      <c r="N12" s="30"/>
      <c r="O12" s="30"/>
      <c r="P12" s="30"/>
      <c r="Q12" s="30"/>
      <c r="R12" s="30"/>
      <c r="S12" s="30"/>
      <c r="T12" s="31"/>
      <c r="U12" s="29"/>
      <c r="V12" s="30"/>
      <c r="W12" s="30"/>
      <c r="X12" s="30"/>
      <c r="Y12" s="30"/>
      <c r="Z12" s="30"/>
      <c r="AA12" s="30"/>
      <c r="AB12" s="30"/>
      <c r="AC12" s="30"/>
      <c r="AD12" s="30"/>
      <c r="AE12" s="30"/>
      <c r="AF12" s="30"/>
      <c r="AG12" s="30"/>
      <c r="AH12" s="30"/>
      <c r="AI12" s="30"/>
      <c r="AJ12" s="30"/>
      <c r="AK12" s="30"/>
      <c r="AL12" s="30"/>
      <c r="AM12" s="31"/>
      <c r="AN12" s="750"/>
      <c r="AO12" s="751"/>
      <c r="AP12" s="751"/>
      <c r="AQ12" s="752"/>
      <c r="AR12" s="237">
        <v>0</v>
      </c>
      <c r="AS12" s="238" t="s">
        <v>166</v>
      </c>
      <c r="AW12" s="37">
        <f t="shared" ref="AW12:AY12" si="7">IF(AW11&gt;0,AW11-(IF(AV11&gt;0,AV11,IF(AU11&gt;0,AU11,IF(AT11&gt;0,AT11,IF(AS11&gt;0,AS11,))))),0)</f>
        <v>0</v>
      </c>
      <c r="AX12" s="37">
        <f t="shared" si="7"/>
        <v>0</v>
      </c>
      <c r="AY12" s="37">
        <f t="shared" si="7"/>
        <v>0</v>
      </c>
      <c r="AZ12" s="37">
        <f>IF(AZ11&gt;0,AZ11-(IF(AY11&gt;0,AY11,IF(AX11&gt;0,AX11,IF(AW11&gt;0,AW11,IF(AV11&gt;0,AV11,))))),0)</f>
        <v>0</v>
      </c>
      <c r="BA12" s="37">
        <f>IF(BA11&gt;0,BA11-(IF(AZ11&gt;0,AZ11,IF(AY11&gt;0,AY11,IF(AX11&gt;0,AX11,IF(AW11&gt;0,AW11,))))),0)</f>
        <v>0</v>
      </c>
      <c r="BB12" s="37">
        <f>IF(BB11&gt;0,BB11 -(IF(BA11&gt;0,BA11,IF(AZ11&gt;0,AZ11,IF(AY11&gt;0,AY11,IF(AX11&gt;0,AX11,IF(AW11&gt;0,AW11)))))),0)</f>
        <v>0</v>
      </c>
      <c r="BC12" s="37">
        <f>IF(BC11&gt;0,BC11-(IF(BB11&gt;0,BB11,IF(BA11&gt;0,BA11,IF(AZ11&gt;0,AZ11,IF(AY11&gt;0,AY11,IF(AX11&gt;0,AX11,IF(AW11&gt;0,AW11,))))))),0)</f>
        <v>0</v>
      </c>
      <c r="BD12" s="37">
        <f t="shared" ref="BD12:BG12" si="8">IF(BD11&gt;0,BD11-(IF(BC11&gt;0,BC11,IF(BB11&gt;0,BB11,IF(BA11&gt;0,BA11,IF(AZ11&gt;0,AZ11,IF(AY11&gt;0,AY11,IF(AX11&gt;0,AX11,))))))),0)</f>
        <v>0</v>
      </c>
      <c r="BE12" s="37">
        <f t="shared" si="8"/>
        <v>0</v>
      </c>
      <c r="BF12" s="37">
        <f t="shared" si="8"/>
        <v>0</v>
      </c>
      <c r="BG12" s="37">
        <f t="shared" si="8"/>
        <v>0</v>
      </c>
    </row>
    <row r="13" spans="2:62" ht="22.5" customHeight="1" thickBot="1" x14ac:dyDescent="0.3">
      <c r="B13" s="29"/>
      <c r="C13" s="30"/>
      <c r="D13" s="30"/>
      <c r="E13" s="30"/>
      <c r="F13" s="30"/>
      <c r="G13" s="30"/>
      <c r="H13" s="30"/>
      <c r="I13" s="30"/>
      <c r="J13" s="30"/>
      <c r="K13" s="30"/>
      <c r="L13" s="30"/>
      <c r="M13" s="30"/>
      <c r="N13" s="30"/>
      <c r="O13" s="30"/>
      <c r="P13" s="30"/>
      <c r="Q13" s="30"/>
      <c r="R13" s="30"/>
      <c r="S13" s="30"/>
      <c r="T13" s="31"/>
      <c r="U13" s="29"/>
      <c r="V13" s="30"/>
      <c r="W13" s="30"/>
      <c r="X13" s="30"/>
      <c r="Y13" s="30"/>
      <c r="Z13" s="30"/>
      <c r="AA13" s="30"/>
      <c r="AB13" s="30"/>
      <c r="AC13" s="30"/>
      <c r="AD13" s="30"/>
      <c r="AE13" s="30"/>
      <c r="AF13" s="30"/>
      <c r="AG13" s="30"/>
      <c r="AH13" s="30"/>
      <c r="AI13" s="30"/>
      <c r="AJ13" s="30"/>
      <c r="AK13" s="30"/>
      <c r="AL13" s="30"/>
      <c r="AM13" s="31"/>
      <c r="AN13" s="753"/>
      <c r="AO13" s="754"/>
      <c r="AP13" s="754"/>
      <c r="AQ13" s="755"/>
      <c r="AR13" s="237">
        <v>0</v>
      </c>
      <c r="AS13" s="238" t="s">
        <v>166</v>
      </c>
    </row>
    <row r="14" spans="2:62" ht="22.5" customHeight="1" thickTop="1" thickBot="1" x14ac:dyDescent="0.3">
      <c r="B14" s="29"/>
      <c r="C14" s="30"/>
      <c r="D14" s="30"/>
      <c r="E14" s="30"/>
      <c r="F14" s="30"/>
      <c r="G14" s="30"/>
      <c r="H14" s="30"/>
      <c r="I14" s="30"/>
      <c r="J14" s="30"/>
      <c r="K14" s="30"/>
      <c r="L14" s="30"/>
      <c r="M14" s="30"/>
      <c r="N14" s="30"/>
      <c r="O14" s="38"/>
      <c r="P14" s="38"/>
      <c r="Q14" s="38"/>
      <c r="R14" s="38"/>
      <c r="S14" s="38"/>
      <c r="T14" s="39"/>
      <c r="U14" s="29"/>
      <c r="V14" s="30"/>
      <c r="W14" s="30"/>
      <c r="X14" s="30"/>
      <c r="Y14" s="30"/>
      <c r="Z14" s="30"/>
      <c r="AA14" s="30"/>
      <c r="AB14" s="30"/>
      <c r="AC14" s="30"/>
      <c r="AD14" s="30"/>
      <c r="AE14" s="30"/>
      <c r="AF14" s="30"/>
      <c r="AG14" s="30"/>
      <c r="AH14" s="38"/>
      <c r="AI14" s="38"/>
      <c r="AJ14" s="38"/>
      <c r="AK14" s="38"/>
      <c r="AL14" s="38"/>
      <c r="AM14" s="39"/>
      <c r="AN14" s="765">
        <v>3</v>
      </c>
      <c r="AO14" s="745" t="s">
        <v>165</v>
      </c>
      <c r="AP14" s="746"/>
      <c r="AQ14" s="261" t="s">
        <v>160</v>
      </c>
      <c r="AR14" s="237">
        <v>0</v>
      </c>
      <c r="AS14" s="238" t="s">
        <v>166</v>
      </c>
    </row>
    <row r="15" spans="2:62" ht="22.5" customHeight="1" thickBot="1" x14ac:dyDescent="0.3">
      <c r="B15" s="29"/>
      <c r="C15" s="30"/>
      <c r="D15" s="30"/>
      <c r="E15" s="30"/>
      <c r="F15" s="30"/>
      <c r="G15" s="30"/>
      <c r="H15" s="30"/>
      <c r="I15" s="30"/>
      <c r="J15" s="30"/>
      <c r="K15" s="30"/>
      <c r="L15" s="30"/>
      <c r="M15" s="30"/>
      <c r="N15" s="40"/>
      <c r="O15" s="798" t="s">
        <v>169</v>
      </c>
      <c r="P15" s="799"/>
      <c r="Q15" s="799"/>
      <c r="R15" s="799"/>
      <c r="S15" s="800"/>
      <c r="T15" s="41"/>
      <c r="U15" s="29"/>
      <c r="V15" s="30"/>
      <c r="W15" s="30"/>
      <c r="X15" s="30"/>
      <c r="Y15" s="30"/>
      <c r="Z15" s="30"/>
      <c r="AA15" s="30"/>
      <c r="AB15" s="30"/>
      <c r="AC15" s="30"/>
      <c r="AD15" s="30"/>
      <c r="AE15" s="30"/>
      <c r="AF15" s="30"/>
      <c r="AG15" s="40"/>
      <c r="AH15" s="798" t="s">
        <v>169</v>
      </c>
      <c r="AI15" s="799"/>
      <c r="AJ15" s="799"/>
      <c r="AK15" s="799"/>
      <c r="AL15" s="800"/>
      <c r="AM15" s="41"/>
      <c r="AN15" s="766"/>
      <c r="AO15" s="235"/>
      <c r="AP15" s="236"/>
      <c r="AQ15" s="236"/>
      <c r="AR15" s="237">
        <v>0</v>
      </c>
      <c r="AS15" s="238" t="s">
        <v>166</v>
      </c>
      <c r="AV15" t="str">
        <f>F25</f>
        <v>Select</v>
      </c>
      <c r="AW15" s="34">
        <f>IF($F$25=1,J40,IF($F$25=2,J40,IF($F$25=3,J40,IF($F$25=4,J40,IF($F$25=5,J40,IF($F$25=6,J40,IF($F$25=7,J40,IF($F$25=8,J40,IF($F$25=9,J40,IF($F$25=10,J40,IF($F$25=11,J40,IF($F$25=12,J40,IF($F$25=13,J40,IF($F$25=14,J40,IF($F$25=15,J40,)))))))))))))))</f>
        <v>0</v>
      </c>
      <c r="AX15" s="34">
        <f t="shared" ref="AX15:BG15" si="9">IF($F$25=1,K40,IF($F$25=2,K40,IF($F$25=3,K40,IF($F$25=4,K40,IF($F$25=5,K40,IF($F$25=6,K40,IF($F$25=7,K40,IF($F$25=8,K40,IF($F$25=9,K40,IF($F$25=10,K40,IF($F$25=11,K40,IF($F$25=12,K40,IF($F$25=13,K40,IF($F$25=14,K40,IF($F$25=15,K40,)))))))))))))))</f>
        <v>0</v>
      </c>
      <c r="AY15" s="34">
        <f t="shared" si="9"/>
        <v>0</v>
      </c>
      <c r="AZ15" s="34">
        <f t="shared" si="9"/>
        <v>0</v>
      </c>
      <c r="BA15" s="34">
        <f t="shared" si="9"/>
        <v>0</v>
      </c>
      <c r="BB15" s="34">
        <f t="shared" si="9"/>
        <v>0</v>
      </c>
      <c r="BC15" s="34">
        <f t="shared" si="9"/>
        <v>0</v>
      </c>
      <c r="BD15" s="34">
        <f t="shared" si="9"/>
        <v>0</v>
      </c>
      <c r="BE15" s="34">
        <f t="shared" si="9"/>
        <v>0</v>
      </c>
      <c r="BF15" s="34">
        <f t="shared" si="9"/>
        <v>0</v>
      </c>
      <c r="BG15" s="34">
        <f t="shared" si="9"/>
        <v>0</v>
      </c>
    </row>
    <row r="16" spans="2:62" ht="22.5" customHeight="1" thickBot="1" x14ac:dyDescent="0.4">
      <c r="B16" s="29"/>
      <c r="C16" s="30"/>
      <c r="D16" s="30"/>
      <c r="E16" s="30"/>
      <c r="F16" s="30"/>
      <c r="G16" s="30"/>
      <c r="H16" s="38"/>
      <c r="I16" s="38"/>
      <c r="J16" s="38"/>
      <c r="K16" s="38"/>
      <c r="L16" s="38"/>
      <c r="M16" s="38"/>
      <c r="N16" s="42"/>
      <c r="O16" s="801"/>
      <c r="P16" s="802"/>
      <c r="Q16" s="802"/>
      <c r="R16" s="802"/>
      <c r="S16" s="803"/>
      <c r="T16" s="43"/>
      <c r="U16" s="29"/>
      <c r="V16" s="30"/>
      <c r="W16" s="30"/>
      <c r="X16" s="30"/>
      <c r="Y16" s="30"/>
      <c r="Z16" s="30"/>
      <c r="AA16" s="38"/>
      <c r="AB16" s="38"/>
      <c r="AC16" s="38"/>
      <c r="AD16" s="38"/>
      <c r="AE16" s="38"/>
      <c r="AF16" s="38"/>
      <c r="AG16" s="42"/>
      <c r="AH16" s="801"/>
      <c r="AI16" s="802"/>
      <c r="AJ16" s="802"/>
      <c r="AK16" s="802"/>
      <c r="AL16" s="803"/>
      <c r="AM16" s="43"/>
      <c r="AN16" s="747"/>
      <c r="AO16" s="748"/>
      <c r="AP16" s="748"/>
      <c r="AQ16" s="749"/>
      <c r="AR16" s="237">
        <v>0</v>
      </c>
      <c r="AS16" s="238" t="s">
        <v>166</v>
      </c>
      <c r="AW16" s="36">
        <f>J41</f>
        <v>0</v>
      </c>
      <c r="AX16" s="36">
        <f t="shared" ref="AX16:BG16" si="10">K41</f>
        <v>0</v>
      </c>
      <c r="AY16" s="36">
        <f t="shared" si="10"/>
        <v>0</v>
      </c>
      <c r="AZ16" s="36">
        <f t="shared" si="10"/>
        <v>0</v>
      </c>
      <c r="BA16" s="36">
        <f t="shared" si="10"/>
        <v>0</v>
      </c>
      <c r="BB16" s="36">
        <f t="shared" si="10"/>
        <v>0</v>
      </c>
      <c r="BC16" s="36">
        <f t="shared" si="10"/>
        <v>0</v>
      </c>
      <c r="BD16" s="36">
        <f t="shared" si="10"/>
        <v>0</v>
      </c>
      <c r="BE16" s="36">
        <f t="shared" si="10"/>
        <v>0</v>
      </c>
      <c r="BF16" s="36">
        <f t="shared" si="10"/>
        <v>0</v>
      </c>
      <c r="BG16" s="36">
        <f t="shared" si="10"/>
        <v>0</v>
      </c>
    </row>
    <row r="17" spans="2:59" ht="15.75" thickBot="1" x14ac:dyDescent="0.3">
      <c r="B17" s="789" t="s">
        <v>8</v>
      </c>
      <c r="C17" s="790"/>
      <c r="D17" s="792"/>
      <c r="E17" s="793"/>
      <c r="F17" s="793"/>
      <c r="G17" s="790"/>
      <c r="H17" s="794" t="s">
        <v>170</v>
      </c>
      <c r="I17" s="795"/>
      <c r="J17" s="45"/>
      <c r="K17" s="45"/>
      <c r="L17" s="45"/>
      <c r="M17" s="45"/>
      <c r="N17" s="45"/>
      <c r="O17" s="45"/>
      <c r="P17" s="45"/>
      <c r="Q17" s="45"/>
      <c r="R17" s="45"/>
      <c r="S17" s="45"/>
      <c r="T17" s="46"/>
      <c r="U17" s="793" t="s">
        <v>8</v>
      </c>
      <c r="V17" s="790"/>
      <c r="W17" s="792"/>
      <c r="X17" s="793"/>
      <c r="Y17" s="793"/>
      <c r="Z17" s="790"/>
      <c r="AA17" s="794" t="s">
        <v>170</v>
      </c>
      <c r="AB17" s="795"/>
      <c r="AC17" s="45"/>
      <c r="AD17" s="45"/>
      <c r="AE17" s="45"/>
      <c r="AF17" s="45"/>
      <c r="AG17" s="45"/>
      <c r="AH17" s="45"/>
      <c r="AI17" s="45"/>
      <c r="AJ17" s="45"/>
      <c r="AK17" s="45"/>
      <c r="AL17" s="45"/>
      <c r="AM17" s="46"/>
      <c r="AN17" s="750"/>
      <c r="AO17" s="751"/>
      <c r="AP17" s="751"/>
      <c r="AQ17" s="752"/>
      <c r="AR17" s="237">
        <v>0</v>
      </c>
      <c r="AS17" s="238" t="s">
        <v>166</v>
      </c>
      <c r="AW17" s="37">
        <f t="shared" ref="AW17:AY17" si="11">IF(AW16&gt;0,AW16-(IF(AV16&gt;0,AV16,IF(AU16&gt;0,AU16,IF(AT16&gt;0,AT16,IF(AS16&gt;0,AS16,))))),0)</f>
        <v>0</v>
      </c>
      <c r="AX17" s="37">
        <f t="shared" si="11"/>
        <v>0</v>
      </c>
      <c r="AY17" s="37">
        <f t="shared" si="11"/>
        <v>0</v>
      </c>
      <c r="AZ17" s="37">
        <f>IF(AZ16&gt;0,AZ16-(IF(AY16&gt;0,AY16,IF(AX16&gt;0,AX16,IF(AW16&gt;0,AW16,IF(AV16&gt;0,AV16,))))),0)</f>
        <v>0</v>
      </c>
      <c r="BA17" s="37">
        <f>IF(BA16&gt;0,BA16-(IF(AZ16&gt;0,AZ16,IF(AY16&gt;0,AY16,IF(AX16&gt;0,AX16,IF(AW16&gt;0,AW16,))))),0)</f>
        <v>0</v>
      </c>
      <c r="BB17" s="37">
        <f>IF(BB16&gt;0,BB16 -(IF(BA16&gt;0,BA16,IF(AZ16&gt;0,AZ16,IF(AY16&gt;0,AY16,IF(AX16&gt;0,AX16,IF(AW16&gt;0,AW16)))))),0)</f>
        <v>0</v>
      </c>
      <c r="BC17" s="37">
        <f>IF(BC16&gt;0,BC16-(IF(BB16&gt;0,BB16,IF(BA16&gt;0,BA16,IF(AZ16&gt;0,AZ16,IF(AY16&gt;0,AY16,IF(AX16&gt;0,AX16,IF(AW16&gt;0,AW16,))))))),0)</f>
        <v>0</v>
      </c>
      <c r="BD17" s="37">
        <f t="shared" ref="BD17:BG17" si="12">IF(BD16&gt;0,BD16-(IF(BC16&gt;0,BC16,IF(BB16&gt;0,BB16,IF(BA16&gt;0,BA16,IF(AZ16&gt;0,AZ16,IF(AY16&gt;0,AY16,IF(AX16&gt;0,AX16,))))))),0)</f>
        <v>0</v>
      </c>
      <c r="BE17" s="37">
        <f t="shared" si="12"/>
        <v>0</v>
      </c>
      <c r="BF17" s="37">
        <f t="shared" si="12"/>
        <v>0</v>
      </c>
      <c r="BG17" s="37">
        <f t="shared" si="12"/>
        <v>0</v>
      </c>
    </row>
    <row r="18" spans="2:59" ht="15.75" thickBot="1" x14ac:dyDescent="0.3">
      <c r="B18" s="791"/>
      <c r="C18" s="779"/>
      <c r="D18" s="761"/>
      <c r="E18" s="762"/>
      <c r="F18" s="762"/>
      <c r="G18" s="779"/>
      <c r="H18" s="796"/>
      <c r="I18" s="797"/>
      <c r="J18" s="44"/>
      <c r="K18" s="44"/>
      <c r="L18" s="44"/>
      <c r="M18" s="44"/>
      <c r="N18" s="44"/>
      <c r="O18" s="44"/>
      <c r="P18" s="44"/>
      <c r="Q18" s="44"/>
      <c r="R18" s="44"/>
      <c r="S18" s="44"/>
      <c r="T18" s="44"/>
      <c r="U18" s="762"/>
      <c r="V18" s="779"/>
      <c r="W18" s="761"/>
      <c r="X18" s="762"/>
      <c r="Y18" s="762"/>
      <c r="Z18" s="779"/>
      <c r="AA18" s="796"/>
      <c r="AB18" s="797"/>
      <c r="AC18" s="45"/>
      <c r="AD18" s="45"/>
      <c r="AE18" s="45"/>
      <c r="AF18" s="45"/>
      <c r="AG18" s="45"/>
      <c r="AH18" s="45"/>
      <c r="AI18" s="45"/>
      <c r="AJ18" s="45"/>
      <c r="AK18" s="45"/>
      <c r="AL18" s="45"/>
      <c r="AM18" s="46"/>
      <c r="AN18" s="753"/>
      <c r="AO18" s="754"/>
      <c r="AP18" s="754"/>
      <c r="AQ18" s="755"/>
      <c r="AR18" s="237">
        <v>0</v>
      </c>
      <c r="AS18" s="238" t="s">
        <v>166</v>
      </c>
    </row>
    <row r="19" spans="2:59" ht="16.5" thickTop="1" thickBot="1" x14ac:dyDescent="0.3">
      <c r="B19" s="789" t="s">
        <v>9</v>
      </c>
      <c r="C19" s="790"/>
      <c r="D19" s="792"/>
      <c r="E19" s="793"/>
      <c r="F19" s="793"/>
      <c r="G19" s="790"/>
      <c r="H19" s="817"/>
      <c r="I19" s="805"/>
      <c r="J19" s="805"/>
      <c r="K19" s="805"/>
      <c r="L19" s="805"/>
      <c r="M19" s="805"/>
      <c r="N19" s="805"/>
      <c r="O19" s="805"/>
      <c r="P19" s="805"/>
      <c r="Q19" s="805"/>
      <c r="R19" s="805"/>
      <c r="S19" s="805"/>
      <c r="T19" s="806"/>
      <c r="U19" s="789" t="s">
        <v>9</v>
      </c>
      <c r="V19" s="790"/>
      <c r="W19" s="792"/>
      <c r="X19" s="793"/>
      <c r="Y19" s="793"/>
      <c r="Z19" s="790"/>
      <c r="AA19" s="804"/>
      <c r="AB19" s="805"/>
      <c r="AC19" s="805"/>
      <c r="AD19" s="805"/>
      <c r="AE19" s="805"/>
      <c r="AF19" s="805"/>
      <c r="AG19" s="805"/>
      <c r="AH19" s="805"/>
      <c r="AI19" s="805"/>
      <c r="AJ19" s="805"/>
      <c r="AK19" s="805"/>
      <c r="AL19" s="805"/>
      <c r="AM19" s="806"/>
      <c r="AN19" s="765">
        <v>4</v>
      </c>
      <c r="AO19" s="745" t="s">
        <v>165</v>
      </c>
      <c r="AP19" s="746"/>
      <c r="AQ19" s="261" t="s">
        <v>160</v>
      </c>
      <c r="AR19" s="237">
        <v>0</v>
      </c>
      <c r="AS19" s="238" t="s">
        <v>166</v>
      </c>
    </row>
    <row r="20" spans="2:59" ht="15.75" thickBot="1" x14ac:dyDescent="0.3">
      <c r="B20" s="791"/>
      <c r="C20" s="779"/>
      <c r="D20" s="761"/>
      <c r="E20" s="762"/>
      <c r="F20" s="762"/>
      <c r="G20" s="779"/>
      <c r="H20" s="807"/>
      <c r="I20" s="808"/>
      <c r="J20" s="808"/>
      <c r="K20" s="808"/>
      <c r="L20" s="808"/>
      <c r="M20" s="808"/>
      <c r="N20" s="808"/>
      <c r="O20" s="808"/>
      <c r="P20" s="808"/>
      <c r="Q20" s="808"/>
      <c r="R20" s="808"/>
      <c r="S20" s="808"/>
      <c r="T20" s="809"/>
      <c r="U20" s="791"/>
      <c r="V20" s="779"/>
      <c r="W20" s="761"/>
      <c r="X20" s="762"/>
      <c r="Y20" s="762"/>
      <c r="Z20" s="779"/>
      <c r="AA20" s="807"/>
      <c r="AB20" s="808"/>
      <c r="AC20" s="808"/>
      <c r="AD20" s="808"/>
      <c r="AE20" s="808"/>
      <c r="AF20" s="808"/>
      <c r="AG20" s="808"/>
      <c r="AH20" s="808"/>
      <c r="AI20" s="808"/>
      <c r="AJ20" s="808"/>
      <c r="AK20" s="808"/>
      <c r="AL20" s="808"/>
      <c r="AM20" s="809"/>
      <c r="AN20" s="766"/>
      <c r="AO20" s="235"/>
      <c r="AP20" s="236"/>
      <c r="AQ20" s="236"/>
      <c r="AR20" s="237">
        <v>0</v>
      </c>
      <c r="AS20" s="238" t="s">
        <v>166</v>
      </c>
      <c r="AV20" t="str">
        <f>Y25</f>
        <v>Select</v>
      </c>
      <c r="AW20" s="34">
        <f>IF($Y$25=1,AC40,IF($Y$25=2,AC40,IF($Y$25=3,AC40,IF($Y$25=4,AC40,IF($Y$25=5,AC40,IF($Y$25=6,AC40,IF($Y$25=7,AC40,IF($Y$25=8,AC40,IF($Y$25=9,AC40,IF($Y$25=10,AC40,IF($Y$25=11,AC40,IF($Y$25=12,AC40,IF($Y$25=13,AC40,IF($Y$25=14,AC40,IF($Y$25=15,AC40,)))))))))))))))</f>
        <v>0</v>
      </c>
      <c r="AX20" s="34">
        <f t="shared" ref="AX20:BG20" si="13">IF($Y$25=1,AD40,IF($Y$25=2,AD40,IF($Y$25=3,AD40,IF($Y$25=4,AD40,IF($Y$25=5,AD40,IF($Y$25=6,AD40,IF($Y$25=7,AD40,IF($Y$25=8,AD40,IF($Y$25=9,AD40,IF($Y$25=10,AD40,IF($Y$25=11,AD40,IF($Y$25=12,AD40,IF($Y$25=13,AD40,IF($Y$25=14,AD40,IF($Y$25=15,AD40,)))))))))))))))</f>
        <v>0</v>
      </c>
      <c r="AY20" s="34">
        <f t="shared" si="13"/>
        <v>0</v>
      </c>
      <c r="AZ20" s="34">
        <f t="shared" si="13"/>
        <v>0</v>
      </c>
      <c r="BA20" s="34">
        <f t="shared" si="13"/>
        <v>0</v>
      </c>
      <c r="BB20" s="34">
        <f t="shared" si="13"/>
        <v>0</v>
      </c>
      <c r="BC20" s="34">
        <f t="shared" si="13"/>
        <v>0</v>
      </c>
      <c r="BD20" s="34">
        <f t="shared" si="13"/>
        <v>0</v>
      </c>
      <c r="BE20" s="34">
        <f t="shared" si="13"/>
        <v>0</v>
      </c>
      <c r="BF20" s="34">
        <f t="shared" si="13"/>
        <v>0</v>
      </c>
      <c r="BG20" s="34">
        <f t="shared" si="13"/>
        <v>0</v>
      </c>
    </row>
    <row r="21" spans="2:59" ht="15.75" thickBot="1" x14ac:dyDescent="0.3">
      <c r="B21" s="789" t="s">
        <v>171</v>
      </c>
      <c r="C21" s="790"/>
      <c r="D21" s="792"/>
      <c r="E21" s="793"/>
      <c r="F21" s="793"/>
      <c r="G21" s="790"/>
      <c r="H21" s="794" t="s">
        <v>172</v>
      </c>
      <c r="I21" s="795"/>
      <c r="J21" s="795"/>
      <c r="K21" s="795"/>
      <c r="L21" s="795"/>
      <c r="M21" s="795"/>
      <c r="N21" s="795"/>
      <c r="O21" s="795"/>
      <c r="P21" s="795"/>
      <c r="Q21" s="795"/>
      <c r="R21" s="795"/>
      <c r="S21" s="795"/>
      <c r="T21" s="810"/>
      <c r="U21" s="789" t="s">
        <v>171</v>
      </c>
      <c r="V21" s="790"/>
      <c r="W21" s="792"/>
      <c r="X21" s="793"/>
      <c r="Y21" s="793"/>
      <c r="Z21" s="790"/>
      <c r="AA21" s="794" t="s">
        <v>173</v>
      </c>
      <c r="AB21" s="795"/>
      <c r="AC21" s="795"/>
      <c r="AD21" s="795"/>
      <c r="AE21" s="795"/>
      <c r="AF21" s="795"/>
      <c r="AG21" s="795"/>
      <c r="AH21" s="795"/>
      <c r="AI21" s="795"/>
      <c r="AJ21" s="795"/>
      <c r="AK21" s="795"/>
      <c r="AL21" s="795"/>
      <c r="AM21" s="810"/>
      <c r="AN21" s="747"/>
      <c r="AO21" s="748"/>
      <c r="AP21" s="748"/>
      <c r="AQ21" s="749"/>
      <c r="AR21" s="237">
        <v>0</v>
      </c>
      <c r="AS21" s="238" t="s">
        <v>166</v>
      </c>
      <c r="AW21" s="36">
        <f>AC41</f>
        <v>0</v>
      </c>
      <c r="AX21" s="36">
        <f t="shared" ref="AX21:BG21" si="14">AD41</f>
        <v>0</v>
      </c>
      <c r="AY21" s="36">
        <f t="shared" si="14"/>
        <v>0</v>
      </c>
      <c r="AZ21" s="36">
        <f t="shared" si="14"/>
        <v>0</v>
      </c>
      <c r="BA21" s="36">
        <f t="shared" si="14"/>
        <v>0</v>
      </c>
      <c r="BB21" s="36">
        <f t="shared" si="14"/>
        <v>0</v>
      </c>
      <c r="BC21" s="36">
        <f t="shared" si="14"/>
        <v>0</v>
      </c>
      <c r="BD21" s="36">
        <f t="shared" si="14"/>
        <v>0</v>
      </c>
      <c r="BE21" s="36">
        <f t="shared" si="14"/>
        <v>0</v>
      </c>
      <c r="BF21" s="36">
        <f t="shared" si="14"/>
        <v>0</v>
      </c>
      <c r="BG21" s="36">
        <f t="shared" si="14"/>
        <v>0</v>
      </c>
    </row>
    <row r="22" spans="2:59" ht="15.75" thickBot="1" x14ac:dyDescent="0.3">
      <c r="B22" s="791"/>
      <c r="C22" s="779"/>
      <c r="D22" s="761"/>
      <c r="E22" s="762"/>
      <c r="F22" s="762"/>
      <c r="G22" s="779"/>
      <c r="H22" s="811"/>
      <c r="I22" s="812"/>
      <c r="J22" s="812"/>
      <c r="K22" s="812"/>
      <c r="L22" s="812"/>
      <c r="M22" s="812"/>
      <c r="N22" s="812"/>
      <c r="O22" s="812"/>
      <c r="P22" s="812"/>
      <c r="Q22" s="812"/>
      <c r="R22" s="812"/>
      <c r="S22" s="812"/>
      <c r="T22" s="813"/>
      <c r="U22" s="791"/>
      <c r="V22" s="779"/>
      <c r="W22" s="761"/>
      <c r="X22" s="762"/>
      <c r="Y22" s="762"/>
      <c r="Z22" s="779"/>
      <c r="AA22" s="811"/>
      <c r="AB22" s="812"/>
      <c r="AC22" s="812"/>
      <c r="AD22" s="812"/>
      <c r="AE22" s="812"/>
      <c r="AF22" s="812"/>
      <c r="AG22" s="812"/>
      <c r="AH22" s="812"/>
      <c r="AI22" s="812"/>
      <c r="AJ22" s="812"/>
      <c r="AK22" s="812"/>
      <c r="AL22" s="812"/>
      <c r="AM22" s="813"/>
      <c r="AN22" s="750"/>
      <c r="AO22" s="751"/>
      <c r="AP22" s="751"/>
      <c r="AQ22" s="752"/>
      <c r="AR22" s="237">
        <v>0</v>
      </c>
      <c r="AS22" s="238" t="s">
        <v>166</v>
      </c>
      <c r="AW22" s="37">
        <f t="shared" ref="AW22:AY22" si="15">IF(AW21&gt;0,AW21-(IF(AV21&gt;0,AV21,IF(AU21&gt;0,AU21,IF(AT21&gt;0,AT21,IF(AS21&gt;0,AS21,))))),0)</f>
        <v>0</v>
      </c>
      <c r="AX22" s="37">
        <f t="shared" si="15"/>
        <v>0</v>
      </c>
      <c r="AY22" s="37">
        <f t="shared" si="15"/>
        <v>0</v>
      </c>
      <c r="AZ22" s="37">
        <f>IF(AZ21&gt;0,AZ21-(IF(AY21&gt;0,AY21,IF(AX21&gt;0,AX21,IF(AW21&gt;0,AW21,IF(AV21&gt;0,AV21,))))),0)</f>
        <v>0</v>
      </c>
      <c r="BA22" s="37">
        <f>IF(BA21&gt;0,BA21-(IF(AZ21&gt;0,AZ21,IF(AY21&gt;0,AY21,IF(AX21&gt;0,AX21,IF(AW21&gt;0,AW21,))))),0)</f>
        <v>0</v>
      </c>
      <c r="BB22" s="37">
        <f>IF(BB21&gt;0,BB21 -(IF(BA21&gt;0,BA21,IF(AZ21&gt;0,AZ21,IF(AY21&gt;0,AY21,IF(AX21&gt;0,AX21,IF(AW21&gt;0,AW21)))))),0)</f>
        <v>0</v>
      </c>
      <c r="BC22" s="37">
        <f>IF(BC21&gt;0,BC21-(IF(BB21&gt;0,BB21,IF(BA21&gt;0,BA21,IF(AZ21&gt;0,AZ21,IF(AY21&gt;0,AY21,IF(AX21&gt;0,AX21,IF(AW21&gt;0,AW21,))))))),0)</f>
        <v>0</v>
      </c>
      <c r="BD22" s="37">
        <f t="shared" ref="BD22:BG22" si="16">IF(BD21&gt;0,BD21-(IF(BC21&gt;0,BC21,IF(BB21&gt;0,BB21,IF(BA21&gt;0,BA21,IF(AZ21&gt;0,AZ21,IF(AY21&gt;0,AY21,IF(AX21&gt;0,AX21,))))))),0)</f>
        <v>0</v>
      </c>
      <c r="BE22" s="37">
        <f t="shared" si="16"/>
        <v>0</v>
      </c>
      <c r="BF22" s="37">
        <f t="shared" si="16"/>
        <v>0</v>
      </c>
      <c r="BG22" s="37">
        <f t="shared" si="16"/>
        <v>0</v>
      </c>
    </row>
    <row r="23" spans="2:59" ht="15.75" thickBot="1" x14ac:dyDescent="0.3">
      <c r="B23" s="789" t="s">
        <v>174</v>
      </c>
      <c r="C23" s="790"/>
      <c r="D23" s="792"/>
      <c r="E23" s="793"/>
      <c r="F23" s="793"/>
      <c r="G23" s="790"/>
      <c r="H23" s="811"/>
      <c r="I23" s="812"/>
      <c r="J23" s="812"/>
      <c r="K23" s="812"/>
      <c r="L23" s="812"/>
      <c r="M23" s="812"/>
      <c r="N23" s="812"/>
      <c r="O23" s="812"/>
      <c r="P23" s="812"/>
      <c r="Q23" s="812"/>
      <c r="R23" s="812"/>
      <c r="S23" s="812"/>
      <c r="T23" s="813"/>
      <c r="U23" s="789" t="s">
        <v>174</v>
      </c>
      <c r="V23" s="790"/>
      <c r="W23" s="792"/>
      <c r="X23" s="793"/>
      <c r="Y23" s="793"/>
      <c r="Z23" s="790"/>
      <c r="AA23" s="811"/>
      <c r="AB23" s="812"/>
      <c r="AC23" s="812"/>
      <c r="AD23" s="812"/>
      <c r="AE23" s="812"/>
      <c r="AF23" s="812"/>
      <c r="AG23" s="812"/>
      <c r="AH23" s="812"/>
      <c r="AI23" s="812"/>
      <c r="AJ23" s="812"/>
      <c r="AK23" s="812"/>
      <c r="AL23" s="812"/>
      <c r="AM23" s="813"/>
      <c r="AN23" s="753"/>
      <c r="AO23" s="754"/>
      <c r="AP23" s="754"/>
      <c r="AQ23" s="755"/>
      <c r="AR23" s="237">
        <v>0</v>
      </c>
      <c r="AS23" s="238" t="s">
        <v>166</v>
      </c>
    </row>
    <row r="24" spans="2:59" ht="16.5" thickTop="1" thickBot="1" x14ac:dyDescent="0.3">
      <c r="B24" s="818"/>
      <c r="C24" s="819"/>
      <c r="D24" s="820"/>
      <c r="E24" s="821"/>
      <c r="F24" s="759"/>
      <c r="G24" s="778"/>
      <c r="H24" s="814"/>
      <c r="I24" s="815"/>
      <c r="J24" s="815"/>
      <c r="K24" s="815"/>
      <c r="L24" s="815"/>
      <c r="M24" s="815"/>
      <c r="N24" s="815"/>
      <c r="O24" s="815"/>
      <c r="P24" s="815"/>
      <c r="Q24" s="815"/>
      <c r="R24" s="815"/>
      <c r="S24" s="815"/>
      <c r="T24" s="816"/>
      <c r="U24" s="818"/>
      <c r="V24" s="819"/>
      <c r="W24" s="820"/>
      <c r="X24" s="821"/>
      <c r="Y24" s="759"/>
      <c r="Z24" s="778"/>
      <c r="AA24" s="814"/>
      <c r="AB24" s="815"/>
      <c r="AC24" s="815"/>
      <c r="AD24" s="815"/>
      <c r="AE24" s="815"/>
      <c r="AF24" s="815"/>
      <c r="AG24" s="815"/>
      <c r="AH24" s="815"/>
      <c r="AI24" s="815"/>
      <c r="AJ24" s="815"/>
      <c r="AK24" s="815"/>
      <c r="AL24" s="815"/>
      <c r="AM24" s="816"/>
      <c r="AN24" s="765">
        <v>5</v>
      </c>
      <c r="AO24" s="745" t="s">
        <v>165</v>
      </c>
      <c r="AP24" s="746"/>
      <c r="AQ24" s="261" t="s">
        <v>160</v>
      </c>
      <c r="AR24" s="237">
        <v>0</v>
      </c>
      <c r="AS24" s="238" t="s">
        <v>166</v>
      </c>
    </row>
    <row r="25" spans="2:59" ht="22.5" customHeight="1" thickTop="1" thickBot="1" x14ac:dyDescent="0.3">
      <c r="B25" s="767">
        <v>3</v>
      </c>
      <c r="C25" s="768"/>
      <c r="D25" s="771" t="s">
        <v>159</v>
      </c>
      <c r="E25" s="772"/>
      <c r="F25" s="773" t="s">
        <v>160</v>
      </c>
      <c r="G25" s="774"/>
      <c r="H25" s="772" t="str">
        <f>IF(F25=1,'Survey Front'!C12&amp;" "&amp;'Survey Front'!C13&amp;" "&amp;'Survey Front'!C14,IF(F25=2,'Survey Front'!C15&amp;" "&amp;'Survey Front'!C16&amp;" "&amp;'Survey Front'!C17,IF(F25=3,'Survey Front'!C18&amp;" "&amp;'Survey Front'!C19&amp;" "&amp;'Survey Front'!C20,IF(F25=4,'Survey Front'!C21&amp;" "&amp;'Survey Front'!C22&amp;" "&amp;'Survey Front'!C23,IF(F25=5,'Survey Front'!C24&amp;" "&amp;'Survey Front'!C25&amp;" "&amp;'Survey Front'!C26,IF(F25=6,'Survey Front'!C27&amp;" "&amp;'Survey Front'!C28&amp;" "&amp;'Survey Front'!C29,IF(F25=7,'Survey Front'!C30&amp;" "&amp;'Survey Front'!C31&amp;" "&amp;'Survey Front'!C32,IF(F25=8,'Survey Front'!C33&amp;" "&amp;'Survey Front'!C34&amp;" "&amp;'Survey Front'!C35,IF(F25=9,'Survey Front'!C36&amp;" "&amp;'Survey Front'!C37&amp;" "&amp;'Survey Front'!C38,IF(F25=10,'Survey Front'!C39 &amp;" " &amp;'Survey Front'!C40 &amp; " " &amp; 'Survey Front'!C41,IF(F25=11,'Survey Front'!C42 &amp;" " &amp;'Survey Front'!C43 &amp; " " &amp; 'Survey Front'!C44,IF(F25=12,'Survey Front'!C45 &amp;" " &amp;'Survey Front'!C46 &amp; " " &amp; 'Survey Front'!C47,IF(F25=13,'Survey Front'!C48 &amp;" " &amp;'Survey Front'!C49 &amp; " " &amp; 'Survey Front'!C50,IF(F25=14,'Survey Front'!C51 &amp;" " &amp;'Survey Front'!C52 &amp; " " &amp; 'Survey Front'!C53,IF(F25=15,'Survey Front'!C54 &amp;" " &amp;'Survey Front'!C55 &amp; " " &amp; 'Survey Front'!C56,"")))))))))))))))</f>
        <v/>
      </c>
      <c r="I25" s="772"/>
      <c r="J25" s="772"/>
      <c r="K25" s="772"/>
      <c r="L25" s="772"/>
      <c r="M25" s="772"/>
      <c r="N25" s="772"/>
      <c r="O25" s="772"/>
      <c r="P25" s="777"/>
      <c r="Q25" s="780" t="s">
        <v>161</v>
      </c>
      <c r="R25" s="781"/>
      <c r="S25" s="781"/>
      <c r="T25" s="782"/>
      <c r="U25" s="767">
        <v>4</v>
      </c>
      <c r="V25" s="768"/>
      <c r="W25" s="771" t="s">
        <v>159</v>
      </c>
      <c r="X25" s="772"/>
      <c r="Y25" s="773" t="s">
        <v>160</v>
      </c>
      <c r="Z25" s="774"/>
      <c r="AA25" s="772" t="str">
        <f>IF(Y25=1,'Survey Front'!C12&amp;" "&amp;'Survey Front'!C13&amp;" "&amp;'Survey Front'!C14,IF(Y25=2,'Survey Front'!C15&amp;" "&amp;'Survey Front'!C16&amp;" "&amp;'Survey Front'!C17,IF(Y25=3,'Survey Front'!C18&amp;" "&amp;'Survey Front'!C19&amp;" "&amp;'Survey Front'!C20,IF(Y25=4,'Survey Front'!C21&amp;" "&amp;'Survey Front'!C22&amp;" "&amp;'Survey Front'!C23,IF(Y25=5,'Survey Front'!C24&amp;" "&amp;'Survey Front'!C25&amp;" "&amp;'Survey Front'!C26,IF(Y25=6,'Survey Front'!C27&amp;" "&amp;'Survey Front'!C28&amp;" "&amp;'Survey Front'!C29,IF(Y25=7,'Survey Front'!C30&amp;" "&amp;'Survey Front'!C31&amp;" "&amp;'Survey Front'!C32,IF(Y25=8,'Survey Front'!C33&amp;" "&amp;'Survey Front'!C34&amp;" "&amp;'Survey Front'!C35,IF(Y25=9,'Survey Front'!C36&amp;" "&amp;'Survey Front'!C37&amp;" "&amp;'Survey Front'!C38,IF(Y25=10,'Survey Front'!C39 &amp;" " &amp;'Survey Front'!C40 &amp; " " &amp; 'Survey Front'!C41,IF(Y25=11,'Survey Front'!C42 &amp;" " &amp;'Survey Front'!C43 &amp; " " &amp; 'Survey Front'!C44,IF(Y25=12,'Survey Front'!C45 &amp;" " &amp;'Survey Front'!C46 &amp; " " &amp; 'Survey Front'!C47,IF(Y25=13,'Survey Front'!C48 &amp;" " &amp;'Survey Front'!C49 &amp; " " &amp; 'Survey Front'!C50,IF(Y25=14,'Survey Front'!C51 &amp;" " &amp;'Survey Front'!C52 &amp; " " &amp; 'Survey Front'!C53,IF(Y25=15,'Survey Front'!C54 &amp;" " &amp;'Survey Front'!C55 &amp; " " &amp; 'Survey Front'!C56,"")))))))))))))))</f>
        <v/>
      </c>
      <c r="AB25" s="772"/>
      <c r="AC25" s="772"/>
      <c r="AD25" s="772"/>
      <c r="AE25" s="772"/>
      <c r="AF25" s="772"/>
      <c r="AG25" s="772"/>
      <c r="AH25" s="772"/>
      <c r="AI25" s="777"/>
      <c r="AJ25" s="780" t="s">
        <v>161</v>
      </c>
      <c r="AK25" s="781"/>
      <c r="AL25" s="781"/>
      <c r="AM25" s="782"/>
      <c r="AN25" s="766"/>
      <c r="AO25" s="235"/>
      <c r="AP25" s="236"/>
      <c r="AQ25" s="236"/>
      <c r="AR25" s="237">
        <v>0</v>
      </c>
      <c r="AS25" s="238" t="s">
        <v>166</v>
      </c>
      <c r="AV25" t="str">
        <f>F48</f>
        <v>Select</v>
      </c>
      <c r="AW25" s="34">
        <f>IF($F$48=1,J63,IF($F$48=2,J63,IF($F$48=3,J63,IF($F$48=4,J63,IF($F$48=5,J63,IF($F$48=6,J63,IF($F$48=7,J63,IF($F$48=8,J63,IF($F$48=9,J63,IF($F$48=10,J63,IF($F$48=11,J63,IF($F$48=12,J63,IF($F$48=13,J63,IF($F$48=14,J63,IF($F$48=15,J63,)))))))))))))))</f>
        <v>0</v>
      </c>
      <c r="AX25" s="34">
        <f t="shared" ref="AX25:BG25" si="17">IF($F$48=1,K63,IF($F$48=2,K63,IF($F$48=3,K63,IF($F$48=4,K63,IF($F$48=5,K63,IF($F$48=6,K63,IF($F$48=7,K63,IF($F$48=8,K63,IF($F$48=9,K63,IF($F$48=10,K63,IF($F$48=11,K63,IF($F$48=12,K63,IF($F$48=13,K64,IF($F$48=14,K63,IF($F$48=15,K63,)))))))))))))))</f>
        <v>0</v>
      </c>
      <c r="AY25" s="34">
        <f t="shared" si="17"/>
        <v>0</v>
      </c>
      <c r="AZ25" s="34">
        <f t="shared" si="17"/>
        <v>0</v>
      </c>
      <c r="BA25" s="34">
        <f t="shared" si="17"/>
        <v>0</v>
      </c>
      <c r="BB25" s="34">
        <f t="shared" si="17"/>
        <v>0</v>
      </c>
      <c r="BC25" s="34">
        <f t="shared" si="17"/>
        <v>0</v>
      </c>
      <c r="BD25" s="34">
        <f t="shared" si="17"/>
        <v>0</v>
      </c>
      <c r="BE25" s="34">
        <f t="shared" si="17"/>
        <v>0</v>
      </c>
      <c r="BF25" s="34">
        <f t="shared" si="17"/>
        <v>0</v>
      </c>
      <c r="BG25" s="34">
        <f t="shared" si="17"/>
        <v>0</v>
      </c>
    </row>
    <row r="26" spans="2:59" ht="22.5" customHeight="1" thickBot="1" x14ac:dyDescent="0.3">
      <c r="B26" s="769"/>
      <c r="C26" s="770"/>
      <c r="D26" s="761"/>
      <c r="E26" s="762"/>
      <c r="F26" s="775"/>
      <c r="G26" s="776"/>
      <c r="H26" s="759"/>
      <c r="I26" s="759"/>
      <c r="J26" s="759"/>
      <c r="K26" s="759"/>
      <c r="L26" s="759"/>
      <c r="M26" s="759"/>
      <c r="N26" s="759"/>
      <c r="O26" s="759"/>
      <c r="P26" s="778"/>
      <c r="Q26" s="758" t="s">
        <v>160</v>
      </c>
      <c r="R26" s="759"/>
      <c r="S26" s="759"/>
      <c r="T26" s="760"/>
      <c r="U26" s="769"/>
      <c r="V26" s="770"/>
      <c r="W26" s="761"/>
      <c r="X26" s="762"/>
      <c r="Y26" s="775"/>
      <c r="Z26" s="776"/>
      <c r="AA26" s="759"/>
      <c r="AB26" s="759"/>
      <c r="AC26" s="759"/>
      <c r="AD26" s="759"/>
      <c r="AE26" s="759"/>
      <c r="AF26" s="759"/>
      <c r="AG26" s="759"/>
      <c r="AH26" s="759"/>
      <c r="AI26" s="778"/>
      <c r="AJ26" s="758" t="s">
        <v>160</v>
      </c>
      <c r="AK26" s="759"/>
      <c r="AL26" s="759"/>
      <c r="AM26" s="760"/>
      <c r="AN26" s="747"/>
      <c r="AO26" s="748"/>
      <c r="AP26" s="748"/>
      <c r="AQ26" s="749"/>
      <c r="AR26" s="237">
        <v>0</v>
      </c>
      <c r="AS26" s="238" t="s">
        <v>166</v>
      </c>
      <c r="AW26" s="36">
        <f>J64</f>
        <v>0</v>
      </c>
      <c r="AX26" s="36">
        <f t="shared" ref="AX26:BG26" si="18">K64</f>
        <v>0</v>
      </c>
      <c r="AY26" s="36">
        <f t="shared" si="18"/>
        <v>0</v>
      </c>
      <c r="AZ26" s="36">
        <f t="shared" si="18"/>
        <v>0</v>
      </c>
      <c r="BA26" s="36">
        <f t="shared" si="18"/>
        <v>0</v>
      </c>
      <c r="BB26" s="36">
        <f t="shared" si="18"/>
        <v>0</v>
      </c>
      <c r="BC26" s="36">
        <f t="shared" si="18"/>
        <v>0</v>
      </c>
      <c r="BD26" s="36">
        <f t="shared" si="18"/>
        <v>0</v>
      </c>
      <c r="BE26" s="36">
        <f t="shared" si="18"/>
        <v>0</v>
      </c>
      <c r="BF26" s="36">
        <f t="shared" si="18"/>
        <v>0</v>
      </c>
      <c r="BG26" s="36">
        <f t="shared" si="18"/>
        <v>0</v>
      </c>
    </row>
    <row r="27" spans="2:59" ht="22.5" customHeight="1" thickBot="1" x14ac:dyDescent="0.3">
      <c r="B27" s="28"/>
      <c r="C27" s="17"/>
      <c r="D27" s="17"/>
      <c r="E27" s="17"/>
      <c r="F27" s="822"/>
      <c r="G27" s="822"/>
      <c r="H27" s="762"/>
      <c r="I27" s="762"/>
      <c r="J27" s="762"/>
      <c r="K27" s="762"/>
      <c r="L27" s="762"/>
      <c r="M27" s="762"/>
      <c r="N27" s="762"/>
      <c r="O27" s="762"/>
      <c r="P27" s="779"/>
      <c r="Q27" s="761"/>
      <c r="R27" s="762"/>
      <c r="S27" s="762"/>
      <c r="T27" s="763"/>
      <c r="U27" s="28"/>
      <c r="V27" s="17"/>
      <c r="W27" s="17"/>
      <c r="X27" s="17"/>
      <c r="Y27" s="822"/>
      <c r="Z27" s="822"/>
      <c r="AA27" s="762"/>
      <c r="AB27" s="762"/>
      <c r="AC27" s="762"/>
      <c r="AD27" s="762"/>
      <c r="AE27" s="762"/>
      <c r="AF27" s="762"/>
      <c r="AG27" s="762"/>
      <c r="AH27" s="762"/>
      <c r="AI27" s="779"/>
      <c r="AJ27" s="761"/>
      <c r="AK27" s="762"/>
      <c r="AL27" s="762"/>
      <c r="AM27" s="763"/>
      <c r="AN27" s="750"/>
      <c r="AO27" s="751"/>
      <c r="AP27" s="751"/>
      <c r="AQ27" s="752"/>
      <c r="AR27" s="237">
        <v>0</v>
      </c>
      <c r="AS27" s="238" t="s">
        <v>166</v>
      </c>
      <c r="AW27" s="37">
        <f t="shared" ref="AW27" si="19">IF(AW26&gt;0,AW26-(IF(AV26&gt;0,AV26,IF(AU26&gt;0,AU26,IF(AT26&gt;0,AT26,IF(AS26&gt;0,AS26,))))),0)</f>
        <v>0</v>
      </c>
      <c r="AX27" s="37">
        <f t="shared" ref="AX27" si="20">IF(AX26&gt;0,AX26-(IF(AW26&gt;0,AW26,IF(AV26&gt;0,AV26,IF(AU26&gt;0,AU26,IF(AT26&gt;0,AT26,))))),0)</f>
        <v>0</v>
      </c>
      <c r="AY27" s="37">
        <f t="shared" ref="AY27" si="21">IF(AY26&gt;0,AY26-(IF(AX26&gt;0,AX26,IF(AW26&gt;0,AW26,IF(AV26&gt;0,AV26,IF(AU26&gt;0,AU26,))))),0)</f>
        <v>0</v>
      </c>
      <c r="AZ27" s="37">
        <f>IF(AZ26&gt;0,AZ26-(IF(AY26&gt;0,AY26,IF(AX26&gt;0,AX26,IF(AW26&gt;0,AW26,IF(AV26&gt;0,AV26,))))),0)</f>
        <v>0</v>
      </c>
      <c r="BA27" s="37">
        <f>IF(BA26&gt;0,BA26-(IF(AZ26&gt;0,AZ26,IF(AY26&gt;0,AY26,IF(AX26&gt;0,AX26,IF(AW26&gt;0,AW26,))))),0)</f>
        <v>0</v>
      </c>
      <c r="BB27" s="37">
        <f>IF(BB26&gt;0,BB26 -(IF(BA26&gt;0,BA26,IF(AZ26&gt;0,AZ26,IF(AY26&gt;0,AY26,IF(AX26&gt;0,AX26,IF(AW26&gt;0,AW26)))))),0)</f>
        <v>0</v>
      </c>
      <c r="BC27" s="37">
        <f>IF(BC26&gt;0,BC26-(IF(BB26&gt;0,BB26,IF(BA26&gt;0,BA26,IF(AZ26&gt;0,AZ26,IF(AY26&gt;0,AY26,IF(AX26&gt;0,AX26,IF(AW26&gt;0,AW26,))))))),0)</f>
        <v>0</v>
      </c>
      <c r="BD27" s="37">
        <f t="shared" ref="BD27" si="22">IF(BD26&gt;0,BD26-(IF(BC26&gt;0,BC26,IF(BB26&gt;0,BB26,IF(BA26&gt;0,BA26,IF(AZ26&gt;0,AZ26,IF(AY26&gt;0,AY26,IF(AX26&gt;0,AX26,))))))),0)</f>
        <v>0</v>
      </c>
      <c r="BE27" s="37">
        <f t="shared" ref="BE27" si="23">IF(BE26&gt;0,BE26-(IF(BD26&gt;0,BD26,IF(BC26&gt;0,BC26,IF(BB26&gt;0,BB26,IF(BA26&gt;0,BA26,IF(AZ26&gt;0,AZ26,IF(AY26&gt;0,AY26,))))))),0)</f>
        <v>0</v>
      </c>
      <c r="BF27" s="37">
        <f t="shared" ref="BF27" si="24">IF(BF26&gt;0,BF26-(IF(BE26&gt;0,BE26,IF(BD26&gt;0,BD26,IF(BC26&gt;0,BC26,IF(BB26&gt;0,BB26,IF(BA26&gt;0,BA26,IF(AZ26&gt;0,AZ26,))))))),0)</f>
        <v>0</v>
      </c>
      <c r="BG27" s="37">
        <f t="shared" ref="BG27" si="25">IF(BG26&gt;0,BG26-(IF(BF26&gt;0,BF26,IF(BE26&gt;0,BE26,IF(BD26&gt;0,BD26,IF(BC26&gt;0,BC26,IF(BB26&gt;0,BB26,IF(BA26&gt;0,BA26,))))))),0)</f>
        <v>0</v>
      </c>
    </row>
    <row r="28" spans="2:59" ht="22.5" customHeight="1" thickBot="1" x14ac:dyDescent="0.3">
      <c r="B28" s="29"/>
      <c r="C28" s="30"/>
      <c r="D28" s="30"/>
      <c r="E28" s="30"/>
      <c r="F28" s="30"/>
      <c r="G28" s="30"/>
      <c r="H28" s="30"/>
      <c r="I28" s="30"/>
      <c r="J28" s="30"/>
      <c r="K28" s="30"/>
      <c r="L28" s="30"/>
      <c r="M28" s="30"/>
      <c r="N28" s="30"/>
      <c r="O28" s="30"/>
      <c r="P28" s="30"/>
      <c r="Q28" s="30"/>
      <c r="R28" s="30"/>
      <c r="S28" s="30"/>
      <c r="T28" s="31"/>
      <c r="U28" s="29"/>
      <c r="V28" s="30"/>
      <c r="W28" s="30"/>
      <c r="X28" s="30"/>
      <c r="Y28" s="30"/>
      <c r="Z28" s="30"/>
      <c r="AA28" s="30"/>
      <c r="AB28" s="30"/>
      <c r="AC28" s="30"/>
      <c r="AD28" s="30"/>
      <c r="AE28" s="30"/>
      <c r="AF28" s="30"/>
      <c r="AG28" s="30"/>
      <c r="AH28" s="30"/>
      <c r="AI28" s="30"/>
      <c r="AJ28" s="30"/>
      <c r="AK28" s="30"/>
      <c r="AL28" s="30"/>
      <c r="AM28" s="31"/>
      <c r="AN28" s="753"/>
      <c r="AO28" s="754"/>
      <c r="AP28" s="754"/>
      <c r="AQ28" s="755"/>
      <c r="AR28" s="237">
        <v>0</v>
      </c>
      <c r="AS28" s="238" t="s">
        <v>166</v>
      </c>
    </row>
    <row r="29" spans="2:59" ht="22.5" customHeight="1" thickTop="1" thickBot="1" x14ac:dyDescent="0.3">
      <c r="B29" s="29"/>
      <c r="C29" s="30"/>
      <c r="D29" s="30"/>
      <c r="E29" s="30"/>
      <c r="F29" s="30"/>
      <c r="G29" s="30"/>
      <c r="H29" s="30"/>
      <c r="I29" s="30"/>
      <c r="J29" s="30"/>
      <c r="K29" s="30"/>
      <c r="L29" s="30"/>
      <c r="M29" s="30"/>
      <c r="N29" s="30"/>
      <c r="O29" s="30"/>
      <c r="P29" s="30"/>
      <c r="Q29" s="30"/>
      <c r="R29" s="30"/>
      <c r="S29" s="30"/>
      <c r="T29" s="31"/>
      <c r="U29" s="29"/>
      <c r="V29" s="30"/>
      <c r="W29" s="30"/>
      <c r="X29" s="30"/>
      <c r="Y29" s="30"/>
      <c r="Z29" s="30"/>
      <c r="AA29" s="30"/>
      <c r="AB29" s="30"/>
      <c r="AC29" s="30"/>
      <c r="AD29" s="30"/>
      <c r="AE29" s="30"/>
      <c r="AF29" s="30"/>
      <c r="AG29" s="30"/>
      <c r="AH29" s="30"/>
      <c r="AI29" s="30"/>
      <c r="AJ29" s="30"/>
      <c r="AK29" s="30"/>
      <c r="AL29" s="30"/>
      <c r="AM29" s="31"/>
      <c r="AN29" s="765">
        <v>6</v>
      </c>
      <c r="AO29" s="745" t="s">
        <v>165</v>
      </c>
      <c r="AP29" s="746"/>
      <c r="AQ29" s="261" t="s">
        <v>160</v>
      </c>
      <c r="AR29" s="237">
        <v>0</v>
      </c>
      <c r="AS29" s="238" t="s">
        <v>166</v>
      </c>
    </row>
    <row r="30" spans="2:59" ht="22.5" customHeight="1" thickBot="1" x14ac:dyDescent="0.3">
      <c r="B30" s="29"/>
      <c r="C30" s="30"/>
      <c r="D30" s="30"/>
      <c r="E30" s="30"/>
      <c r="F30" s="30"/>
      <c r="G30" s="30"/>
      <c r="H30" s="30"/>
      <c r="I30" s="30"/>
      <c r="J30" s="30"/>
      <c r="K30" s="30"/>
      <c r="L30" s="30"/>
      <c r="M30" s="30"/>
      <c r="N30" s="30"/>
      <c r="O30" s="30"/>
      <c r="P30" s="30"/>
      <c r="Q30" s="30"/>
      <c r="R30" s="30"/>
      <c r="S30" s="30"/>
      <c r="T30" s="31"/>
      <c r="U30" s="29"/>
      <c r="V30" s="30"/>
      <c r="W30" s="30"/>
      <c r="X30" s="30"/>
      <c r="Y30" s="30"/>
      <c r="Z30" s="30"/>
      <c r="AA30" s="30"/>
      <c r="AB30" s="30"/>
      <c r="AC30" s="30"/>
      <c r="AD30" s="30"/>
      <c r="AE30" s="30"/>
      <c r="AF30" s="30"/>
      <c r="AG30" s="30"/>
      <c r="AH30" s="30"/>
      <c r="AI30" s="30"/>
      <c r="AJ30" s="30"/>
      <c r="AK30" s="30"/>
      <c r="AL30" s="30"/>
      <c r="AM30" s="31"/>
      <c r="AN30" s="766"/>
      <c r="AO30" s="235"/>
      <c r="AP30" s="236"/>
      <c r="AQ30" s="236"/>
      <c r="AR30" s="237">
        <v>0</v>
      </c>
      <c r="AS30" s="238" t="s">
        <v>166</v>
      </c>
      <c r="AV30" t="str">
        <f>Y48</f>
        <v>Select</v>
      </c>
      <c r="AW30" s="34">
        <f>IF($Y$48=1,AC63,IF($Y$48=2,AC63,IF($Y$48=3,AC63,IF($Y$48=4,AC63,IF($Y$48=5,AC63,IF($Y$48=6,AC63,IF($Y$48=7,AC63,IF($Y$48=8,AC63,IF($Y$48=9,AC63,IF($Y$48=10,AC63,IF($Y$48=11,AC63,IF($Y$48=12,AC63,IF($Y$48=13,AC63,IF($Y$48=14,AC63,IF($Y$48=15,AC63,)))))))))))))))</f>
        <v>0</v>
      </c>
      <c r="AX30" s="34">
        <f t="shared" ref="AX30:BG30" si="26">IF($Y$48=1,AD63,IF($Y$48=2,AD63,IF($Y$48=3,AD63,IF($Y$48=4,AD63,IF($Y$48=5,AD63,IF($Y$48=6,AD63,IF($Y$48=7,AD63,IF($Y$48=8,AD63,IF($Y$48=9,AD63,IF($Y$48=10,AD63,IF($Y$48=11,AD63,IF($Y$48=12,AD63,IF($Y$48=13,AD63,IF($Y$48=14,AD63,IF($Y$48=15,AD63,)))))))))))))))</f>
        <v>0</v>
      </c>
      <c r="AY30" s="34">
        <f t="shared" si="26"/>
        <v>0</v>
      </c>
      <c r="AZ30" s="34">
        <f t="shared" si="26"/>
        <v>0</v>
      </c>
      <c r="BA30" s="34">
        <f t="shared" si="26"/>
        <v>0</v>
      </c>
      <c r="BB30" s="34">
        <f t="shared" si="26"/>
        <v>0</v>
      </c>
      <c r="BC30" s="34">
        <f t="shared" si="26"/>
        <v>0</v>
      </c>
      <c r="BD30" s="34">
        <f t="shared" si="26"/>
        <v>0</v>
      </c>
      <c r="BE30" s="34">
        <f t="shared" si="26"/>
        <v>0</v>
      </c>
      <c r="BF30" s="34">
        <f t="shared" si="26"/>
        <v>0</v>
      </c>
      <c r="BG30" s="34">
        <f t="shared" si="26"/>
        <v>0</v>
      </c>
    </row>
    <row r="31" spans="2:59" ht="22.5" customHeight="1" thickBot="1" x14ac:dyDescent="0.3">
      <c r="B31" s="29"/>
      <c r="C31" s="30"/>
      <c r="D31" s="30"/>
      <c r="E31" s="30"/>
      <c r="F31" s="30"/>
      <c r="G31" s="30"/>
      <c r="H31" s="30"/>
      <c r="I31" s="30"/>
      <c r="J31" s="30"/>
      <c r="K31" s="30"/>
      <c r="L31" s="30"/>
      <c r="M31" s="30"/>
      <c r="N31" s="30"/>
      <c r="O31" s="30"/>
      <c r="P31" s="30"/>
      <c r="Q31" s="30"/>
      <c r="R31" s="30"/>
      <c r="S31" s="30"/>
      <c r="T31" s="31"/>
      <c r="U31" s="29"/>
      <c r="V31" s="30"/>
      <c r="W31" s="30"/>
      <c r="X31" s="30"/>
      <c r="Y31" s="30"/>
      <c r="Z31" s="30"/>
      <c r="AA31" s="30"/>
      <c r="AB31" s="30"/>
      <c r="AC31" s="30"/>
      <c r="AD31" s="30"/>
      <c r="AE31" s="30"/>
      <c r="AF31" s="30"/>
      <c r="AG31" s="30"/>
      <c r="AH31" s="30"/>
      <c r="AI31" s="30"/>
      <c r="AJ31" s="30"/>
      <c r="AK31" s="30"/>
      <c r="AL31" s="30"/>
      <c r="AM31" s="31"/>
      <c r="AN31" s="747"/>
      <c r="AO31" s="748"/>
      <c r="AP31" s="748"/>
      <c r="AQ31" s="749"/>
      <c r="AR31" s="237">
        <v>0</v>
      </c>
      <c r="AS31" s="238" t="s">
        <v>166</v>
      </c>
      <c r="AW31" s="36">
        <f>AC64</f>
        <v>0</v>
      </c>
      <c r="AX31" s="36">
        <f t="shared" ref="AX31:BG31" si="27">AD64</f>
        <v>0</v>
      </c>
      <c r="AY31" s="36">
        <f t="shared" si="27"/>
        <v>0</v>
      </c>
      <c r="AZ31" s="36">
        <f t="shared" si="27"/>
        <v>0</v>
      </c>
      <c r="BA31" s="36">
        <f t="shared" si="27"/>
        <v>0</v>
      </c>
      <c r="BB31" s="36">
        <f t="shared" si="27"/>
        <v>0</v>
      </c>
      <c r="BC31" s="36">
        <f t="shared" si="27"/>
        <v>0</v>
      </c>
      <c r="BD31" s="36">
        <f t="shared" si="27"/>
        <v>0</v>
      </c>
      <c r="BE31" s="36">
        <f t="shared" si="27"/>
        <v>0</v>
      </c>
      <c r="BF31" s="36">
        <f t="shared" si="27"/>
        <v>0</v>
      </c>
      <c r="BG31" s="36">
        <f t="shared" si="27"/>
        <v>0</v>
      </c>
    </row>
    <row r="32" spans="2:59" ht="22.5" customHeight="1" thickBot="1" x14ac:dyDescent="0.3">
      <c r="B32" s="29"/>
      <c r="C32" s="30"/>
      <c r="D32" s="30"/>
      <c r="E32" s="30"/>
      <c r="F32" s="30"/>
      <c r="G32" s="30"/>
      <c r="H32" s="30"/>
      <c r="I32" s="30"/>
      <c r="J32" s="30"/>
      <c r="K32" s="30"/>
      <c r="L32" s="30"/>
      <c r="M32" s="30"/>
      <c r="N32" s="30"/>
      <c r="O32" s="30"/>
      <c r="P32" s="30"/>
      <c r="Q32" s="30"/>
      <c r="R32" s="30"/>
      <c r="S32" s="30"/>
      <c r="T32" s="31"/>
      <c r="U32" s="29"/>
      <c r="V32" s="30"/>
      <c r="W32" s="30"/>
      <c r="X32" s="30"/>
      <c r="Y32" s="30"/>
      <c r="Z32" s="30"/>
      <c r="AA32" s="30"/>
      <c r="AB32" s="30"/>
      <c r="AC32" s="30"/>
      <c r="AD32" s="30"/>
      <c r="AE32" s="30"/>
      <c r="AF32" s="30"/>
      <c r="AG32" s="30"/>
      <c r="AH32" s="30"/>
      <c r="AI32" s="30"/>
      <c r="AJ32" s="30"/>
      <c r="AK32" s="30"/>
      <c r="AL32" s="30"/>
      <c r="AM32" s="31"/>
      <c r="AN32" s="750"/>
      <c r="AO32" s="751"/>
      <c r="AP32" s="751"/>
      <c r="AQ32" s="752"/>
      <c r="AR32" s="237">
        <v>0</v>
      </c>
      <c r="AS32" s="238" t="s">
        <v>166</v>
      </c>
      <c r="AW32" s="37">
        <f t="shared" ref="AW32" si="28">IF(AW31&gt;0,AW31-(IF(AV31&gt;0,AV31,IF(AU31&gt;0,AU31,IF(AT31&gt;0,AT31,IF(AS31&gt;0,AS31,))))),0)</f>
        <v>0</v>
      </c>
      <c r="AX32" s="37">
        <f t="shared" ref="AX32" si="29">IF(AX31&gt;0,AX31-(IF(AW31&gt;0,AW31,IF(AV31&gt;0,AV31,IF(AU31&gt;0,AU31,IF(AT31&gt;0,AT31,))))),0)</f>
        <v>0</v>
      </c>
      <c r="AY32" s="37">
        <f t="shared" ref="AY32" si="30">IF(AY31&gt;0,AY31-(IF(AX31&gt;0,AX31,IF(AW31&gt;0,AW31,IF(AV31&gt;0,AV31,IF(AU31&gt;0,AU31,))))),0)</f>
        <v>0</v>
      </c>
      <c r="AZ32" s="37">
        <f>IF(AZ31&gt;0,AZ31-(IF(AY31&gt;0,AY31,IF(AX31&gt;0,AX31,IF(AW31&gt;0,AW31,IF(AV31&gt;0,AV31,))))),0)</f>
        <v>0</v>
      </c>
      <c r="BA32" s="37">
        <f>IF(BA31&gt;0,BA31-(IF(AZ31&gt;0,AZ31,IF(AY31&gt;0,AY31,IF(AX31&gt;0,AX31,IF(AW31&gt;0,AW31,))))),0)</f>
        <v>0</v>
      </c>
      <c r="BB32" s="37">
        <f>IF(BB31&gt;0,BB31 -(IF(BA31&gt;0,BA31,IF(AZ31&gt;0,AZ31,IF(AY31&gt;0,AY31,IF(AX31&gt;0,AX31,IF(AW31&gt;0,AW31)))))),0)</f>
        <v>0</v>
      </c>
      <c r="BC32" s="37">
        <f>IF(BC31&gt;0,BC31-(IF(BB31&gt;0,BB31,IF(BA31&gt;0,BA31,IF(AZ31&gt;0,AZ31,IF(AY31&gt;0,AY31,IF(AX31&gt;0,AX31,IF(AW31&gt;0,AW31,))))))),0)</f>
        <v>0</v>
      </c>
      <c r="BD32" s="37">
        <f t="shared" ref="BD32" si="31">IF(BD31&gt;0,BD31-(IF(BC31&gt;0,BC31,IF(BB31&gt;0,BB31,IF(BA31&gt;0,BA31,IF(AZ31&gt;0,AZ31,IF(AY31&gt;0,AY31,IF(AX31&gt;0,AX31,))))))),0)</f>
        <v>0</v>
      </c>
      <c r="BE32" s="37">
        <f t="shared" ref="BE32" si="32">IF(BE31&gt;0,BE31-(IF(BD31&gt;0,BD31,IF(BC31&gt;0,BC31,IF(BB31&gt;0,BB31,IF(BA31&gt;0,BA31,IF(AZ31&gt;0,AZ31,IF(AY31&gt;0,AY31,))))))),0)</f>
        <v>0</v>
      </c>
      <c r="BF32" s="37">
        <f t="shared" ref="BF32" si="33">IF(BF31&gt;0,BF31-(IF(BE31&gt;0,BE31,IF(BD31&gt;0,BD31,IF(BC31&gt;0,BC31,IF(BB31&gt;0,BB31,IF(BA31&gt;0,BA31,IF(AZ31&gt;0,AZ31,))))))),0)</f>
        <v>0</v>
      </c>
      <c r="BG32" s="37">
        <f t="shared" ref="BG32" si="34">IF(BG31&gt;0,BG31-(IF(BF31&gt;0,BF31,IF(BE31&gt;0,BE31,IF(BD31&gt;0,BD31,IF(BC31&gt;0,BC31,IF(BB31&gt;0,BB31,IF(BA31&gt;0,BA31,))))))),0)</f>
        <v>0</v>
      </c>
    </row>
    <row r="33" spans="2:45" ht="22.5" customHeight="1" thickBot="1" x14ac:dyDescent="0.3">
      <c r="B33" s="29"/>
      <c r="C33" s="30"/>
      <c r="D33" s="30"/>
      <c r="E33" s="30"/>
      <c r="F33" s="30"/>
      <c r="G33" s="30"/>
      <c r="H33" s="30"/>
      <c r="I33" s="30"/>
      <c r="J33" s="30"/>
      <c r="K33" s="30"/>
      <c r="L33" s="30"/>
      <c r="M33" s="30"/>
      <c r="N33" s="30"/>
      <c r="O33" s="30"/>
      <c r="P33" s="30"/>
      <c r="Q33" s="30"/>
      <c r="R33" s="30"/>
      <c r="S33" s="30"/>
      <c r="T33" s="31"/>
      <c r="U33" s="29"/>
      <c r="V33" s="30"/>
      <c r="W33" s="30"/>
      <c r="X33" s="30"/>
      <c r="Y33" s="30"/>
      <c r="Z33" s="30"/>
      <c r="AA33" s="30"/>
      <c r="AB33" s="30"/>
      <c r="AC33" s="30"/>
      <c r="AD33" s="30"/>
      <c r="AE33" s="30"/>
      <c r="AF33" s="30"/>
      <c r="AG33" s="30"/>
      <c r="AH33" s="30"/>
      <c r="AI33" s="30"/>
      <c r="AJ33" s="30"/>
      <c r="AK33" s="30"/>
      <c r="AL33" s="30"/>
      <c r="AM33" s="31"/>
      <c r="AN33" s="753"/>
      <c r="AO33" s="754"/>
      <c r="AP33" s="754"/>
      <c r="AQ33" s="755"/>
      <c r="AR33" s="237">
        <v>0</v>
      </c>
      <c r="AS33" s="238" t="s">
        <v>166</v>
      </c>
    </row>
    <row r="34" spans="2:45" ht="22.5" customHeight="1" thickTop="1" thickBot="1" x14ac:dyDescent="0.3">
      <c r="B34" s="29"/>
      <c r="C34" s="30"/>
      <c r="D34" s="30"/>
      <c r="E34" s="30"/>
      <c r="F34" s="30"/>
      <c r="G34" s="30"/>
      <c r="H34" s="30"/>
      <c r="I34" s="30"/>
      <c r="J34" s="30"/>
      <c r="K34" s="30"/>
      <c r="L34" s="30"/>
      <c r="M34" s="30"/>
      <c r="N34" s="30"/>
      <c r="O34" s="30"/>
      <c r="P34" s="30"/>
      <c r="Q34" s="30"/>
      <c r="R34" s="30"/>
      <c r="S34" s="30"/>
      <c r="T34" s="31"/>
      <c r="U34" s="29"/>
      <c r="V34" s="30"/>
      <c r="W34" s="30"/>
      <c r="X34" s="30"/>
      <c r="Y34" s="30"/>
      <c r="Z34" s="30"/>
      <c r="AA34" s="30"/>
      <c r="AB34" s="30"/>
      <c r="AC34" s="30"/>
      <c r="AD34" s="30"/>
      <c r="AE34" s="30"/>
      <c r="AF34" s="30"/>
      <c r="AG34" s="30"/>
      <c r="AH34" s="30"/>
      <c r="AI34" s="30"/>
      <c r="AJ34" s="30"/>
      <c r="AK34" s="30"/>
      <c r="AL34" s="30"/>
      <c r="AM34" s="31"/>
      <c r="AN34" s="823">
        <v>7</v>
      </c>
      <c r="AO34" s="756" t="s">
        <v>165</v>
      </c>
      <c r="AP34" s="757"/>
      <c r="AQ34" s="261" t="s">
        <v>160</v>
      </c>
      <c r="AR34" s="237">
        <v>0</v>
      </c>
      <c r="AS34" s="238" t="s">
        <v>166</v>
      </c>
    </row>
    <row r="35" spans="2:45" ht="22.5" customHeight="1" thickBot="1" x14ac:dyDescent="0.3">
      <c r="B35" s="29"/>
      <c r="C35" s="30"/>
      <c r="D35" s="30"/>
      <c r="E35" s="30"/>
      <c r="F35" s="30"/>
      <c r="G35" s="30"/>
      <c r="H35" s="30"/>
      <c r="I35" s="30"/>
      <c r="J35" s="30"/>
      <c r="K35" s="30"/>
      <c r="L35" s="30"/>
      <c r="M35" s="30"/>
      <c r="N35" s="30"/>
      <c r="O35" s="30"/>
      <c r="P35" s="30"/>
      <c r="Q35" s="30"/>
      <c r="R35" s="30"/>
      <c r="S35" s="30"/>
      <c r="T35" s="31"/>
      <c r="U35" s="29"/>
      <c r="V35" s="30"/>
      <c r="W35" s="30"/>
      <c r="X35" s="30"/>
      <c r="Y35" s="30"/>
      <c r="Z35" s="30"/>
      <c r="AA35" s="30"/>
      <c r="AB35" s="30"/>
      <c r="AC35" s="30"/>
      <c r="AD35" s="30"/>
      <c r="AE35" s="30"/>
      <c r="AF35" s="30"/>
      <c r="AG35" s="30"/>
      <c r="AH35" s="30"/>
      <c r="AI35" s="30"/>
      <c r="AJ35" s="30"/>
      <c r="AK35" s="30"/>
      <c r="AL35" s="30"/>
      <c r="AM35" s="31"/>
      <c r="AN35" s="824"/>
      <c r="AO35" s="21"/>
      <c r="AP35" s="49"/>
      <c r="AQ35" s="49"/>
      <c r="AR35" s="237">
        <v>0</v>
      </c>
      <c r="AS35" s="238" t="s">
        <v>166</v>
      </c>
    </row>
    <row r="36" spans="2:45" ht="22.5" customHeight="1" thickBot="1" x14ac:dyDescent="0.3">
      <c r="B36" s="29"/>
      <c r="C36" s="30"/>
      <c r="D36" s="30"/>
      <c r="E36" s="30"/>
      <c r="F36" s="30"/>
      <c r="G36" s="30"/>
      <c r="H36" s="30"/>
      <c r="I36" s="30"/>
      <c r="J36" s="30"/>
      <c r="K36" s="30"/>
      <c r="L36" s="30"/>
      <c r="M36" s="30"/>
      <c r="N36" s="30"/>
      <c r="O36" s="30"/>
      <c r="P36" s="30"/>
      <c r="Q36" s="30"/>
      <c r="R36" s="30"/>
      <c r="S36" s="30"/>
      <c r="T36" s="31"/>
      <c r="U36" s="29"/>
      <c r="V36" s="30"/>
      <c r="W36" s="30"/>
      <c r="X36" s="30"/>
      <c r="Y36" s="30"/>
      <c r="Z36" s="30"/>
      <c r="AA36" s="30"/>
      <c r="AB36" s="30"/>
      <c r="AC36" s="30"/>
      <c r="AD36" s="30"/>
      <c r="AE36" s="30"/>
      <c r="AF36" s="30"/>
      <c r="AG36" s="30"/>
      <c r="AH36" s="30"/>
      <c r="AI36" s="30"/>
      <c r="AJ36" s="30"/>
      <c r="AK36" s="30"/>
      <c r="AL36" s="30"/>
      <c r="AM36" s="31"/>
      <c r="AN36" s="747"/>
      <c r="AO36" s="748"/>
      <c r="AP36" s="748"/>
      <c r="AQ36" s="749"/>
      <c r="AR36" s="237">
        <v>0</v>
      </c>
      <c r="AS36" s="238" t="s">
        <v>166</v>
      </c>
    </row>
    <row r="37" spans="2:45" ht="22.5" customHeight="1" thickBot="1" x14ac:dyDescent="0.3">
      <c r="B37" s="29"/>
      <c r="C37" s="30"/>
      <c r="D37" s="30"/>
      <c r="E37" s="30"/>
      <c r="F37" s="30"/>
      <c r="G37" s="30"/>
      <c r="H37" s="30"/>
      <c r="I37" s="30"/>
      <c r="J37" s="30"/>
      <c r="K37" s="30"/>
      <c r="L37" s="30"/>
      <c r="M37" s="30"/>
      <c r="N37" s="30"/>
      <c r="O37" s="38"/>
      <c r="P37" s="38"/>
      <c r="Q37" s="38"/>
      <c r="R37" s="38"/>
      <c r="S37" s="38"/>
      <c r="T37" s="39"/>
      <c r="U37" s="29"/>
      <c r="V37" s="30"/>
      <c r="W37" s="30"/>
      <c r="X37" s="30"/>
      <c r="Y37" s="30"/>
      <c r="Z37" s="30"/>
      <c r="AA37" s="30"/>
      <c r="AB37" s="30"/>
      <c r="AC37" s="30"/>
      <c r="AD37" s="30"/>
      <c r="AE37" s="30"/>
      <c r="AF37" s="30"/>
      <c r="AG37" s="30"/>
      <c r="AH37" s="38"/>
      <c r="AI37" s="38"/>
      <c r="AJ37" s="38"/>
      <c r="AK37" s="38"/>
      <c r="AL37" s="38"/>
      <c r="AM37" s="39"/>
      <c r="AN37" s="750"/>
      <c r="AO37" s="751"/>
      <c r="AP37" s="751"/>
      <c r="AQ37" s="752"/>
      <c r="AR37" s="237">
        <v>0</v>
      </c>
      <c r="AS37" s="238" t="s">
        <v>166</v>
      </c>
    </row>
    <row r="38" spans="2:45" ht="22.5" customHeight="1" thickBot="1" x14ac:dyDescent="0.3">
      <c r="B38" s="29"/>
      <c r="C38" s="30"/>
      <c r="D38" s="30"/>
      <c r="E38" s="30"/>
      <c r="F38" s="30"/>
      <c r="G38" s="30"/>
      <c r="H38" s="30"/>
      <c r="I38" s="30"/>
      <c r="J38" s="30"/>
      <c r="K38" s="30"/>
      <c r="L38" s="30"/>
      <c r="M38" s="30"/>
      <c r="N38" s="40"/>
      <c r="O38" s="798" t="s">
        <v>169</v>
      </c>
      <c r="P38" s="799"/>
      <c r="Q38" s="799"/>
      <c r="R38" s="799"/>
      <c r="S38" s="800"/>
      <c r="T38" s="41"/>
      <c r="U38" s="29"/>
      <c r="V38" s="30"/>
      <c r="W38" s="30"/>
      <c r="X38" s="30"/>
      <c r="Y38" s="30"/>
      <c r="Z38" s="30"/>
      <c r="AA38" s="30"/>
      <c r="AB38" s="30"/>
      <c r="AC38" s="30"/>
      <c r="AD38" s="30"/>
      <c r="AE38" s="30"/>
      <c r="AF38" s="30"/>
      <c r="AG38" s="40"/>
      <c r="AH38" s="798" t="s">
        <v>169</v>
      </c>
      <c r="AI38" s="799"/>
      <c r="AJ38" s="799"/>
      <c r="AK38" s="799"/>
      <c r="AL38" s="800"/>
      <c r="AM38" s="41"/>
      <c r="AN38" s="753"/>
      <c r="AO38" s="754"/>
      <c r="AP38" s="754"/>
      <c r="AQ38" s="755"/>
      <c r="AR38" s="237">
        <v>0</v>
      </c>
      <c r="AS38" s="238" t="s">
        <v>166</v>
      </c>
    </row>
    <row r="39" spans="2:45" ht="22.5" customHeight="1" thickTop="1" thickBot="1" x14ac:dyDescent="0.4">
      <c r="B39" s="29"/>
      <c r="C39" s="30"/>
      <c r="D39" s="30"/>
      <c r="E39" s="30"/>
      <c r="F39" s="30"/>
      <c r="G39" s="30"/>
      <c r="H39" s="38"/>
      <c r="I39" s="38"/>
      <c r="J39" s="38"/>
      <c r="K39" s="38"/>
      <c r="L39" s="38"/>
      <c r="M39" s="38"/>
      <c r="N39" s="42"/>
      <c r="O39" s="801"/>
      <c r="P39" s="802"/>
      <c r="Q39" s="802"/>
      <c r="R39" s="802"/>
      <c r="S39" s="803"/>
      <c r="T39" s="43"/>
      <c r="U39" s="29"/>
      <c r="V39" s="30"/>
      <c r="W39" s="30"/>
      <c r="X39" s="30"/>
      <c r="Y39" s="30"/>
      <c r="Z39" s="30"/>
      <c r="AA39" s="38"/>
      <c r="AB39" s="38"/>
      <c r="AC39" s="38"/>
      <c r="AD39" s="38"/>
      <c r="AE39" s="38"/>
      <c r="AF39" s="38"/>
      <c r="AG39" s="42"/>
      <c r="AH39" s="801"/>
      <c r="AI39" s="802"/>
      <c r="AJ39" s="802"/>
      <c r="AK39" s="802"/>
      <c r="AL39" s="803"/>
      <c r="AM39" s="43"/>
      <c r="AN39" s="823">
        <v>8</v>
      </c>
      <c r="AO39" s="756" t="s">
        <v>165</v>
      </c>
      <c r="AP39" s="757"/>
      <c r="AQ39" s="261" t="s">
        <v>160</v>
      </c>
      <c r="AR39" s="237">
        <v>0</v>
      </c>
      <c r="AS39" s="238" t="s">
        <v>166</v>
      </c>
    </row>
    <row r="40" spans="2:45" ht="22.5" customHeight="1" thickBot="1" x14ac:dyDescent="0.3">
      <c r="B40" s="789" t="s">
        <v>8</v>
      </c>
      <c r="C40" s="790"/>
      <c r="D40" s="792"/>
      <c r="E40" s="793"/>
      <c r="F40" s="793"/>
      <c r="G40" s="790"/>
      <c r="H40" s="47" t="s">
        <v>170</v>
      </c>
      <c r="I40" s="48"/>
      <c r="J40" s="45"/>
      <c r="K40" s="45"/>
      <c r="L40" s="45"/>
      <c r="M40" s="45"/>
      <c r="N40" s="45"/>
      <c r="O40" s="45"/>
      <c r="P40" s="45"/>
      <c r="Q40" s="45"/>
      <c r="R40" s="45"/>
      <c r="S40" s="45"/>
      <c r="T40" s="46"/>
      <c r="U40" s="789" t="s">
        <v>8</v>
      </c>
      <c r="V40" s="790"/>
      <c r="W40" s="792"/>
      <c r="X40" s="793"/>
      <c r="Y40" s="793"/>
      <c r="Z40" s="790"/>
      <c r="AA40" s="47" t="s">
        <v>170</v>
      </c>
      <c r="AB40" s="48"/>
      <c r="AC40" s="45"/>
      <c r="AD40" s="45"/>
      <c r="AE40" s="45"/>
      <c r="AF40" s="45"/>
      <c r="AG40" s="45"/>
      <c r="AH40" s="45"/>
      <c r="AI40" s="45"/>
      <c r="AJ40" s="45"/>
      <c r="AK40" s="45"/>
      <c r="AL40" s="45"/>
      <c r="AM40" s="46"/>
      <c r="AN40" s="824"/>
      <c r="AO40" s="21"/>
      <c r="AP40" s="49"/>
      <c r="AQ40" s="49"/>
      <c r="AR40" s="237">
        <v>0</v>
      </c>
      <c r="AS40" s="238" t="s">
        <v>166</v>
      </c>
    </row>
    <row r="41" spans="2:45" ht="22.5" customHeight="1" thickBot="1" x14ac:dyDescent="0.3">
      <c r="B41" s="791"/>
      <c r="C41" s="779"/>
      <c r="D41" s="761"/>
      <c r="E41" s="762"/>
      <c r="F41" s="762"/>
      <c r="G41" s="779"/>
      <c r="H41" s="21"/>
      <c r="I41" s="49"/>
      <c r="J41" s="45"/>
      <c r="K41" s="45"/>
      <c r="L41" s="45"/>
      <c r="M41" s="45"/>
      <c r="N41" s="45"/>
      <c r="O41" s="45"/>
      <c r="P41" s="45"/>
      <c r="Q41" s="45"/>
      <c r="R41" s="45"/>
      <c r="S41" s="45"/>
      <c r="T41" s="46"/>
      <c r="U41" s="791"/>
      <c r="V41" s="779"/>
      <c r="W41" s="761"/>
      <c r="X41" s="762"/>
      <c r="Y41" s="762"/>
      <c r="Z41" s="779"/>
      <c r="AA41" s="21"/>
      <c r="AB41" s="49"/>
      <c r="AC41" s="45"/>
      <c r="AD41" s="45"/>
      <c r="AE41" s="45"/>
      <c r="AF41" s="45"/>
      <c r="AG41" s="45"/>
      <c r="AH41" s="45"/>
      <c r="AI41" s="45"/>
      <c r="AJ41" s="45"/>
      <c r="AK41" s="45"/>
      <c r="AL41" s="45"/>
      <c r="AM41" s="46"/>
      <c r="AN41" s="747"/>
      <c r="AO41" s="748"/>
      <c r="AP41" s="748"/>
      <c r="AQ41" s="749"/>
      <c r="AR41" s="237">
        <v>0</v>
      </c>
      <c r="AS41" s="238" t="s">
        <v>166</v>
      </c>
    </row>
    <row r="42" spans="2:45" ht="22.5" customHeight="1" thickBot="1" x14ac:dyDescent="0.3">
      <c r="B42" s="789" t="s">
        <v>9</v>
      </c>
      <c r="C42" s="790"/>
      <c r="D42" s="792"/>
      <c r="E42" s="793"/>
      <c r="F42" s="793"/>
      <c r="G42" s="790"/>
      <c r="H42" s="804"/>
      <c r="I42" s="805"/>
      <c r="J42" s="805"/>
      <c r="K42" s="805"/>
      <c r="L42" s="805"/>
      <c r="M42" s="805"/>
      <c r="N42" s="805"/>
      <c r="O42" s="805"/>
      <c r="P42" s="805"/>
      <c r="Q42" s="805"/>
      <c r="R42" s="805"/>
      <c r="S42" s="805"/>
      <c r="T42" s="806"/>
      <c r="U42" s="789" t="s">
        <v>9</v>
      </c>
      <c r="V42" s="790"/>
      <c r="W42" s="792"/>
      <c r="X42" s="793"/>
      <c r="Y42" s="793"/>
      <c r="Z42" s="790"/>
      <c r="AA42" s="804"/>
      <c r="AB42" s="805"/>
      <c r="AC42" s="805"/>
      <c r="AD42" s="805"/>
      <c r="AE42" s="805"/>
      <c r="AF42" s="805"/>
      <c r="AG42" s="805"/>
      <c r="AH42" s="805"/>
      <c r="AI42" s="805"/>
      <c r="AJ42" s="805"/>
      <c r="AK42" s="805"/>
      <c r="AL42" s="805"/>
      <c r="AM42" s="806"/>
      <c r="AN42" s="750"/>
      <c r="AO42" s="751"/>
      <c r="AP42" s="751"/>
      <c r="AQ42" s="752"/>
      <c r="AR42" s="237">
        <v>0</v>
      </c>
      <c r="AS42" s="238" t="s">
        <v>166</v>
      </c>
    </row>
    <row r="43" spans="2:45" ht="22.5" customHeight="1" thickBot="1" x14ac:dyDescent="0.3">
      <c r="B43" s="791"/>
      <c r="C43" s="779"/>
      <c r="D43" s="761"/>
      <c r="E43" s="762"/>
      <c r="F43" s="762"/>
      <c r="G43" s="779"/>
      <c r="H43" s="807"/>
      <c r="I43" s="808"/>
      <c r="J43" s="808"/>
      <c r="K43" s="808"/>
      <c r="L43" s="808"/>
      <c r="M43" s="808"/>
      <c r="N43" s="808"/>
      <c r="O43" s="808"/>
      <c r="P43" s="808"/>
      <c r="Q43" s="808"/>
      <c r="R43" s="808"/>
      <c r="S43" s="808"/>
      <c r="T43" s="809"/>
      <c r="U43" s="791"/>
      <c r="V43" s="779"/>
      <c r="W43" s="761"/>
      <c r="X43" s="762"/>
      <c r="Y43" s="762"/>
      <c r="Z43" s="779"/>
      <c r="AA43" s="807"/>
      <c r="AB43" s="808"/>
      <c r="AC43" s="808"/>
      <c r="AD43" s="808"/>
      <c r="AE43" s="808"/>
      <c r="AF43" s="808"/>
      <c r="AG43" s="808"/>
      <c r="AH43" s="808"/>
      <c r="AI43" s="808"/>
      <c r="AJ43" s="808"/>
      <c r="AK43" s="808"/>
      <c r="AL43" s="808"/>
      <c r="AM43" s="809"/>
      <c r="AN43" s="753"/>
      <c r="AO43" s="754"/>
      <c r="AP43" s="754"/>
      <c r="AQ43" s="755"/>
      <c r="AR43" s="237">
        <v>0</v>
      </c>
      <c r="AS43" s="238" t="s">
        <v>166</v>
      </c>
    </row>
    <row r="44" spans="2:45" ht="22.5" customHeight="1" thickTop="1" x14ac:dyDescent="0.25">
      <c r="B44" s="789" t="s">
        <v>171</v>
      </c>
      <c r="C44" s="790"/>
      <c r="D44" s="792"/>
      <c r="E44" s="793"/>
      <c r="F44" s="793"/>
      <c r="G44" s="790"/>
      <c r="H44" s="794" t="s">
        <v>173</v>
      </c>
      <c r="I44" s="795"/>
      <c r="J44" s="795"/>
      <c r="K44" s="795"/>
      <c r="L44" s="795"/>
      <c r="M44" s="795"/>
      <c r="N44" s="795"/>
      <c r="O44" s="795"/>
      <c r="P44" s="795"/>
      <c r="Q44" s="795"/>
      <c r="R44" s="795"/>
      <c r="S44" s="795"/>
      <c r="T44" s="810"/>
      <c r="U44" s="789" t="s">
        <v>171</v>
      </c>
      <c r="V44" s="790"/>
      <c r="W44" s="792"/>
      <c r="X44" s="793"/>
      <c r="Y44" s="793"/>
      <c r="Z44" s="790"/>
      <c r="AA44" s="794" t="s">
        <v>173</v>
      </c>
      <c r="AB44" s="795"/>
      <c r="AC44" s="795"/>
      <c r="AD44" s="795"/>
      <c r="AE44" s="795"/>
      <c r="AF44" s="795"/>
      <c r="AG44" s="795"/>
      <c r="AH44" s="795"/>
      <c r="AI44" s="795"/>
      <c r="AJ44" s="795"/>
      <c r="AK44" s="795"/>
      <c r="AL44" s="795"/>
      <c r="AM44" s="810"/>
      <c r="AN44" s="825" t="s">
        <v>175</v>
      </c>
      <c r="AO44" s="826"/>
      <c r="AP44" s="826"/>
      <c r="AQ44" s="826"/>
      <c r="AR44" s="826"/>
      <c r="AS44" s="827"/>
    </row>
    <row r="45" spans="2:45" ht="22.5" customHeight="1" x14ac:dyDescent="0.25">
      <c r="B45" s="791"/>
      <c r="C45" s="779"/>
      <c r="D45" s="761"/>
      <c r="E45" s="762"/>
      <c r="F45" s="762"/>
      <c r="G45" s="779"/>
      <c r="H45" s="811"/>
      <c r="I45" s="812"/>
      <c r="J45" s="812"/>
      <c r="K45" s="812"/>
      <c r="L45" s="812"/>
      <c r="M45" s="812"/>
      <c r="N45" s="812"/>
      <c r="O45" s="812"/>
      <c r="P45" s="812"/>
      <c r="Q45" s="812"/>
      <c r="R45" s="812"/>
      <c r="S45" s="812"/>
      <c r="T45" s="813"/>
      <c r="U45" s="791"/>
      <c r="V45" s="779"/>
      <c r="W45" s="761"/>
      <c r="X45" s="762"/>
      <c r="Y45" s="762"/>
      <c r="Z45" s="779"/>
      <c r="AA45" s="811"/>
      <c r="AB45" s="812"/>
      <c r="AC45" s="812"/>
      <c r="AD45" s="812"/>
      <c r="AE45" s="812"/>
      <c r="AF45" s="812"/>
      <c r="AG45" s="812"/>
      <c r="AH45" s="812"/>
      <c r="AI45" s="812"/>
      <c r="AJ45" s="812"/>
      <c r="AK45" s="812"/>
      <c r="AL45" s="812"/>
      <c r="AM45" s="813"/>
      <c r="AN45" s="828"/>
      <c r="AO45" s="812"/>
      <c r="AP45" s="812"/>
      <c r="AQ45" s="812"/>
      <c r="AR45" s="812"/>
      <c r="AS45" s="813"/>
    </row>
    <row r="46" spans="2:45" ht="22.5" customHeight="1" x14ac:dyDescent="0.25">
      <c r="B46" s="789" t="s">
        <v>174</v>
      </c>
      <c r="C46" s="790"/>
      <c r="D46" s="792"/>
      <c r="E46" s="793"/>
      <c r="F46" s="793"/>
      <c r="G46" s="790"/>
      <c r="H46" s="811"/>
      <c r="I46" s="812"/>
      <c r="J46" s="812"/>
      <c r="K46" s="812"/>
      <c r="L46" s="812"/>
      <c r="M46" s="812"/>
      <c r="N46" s="812"/>
      <c r="O46" s="812"/>
      <c r="P46" s="812"/>
      <c r="Q46" s="812"/>
      <c r="R46" s="812"/>
      <c r="S46" s="812"/>
      <c r="T46" s="813"/>
      <c r="U46" s="789" t="s">
        <v>174</v>
      </c>
      <c r="V46" s="790"/>
      <c r="W46" s="792"/>
      <c r="X46" s="793"/>
      <c r="Y46" s="793"/>
      <c r="Z46" s="790"/>
      <c r="AA46" s="811"/>
      <c r="AB46" s="812"/>
      <c r="AC46" s="812"/>
      <c r="AD46" s="812"/>
      <c r="AE46" s="812"/>
      <c r="AF46" s="812"/>
      <c r="AG46" s="812"/>
      <c r="AH46" s="812"/>
      <c r="AI46" s="812"/>
      <c r="AJ46" s="812"/>
      <c r="AK46" s="812"/>
      <c r="AL46" s="812"/>
      <c r="AM46" s="813"/>
      <c r="AN46" s="828"/>
      <c r="AO46" s="812"/>
      <c r="AP46" s="812"/>
      <c r="AQ46" s="812"/>
      <c r="AR46" s="812"/>
      <c r="AS46" s="813"/>
    </row>
    <row r="47" spans="2:45" ht="22.5" customHeight="1" thickBot="1" x14ac:dyDescent="0.3">
      <c r="B47" s="818"/>
      <c r="C47" s="819"/>
      <c r="D47" s="820"/>
      <c r="E47" s="821"/>
      <c r="F47" s="821"/>
      <c r="G47" s="819"/>
      <c r="H47" s="814"/>
      <c r="I47" s="815"/>
      <c r="J47" s="815"/>
      <c r="K47" s="815"/>
      <c r="L47" s="815"/>
      <c r="M47" s="815"/>
      <c r="N47" s="815"/>
      <c r="O47" s="815"/>
      <c r="P47" s="815"/>
      <c r="Q47" s="815"/>
      <c r="R47" s="815"/>
      <c r="S47" s="815"/>
      <c r="T47" s="816"/>
      <c r="U47" s="818"/>
      <c r="V47" s="819"/>
      <c r="W47" s="820"/>
      <c r="X47" s="821"/>
      <c r="Y47" s="821"/>
      <c r="Z47" s="819"/>
      <c r="AA47" s="814"/>
      <c r="AB47" s="815"/>
      <c r="AC47" s="815"/>
      <c r="AD47" s="815"/>
      <c r="AE47" s="815"/>
      <c r="AF47" s="815"/>
      <c r="AG47" s="815"/>
      <c r="AH47" s="815"/>
      <c r="AI47" s="815"/>
      <c r="AJ47" s="815"/>
      <c r="AK47" s="815"/>
      <c r="AL47" s="815"/>
      <c r="AM47" s="816"/>
      <c r="AN47" s="829"/>
      <c r="AO47" s="815"/>
      <c r="AP47" s="815"/>
      <c r="AQ47" s="815"/>
      <c r="AR47" s="815"/>
      <c r="AS47" s="816"/>
    </row>
    <row r="48" spans="2:45" ht="15.75" thickTop="1" x14ac:dyDescent="0.25">
      <c r="B48" s="767">
        <v>5</v>
      </c>
      <c r="C48" s="768"/>
      <c r="D48" s="771" t="s">
        <v>159</v>
      </c>
      <c r="E48" s="772"/>
      <c r="F48" s="773" t="s">
        <v>160</v>
      </c>
      <c r="G48" s="774"/>
      <c r="H48" s="772" t="str">
        <f>IF(F48=1,'Survey Front'!C12&amp;" "&amp;'Survey Front'!C13&amp;" "&amp;'Survey Front'!C14,IF(F48=2,'Survey Front'!C15&amp;" "&amp;'Survey Front'!C16&amp;" "&amp;'Survey Front'!C17,IF(F48=3,'Survey Front'!C18&amp;" "&amp;'Survey Front'!C19&amp;" "&amp;'Survey Front'!C20,IF(F48=4,'Survey Front'!C21&amp;" "&amp;'Survey Front'!C22&amp;" "&amp;'Survey Front'!C23,IF(F48=5,'Survey Front'!C24&amp;" "&amp;'Survey Front'!C25&amp;" "&amp;'Survey Front'!C26,IF(F48=6,'Survey Front'!C27&amp;" "&amp;'Survey Front'!C28&amp;" "&amp;'Survey Front'!C29,IF(F48=7,'Survey Front'!C30&amp;" "&amp;'Survey Front'!C31&amp;" "&amp;'Survey Front'!C32,IF(F48=8,'Survey Front'!C33&amp;" "&amp;'Survey Front'!C34&amp;" "&amp;'Survey Front'!C35,IF(F48=9,'Survey Front'!C36&amp;" "&amp;'Survey Front'!C37&amp;" "&amp;'Survey Front'!C38,IF(F48=10,'Survey Front'!C39 &amp;" " &amp;'Survey Front'!C40 &amp; " " &amp; 'Survey Front'!C41,IF(F48=11,'Survey Front'!C42 &amp;" " &amp;'Survey Front'!C43 &amp; " " &amp; 'Survey Front'!C44,IF(F48=12,'Survey Front'!C45 &amp;" " &amp;'Survey Front'!C46 &amp; " " &amp; 'Survey Front'!C47,IF(F48=13,'Survey Front'!C48 &amp;" " &amp;'Survey Front'!C49 &amp; " " &amp; 'Survey Front'!C50,IF(F48=14,'Survey Front'!C51 &amp;" " &amp;'Survey Front'!C52 &amp; " " &amp; 'Survey Front'!C53,IF(F48=15,'Survey Front'!C54 &amp;" " &amp;'Survey Front'!C55 &amp; " " &amp; 'Survey Front'!C56,"")))))))))))))))</f>
        <v/>
      </c>
      <c r="I48" s="772"/>
      <c r="J48" s="772"/>
      <c r="K48" s="772"/>
      <c r="L48" s="772"/>
      <c r="M48" s="772"/>
      <c r="N48" s="772"/>
      <c r="O48" s="772"/>
      <c r="P48" s="777"/>
      <c r="Q48" s="780" t="s">
        <v>161</v>
      </c>
      <c r="R48" s="781"/>
      <c r="S48" s="781"/>
      <c r="T48" s="782"/>
      <c r="U48" s="767">
        <v>6</v>
      </c>
      <c r="V48" s="768"/>
      <c r="W48" s="771" t="s">
        <v>159</v>
      </c>
      <c r="X48" s="772"/>
      <c r="Y48" s="773" t="s">
        <v>160</v>
      </c>
      <c r="Z48" s="774"/>
      <c r="AA48" s="772" t="str">
        <f>IF(Y48=1,'Survey Front'!C12&amp;" "&amp;'Survey Front'!C13&amp;" "&amp;'Survey Front'!C14,IF(Y48=2,'Survey Front'!C15&amp;" "&amp;'Survey Front'!C16&amp;" "&amp;'Survey Front'!C17,IF(Y48=3,'Survey Front'!C18&amp;" "&amp;'Survey Front'!C19&amp;" "&amp;'Survey Front'!C20,IF(Y48=4,'Survey Front'!C21&amp;" "&amp;'Survey Front'!C22&amp;" "&amp;'Survey Front'!C23,IF(Y48=5,'Survey Front'!C24&amp;" "&amp;'Survey Front'!C25&amp;" "&amp;'Survey Front'!C26,IF(Y48=6,'Survey Front'!C27&amp;" "&amp;'Survey Front'!C28&amp;" "&amp;'Survey Front'!C29,IF(Y48=7,'Survey Front'!C30&amp;" "&amp;'Survey Front'!C31&amp;" "&amp;'Survey Front'!C32,IF(Y48=8,'Survey Front'!C33&amp;" "&amp;'Survey Front'!C34&amp;" "&amp;'Survey Front'!C35,IF(Y48=9,'Survey Front'!C36&amp;" "&amp;'Survey Front'!C37&amp;" "&amp;'Survey Front'!C38,IF(Y48=10,'Survey Front'!C39 &amp;" " &amp;'Survey Front'!C40 &amp; " " &amp; 'Survey Front'!C41,IF(Y48=11,'Survey Front'!C42 &amp;" " &amp;'Survey Front'!C43 &amp; " " &amp; 'Survey Front'!C44,IF(Y48=12,'Survey Front'!C45 &amp;" " &amp;'Survey Front'!C46 &amp; " " &amp; 'Survey Front'!C47,IF(Y48=13,'Survey Front'!C48 &amp;" " &amp;'Survey Front'!C49 &amp; " " &amp; 'Survey Front'!C50,IF(Y48=14,'Survey Front'!C51 &amp;" " &amp;'Survey Front'!C52 &amp; " " &amp; 'Survey Front'!C53,IF(Y48=15,'Survey Front'!C54 &amp;" " &amp;'Survey Front'!C55 &amp; " " &amp; 'Survey Front'!C56,"")))))))))))))))</f>
        <v/>
      </c>
      <c r="AB48" s="772"/>
      <c r="AC48" s="772"/>
      <c r="AD48" s="772"/>
      <c r="AE48" s="772"/>
      <c r="AF48" s="772"/>
      <c r="AG48" s="772"/>
      <c r="AH48" s="772"/>
      <c r="AI48" s="777"/>
      <c r="AJ48" s="780" t="s">
        <v>161</v>
      </c>
      <c r="AK48" s="781"/>
      <c r="AL48" s="781"/>
      <c r="AM48" s="782"/>
    </row>
    <row r="49" spans="2:39" ht="15.75" thickBot="1" x14ac:dyDescent="0.3">
      <c r="B49" s="769"/>
      <c r="C49" s="770"/>
      <c r="D49" s="761"/>
      <c r="E49" s="762"/>
      <c r="F49" s="775"/>
      <c r="G49" s="776"/>
      <c r="H49" s="759"/>
      <c r="I49" s="759"/>
      <c r="J49" s="759"/>
      <c r="K49" s="759"/>
      <c r="L49" s="759"/>
      <c r="M49" s="759"/>
      <c r="N49" s="759"/>
      <c r="O49" s="759"/>
      <c r="P49" s="778"/>
      <c r="Q49" s="758" t="s">
        <v>160</v>
      </c>
      <c r="R49" s="759"/>
      <c r="S49" s="759"/>
      <c r="T49" s="760"/>
      <c r="U49" s="769"/>
      <c r="V49" s="770"/>
      <c r="W49" s="761"/>
      <c r="X49" s="762"/>
      <c r="Y49" s="775"/>
      <c r="Z49" s="776"/>
      <c r="AA49" s="759"/>
      <c r="AB49" s="759"/>
      <c r="AC49" s="759"/>
      <c r="AD49" s="759"/>
      <c r="AE49" s="759"/>
      <c r="AF49" s="759"/>
      <c r="AG49" s="759"/>
      <c r="AH49" s="759"/>
      <c r="AI49" s="778"/>
      <c r="AJ49" s="758" t="s">
        <v>160</v>
      </c>
      <c r="AK49" s="759"/>
      <c r="AL49" s="759"/>
      <c r="AM49" s="760"/>
    </row>
    <row r="50" spans="2:39" x14ac:dyDescent="0.25">
      <c r="B50" s="28"/>
      <c r="C50" s="17"/>
      <c r="D50" s="17"/>
      <c r="E50" s="17"/>
      <c r="F50" s="822"/>
      <c r="G50" s="822"/>
      <c r="H50" s="762"/>
      <c r="I50" s="762"/>
      <c r="J50" s="762"/>
      <c r="K50" s="762"/>
      <c r="L50" s="762"/>
      <c r="M50" s="762"/>
      <c r="N50" s="762"/>
      <c r="O50" s="762"/>
      <c r="P50" s="779"/>
      <c r="Q50" s="761"/>
      <c r="R50" s="762"/>
      <c r="S50" s="762"/>
      <c r="T50" s="763"/>
      <c r="U50" s="28"/>
      <c r="V50" s="17"/>
      <c r="W50" s="17"/>
      <c r="X50" s="17"/>
      <c r="Y50" s="822"/>
      <c r="Z50" s="822"/>
      <c r="AA50" s="762"/>
      <c r="AB50" s="762"/>
      <c r="AC50" s="762"/>
      <c r="AD50" s="762"/>
      <c r="AE50" s="762"/>
      <c r="AF50" s="762"/>
      <c r="AG50" s="762"/>
      <c r="AH50" s="762"/>
      <c r="AI50" s="779"/>
      <c r="AJ50" s="761"/>
      <c r="AK50" s="762"/>
      <c r="AL50" s="762"/>
      <c r="AM50" s="763"/>
    </row>
    <row r="51" spans="2:39" ht="22.5" customHeight="1" x14ac:dyDescent="0.25">
      <c r="B51" s="29"/>
      <c r="C51" s="30"/>
      <c r="D51" s="30"/>
      <c r="E51" s="30"/>
      <c r="F51" s="30"/>
      <c r="G51" s="30"/>
      <c r="H51" s="30"/>
      <c r="I51" s="30"/>
      <c r="J51" s="30"/>
      <c r="K51" s="30"/>
      <c r="L51" s="30"/>
      <c r="M51" s="30"/>
      <c r="N51" s="30"/>
      <c r="O51" s="30"/>
      <c r="P51" s="30"/>
      <c r="Q51" s="30"/>
      <c r="R51" s="30"/>
      <c r="S51" s="30"/>
      <c r="T51" s="31"/>
      <c r="U51" s="29"/>
      <c r="V51" s="30"/>
      <c r="W51" s="30"/>
      <c r="X51" s="30"/>
      <c r="Y51" s="30"/>
      <c r="Z51" s="30"/>
      <c r="AA51" s="30"/>
      <c r="AB51" s="30"/>
      <c r="AC51" s="30"/>
      <c r="AD51" s="30"/>
      <c r="AE51" s="30"/>
      <c r="AF51" s="30"/>
      <c r="AG51" s="30"/>
      <c r="AH51" s="30"/>
      <c r="AI51" s="30"/>
      <c r="AJ51" s="30"/>
      <c r="AK51" s="30"/>
      <c r="AL51" s="30"/>
      <c r="AM51" s="31"/>
    </row>
    <row r="52" spans="2:39" ht="22.5" customHeight="1" x14ac:dyDescent="0.25">
      <c r="B52" s="29"/>
      <c r="C52" s="30"/>
      <c r="D52" s="30"/>
      <c r="E52" s="30"/>
      <c r="F52" s="30"/>
      <c r="G52" s="30"/>
      <c r="H52" s="30"/>
      <c r="I52" s="30"/>
      <c r="J52" s="30"/>
      <c r="K52" s="30"/>
      <c r="L52" s="30"/>
      <c r="M52" s="30"/>
      <c r="N52" s="30"/>
      <c r="O52" s="30"/>
      <c r="P52" s="30"/>
      <c r="Q52" s="30"/>
      <c r="R52" s="30"/>
      <c r="S52" s="30"/>
      <c r="T52" s="31"/>
      <c r="U52" s="29"/>
      <c r="V52" s="30"/>
      <c r="W52" s="30"/>
      <c r="X52" s="30"/>
      <c r="Y52" s="30"/>
      <c r="Z52" s="30"/>
      <c r="AA52" s="30"/>
      <c r="AB52" s="30"/>
      <c r="AC52" s="30"/>
      <c r="AD52" s="30"/>
      <c r="AE52" s="30"/>
      <c r="AF52" s="30"/>
      <c r="AG52" s="30"/>
      <c r="AH52" s="30"/>
      <c r="AI52" s="30"/>
      <c r="AJ52" s="30"/>
      <c r="AK52" s="30"/>
      <c r="AL52" s="30"/>
      <c r="AM52" s="31"/>
    </row>
    <row r="53" spans="2:39" ht="22.5" customHeight="1" x14ac:dyDescent="0.25">
      <c r="B53" s="29"/>
      <c r="C53" s="30"/>
      <c r="D53" s="30"/>
      <c r="E53" s="30"/>
      <c r="F53" s="30"/>
      <c r="G53" s="30"/>
      <c r="H53" s="30"/>
      <c r="I53" s="30"/>
      <c r="J53" s="30"/>
      <c r="K53" s="30"/>
      <c r="L53" s="30"/>
      <c r="M53" s="30"/>
      <c r="N53" s="30"/>
      <c r="O53" s="30"/>
      <c r="P53" s="30"/>
      <c r="Q53" s="30"/>
      <c r="R53" s="30"/>
      <c r="S53" s="30"/>
      <c r="T53" s="31"/>
      <c r="U53" s="29"/>
      <c r="V53" s="30"/>
      <c r="W53" s="30"/>
      <c r="X53" s="30"/>
      <c r="Y53" s="30"/>
      <c r="Z53" s="30"/>
      <c r="AA53" s="30"/>
      <c r="AB53" s="30"/>
      <c r="AC53" s="30"/>
      <c r="AD53" s="30"/>
      <c r="AE53" s="30"/>
      <c r="AF53" s="30"/>
      <c r="AG53" s="30"/>
      <c r="AH53" s="30"/>
      <c r="AI53" s="30"/>
      <c r="AJ53" s="30"/>
      <c r="AK53" s="30"/>
      <c r="AL53" s="30"/>
      <c r="AM53" s="31"/>
    </row>
    <row r="54" spans="2:39" ht="22.5" customHeight="1" x14ac:dyDescent="0.25">
      <c r="B54" s="29"/>
      <c r="C54" s="30"/>
      <c r="D54" s="30"/>
      <c r="E54" s="30"/>
      <c r="F54" s="30"/>
      <c r="G54" s="30"/>
      <c r="H54" s="30"/>
      <c r="I54" s="30"/>
      <c r="J54" s="30"/>
      <c r="K54" s="30"/>
      <c r="L54" s="30"/>
      <c r="M54" s="30"/>
      <c r="N54" s="30"/>
      <c r="O54" s="30"/>
      <c r="P54" s="30"/>
      <c r="Q54" s="30"/>
      <c r="R54" s="30"/>
      <c r="S54" s="30"/>
      <c r="T54" s="31"/>
      <c r="U54" s="29"/>
      <c r="V54" s="30"/>
      <c r="W54" s="30"/>
      <c r="X54" s="30"/>
      <c r="Y54" s="30"/>
      <c r="Z54" s="30"/>
      <c r="AA54" s="30"/>
      <c r="AB54" s="30"/>
      <c r="AC54" s="30"/>
      <c r="AD54" s="30"/>
      <c r="AE54" s="30"/>
      <c r="AF54" s="30"/>
      <c r="AG54" s="30"/>
      <c r="AH54" s="30"/>
      <c r="AI54" s="30"/>
      <c r="AJ54" s="30"/>
      <c r="AK54" s="30"/>
      <c r="AL54" s="30"/>
      <c r="AM54" s="31"/>
    </row>
    <row r="55" spans="2:39" ht="22.5" customHeight="1" x14ac:dyDescent="0.25">
      <c r="B55" s="29"/>
      <c r="C55" s="30"/>
      <c r="D55" s="30"/>
      <c r="E55" s="30"/>
      <c r="F55" s="30"/>
      <c r="G55" s="30"/>
      <c r="H55" s="30"/>
      <c r="I55" s="30"/>
      <c r="J55" s="30"/>
      <c r="K55" s="30"/>
      <c r="L55" s="30"/>
      <c r="M55" s="30"/>
      <c r="N55" s="30"/>
      <c r="O55" s="30"/>
      <c r="P55" s="30"/>
      <c r="Q55" s="30"/>
      <c r="R55" s="30"/>
      <c r="S55" s="30"/>
      <c r="T55" s="31"/>
      <c r="U55" s="29"/>
      <c r="V55" s="30"/>
      <c r="W55" s="30"/>
      <c r="X55" s="30"/>
      <c r="Y55" s="30"/>
      <c r="Z55" s="30"/>
      <c r="AA55" s="30"/>
      <c r="AB55" s="30"/>
      <c r="AC55" s="30"/>
      <c r="AD55" s="30"/>
      <c r="AE55" s="30"/>
      <c r="AF55" s="30"/>
      <c r="AG55" s="30"/>
      <c r="AH55" s="30"/>
      <c r="AI55" s="30"/>
      <c r="AJ55" s="30"/>
      <c r="AK55" s="30"/>
      <c r="AL55" s="30"/>
      <c r="AM55" s="31"/>
    </row>
    <row r="56" spans="2:39" ht="22.5" customHeight="1" x14ac:dyDescent="0.25">
      <c r="B56" s="29"/>
      <c r="C56" s="30"/>
      <c r="D56" s="30"/>
      <c r="E56" s="30"/>
      <c r="F56" s="30"/>
      <c r="G56" s="30"/>
      <c r="H56" s="30"/>
      <c r="I56" s="30"/>
      <c r="J56" s="30"/>
      <c r="K56" s="30"/>
      <c r="L56" s="30"/>
      <c r="M56" s="30"/>
      <c r="N56" s="30"/>
      <c r="O56" s="30"/>
      <c r="P56" s="30"/>
      <c r="Q56" s="30"/>
      <c r="R56" s="30"/>
      <c r="S56" s="30"/>
      <c r="T56" s="31"/>
      <c r="U56" s="29"/>
      <c r="V56" s="30"/>
      <c r="W56" s="30"/>
      <c r="X56" s="30"/>
      <c r="Y56" s="30"/>
      <c r="Z56" s="30"/>
      <c r="AA56" s="30"/>
      <c r="AB56" s="30"/>
      <c r="AC56" s="30"/>
      <c r="AD56" s="30"/>
      <c r="AE56" s="30"/>
      <c r="AF56" s="30"/>
      <c r="AG56" s="30"/>
      <c r="AH56" s="30"/>
      <c r="AI56" s="30"/>
      <c r="AJ56" s="30"/>
      <c r="AK56" s="30"/>
      <c r="AL56" s="30"/>
      <c r="AM56" s="31"/>
    </row>
    <row r="57" spans="2:39" ht="22.5" customHeight="1" x14ac:dyDescent="0.25">
      <c r="B57" s="29"/>
      <c r="C57" s="30"/>
      <c r="D57" s="30"/>
      <c r="E57" s="30"/>
      <c r="F57" s="30"/>
      <c r="G57" s="30"/>
      <c r="H57" s="30"/>
      <c r="I57" s="30"/>
      <c r="J57" s="30"/>
      <c r="K57" s="30"/>
      <c r="L57" s="30"/>
      <c r="M57" s="30"/>
      <c r="N57" s="30"/>
      <c r="O57" s="30"/>
      <c r="P57" s="30"/>
      <c r="Q57" s="30"/>
      <c r="R57" s="30"/>
      <c r="S57" s="30"/>
      <c r="T57" s="31"/>
      <c r="U57" s="29"/>
      <c r="V57" s="30"/>
      <c r="W57" s="30"/>
      <c r="X57" s="30"/>
      <c r="Y57" s="30"/>
      <c r="Z57" s="30"/>
      <c r="AA57" s="30"/>
      <c r="AB57" s="30"/>
      <c r="AC57" s="30"/>
      <c r="AD57" s="30"/>
      <c r="AE57" s="30"/>
      <c r="AF57" s="30"/>
      <c r="AG57" s="30"/>
      <c r="AH57" s="30"/>
      <c r="AI57" s="30"/>
      <c r="AJ57" s="30"/>
      <c r="AK57" s="30"/>
      <c r="AL57" s="30"/>
      <c r="AM57" s="31"/>
    </row>
    <row r="58" spans="2:39" ht="22.5" customHeight="1" x14ac:dyDescent="0.25">
      <c r="B58" s="29"/>
      <c r="C58" s="30"/>
      <c r="D58" s="30"/>
      <c r="E58" s="30"/>
      <c r="F58" s="30"/>
      <c r="G58" s="30"/>
      <c r="H58" s="30"/>
      <c r="I58" s="30"/>
      <c r="J58" s="30"/>
      <c r="K58" s="30"/>
      <c r="L58" s="30"/>
      <c r="M58" s="30"/>
      <c r="N58" s="30"/>
      <c r="O58" s="30"/>
      <c r="P58" s="30"/>
      <c r="Q58" s="30"/>
      <c r="R58" s="30"/>
      <c r="S58" s="30"/>
      <c r="T58" s="31"/>
      <c r="U58" s="29"/>
      <c r="V58" s="30"/>
      <c r="W58" s="30"/>
      <c r="X58" s="30"/>
      <c r="Y58" s="30"/>
      <c r="Z58" s="30"/>
      <c r="AA58" s="30"/>
      <c r="AB58" s="30"/>
      <c r="AC58" s="30"/>
      <c r="AD58" s="30"/>
      <c r="AE58" s="30"/>
      <c r="AF58" s="30"/>
      <c r="AG58" s="30"/>
      <c r="AH58" s="30"/>
      <c r="AI58" s="30"/>
      <c r="AJ58" s="30"/>
      <c r="AK58" s="30"/>
      <c r="AL58" s="30"/>
      <c r="AM58" s="31"/>
    </row>
    <row r="59" spans="2:39" ht="22.5" customHeight="1" x14ac:dyDescent="0.25">
      <c r="B59" s="29"/>
      <c r="C59" s="30"/>
      <c r="D59" s="30"/>
      <c r="E59" s="30"/>
      <c r="F59" s="30"/>
      <c r="G59" s="30"/>
      <c r="H59" s="30"/>
      <c r="I59" s="30"/>
      <c r="J59" s="30"/>
      <c r="K59" s="30"/>
      <c r="L59" s="30"/>
      <c r="M59" s="30"/>
      <c r="N59" s="30"/>
      <c r="O59" s="30"/>
      <c r="P59" s="30"/>
      <c r="Q59" s="30"/>
      <c r="R59" s="30"/>
      <c r="S59" s="30"/>
      <c r="T59" s="31"/>
      <c r="U59" s="29"/>
      <c r="V59" s="30"/>
      <c r="W59" s="30"/>
      <c r="X59" s="30"/>
      <c r="Y59" s="30"/>
      <c r="Z59" s="30"/>
      <c r="AA59" s="30"/>
      <c r="AB59" s="30"/>
      <c r="AC59" s="30"/>
      <c r="AD59" s="30"/>
      <c r="AE59" s="30"/>
      <c r="AF59" s="30"/>
      <c r="AG59" s="30"/>
      <c r="AH59" s="30"/>
      <c r="AI59" s="30"/>
      <c r="AJ59" s="30"/>
      <c r="AK59" s="30"/>
      <c r="AL59" s="30"/>
      <c r="AM59" s="31"/>
    </row>
    <row r="60" spans="2:39" ht="22.5" customHeight="1" thickBot="1" x14ac:dyDescent="0.3">
      <c r="B60" s="29"/>
      <c r="C60" s="30"/>
      <c r="D60" s="30"/>
      <c r="E60" s="30"/>
      <c r="F60" s="30"/>
      <c r="G60" s="30"/>
      <c r="H60" s="30"/>
      <c r="I60" s="30"/>
      <c r="J60" s="30"/>
      <c r="K60" s="30"/>
      <c r="L60" s="30"/>
      <c r="M60" s="30"/>
      <c r="N60" s="30"/>
      <c r="O60" s="38"/>
      <c r="P60" s="38"/>
      <c r="Q60" s="38"/>
      <c r="R60" s="38"/>
      <c r="S60" s="38"/>
      <c r="T60" s="39"/>
      <c r="U60" s="29"/>
      <c r="V60" s="30"/>
      <c r="W60" s="30"/>
      <c r="X60" s="30"/>
      <c r="Y60" s="30"/>
      <c r="Z60" s="30"/>
      <c r="AA60" s="30"/>
      <c r="AB60" s="30"/>
      <c r="AC60" s="30"/>
      <c r="AD60" s="30"/>
      <c r="AE60" s="30"/>
      <c r="AF60" s="30"/>
      <c r="AG60" s="30"/>
      <c r="AH60" s="38"/>
      <c r="AI60" s="38"/>
      <c r="AJ60" s="38"/>
      <c r="AK60" s="38"/>
      <c r="AL60" s="38"/>
      <c r="AM60" s="39"/>
    </row>
    <row r="61" spans="2:39" ht="22.5" customHeight="1" thickBot="1" x14ac:dyDescent="0.3">
      <c r="B61" s="29"/>
      <c r="C61" s="30"/>
      <c r="D61" s="30"/>
      <c r="E61" s="30"/>
      <c r="F61" s="30"/>
      <c r="G61" s="30"/>
      <c r="H61" s="30"/>
      <c r="I61" s="30"/>
      <c r="J61" s="30"/>
      <c r="K61" s="30"/>
      <c r="L61" s="30"/>
      <c r="M61" s="30"/>
      <c r="N61" s="40"/>
      <c r="O61" s="798" t="s">
        <v>169</v>
      </c>
      <c r="P61" s="799"/>
      <c r="Q61" s="799"/>
      <c r="R61" s="799"/>
      <c r="S61" s="800"/>
      <c r="T61" s="41"/>
      <c r="U61" s="29"/>
      <c r="V61" s="30"/>
      <c r="W61" s="30"/>
      <c r="X61" s="30"/>
      <c r="Y61" s="30"/>
      <c r="Z61" s="30"/>
      <c r="AA61" s="30"/>
      <c r="AB61" s="30"/>
      <c r="AC61" s="30"/>
      <c r="AD61" s="30"/>
      <c r="AE61" s="30"/>
      <c r="AF61" s="30"/>
      <c r="AG61" s="40"/>
      <c r="AH61" s="798" t="s">
        <v>169</v>
      </c>
      <c r="AI61" s="799"/>
      <c r="AJ61" s="799"/>
      <c r="AK61" s="799"/>
      <c r="AL61" s="800"/>
      <c r="AM61" s="41"/>
    </row>
    <row r="62" spans="2:39" ht="22.5" customHeight="1" x14ac:dyDescent="0.35">
      <c r="B62" s="29"/>
      <c r="C62" s="30"/>
      <c r="D62" s="30"/>
      <c r="E62" s="30"/>
      <c r="F62" s="30"/>
      <c r="G62" s="30"/>
      <c r="H62" s="38"/>
      <c r="I62" s="38"/>
      <c r="J62" s="38"/>
      <c r="K62" s="38"/>
      <c r="L62" s="38"/>
      <c r="M62" s="38"/>
      <c r="N62" s="42"/>
      <c r="O62" s="801"/>
      <c r="P62" s="802"/>
      <c r="Q62" s="802"/>
      <c r="R62" s="802"/>
      <c r="S62" s="803"/>
      <c r="T62" s="43"/>
      <c r="U62" s="29"/>
      <c r="V62" s="30"/>
      <c r="W62" s="30"/>
      <c r="X62" s="30"/>
      <c r="Y62" s="30"/>
      <c r="Z62" s="30"/>
      <c r="AA62" s="38"/>
      <c r="AB62" s="38"/>
      <c r="AC62" s="38"/>
      <c r="AD62" s="38"/>
      <c r="AE62" s="38"/>
      <c r="AF62" s="38"/>
      <c r="AG62" s="42"/>
      <c r="AH62" s="801"/>
      <c r="AI62" s="802"/>
      <c r="AJ62" s="802"/>
      <c r="AK62" s="802"/>
      <c r="AL62" s="803"/>
      <c r="AM62" s="43"/>
    </row>
    <row r="63" spans="2:39" ht="22.5" customHeight="1" x14ac:dyDescent="0.25">
      <c r="B63" s="789" t="s">
        <v>8</v>
      </c>
      <c r="C63" s="790"/>
      <c r="D63" s="792"/>
      <c r="E63" s="793"/>
      <c r="F63" s="793"/>
      <c r="G63" s="790"/>
      <c r="H63" s="47" t="s">
        <v>170</v>
      </c>
      <c r="I63" s="48"/>
      <c r="J63" s="45"/>
      <c r="K63" s="45"/>
      <c r="L63" s="45"/>
      <c r="M63" s="45"/>
      <c r="N63" s="45"/>
      <c r="O63" s="45"/>
      <c r="P63" s="45"/>
      <c r="Q63" s="45"/>
      <c r="R63" s="45"/>
      <c r="S63" s="45"/>
      <c r="T63" s="46"/>
      <c r="U63" s="789" t="s">
        <v>8</v>
      </c>
      <c r="V63" s="790"/>
      <c r="W63" s="792"/>
      <c r="X63" s="793"/>
      <c r="Y63" s="793"/>
      <c r="Z63" s="790"/>
      <c r="AA63" s="47" t="s">
        <v>170</v>
      </c>
      <c r="AB63" s="48"/>
      <c r="AC63" s="45"/>
      <c r="AD63" s="45"/>
      <c r="AE63" s="45"/>
      <c r="AF63" s="45"/>
      <c r="AG63" s="45"/>
      <c r="AH63" s="45"/>
      <c r="AI63" s="45"/>
      <c r="AJ63" s="45"/>
      <c r="AK63" s="45"/>
      <c r="AL63" s="45"/>
      <c r="AM63" s="46"/>
    </row>
    <row r="64" spans="2:39" ht="22.35" customHeight="1" x14ac:dyDescent="0.25">
      <c r="B64" s="791"/>
      <c r="C64" s="779"/>
      <c r="D64" s="761"/>
      <c r="E64" s="762"/>
      <c r="F64" s="762"/>
      <c r="G64" s="779"/>
      <c r="H64" s="21"/>
      <c r="I64" s="49"/>
      <c r="J64" s="45"/>
      <c r="K64" s="45"/>
      <c r="L64" s="45"/>
      <c r="M64" s="45"/>
      <c r="N64" s="45"/>
      <c r="O64" s="45"/>
      <c r="P64" s="45"/>
      <c r="Q64" s="45"/>
      <c r="R64" s="45"/>
      <c r="S64" s="45"/>
      <c r="T64" s="46"/>
      <c r="U64" s="791"/>
      <c r="V64" s="779"/>
      <c r="W64" s="761"/>
      <c r="X64" s="762"/>
      <c r="Y64" s="762"/>
      <c r="Z64" s="779"/>
      <c r="AA64" s="21"/>
      <c r="AB64" s="49"/>
      <c r="AC64" s="45"/>
      <c r="AD64" s="45"/>
      <c r="AE64" s="45"/>
      <c r="AF64" s="45"/>
      <c r="AG64" s="45"/>
      <c r="AH64" s="45"/>
      <c r="AI64" s="45"/>
      <c r="AJ64" s="45"/>
      <c r="AK64" s="45"/>
      <c r="AL64" s="45"/>
      <c r="AM64" s="46"/>
    </row>
    <row r="65" spans="2:39" x14ac:dyDescent="0.25">
      <c r="B65" s="789" t="s">
        <v>9</v>
      </c>
      <c r="C65" s="790"/>
      <c r="D65" s="792"/>
      <c r="E65" s="793"/>
      <c r="F65" s="793"/>
      <c r="G65" s="790"/>
      <c r="H65" s="804"/>
      <c r="I65" s="805"/>
      <c r="J65" s="805"/>
      <c r="K65" s="805"/>
      <c r="L65" s="805"/>
      <c r="M65" s="805"/>
      <c r="N65" s="805"/>
      <c r="O65" s="805"/>
      <c r="P65" s="805"/>
      <c r="Q65" s="805"/>
      <c r="R65" s="805"/>
      <c r="S65" s="805"/>
      <c r="T65" s="806"/>
      <c r="U65" s="789" t="s">
        <v>9</v>
      </c>
      <c r="V65" s="790"/>
      <c r="W65" s="792"/>
      <c r="X65" s="793"/>
      <c r="Y65" s="793"/>
      <c r="Z65" s="790"/>
      <c r="AA65" s="804"/>
      <c r="AB65" s="805"/>
      <c r="AC65" s="805"/>
      <c r="AD65" s="805"/>
      <c r="AE65" s="805"/>
      <c r="AF65" s="805"/>
      <c r="AG65" s="805"/>
      <c r="AH65" s="805"/>
      <c r="AI65" s="805"/>
      <c r="AJ65" s="805"/>
      <c r="AK65" s="805"/>
      <c r="AL65" s="805"/>
      <c r="AM65" s="806"/>
    </row>
    <row r="66" spans="2:39" x14ac:dyDescent="0.25">
      <c r="B66" s="791"/>
      <c r="C66" s="779"/>
      <c r="D66" s="761"/>
      <c r="E66" s="762"/>
      <c r="F66" s="762"/>
      <c r="G66" s="779"/>
      <c r="H66" s="807"/>
      <c r="I66" s="808"/>
      <c r="J66" s="808"/>
      <c r="K66" s="808"/>
      <c r="L66" s="808"/>
      <c r="M66" s="808"/>
      <c r="N66" s="808"/>
      <c r="O66" s="808"/>
      <c r="P66" s="808"/>
      <c r="Q66" s="808"/>
      <c r="R66" s="808"/>
      <c r="S66" s="808"/>
      <c r="T66" s="809"/>
      <c r="U66" s="791"/>
      <c r="V66" s="779"/>
      <c r="W66" s="761"/>
      <c r="X66" s="762"/>
      <c r="Y66" s="762"/>
      <c r="Z66" s="779"/>
      <c r="AA66" s="807"/>
      <c r="AB66" s="808"/>
      <c r="AC66" s="808"/>
      <c r="AD66" s="808"/>
      <c r="AE66" s="808"/>
      <c r="AF66" s="808"/>
      <c r="AG66" s="808"/>
      <c r="AH66" s="808"/>
      <c r="AI66" s="808"/>
      <c r="AJ66" s="808"/>
      <c r="AK66" s="808"/>
      <c r="AL66" s="808"/>
      <c r="AM66" s="809"/>
    </row>
    <row r="67" spans="2:39" x14ac:dyDescent="0.25">
      <c r="B67" s="789" t="s">
        <v>171</v>
      </c>
      <c r="C67" s="790"/>
      <c r="D67" s="792"/>
      <c r="E67" s="793"/>
      <c r="F67" s="793"/>
      <c r="G67" s="790"/>
      <c r="H67" s="794" t="s">
        <v>173</v>
      </c>
      <c r="I67" s="795"/>
      <c r="J67" s="795"/>
      <c r="K67" s="795"/>
      <c r="L67" s="795"/>
      <c r="M67" s="795"/>
      <c r="N67" s="795"/>
      <c r="O67" s="795"/>
      <c r="P67" s="795"/>
      <c r="Q67" s="795"/>
      <c r="R67" s="795"/>
      <c r="S67" s="795"/>
      <c r="T67" s="810"/>
      <c r="U67" s="789" t="s">
        <v>171</v>
      </c>
      <c r="V67" s="790"/>
      <c r="W67" s="792"/>
      <c r="X67" s="793"/>
      <c r="Y67" s="793"/>
      <c r="Z67" s="790"/>
      <c r="AA67" s="794" t="s">
        <v>173</v>
      </c>
      <c r="AB67" s="795"/>
      <c r="AC67" s="795"/>
      <c r="AD67" s="795"/>
      <c r="AE67" s="795"/>
      <c r="AF67" s="795"/>
      <c r="AG67" s="795"/>
      <c r="AH67" s="795"/>
      <c r="AI67" s="795"/>
      <c r="AJ67" s="795"/>
      <c r="AK67" s="795"/>
      <c r="AL67" s="795"/>
      <c r="AM67" s="810"/>
    </row>
    <row r="68" spans="2:39" x14ac:dyDescent="0.25">
      <c r="B68" s="791"/>
      <c r="C68" s="779"/>
      <c r="D68" s="761"/>
      <c r="E68" s="762"/>
      <c r="F68" s="762"/>
      <c r="G68" s="779"/>
      <c r="H68" s="811"/>
      <c r="I68" s="812"/>
      <c r="J68" s="812"/>
      <c r="K68" s="812"/>
      <c r="L68" s="812"/>
      <c r="M68" s="812"/>
      <c r="N68" s="812"/>
      <c r="O68" s="812"/>
      <c r="P68" s="812"/>
      <c r="Q68" s="812"/>
      <c r="R68" s="812"/>
      <c r="S68" s="812"/>
      <c r="T68" s="813"/>
      <c r="U68" s="791"/>
      <c r="V68" s="779"/>
      <c r="W68" s="761"/>
      <c r="X68" s="762"/>
      <c r="Y68" s="762"/>
      <c r="Z68" s="779"/>
      <c r="AA68" s="811"/>
      <c r="AB68" s="812"/>
      <c r="AC68" s="812"/>
      <c r="AD68" s="812"/>
      <c r="AE68" s="812"/>
      <c r="AF68" s="812"/>
      <c r="AG68" s="812"/>
      <c r="AH68" s="812"/>
      <c r="AI68" s="812"/>
      <c r="AJ68" s="812"/>
      <c r="AK68" s="812"/>
      <c r="AL68" s="812"/>
      <c r="AM68" s="813"/>
    </row>
    <row r="69" spans="2:39" x14ac:dyDescent="0.25">
      <c r="B69" s="789" t="s">
        <v>174</v>
      </c>
      <c r="C69" s="790"/>
      <c r="D69" s="792"/>
      <c r="E69" s="793"/>
      <c r="F69" s="793"/>
      <c r="G69" s="790"/>
      <c r="H69" s="811"/>
      <c r="I69" s="812"/>
      <c r="J69" s="812"/>
      <c r="K69" s="812"/>
      <c r="L69" s="812"/>
      <c r="M69" s="812"/>
      <c r="N69" s="812"/>
      <c r="O69" s="812"/>
      <c r="P69" s="812"/>
      <c r="Q69" s="812"/>
      <c r="R69" s="812"/>
      <c r="S69" s="812"/>
      <c r="T69" s="813"/>
      <c r="U69" s="789" t="s">
        <v>174</v>
      </c>
      <c r="V69" s="790"/>
      <c r="W69" s="792"/>
      <c r="X69" s="793"/>
      <c r="Y69" s="793"/>
      <c r="Z69" s="790"/>
      <c r="AA69" s="811"/>
      <c r="AB69" s="812"/>
      <c r="AC69" s="812"/>
      <c r="AD69" s="812"/>
      <c r="AE69" s="812"/>
      <c r="AF69" s="812"/>
      <c r="AG69" s="812"/>
      <c r="AH69" s="812"/>
      <c r="AI69" s="812"/>
      <c r="AJ69" s="812"/>
      <c r="AK69" s="812"/>
      <c r="AL69" s="812"/>
      <c r="AM69" s="813"/>
    </row>
    <row r="70" spans="2:39" ht="15.75" thickBot="1" x14ac:dyDescent="0.3">
      <c r="B70" s="818"/>
      <c r="C70" s="819"/>
      <c r="D70" s="820"/>
      <c r="E70" s="821"/>
      <c r="F70" s="821"/>
      <c r="G70" s="819"/>
      <c r="H70" s="814"/>
      <c r="I70" s="815"/>
      <c r="J70" s="815"/>
      <c r="K70" s="815"/>
      <c r="L70" s="815"/>
      <c r="M70" s="815"/>
      <c r="N70" s="815"/>
      <c r="O70" s="815"/>
      <c r="P70" s="815"/>
      <c r="Q70" s="815"/>
      <c r="R70" s="815"/>
      <c r="S70" s="815"/>
      <c r="T70" s="816"/>
      <c r="U70" s="818"/>
      <c r="V70" s="819"/>
      <c r="W70" s="820"/>
      <c r="X70" s="821"/>
      <c r="Y70" s="821"/>
      <c r="Z70" s="819"/>
      <c r="AA70" s="814"/>
      <c r="AB70" s="815"/>
      <c r="AC70" s="815"/>
      <c r="AD70" s="815"/>
      <c r="AE70" s="815"/>
      <c r="AF70" s="815"/>
      <c r="AG70" s="815"/>
      <c r="AH70" s="815"/>
      <c r="AI70" s="815"/>
      <c r="AJ70" s="815"/>
      <c r="AK70" s="815"/>
      <c r="AL70" s="815"/>
      <c r="AM70" s="816"/>
    </row>
    <row r="71" spans="2:39" ht="15.75" thickTop="1" x14ac:dyDescent="0.25">
      <c r="B71" s="830"/>
      <c r="C71" s="830"/>
      <c r="D71" s="830"/>
      <c r="E71" s="830"/>
      <c r="F71" s="830"/>
      <c r="G71" s="830"/>
      <c r="H71" s="830"/>
      <c r="I71" s="830"/>
      <c r="J71" s="830"/>
      <c r="K71" s="830"/>
      <c r="L71" s="830"/>
      <c r="M71" s="830"/>
      <c r="N71" s="830"/>
      <c r="O71" s="830"/>
      <c r="P71" s="830"/>
      <c r="Q71" s="831"/>
      <c r="R71" s="831"/>
      <c r="S71" s="831"/>
      <c r="T71" s="831"/>
      <c r="U71" s="830"/>
      <c r="V71" s="830"/>
      <c r="W71" s="830"/>
      <c r="X71" s="830"/>
      <c r="Y71" s="830"/>
      <c r="Z71" s="830"/>
      <c r="AA71" s="830"/>
      <c r="AB71" s="830"/>
      <c r="AC71" s="830"/>
      <c r="AD71" s="830"/>
      <c r="AE71" s="830"/>
      <c r="AF71" s="830"/>
      <c r="AG71" s="830"/>
      <c r="AH71" s="830"/>
      <c r="AI71" s="830"/>
      <c r="AJ71" s="831"/>
      <c r="AK71" s="831"/>
      <c r="AL71" s="831"/>
      <c r="AM71" s="831"/>
    </row>
    <row r="72" spans="2:39" x14ac:dyDescent="0.25">
      <c r="B72" s="830"/>
      <c r="C72" s="830"/>
      <c r="D72" s="830"/>
      <c r="E72" s="830"/>
      <c r="F72" s="830"/>
      <c r="G72" s="830"/>
      <c r="H72" s="830"/>
      <c r="I72" s="830"/>
      <c r="J72" s="830"/>
      <c r="K72" s="830"/>
      <c r="L72" s="830"/>
      <c r="M72" s="830"/>
      <c r="N72" s="830"/>
      <c r="O72" s="830"/>
      <c r="P72" s="830"/>
      <c r="Q72" s="831"/>
      <c r="R72" s="831"/>
      <c r="S72" s="831"/>
      <c r="T72" s="831"/>
      <c r="U72" s="830"/>
      <c r="V72" s="830"/>
      <c r="W72" s="830"/>
      <c r="X72" s="830"/>
      <c r="Y72" s="830"/>
      <c r="Z72" s="830"/>
      <c r="AA72" s="830"/>
      <c r="AB72" s="830"/>
      <c r="AC72" s="830"/>
      <c r="AD72" s="830"/>
      <c r="AE72" s="830"/>
      <c r="AF72" s="830"/>
      <c r="AG72" s="830"/>
      <c r="AH72" s="830"/>
      <c r="AI72" s="830"/>
      <c r="AJ72" s="831"/>
      <c r="AK72" s="831"/>
      <c r="AL72" s="831"/>
      <c r="AM72" s="831"/>
    </row>
    <row r="73" spans="2:39" x14ac:dyDescent="0.25">
      <c r="B73" s="17"/>
      <c r="C73" s="17"/>
      <c r="D73" s="17"/>
      <c r="E73" s="17"/>
      <c r="F73" s="830"/>
      <c r="G73" s="830"/>
      <c r="H73" s="830"/>
      <c r="I73" s="830"/>
      <c r="J73" s="830"/>
      <c r="K73" s="830"/>
      <c r="L73" s="830"/>
      <c r="M73" s="830"/>
      <c r="N73" s="830"/>
      <c r="O73" s="830"/>
      <c r="P73" s="830"/>
      <c r="Q73" s="831"/>
      <c r="R73" s="831"/>
      <c r="S73" s="831"/>
      <c r="T73" s="831"/>
      <c r="U73" s="17"/>
      <c r="V73" s="17"/>
      <c r="W73" s="17"/>
      <c r="X73" s="17"/>
      <c r="Y73" s="830"/>
      <c r="Z73" s="830"/>
      <c r="AA73" s="830"/>
      <c r="AB73" s="830"/>
      <c r="AC73" s="830"/>
      <c r="AD73" s="830"/>
      <c r="AE73" s="830"/>
      <c r="AF73" s="830"/>
      <c r="AG73" s="830"/>
      <c r="AH73" s="830"/>
      <c r="AI73" s="830"/>
      <c r="AJ73" s="831"/>
      <c r="AK73" s="831"/>
      <c r="AL73" s="831"/>
      <c r="AM73" s="831"/>
    </row>
    <row r="74" spans="2:39" x14ac:dyDescent="0.25">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row>
    <row r="75" spans="2:39" x14ac:dyDescent="0.25">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row>
    <row r="76" spans="2:39" x14ac:dyDescent="0.25">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row>
    <row r="77" spans="2:39" x14ac:dyDescent="0.25">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row>
    <row r="78" spans="2:39" x14ac:dyDescent="0.25">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row>
    <row r="79" spans="2:39" x14ac:dyDescent="0.25">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row>
    <row r="80" spans="2:39" x14ac:dyDescent="0.25">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row>
    <row r="81" spans="2:39" x14ac:dyDescent="0.25">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row>
    <row r="82" spans="2:39" x14ac:dyDescent="0.25">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row>
    <row r="83" spans="2:39" x14ac:dyDescent="0.25">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row>
    <row r="84" spans="2:39" x14ac:dyDescent="0.25">
      <c r="B84" s="17"/>
      <c r="C84" s="17"/>
      <c r="D84" s="17"/>
      <c r="E84" s="17"/>
      <c r="F84" s="17"/>
      <c r="G84" s="17"/>
      <c r="H84" s="17"/>
      <c r="I84" s="17"/>
      <c r="J84" s="17"/>
      <c r="K84" s="17"/>
      <c r="L84" s="17"/>
      <c r="M84" s="17"/>
      <c r="N84" s="17"/>
      <c r="O84" s="830"/>
      <c r="P84" s="830"/>
      <c r="Q84" s="830"/>
      <c r="R84" s="830"/>
      <c r="S84" s="830"/>
      <c r="T84" s="17"/>
      <c r="U84" s="17"/>
      <c r="V84" s="17"/>
      <c r="W84" s="17"/>
      <c r="X84" s="17"/>
      <c r="Y84" s="17"/>
      <c r="Z84" s="17"/>
      <c r="AA84" s="17"/>
      <c r="AB84" s="17"/>
      <c r="AC84" s="17"/>
      <c r="AD84" s="17"/>
      <c r="AE84" s="17"/>
      <c r="AF84" s="17"/>
      <c r="AG84" s="17"/>
      <c r="AH84" s="830"/>
      <c r="AI84" s="830"/>
      <c r="AJ84" s="830"/>
      <c r="AK84" s="830"/>
      <c r="AL84" s="830"/>
      <c r="AM84" s="17"/>
    </row>
    <row r="85" spans="2:39" ht="21" x14ac:dyDescent="0.35">
      <c r="B85" s="17"/>
      <c r="C85" s="17"/>
      <c r="D85" s="17"/>
      <c r="E85" s="17"/>
      <c r="F85" s="17"/>
      <c r="G85" s="17"/>
      <c r="H85" s="17"/>
      <c r="I85" s="17"/>
      <c r="J85" s="17"/>
      <c r="K85" s="17"/>
      <c r="L85" s="17"/>
      <c r="M85" s="17"/>
      <c r="N85" s="17"/>
      <c r="O85" s="830"/>
      <c r="P85" s="830"/>
      <c r="Q85" s="830"/>
      <c r="R85" s="830"/>
      <c r="S85" s="830"/>
      <c r="T85" s="50"/>
      <c r="U85" s="17"/>
      <c r="V85" s="17"/>
      <c r="W85" s="17"/>
      <c r="X85" s="17"/>
      <c r="Y85" s="17"/>
      <c r="Z85" s="17"/>
      <c r="AA85" s="17"/>
      <c r="AB85" s="17"/>
      <c r="AC85" s="17"/>
      <c r="AD85" s="17"/>
      <c r="AE85" s="17"/>
      <c r="AF85" s="17"/>
      <c r="AG85" s="17"/>
      <c r="AH85" s="830"/>
      <c r="AI85" s="830"/>
      <c r="AJ85" s="830"/>
      <c r="AK85" s="830"/>
      <c r="AL85" s="830"/>
      <c r="AM85" s="50"/>
    </row>
    <row r="86" spans="2:39" x14ac:dyDescent="0.25">
      <c r="B86" s="830"/>
      <c r="C86" s="830"/>
      <c r="D86" s="830"/>
      <c r="E86" s="830"/>
      <c r="F86" s="830"/>
      <c r="G86" s="830"/>
      <c r="H86" s="51"/>
      <c r="I86" s="51"/>
      <c r="J86" s="51"/>
      <c r="K86" s="51"/>
      <c r="L86" s="51"/>
      <c r="M86" s="51"/>
      <c r="N86" s="51"/>
      <c r="O86" s="51"/>
      <c r="P86" s="51"/>
      <c r="Q86" s="51"/>
      <c r="R86" s="51"/>
      <c r="S86" s="51"/>
      <c r="T86" s="51"/>
      <c r="U86" s="830"/>
      <c r="V86" s="830"/>
      <c r="W86" s="830"/>
      <c r="X86" s="830"/>
      <c r="Y86" s="830"/>
      <c r="Z86" s="830"/>
      <c r="AA86" s="51"/>
      <c r="AB86" s="51"/>
      <c r="AC86" s="51"/>
      <c r="AD86" s="51"/>
      <c r="AE86" s="51"/>
      <c r="AF86" s="51"/>
      <c r="AG86" s="51"/>
      <c r="AH86" s="51"/>
      <c r="AI86" s="51"/>
      <c r="AJ86" s="51"/>
      <c r="AK86" s="51"/>
      <c r="AL86" s="51"/>
      <c r="AM86" s="51"/>
    </row>
    <row r="87" spans="2:39" x14ac:dyDescent="0.25">
      <c r="B87" s="830"/>
      <c r="C87" s="830"/>
      <c r="D87" s="830"/>
      <c r="E87" s="830"/>
      <c r="F87" s="830"/>
      <c r="G87" s="830"/>
      <c r="H87" s="51"/>
      <c r="I87" s="51"/>
      <c r="J87" s="51"/>
      <c r="K87" s="51"/>
      <c r="L87" s="51"/>
      <c r="M87" s="51"/>
      <c r="N87" s="51"/>
      <c r="O87" s="51"/>
      <c r="P87" s="51"/>
      <c r="Q87" s="51"/>
      <c r="R87" s="51"/>
      <c r="S87" s="51"/>
      <c r="T87" s="51"/>
      <c r="U87" s="830"/>
      <c r="V87" s="830"/>
      <c r="W87" s="830"/>
      <c r="X87" s="830"/>
      <c r="Y87" s="830"/>
      <c r="Z87" s="830"/>
      <c r="AA87" s="51"/>
      <c r="AB87" s="51"/>
      <c r="AC87" s="51"/>
      <c r="AD87" s="51"/>
      <c r="AE87" s="51"/>
      <c r="AF87" s="51"/>
      <c r="AG87" s="51"/>
      <c r="AH87" s="51"/>
      <c r="AI87" s="51"/>
      <c r="AJ87" s="51"/>
      <c r="AK87" s="51"/>
      <c r="AL87" s="51"/>
      <c r="AM87" s="51"/>
    </row>
    <row r="88" spans="2:39" x14ac:dyDescent="0.25">
      <c r="B88" s="830"/>
      <c r="C88" s="830"/>
      <c r="D88" s="830"/>
      <c r="E88" s="830"/>
      <c r="F88" s="830"/>
      <c r="G88" s="830"/>
      <c r="H88" s="832"/>
      <c r="I88" s="832"/>
      <c r="J88" s="832"/>
      <c r="K88" s="832"/>
      <c r="L88" s="832"/>
      <c r="M88" s="832"/>
      <c r="N88" s="832"/>
      <c r="O88" s="832"/>
      <c r="P88" s="832"/>
      <c r="Q88" s="832"/>
      <c r="R88" s="832"/>
      <c r="S88" s="832"/>
      <c r="T88" s="832"/>
      <c r="U88" s="830"/>
      <c r="V88" s="830"/>
      <c r="W88" s="830"/>
      <c r="X88" s="830"/>
      <c r="Y88" s="830"/>
      <c r="Z88" s="830"/>
      <c r="AA88" s="832"/>
      <c r="AB88" s="832"/>
      <c r="AC88" s="832"/>
      <c r="AD88" s="832"/>
      <c r="AE88" s="832"/>
      <c r="AF88" s="832"/>
      <c r="AG88" s="832"/>
      <c r="AH88" s="832"/>
      <c r="AI88" s="832"/>
      <c r="AJ88" s="832"/>
      <c r="AK88" s="832"/>
      <c r="AL88" s="832"/>
      <c r="AM88" s="832"/>
    </row>
    <row r="89" spans="2:39" x14ac:dyDescent="0.25">
      <c r="B89" s="830"/>
      <c r="C89" s="830"/>
      <c r="D89" s="830"/>
      <c r="E89" s="830"/>
      <c r="F89" s="830"/>
      <c r="G89" s="830"/>
      <c r="H89" s="832"/>
      <c r="I89" s="832"/>
      <c r="J89" s="832"/>
      <c r="K89" s="832"/>
      <c r="L89" s="832"/>
      <c r="M89" s="832"/>
      <c r="N89" s="832"/>
      <c r="O89" s="832"/>
      <c r="P89" s="832"/>
      <c r="Q89" s="832"/>
      <c r="R89" s="832"/>
      <c r="S89" s="832"/>
      <c r="T89" s="832"/>
      <c r="U89" s="830"/>
      <c r="V89" s="830"/>
      <c r="W89" s="830"/>
      <c r="X89" s="830"/>
      <c r="Y89" s="830"/>
      <c r="Z89" s="830"/>
      <c r="AA89" s="832"/>
      <c r="AB89" s="832"/>
      <c r="AC89" s="832"/>
      <c r="AD89" s="832"/>
      <c r="AE89" s="832"/>
      <c r="AF89" s="832"/>
      <c r="AG89" s="832"/>
      <c r="AH89" s="832"/>
      <c r="AI89" s="832"/>
      <c r="AJ89" s="832"/>
      <c r="AK89" s="832"/>
      <c r="AL89" s="832"/>
      <c r="AM89" s="832"/>
    </row>
    <row r="90" spans="2:39" x14ac:dyDescent="0.25">
      <c r="B90" s="830"/>
      <c r="C90" s="830"/>
      <c r="D90" s="830"/>
      <c r="E90" s="830"/>
      <c r="F90" s="830"/>
      <c r="G90" s="830"/>
      <c r="H90" s="833"/>
      <c r="I90" s="833"/>
      <c r="J90" s="833"/>
      <c r="K90" s="833"/>
      <c r="L90" s="833"/>
      <c r="M90" s="833"/>
      <c r="N90" s="833"/>
      <c r="O90" s="833"/>
      <c r="P90" s="833"/>
      <c r="Q90" s="833"/>
      <c r="R90" s="833"/>
      <c r="S90" s="833"/>
      <c r="T90" s="833"/>
      <c r="U90" s="830"/>
      <c r="V90" s="830"/>
      <c r="W90" s="830"/>
      <c r="X90" s="830"/>
      <c r="Y90" s="830"/>
      <c r="Z90" s="830"/>
      <c r="AA90" s="833"/>
      <c r="AB90" s="833"/>
      <c r="AC90" s="833"/>
      <c r="AD90" s="833"/>
      <c r="AE90" s="833"/>
      <c r="AF90" s="833"/>
      <c r="AG90" s="833"/>
      <c r="AH90" s="833"/>
      <c r="AI90" s="833"/>
      <c r="AJ90" s="833"/>
      <c r="AK90" s="833"/>
      <c r="AL90" s="833"/>
      <c r="AM90" s="833"/>
    </row>
    <row r="91" spans="2:39" x14ac:dyDescent="0.25">
      <c r="B91" s="830"/>
      <c r="C91" s="830"/>
      <c r="D91" s="830"/>
      <c r="E91" s="830"/>
      <c r="F91" s="830"/>
      <c r="G91" s="830"/>
      <c r="H91" s="833"/>
      <c r="I91" s="833"/>
      <c r="J91" s="833"/>
      <c r="K91" s="833"/>
      <c r="L91" s="833"/>
      <c r="M91" s="833"/>
      <c r="N91" s="833"/>
      <c r="O91" s="833"/>
      <c r="P91" s="833"/>
      <c r="Q91" s="833"/>
      <c r="R91" s="833"/>
      <c r="S91" s="833"/>
      <c r="T91" s="833"/>
      <c r="U91" s="830"/>
      <c r="V91" s="830"/>
      <c r="W91" s="830"/>
      <c r="X91" s="830"/>
      <c r="Y91" s="830"/>
      <c r="Z91" s="830"/>
      <c r="AA91" s="833"/>
      <c r="AB91" s="833"/>
      <c r="AC91" s="833"/>
      <c r="AD91" s="833"/>
      <c r="AE91" s="833"/>
      <c r="AF91" s="833"/>
      <c r="AG91" s="833"/>
      <c r="AH91" s="833"/>
      <c r="AI91" s="833"/>
      <c r="AJ91" s="833"/>
      <c r="AK91" s="833"/>
      <c r="AL91" s="833"/>
      <c r="AM91" s="833"/>
    </row>
    <row r="92" spans="2:39" x14ac:dyDescent="0.25">
      <c r="B92" s="830"/>
      <c r="C92" s="830"/>
      <c r="D92" s="830"/>
      <c r="E92" s="830"/>
      <c r="F92" s="830"/>
      <c r="G92" s="830"/>
      <c r="H92" s="833"/>
      <c r="I92" s="833"/>
      <c r="J92" s="833"/>
      <c r="K92" s="833"/>
      <c r="L92" s="833"/>
      <c r="M92" s="833"/>
      <c r="N92" s="833"/>
      <c r="O92" s="833"/>
      <c r="P92" s="833"/>
      <c r="Q92" s="833"/>
      <c r="R92" s="833"/>
      <c r="S92" s="833"/>
      <c r="T92" s="833"/>
      <c r="U92" s="830"/>
      <c r="V92" s="830"/>
      <c r="W92" s="830"/>
      <c r="X92" s="830"/>
      <c r="Y92" s="830"/>
      <c r="Z92" s="830"/>
      <c r="AA92" s="833"/>
      <c r="AB92" s="833"/>
      <c r="AC92" s="833"/>
      <c r="AD92" s="833"/>
      <c r="AE92" s="833"/>
      <c r="AF92" s="833"/>
      <c r="AG92" s="833"/>
      <c r="AH92" s="833"/>
      <c r="AI92" s="833"/>
      <c r="AJ92" s="833"/>
      <c r="AK92" s="833"/>
      <c r="AL92" s="833"/>
      <c r="AM92" s="833"/>
    </row>
    <row r="93" spans="2:39" x14ac:dyDescent="0.25">
      <c r="B93" s="830"/>
      <c r="C93" s="830"/>
      <c r="D93" s="830"/>
      <c r="E93" s="830"/>
      <c r="F93" s="830"/>
      <c r="G93" s="830"/>
      <c r="H93" s="833"/>
      <c r="I93" s="833"/>
      <c r="J93" s="833"/>
      <c r="K93" s="833"/>
      <c r="L93" s="833"/>
      <c r="M93" s="833"/>
      <c r="N93" s="833"/>
      <c r="O93" s="833"/>
      <c r="P93" s="833"/>
      <c r="Q93" s="833"/>
      <c r="R93" s="833"/>
      <c r="S93" s="833"/>
      <c r="T93" s="833"/>
      <c r="U93" s="830"/>
      <c r="V93" s="830"/>
      <c r="W93" s="830"/>
      <c r="X93" s="830"/>
      <c r="Y93" s="830"/>
      <c r="Z93" s="830"/>
      <c r="AA93" s="833"/>
      <c r="AB93" s="833"/>
      <c r="AC93" s="833"/>
      <c r="AD93" s="833"/>
      <c r="AE93" s="833"/>
      <c r="AF93" s="833"/>
      <c r="AG93" s="833"/>
      <c r="AH93" s="833"/>
      <c r="AI93" s="833"/>
      <c r="AJ93" s="833"/>
      <c r="AK93" s="833"/>
      <c r="AL93" s="833"/>
      <c r="AM93" s="833"/>
    </row>
  </sheetData>
  <mergeCells count="172">
    <mergeCell ref="B90:C91"/>
    <mergeCell ref="D90:G91"/>
    <mergeCell ref="H90:T93"/>
    <mergeCell ref="U90:V91"/>
    <mergeCell ref="W90:Z91"/>
    <mergeCell ref="AA90:AM93"/>
    <mergeCell ref="B92:C93"/>
    <mergeCell ref="D92:G93"/>
    <mergeCell ref="U92:V93"/>
    <mergeCell ref="W92:Z93"/>
    <mergeCell ref="B88:C89"/>
    <mergeCell ref="D88:G89"/>
    <mergeCell ref="H88:T89"/>
    <mergeCell ref="U88:V89"/>
    <mergeCell ref="W88:Z89"/>
    <mergeCell ref="AA88:AM89"/>
    <mergeCell ref="O84:S85"/>
    <mergeCell ref="AH84:AL85"/>
    <mergeCell ref="B86:C87"/>
    <mergeCell ref="D86:G87"/>
    <mergeCell ref="U86:V87"/>
    <mergeCell ref="W86:Z87"/>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67:C68"/>
    <mergeCell ref="D67:G68"/>
    <mergeCell ref="H67:T70"/>
    <mergeCell ref="U67:V68"/>
    <mergeCell ref="W67:Z68"/>
    <mergeCell ref="AA67:AM70"/>
    <mergeCell ref="B69:C70"/>
    <mergeCell ref="D69:G70"/>
    <mergeCell ref="U69:V70"/>
    <mergeCell ref="W69:Z70"/>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U48:V49"/>
    <mergeCell ref="W48:X49"/>
    <mergeCell ref="Y48:Z49"/>
    <mergeCell ref="AA48:AI50"/>
    <mergeCell ref="AJ48:AM48"/>
    <mergeCell ref="Q49:T50"/>
    <mergeCell ref="AJ49:AM50"/>
    <mergeCell ref="AN44:AS47"/>
    <mergeCell ref="B46:C47"/>
    <mergeCell ref="D46:G47"/>
    <mergeCell ref="U46:V47"/>
    <mergeCell ref="W46:Z47"/>
    <mergeCell ref="B48:C49"/>
    <mergeCell ref="D48:E49"/>
    <mergeCell ref="F48:G49"/>
    <mergeCell ref="H48:P50"/>
    <mergeCell ref="Q48:T48"/>
    <mergeCell ref="B44:C45"/>
    <mergeCell ref="D44:G45"/>
    <mergeCell ref="H44:T47"/>
    <mergeCell ref="U44:V45"/>
    <mergeCell ref="W44:Z45"/>
    <mergeCell ref="AA44:AM47"/>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H25:P27"/>
    <mergeCell ref="Q25:T25"/>
    <mergeCell ref="U25:V26"/>
    <mergeCell ref="W25:X26"/>
    <mergeCell ref="Y25:Z26"/>
    <mergeCell ref="AA25:AI27"/>
    <mergeCell ref="Q26:T27"/>
    <mergeCell ref="AA42:AM43"/>
    <mergeCell ref="AJ26:AM27"/>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B17:C18"/>
    <mergeCell ref="D17:G18"/>
    <mergeCell ref="H17:I18"/>
    <mergeCell ref="U17:V18"/>
    <mergeCell ref="W17:Z18"/>
    <mergeCell ref="AA17:AB18"/>
    <mergeCell ref="AN14:AN15"/>
    <mergeCell ref="O15:S16"/>
    <mergeCell ref="AH15:AL16"/>
    <mergeCell ref="AN9:AN10"/>
    <mergeCell ref="W2:X3"/>
    <mergeCell ref="Y2:Z3"/>
    <mergeCell ref="AA2:AI4"/>
    <mergeCell ref="AJ2:AM2"/>
    <mergeCell ref="AO4:AP4"/>
    <mergeCell ref="AN6:AQ8"/>
    <mergeCell ref="AO9:AP9"/>
    <mergeCell ref="AN11:AQ13"/>
    <mergeCell ref="Q3:T4"/>
    <mergeCell ref="AJ3:AM4"/>
    <mergeCell ref="W4:Z4"/>
    <mergeCell ref="AN4:AN5"/>
    <mergeCell ref="B2:C3"/>
    <mergeCell ref="D2:E3"/>
    <mergeCell ref="F2:G3"/>
    <mergeCell ref="H2:P4"/>
    <mergeCell ref="Q2:T2"/>
    <mergeCell ref="U2:V3"/>
    <mergeCell ref="E4:G4"/>
    <mergeCell ref="AN2:AQ3"/>
    <mergeCell ref="AO19:AP19"/>
    <mergeCell ref="AN21:AQ23"/>
    <mergeCell ref="AO24:AP24"/>
    <mergeCell ref="AN26:AQ28"/>
    <mergeCell ref="AO29:AP29"/>
    <mergeCell ref="AN31:AQ33"/>
    <mergeCell ref="AO34:AP34"/>
    <mergeCell ref="AN36:AQ38"/>
    <mergeCell ref="AO39:AP39"/>
  </mergeCells>
  <conditionalFormatting sqref="N18">
    <cfRule type="expression" dxfId="36" priority="11">
      <formula>AND(N$17="(T)",BA$7&gt;1500)</formula>
    </cfRule>
  </conditionalFormatting>
  <conditionalFormatting sqref="O18">
    <cfRule type="expression" dxfId="35" priority="10">
      <formula>AND(O$17="(T)",BB$7&gt;1500)</formula>
    </cfRule>
  </conditionalFormatting>
  <conditionalFormatting sqref="P18">
    <cfRule type="expression" dxfId="34" priority="9">
      <formula>AND(P$17="(T)",BC$7&gt;1500)</formula>
    </cfRule>
  </conditionalFormatting>
  <conditionalFormatting sqref="Q18">
    <cfRule type="expression" dxfId="33" priority="8">
      <formula>AND(Q$17="(T)",BD$7&gt;1500)</formula>
    </cfRule>
  </conditionalFormatting>
  <conditionalFormatting sqref="R18">
    <cfRule type="expression" dxfId="32" priority="7">
      <formula>AND(R$17="(T)",BE$7&gt;1500)</formula>
    </cfRule>
  </conditionalFormatting>
  <conditionalFormatting sqref="S18">
    <cfRule type="expression" dxfId="31" priority="6">
      <formula>AND(S$17="(T)",BF$7&gt;1500)</formula>
    </cfRule>
  </conditionalFormatting>
  <conditionalFormatting sqref="T18">
    <cfRule type="expression" dxfId="30" priority="5">
      <formula>AND(T$17="(T)",BG$7&gt;1500)</formula>
    </cfRule>
  </conditionalFormatting>
  <conditionalFormatting sqref="M18">
    <cfRule type="expression" dxfId="29" priority="4">
      <formula>AND(M$17="(T)",AZ$7&gt;1500)</formula>
    </cfRule>
  </conditionalFormatting>
  <conditionalFormatting sqref="L18">
    <cfRule type="expression" dxfId="28" priority="3">
      <formula>AND(L$17="(T)",AY$7&gt;1500)</formula>
    </cfRule>
  </conditionalFormatting>
  <conditionalFormatting sqref="K18">
    <cfRule type="expression" dxfId="27" priority="2">
      <formula>AND(K$17="(T)",AX$7&gt;1500)</formula>
    </cfRule>
  </conditionalFormatting>
  <conditionalFormatting sqref="J18">
    <cfRule type="expression" dxfId="26" priority="1">
      <formula>AND(J$17="(T)",AW$7&gt;1500)</formula>
    </cfRule>
  </conditionalFormatting>
  <dataValidations count="9">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xr:uid="{410B7852-0F61-4BBD-8C73-A28F7A26C3D3}">
      <formula1>"Select,Yes,No"</formula1>
    </dataValidation>
    <dataValidation type="list" allowBlank="1" showInputMessage="1" showErrorMessage="1" sqref="AR4:AR43" xr:uid="{2339A2C9-CD2D-422A-8828-3AA5F7701F82}">
      <formula1>"0,1,2,3,4,5,6,7,8,9,10"</formula1>
    </dataValidation>
    <dataValidation type="list" allowBlank="1" showInputMessage="1" sqref="AS4:AS43" xr:uid="{2AF1E511-7F45-43F7-A52F-A8D24D2E8E70}">
      <formula1>"None,@30 x 1500, @30 x 3000"</formula1>
    </dataValidation>
    <dataValidation type="list" allowBlank="1" showInputMessage="1" sqref="Q3:T4 AJ3:AM4 AJ26:AM27 Q26:T27 Q49:T50 AJ49:AM50" xr:uid="{09709E79-C2D3-4D83-8E9F-A1B4F70DA30D}">
      <formula1>"Select,None,20,25,30,35,40,45,50,55,60,65,70"</formula1>
    </dataValidation>
  </dataValidations>
  <pageMargins left="0.7" right="0.7" top="0.75" bottom="0.75" header="0.3" footer="0.3"/>
  <pageSetup paperSize="9" scale="50"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dimension ref="A1:BF105"/>
  <sheetViews>
    <sheetView topLeftCell="A52" workbookViewId="0">
      <selection activeCell="AA83" sqref="AA83"/>
    </sheetView>
  </sheetViews>
  <sheetFormatPr defaultRowHeight="15" x14ac:dyDescent="0.25"/>
  <cols>
    <col min="1" max="1" width="6" bestFit="1" customWidth="1"/>
    <col min="2" max="2" width="25.140625" bestFit="1" customWidth="1"/>
    <col min="3" max="3" width="7.5703125" bestFit="1" customWidth="1"/>
    <col min="4" max="4" width="4.5703125" bestFit="1" customWidth="1"/>
    <col min="5" max="5" width="30.7109375" bestFit="1" customWidth="1"/>
    <col min="6" max="6" width="7.5703125" bestFit="1" customWidth="1"/>
    <col min="7" max="7" width="7.7109375" bestFit="1" customWidth="1"/>
    <col min="11" max="11" width="9" bestFit="1" customWidth="1"/>
    <col min="12" max="13" width="9.140625" bestFit="1" customWidth="1"/>
    <col min="14" max="14" width="12.7109375" bestFit="1" customWidth="1"/>
    <col min="15" max="15" width="9.42578125" bestFit="1" customWidth="1"/>
    <col min="16" max="16" width="13.5703125" bestFit="1" customWidth="1"/>
    <col min="17" max="17" width="14.42578125" bestFit="1" customWidth="1"/>
    <col min="18" max="18" width="9.140625" bestFit="1" customWidth="1"/>
    <col min="19" max="19" width="9.7109375" bestFit="1" customWidth="1"/>
    <col min="20" max="20" width="11.5703125" bestFit="1" customWidth="1"/>
    <col min="23" max="23" width="10.7109375" bestFit="1" customWidth="1"/>
    <col min="25" max="25" width="11" bestFit="1" customWidth="1"/>
    <col min="27" max="27" width="11" bestFit="1" customWidth="1"/>
    <col min="28" max="28" width="10" bestFit="1" customWidth="1"/>
    <col min="29" max="29" width="10.7109375" bestFit="1" customWidth="1"/>
    <col min="46" max="46" width="10.85546875" bestFit="1" customWidth="1"/>
  </cols>
  <sheetData>
    <row r="1" spans="1:58" x14ac:dyDescent="0.25">
      <c r="A1" t="s">
        <v>709</v>
      </c>
      <c r="K1" s="836" t="s">
        <v>176</v>
      </c>
      <c r="L1" s="837"/>
      <c r="M1" s="837"/>
      <c r="N1" s="837"/>
      <c r="O1" s="837"/>
      <c r="P1" s="837"/>
      <c r="Q1" s="837"/>
      <c r="R1" s="837"/>
      <c r="S1" s="837"/>
      <c r="T1" s="837"/>
      <c r="U1" s="837"/>
      <c r="V1" s="837"/>
      <c r="W1" s="837"/>
      <c r="X1" s="837"/>
      <c r="Y1" s="837"/>
      <c r="Z1" s="837"/>
      <c r="AC1" s="67" t="s">
        <v>177</v>
      </c>
      <c r="AD1" s="67" t="s">
        <v>178</v>
      </c>
      <c r="AE1" s="67" t="s">
        <v>179</v>
      </c>
      <c r="AF1" s="67" t="s">
        <v>180</v>
      </c>
      <c r="AG1" s="67" t="s">
        <v>181</v>
      </c>
      <c r="AH1" s="67" t="s">
        <v>182</v>
      </c>
      <c r="AI1" s="67" t="s">
        <v>183</v>
      </c>
      <c r="AJ1" s="67" t="s">
        <v>184</v>
      </c>
      <c r="AK1" s="67" t="s">
        <v>185</v>
      </c>
      <c r="AL1" s="67" t="s">
        <v>186</v>
      </c>
      <c r="AM1" s="67" t="s">
        <v>187</v>
      </c>
      <c r="AN1" s="67" t="s">
        <v>188</v>
      </c>
      <c r="AO1" s="67" t="s">
        <v>189</v>
      </c>
      <c r="AP1" s="67" t="s">
        <v>190</v>
      </c>
      <c r="AQ1" s="67" t="s">
        <v>191</v>
      </c>
      <c r="AR1" s="67" t="s">
        <v>192</v>
      </c>
      <c r="AT1" s="835" t="s">
        <v>193</v>
      </c>
      <c r="AU1" s="835"/>
      <c r="AV1" s="835"/>
      <c r="AW1" s="835"/>
      <c r="AX1" s="835"/>
      <c r="AY1" s="835"/>
      <c r="AZ1" s="835"/>
      <c r="BA1" s="835"/>
      <c r="BB1" s="835"/>
      <c r="BC1" s="835"/>
      <c r="BD1" s="835"/>
      <c r="BE1" s="835"/>
      <c r="BF1" s="835"/>
    </row>
    <row r="2" spans="1:58" x14ac:dyDescent="0.25">
      <c r="B2" t="s">
        <v>43</v>
      </c>
      <c r="C2" s="68">
        <v>276</v>
      </c>
      <c r="E2" t="s">
        <v>194</v>
      </c>
      <c r="F2" s="68">
        <v>125</v>
      </c>
      <c r="G2" t="s">
        <v>195</v>
      </c>
      <c r="K2" s="34"/>
      <c r="L2" s="69" t="s">
        <v>178</v>
      </c>
      <c r="M2" s="69" t="s">
        <v>179</v>
      </c>
      <c r="N2" s="69" t="s">
        <v>180</v>
      </c>
      <c r="O2" s="69" t="s">
        <v>181</v>
      </c>
      <c r="P2" s="69" t="s">
        <v>182</v>
      </c>
      <c r="Q2" s="69" t="s">
        <v>183</v>
      </c>
      <c r="R2" s="69" t="s">
        <v>184</v>
      </c>
      <c r="S2" s="69" t="s">
        <v>185</v>
      </c>
      <c r="T2" s="69" t="s">
        <v>186</v>
      </c>
      <c r="U2" s="69" t="s">
        <v>187</v>
      </c>
      <c r="V2" s="69" t="s">
        <v>188</v>
      </c>
      <c r="W2" s="69" t="s">
        <v>189</v>
      </c>
      <c r="X2" s="69" t="s">
        <v>190</v>
      </c>
      <c r="Y2" s="69" t="s">
        <v>191</v>
      </c>
      <c r="Z2" s="69" t="s">
        <v>192</v>
      </c>
      <c r="AA2" s="69" t="s">
        <v>62</v>
      </c>
      <c r="AC2" s="70" t="s">
        <v>196</v>
      </c>
      <c r="AD2" s="4">
        <f>COUNTIFS(Pricing!$Q$8:$AA$8,AC2)</f>
        <v>1</v>
      </c>
      <c r="AE2" s="4">
        <f>COUNTIFS(Pricing!$Q$11:$AA$11,AC2)</f>
        <v>0</v>
      </c>
      <c r="AF2" s="4">
        <f>COUNTIFS(Pricing!$Q$14:$AA$14,AC2)</f>
        <v>0</v>
      </c>
      <c r="AG2" s="4">
        <f>COUNTIFS(Pricing!$Q$17:$AA$17,AC2)</f>
        <v>0</v>
      </c>
      <c r="AH2" s="4">
        <f>COUNTIFS(Pricing!$Q$20:$AA$20,AC2)</f>
        <v>0</v>
      </c>
      <c r="AI2" s="4">
        <f>COUNTIFS(Pricing!$Q$23:$AA$23,AC2)</f>
        <v>0</v>
      </c>
      <c r="AJ2" s="4">
        <f>COUNTIFS(Pricing!$Q$26:$AA$26,AC2)</f>
        <v>0</v>
      </c>
      <c r="AK2" s="4">
        <f>COUNTIFS(Pricing!$Q$29:$AA$29,AC2)</f>
        <v>0</v>
      </c>
      <c r="AL2" s="4">
        <f>COUNTIFS(Pricing!$Q$32:$AA$32,AC2)</f>
        <v>0</v>
      </c>
      <c r="AM2" s="4">
        <f>COUNTIFS(Pricing!$Q$35:$AA$35,AC2)</f>
        <v>0</v>
      </c>
      <c r="AN2" s="4">
        <f>COUNTIFS(Pricing!$Q$38:$AA$38,AC2)</f>
        <v>0</v>
      </c>
      <c r="AO2" s="4">
        <f>COUNTIFS(Pricing!$Q$41:$AA$41,AC2)</f>
        <v>0</v>
      </c>
      <c r="AP2" s="4">
        <f>COUNTIFS(Pricing!$Q$44:$AA$44,AC2)</f>
        <v>0</v>
      </c>
      <c r="AQ2" s="4">
        <f>COUNTIFS(Pricing!$Q$47:$AA$47,AI2)</f>
        <v>0</v>
      </c>
      <c r="AR2" s="4">
        <f>COUNTIFS(Pricing!$Q$50:$AA$50,AJ2)</f>
        <v>0</v>
      </c>
      <c r="AU2" t="s">
        <v>197</v>
      </c>
      <c r="AV2" t="s">
        <v>198</v>
      </c>
      <c r="AW2" t="s">
        <v>199</v>
      </c>
      <c r="AX2" t="s">
        <v>200</v>
      </c>
      <c r="AY2" t="s">
        <v>201</v>
      </c>
      <c r="AZ2" t="s">
        <v>202</v>
      </c>
      <c r="BA2" t="s">
        <v>203</v>
      </c>
      <c r="BB2" t="s">
        <v>204</v>
      </c>
      <c r="BC2" t="s">
        <v>205</v>
      </c>
      <c r="BD2" t="s">
        <v>206</v>
      </c>
      <c r="BE2" t="s">
        <v>207</v>
      </c>
    </row>
    <row r="3" spans="1:58" x14ac:dyDescent="0.25">
      <c r="B3" t="s">
        <v>45</v>
      </c>
      <c r="C3" s="68">
        <v>43</v>
      </c>
      <c r="E3" t="s">
        <v>208</v>
      </c>
      <c r="F3" s="68">
        <v>195</v>
      </c>
      <c r="G3" t="s">
        <v>209</v>
      </c>
      <c r="K3" s="71" t="s">
        <v>43</v>
      </c>
      <c r="L3" s="72">
        <f>(($C2*$N$22)+(M22*N22))+AA22+V22</f>
        <v>182.7672</v>
      </c>
      <c r="M3" s="72">
        <f>(($C2*$N$23)+(M23*N23))+AA23+V23</f>
        <v>501.54719999999998</v>
      </c>
      <c r="N3" s="72">
        <f>(($C2*$N$24)+(M24*N24))+AA24+V24</f>
        <v>182.7672</v>
      </c>
      <c r="O3" s="72">
        <f>(($C2*$N$25)+(N25*M25))+AA25+V25</f>
        <v>485.0976</v>
      </c>
      <c r="P3" s="72">
        <f>(($C2*$N$26)+(N26*M26))+AA26+V26</f>
        <v>315.74399999999997</v>
      </c>
      <c r="Q3" s="72">
        <f>(($C2*$N$27)+(M27*N27))+AA27+V27</f>
        <v>315.74399999999997</v>
      </c>
      <c r="R3" s="72">
        <f>(($C2*$N$28)+(M28*N28))+AA28+V28</f>
        <v>426.41999999999996</v>
      </c>
      <c r="S3" s="72">
        <f>(($C2*$N$29)+(M29*N29))+AA29+V29</f>
        <v>0</v>
      </c>
      <c r="T3" s="72">
        <f>(($C2*$N$30)+(M30*N30))+AA30+V30</f>
        <v>0</v>
      </c>
      <c r="U3" s="72">
        <f>(($C2*$N$31)+(M31*N31))+AA31+V31</f>
        <v>0</v>
      </c>
      <c r="V3" s="72">
        <f>($C2*$N$32)+(M32*N32)+AA32+V32</f>
        <v>0</v>
      </c>
      <c r="W3" s="72">
        <f>($C2*$N$33)+(N33*M33)+AA33+V33</f>
        <v>0</v>
      </c>
      <c r="X3" s="72">
        <f>($C2*$N$34)+(N34*M34)+AA34+V34</f>
        <v>0</v>
      </c>
      <c r="Y3" s="72">
        <f>($C2*$N$35)+(M35*N35)+AA35+V35</f>
        <v>0</v>
      </c>
      <c r="Z3" s="72">
        <f>($C2*$N$36) + (M36*N36)+AA36+V36</f>
        <v>0</v>
      </c>
      <c r="AA3" s="68">
        <f>SUM(L3:Z3)</f>
        <v>2410.0871999999999</v>
      </c>
      <c r="AC3" s="4" t="s">
        <v>210</v>
      </c>
      <c r="AD3" s="4">
        <f>COUNTIFS(Pricing!$Q$8:$AA$8,AC3)</f>
        <v>0</v>
      </c>
      <c r="AE3" s="4">
        <f>COUNTIFS(Pricing!$Q$11:$AA$11,AC3)</f>
        <v>0</v>
      </c>
      <c r="AF3" s="4">
        <f>COUNTIFS(Pricing!$Q$14:$AA$14,AC3)</f>
        <v>1</v>
      </c>
      <c r="AG3" s="4">
        <f>COUNTIFS(Pricing!$Q$17:$AA$17,AC3)</f>
        <v>0</v>
      </c>
      <c r="AH3" s="4">
        <f>COUNTIFS(Pricing!$Q$20:$AA$20,AC3)</f>
        <v>0</v>
      </c>
      <c r="AI3" s="4">
        <f>COUNTIFS(Pricing!$Q$23:$AA$23,AC3)</f>
        <v>0</v>
      </c>
      <c r="AJ3" s="4">
        <f>COUNTIFS(Pricing!$Q$26:$AA$26,AC3)</f>
        <v>0</v>
      </c>
      <c r="AK3" s="4">
        <f>COUNTIFS(Pricing!$Q$29:$AA$29,AC3)</f>
        <v>0</v>
      </c>
      <c r="AL3" s="4">
        <f>COUNTIFS(Pricing!$Q$32:$AA$32,AC3)</f>
        <v>0</v>
      </c>
      <c r="AM3" s="4">
        <f>COUNTIFS(Pricing!$Q$35:$AA$35,AC3)</f>
        <v>0</v>
      </c>
      <c r="AN3" s="4">
        <f>COUNTIFS(Pricing!$Q$38:$AA$38,AC3)</f>
        <v>0</v>
      </c>
      <c r="AO3" s="4">
        <f>COUNTIFS(Pricing!$Q$41:$AA$41,AC3)</f>
        <v>0</v>
      </c>
      <c r="AP3" s="4">
        <f>COUNTIFS(Pricing!$Q$44:$AA$44,AC3)</f>
        <v>0</v>
      </c>
      <c r="AQ3" s="4">
        <f>COUNTIFS(Pricing!$Q$47:$AA$47,AI3)</f>
        <v>0</v>
      </c>
      <c r="AR3" s="4">
        <f>COUNTIFS(Pricing!$Q$50:$AA$50,AJ3)</f>
        <v>0</v>
      </c>
      <c r="AT3" t="s">
        <v>178</v>
      </c>
      <c r="AU3">
        <f>LEN(Pricing!Q8)</f>
        <v>1</v>
      </c>
      <c r="AV3">
        <f>LEN(Pricing!R8)</f>
        <v>0</v>
      </c>
      <c r="AW3">
        <f>LEN(Pricing!S8)</f>
        <v>0</v>
      </c>
      <c r="AX3">
        <f>LEN(Pricing!T8)</f>
        <v>0</v>
      </c>
      <c r="AY3">
        <f>LEN(Pricing!U8)</f>
        <v>0</v>
      </c>
      <c r="AZ3">
        <f>LEN(Pricing!V8)</f>
        <v>0</v>
      </c>
      <c r="BA3">
        <f>LEN(Pricing!W8)</f>
        <v>0</v>
      </c>
      <c r="BB3">
        <f>LEN(Pricing!X8)</f>
        <v>0</v>
      </c>
      <c r="BC3">
        <f>LEN(Pricing!Y8)</f>
        <v>0</v>
      </c>
      <c r="BD3">
        <f>LEN(Pricing!Z8)</f>
        <v>0</v>
      </c>
      <c r="BE3">
        <f>LEN(Pricing!AA8)</f>
        <v>0</v>
      </c>
    </row>
    <row r="4" spans="1:58" x14ac:dyDescent="0.25">
      <c r="B4" t="s">
        <v>48</v>
      </c>
      <c r="C4" s="68">
        <v>63</v>
      </c>
      <c r="E4" t="s">
        <v>211</v>
      </c>
      <c r="F4" s="68">
        <v>285</v>
      </c>
      <c r="G4" t="s">
        <v>212</v>
      </c>
      <c r="K4" s="71" t="s">
        <v>45</v>
      </c>
      <c r="L4" s="72">
        <f>$L$3+($C3*$N$22)</f>
        <v>211.24180000000001</v>
      </c>
      <c r="M4" s="72">
        <f>$M$3+($C3*$N$23)+(M24*N24)</f>
        <v>579.68679999999995</v>
      </c>
      <c r="N4" s="72">
        <f>$N$3+($C3*$N$24)+(M25*N25)</f>
        <v>211.24180000000001</v>
      </c>
      <c r="O4" s="72">
        <f>$O$3+($C3*$N$25)+(N26*M26)</f>
        <v>560.67439999999999</v>
      </c>
      <c r="P4" s="72">
        <f>$P$3+($C3*$N$26)+(N27*M27)</f>
        <v>364.93599999999998</v>
      </c>
      <c r="Q4" s="72">
        <f>$Q$3+($C3*$N$27)+(M28*N28)</f>
        <v>364.93599999999998</v>
      </c>
      <c r="R4" s="72">
        <f>$R$3+($C3*$N$28)+(M29*N29)</f>
        <v>492.85499999999996</v>
      </c>
      <c r="S4" s="72">
        <f>$S$3+($C3*$N$29)+(M30*N30)</f>
        <v>0</v>
      </c>
      <c r="T4" s="72">
        <f>$T$3+($C3*$N$30)+(M31*N31)</f>
        <v>0</v>
      </c>
      <c r="U4" s="72">
        <f>$U$3+($C3*$N$31)+(M32*N32)</f>
        <v>0</v>
      </c>
      <c r="V4" s="72">
        <f>$V$3+($C3*$N$32)+(M33*N33)</f>
        <v>0</v>
      </c>
      <c r="W4" s="72">
        <f>$W$3+($C3*$N$33)+(N34*M34)</f>
        <v>0</v>
      </c>
      <c r="X4" s="72">
        <f>$X$3+($C3*$N$34)+(N35*M35)</f>
        <v>0</v>
      </c>
      <c r="Y4" s="72">
        <f>$Y$3+($C3*$N$35)+(M36*N36)</f>
        <v>0</v>
      </c>
      <c r="Z4" s="72">
        <f>Z3+($C3*$N$36) + (M36*N36)</f>
        <v>0</v>
      </c>
      <c r="AA4" s="68">
        <f t="shared" ref="AA4:AA8" si="0">SUM(L4:Z4)</f>
        <v>2785.5717999999997</v>
      </c>
      <c r="AC4" s="4" t="s">
        <v>213</v>
      </c>
      <c r="AD4" s="4">
        <f>COUNTIFS(Pricing!$Q$8:$AA$8,AC4)*2</f>
        <v>0</v>
      </c>
      <c r="AE4" s="4">
        <f>COUNTIFS(Pricing!$Q$11:$AA$11,AC4)*2</f>
        <v>2</v>
      </c>
      <c r="AF4" s="4">
        <f>COUNTIFS(Pricing!$Q$14:$AA$14,AC4)*2</f>
        <v>0</v>
      </c>
      <c r="AG4" s="4">
        <f>COUNTIFS(Pricing!$Q$17:$AA$17,AC4)*2</f>
        <v>2</v>
      </c>
      <c r="AH4" s="4">
        <f>COUNTIFS(Pricing!$Q$20:$AA$20,AC4)*2</f>
        <v>2</v>
      </c>
      <c r="AI4" s="4">
        <f>COUNTIFS(Pricing!$Q$23:$AA$23,AC4)*2</f>
        <v>2</v>
      </c>
      <c r="AJ4" s="4">
        <f>COUNTIFS(Pricing!$Q$26:$AA$26,AC4)*2</f>
        <v>2</v>
      </c>
      <c r="AK4" s="4">
        <f>COUNTIFS(Pricing!$Q$29:$AA$29,AC4)*2</f>
        <v>0</v>
      </c>
      <c r="AL4" s="4">
        <f>COUNTIFS(Pricing!$Q$32:$AA$32,AC4)*2</f>
        <v>0</v>
      </c>
      <c r="AM4" s="4">
        <f>COUNTIFS(Pricing!$Q$35:$AA$35,AC4)*2</f>
        <v>0</v>
      </c>
      <c r="AN4" s="4">
        <f>COUNTIFS(Pricing!$Q$38:$AA$38,AC4)*2</f>
        <v>0</v>
      </c>
      <c r="AO4" s="4">
        <f>COUNTIFS(Pricing!$Q$41:$AA$41,AC4)*2</f>
        <v>0</v>
      </c>
      <c r="AP4" s="4">
        <f>COUNTIFS(Pricing!$Q$44:$AA$44,AC4)*2</f>
        <v>0</v>
      </c>
      <c r="AQ4" s="4">
        <f>COUNTIFS(Pricing!$Q$47:$AA$47,AI4)*2</f>
        <v>0</v>
      </c>
      <c r="AR4" s="4">
        <f>COUNTIFS(Pricing!$Q$50:$AA$50,AJ4)*2</f>
        <v>0</v>
      </c>
      <c r="AT4" t="s">
        <v>214</v>
      </c>
      <c r="AU4">
        <f>Pricing!Q9</f>
        <v>0</v>
      </c>
      <c r="AV4">
        <f>Pricing!R9</f>
        <v>0</v>
      </c>
      <c r="AW4">
        <f>Pricing!S9</f>
        <v>0</v>
      </c>
      <c r="AX4">
        <f>Pricing!T9</f>
        <v>0</v>
      </c>
      <c r="AY4">
        <f>Pricing!U9</f>
        <v>0</v>
      </c>
      <c r="AZ4">
        <f>Pricing!V9</f>
        <v>0</v>
      </c>
      <c r="BA4">
        <f>Pricing!W9</f>
        <v>0</v>
      </c>
      <c r="BB4">
        <f>Pricing!X9</f>
        <v>0</v>
      </c>
      <c r="BC4">
        <f>Pricing!Y9</f>
        <v>0</v>
      </c>
      <c r="BD4">
        <f>Pricing!Z9</f>
        <v>0</v>
      </c>
    </row>
    <row r="5" spans="1:58" x14ac:dyDescent="0.25">
      <c r="B5" t="s">
        <v>52</v>
      </c>
      <c r="C5" s="68">
        <v>153</v>
      </c>
      <c r="E5" t="s">
        <v>215</v>
      </c>
      <c r="F5" s="68">
        <v>29</v>
      </c>
      <c r="G5" t="s">
        <v>212</v>
      </c>
      <c r="K5" s="71" t="s">
        <v>48</v>
      </c>
      <c r="L5" s="72">
        <f t="shared" ref="L5:L8" si="1">$L$3+($C4*$N$22)</f>
        <v>224.48580000000001</v>
      </c>
      <c r="M5" s="72">
        <f t="shared" ref="M5:M8" si="2">$M$3+($C4*$N$23)+(M25*N25)</f>
        <v>616.0308</v>
      </c>
      <c r="N5" s="72">
        <f t="shared" ref="N5:N8" si="3">$N$3+($C4*$N$24)+(M26*N26)</f>
        <v>224.48580000000001</v>
      </c>
      <c r="O5" s="72">
        <f t="shared" ref="O5:O8" si="4">$O$3+($C4*$N$25)+(N27*M27)</f>
        <v>595.82640000000004</v>
      </c>
      <c r="P5" s="72">
        <f t="shared" ref="P5:P8" si="5">$P$3+($C4*$N$26)+(N28*M28)</f>
        <v>387.81599999999997</v>
      </c>
      <c r="Q5" s="72">
        <f t="shared" ref="Q5:Q8" si="6">$Q$3+($C4*$N$27)+(M29*N29)</f>
        <v>387.81599999999997</v>
      </c>
      <c r="R5" s="72">
        <f t="shared" ref="R5:R8" si="7">$R$3+($C4*$N$28)+(M30*N30)</f>
        <v>523.755</v>
      </c>
      <c r="S5" s="72">
        <f t="shared" ref="S5:S8" si="8">$S$3+($C4*$N$29)+(M31*N31)</f>
        <v>0</v>
      </c>
      <c r="T5" s="72">
        <f t="shared" ref="T5:T8" si="9">$T$3+($C4*$N$30)+(M32*N32)</f>
        <v>0</v>
      </c>
      <c r="U5" s="72">
        <f t="shared" ref="U5:U8" si="10">$U$3+($C4*$N$31)+(M33*N33)</f>
        <v>0</v>
      </c>
      <c r="V5" s="72">
        <f t="shared" ref="V5:V8" si="11">$V$3+($C4*$N$32)+(M34*N34)</f>
        <v>0</v>
      </c>
      <c r="W5" s="72">
        <f t="shared" ref="W5:W8" si="12">$W$3+($C4*$N$33)+(N35*M35)</f>
        <v>0</v>
      </c>
      <c r="X5" s="72">
        <f t="shared" ref="X5:X8" si="13">$X$3+($C4*$N$34)+(N36*M36)</f>
        <v>0</v>
      </c>
      <c r="Y5" s="72">
        <f t="shared" ref="Y5:Y7" si="14">$Y$3+($C4*$N$35)+(M37*N37)</f>
        <v>0</v>
      </c>
      <c r="Z5" s="72">
        <f>$Z$3+($C4*$N$36)+(M36*N36)</f>
        <v>0</v>
      </c>
      <c r="AA5" s="68">
        <f t="shared" si="0"/>
        <v>2960.2157999999999</v>
      </c>
      <c r="AC5" s="4" t="s">
        <v>216</v>
      </c>
      <c r="AD5" s="4">
        <f>COUNTIFS(Pricing!$Q$8:$AA$8,AC5)*2</f>
        <v>0</v>
      </c>
      <c r="AE5" s="4">
        <f>COUNTIFS(Pricing!$Q$11:$AA$11,AC5)*2</f>
        <v>2</v>
      </c>
      <c r="AF5" s="4">
        <f>COUNTIFS(Pricing!$Q$14:$AA$14,AC5)*2</f>
        <v>0</v>
      </c>
      <c r="AG5" s="4">
        <f>COUNTIFS(Pricing!$Q$17:$AA$17,AC5)*2</f>
        <v>2</v>
      </c>
      <c r="AH5" s="4">
        <f>COUNTIFS(Pricing!$Q$20:$AA$20,AC5)*2</f>
        <v>2</v>
      </c>
      <c r="AI5" s="4">
        <f>COUNTIFS(Pricing!$Q$23:$AA$23,AC5)*2</f>
        <v>2</v>
      </c>
      <c r="AJ5" s="4">
        <f>COUNTIFS(Pricing!$Q$26:$AA$26,AC5)*2</f>
        <v>2</v>
      </c>
      <c r="AK5" s="4">
        <f>COUNTIFS(Pricing!$Q$29:$AA$29,AC5)*2</f>
        <v>0</v>
      </c>
      <c r="AL5" s="4">
        <f>COUNTIFS(Pricing!$Q$32:$AA$32,AC5)*2</f>
        <v>0</v>
      </c>
      <c r="AM5" s="4">
        <f>COUNTIFS(Pricing!$Q$35:$AA$35,AC5)*2</f>
        <v>0</v>
      </c>
      <c r="AN5" s="4">
        <f>COUNTIFS(Pricing!$Q$38:$AA$38,AC5)*2</f>
        <v>0</v>
      </c>
      <c r="AO5" s="4">
        <f>COUNTIFS(Pricing!$Q$41:$AA$41,AC5)*2</f>
        <v>0</v>
      </c>
      <c r="AP5" s="4">
        <f>COUNTIFS(Pricing!$Q$44:$AA$44,AC5)*2</f>
        <v>0</v>
      </c>
      <c r="AQ5" s="4">
        <f>COUNTIFS(Pricing!$Q$47:$AA$47,AI5)*2</f>
        <v>0</v>
      </c>
      <c r="AR5" s="4">
        <f>COUNTIFS(Pricing!$Q$50:$AA$50,AJ5)*2</f>
        <v>0</v>
      </c>
      <c r="AT5" t="s">
        <v>217</v>
      </c>
    </row>
    <row r="6" spans="1:58" x14ac:dyDescent="0.25">
      <c r="B6" t="s">
        <v>54</v>
      </c>
      <c r="C6" s="68">
        <v>113</v>
      </c>
      <c r="E6" t="s">
        <v>218</v>
      </c>
      <c r="F6" s="68">
        <v>29</v>
      </c>
      <c r="G6" t="s">
        <v>212</v>
      </c>
      <c r="K6" s="71" t="s">
        <v>52</v>
      </c>
      <c r="L6" s="72">
        <f t="shared" si="1"/>
        <v>284.0838</v>
      </c>
      <c r="M6" s="72">
        <f t="shared" si="2"/>
        <v>779.5788</v>
      </c>
      <c r="N6" s="72">
        <f t="shared" si="3"/>
        <v>284.0838</v>
      </c>
      <c r="O6" s="72">
        <f t="shared" si="4"/>
        <v>754.0104</v>
      </c>
      <c r="P6" s="72">
        <f t="shared" si="5"/>
        <v>490.77599999999995</v>
      </c>
      <c r="Q6" s="72">
        <f t="shared" si="6"/>
        <v>490.77599999999995</v>
      </c>
      <c r="R6" s="72">
        <f t="shared" si="7"/>
        <v>662.80499999999995</v>
      </c>
      <c r="S6" s="72">
        <f t="shared" si="8"/>
        <v>0</v>
      </c>
      <c r="T6" s="72">
        <f t="shared" si="9"/>
        <v>0</v>
      </c>
      <c r="U6" s="72">
        <f t="shared" si="10"/>
        <v>0</v>
      </c>
      <c r="V6" s="72">
        <f t="shared" si="11"/>
        <v>0</v>
      </c>
      <c r="W6" s="72">
        <f t="shared" si="12"/>
        <v>0</v>
      </c>
      <c r="X6" s="72">
        <f t="shared" si="13"/>
        <v>0</v>
      </c>
      <c r="Y6" s="72">
        <f t="shared" si="14"/>
        <v>0</v>
      </c>
      <c r="Z6" s="72">
        <f>$Z$3+($C5*$N$36)+(M36*N36)</f>
        <v>0</v>
      </c>
      <c r="AA6" s="68">
        <f t="shared" si="0"/>
        <v>3746.1137999999996</v>
      </c>
      <c r="AC6" s="4" t="s">
        <v>219</v>
      </c>
      <c r="AD6" s="4">
        <f>COUNTIFS(Pricing!$Q$8:$AA$8,AC6)*2</f>
        <v>0</v>
      </c>
      <c r="AE6" s="4">
        <f>COUNTIFS(Pricing!$Q$11:$AA$11,AC6)*2</f>
        <v>0</v>
      </c>
      <c r="AF6" s="4">
        <f>COUNTIFS(Pricing!$Q$14:$AA$14,AC6)*2</f>
        <v>0</v>
      </c>
      <c r="AG6" s="4">
        <f>COUNTIFS(Pricing!$Q$17:$AA$17,AC6)*2</f>
        <v>0</v>
      </c>
      <c r="AH6" s="4">
        <f>COUNTIFS(Pricing!$Q$20:$AA$20,AC6)*2</f>
        <v>0</v>
      </c>
      <c r="AI6" s="4">
        <f>COUNTIFS(Pricing!$Q$23:$AA$23,AC6)*2</f>
        <v>0</v>
      </c>
      <c r="AJ6" s="4">
        <f>COUNTIFS(Pricing!$Q$26:$AA$26,AC6)*2</f>
        <v>0</v>
      </c>
      <c r="AK6" s="4">
        <f>COUNTIFS(Pricing!$Q$29:$AA$29,AC6)*2</f>
        <v>0</v>
      </c>
      <c r="AL6" s="4">
        <f>COUNTIFS(Pricing!$Q$32:$AA$32,AC6)*2</f>
        <v>0</v>
      </c>
      <c r="AM6" s="4">
        <f>COUNTIFS(Pricing!$Q$35:$AA$35,AC6)*2</f>
        <v>0</v>
      </c>
      <c r="AN6" s="4">
        <f>COUNTIFS(Pricing!$Q$38:$AA$38,AC6)*2</f>
        <v>0</v>
      </c>
      <c r="AO6" s="4">
        <f>COUNTIFS(Pricing!$Q$41:$AA$41,AC6)*2</f>
        <v>0</v>
      </c>
      <c r="AP6" s="4">
        <f>COUNTIFS(Pricing!$Q$44:$AA$44,AC6)*2</f>
        <v>0</v>
      </c>
      <c r="AQ6" s="4">
        <f>COUNTIFS(Pricing!$Q$47:$AA$47,AI6)*2</f>
        <v>0</v>
      </c>
      <c r="AR6" s="4">
        <f>COUNTIFS(Pricing!$Q$50:$AA$50,AJ6)*2</f>
        <v>0</v>
      </c>
    </row>
    <row r="7" spans="1:58" x14ac:dyDescent="0.25">
      <c r="B7" t="s">
        <v>57</v>
      </c>
      <c r="C7" s="68">
        <v>165</v>
      </c>
      <c r="E7" t="s">
        <v>220</v>
      </c>
      <c r="F7" s="68">
        <v>50</v>
      </c>
      <c r="G7" t="s">
        <v>212</v>
      </c>
      <c r="K7" s="71" t="s">
        <v>54</v>
      </c>
      <c r="L7" s="72">
        <f>$L$3+($C6*$N$22)</f>
        <v>257.5958</v>
      </c>
      <c r="M7" s="72">
        <f t="shared" si="2"/>
        <v>706.8907999999999</v>
      </c>
      <c r="N7" s="72">
        <f t="shared" si="3"/>
        <v>257.5958</v>
      </c>
      <c r="O7" s="72">
        <f t="shared" si="4"/>
        <v>683.70640000000003</v>
      </c>
      <c r="P7" s="72">
        <f t="shared" si="5"/>
        <v>445.01599999999996</v>
      </c>
      <c r="Q7" s="72">
        <f t="shared" si="6"/>
        <v>445.01599999999996</v>
      </c>
      <c r="R7" s="72">
        <f t="shared" si="7"/>
        <v>601.00499999999988</v>
      </c>
      <c r="S7" s="72">
        <f t="shared" si="8"/>
        <v>0</v>
      </c>
      <c r="T7" s="72">
        <f t="shared" si="9"/>
        <v>0</v>
      </c>
      <c r="U7" s="72">
        <f t="shared" si="10"/>
        <v>0</v>
      </c>
      <c r="V7" s="72">
        <f t="shared" si="11"/>
        <v>0</v>
      </c>
      <c r="W7" s="72">
        <f t="shared" si="12"/>
        <v>0</v>
      </c>
      <c r="X7" s="72">
        <f t="shared" si="13"/>
        <v>0</v>
      </c>
      <c r="Y7" s="72">
        <f t="shared" si="14"/>
        <v>0</v>
      </c>
      <c r="Z7" s="72">
        <f>$Z$3+($C6*$N$36)+(M36*N36)</f>
        <v>0</v>
      </c>
      <c r="AA7" s="68">
        <f t="shared" si="0"/>
        <v>3396.8257999999996</v>
      </c>
      <c r="AC7" s="4" t="s">
        <v>221</v>
      </c>
      <c r="AD7" s="4">
        <f>COUNTIFS(Pricing!$Q$8:$AA$8,AC7)*2</f>
        <v>0</v>
      </c>
      <c r="AE7" s="4">
        <f>COUNTIFS(Pricing!$Q$11:$AA$11,AC7)*2</f>
        <v>0</v>
      </c>
      <c r="AF7" s="4">
        <f>COUNTIFS(Pricing!$Q$14:$AA$14,AC7)*2</f>
        <v>0</v>
      </c>
      <c r="AG7" s="4">
        <f>COUNTIFS(Pricing!$Q$17:$AA$17,AC7)*2</f>
        <v>0</v>
      </c>
      <c r="AH7" s="4">
        <f>COUNTIFS(Pricing!$Q$20:$AA$20,AC7)*2</f>
        <v>0</v>
      </c>
      <c r="AI7" s="4">
        <f>COUNTIFS(Pricing!$Q$23:$AA$23,AC7)*2</f>
        <v>0</v>
      </c>
      <c r="AJ7" s="4">
        <f>COUNTIFS(Pricing!$Q$26:$AA$26,AC7)*2</f>
        <v>0</v>
      </c>
      <c r="AK7" s="4">
        <f>COUNTIFS(Pricing!$Q$29:$AA$29,AC7)*2</f>
        <v>0</v>
      </c>
      <c r="AL7" s="4">
        <f>COUNTIFS(Pricing!$Q$32:$AA$32,AC7)*2</f>
        <v>0</v>
      </c>
      <c r="AM7" s="4">
        <f>COUNTIFS(Pricing!$Q$35:$AA$35,AC7)*2</f>
        <v>0</v>
      </c>
      <c r="AN7" s="4">
        <f>COUNTIFS(Pricing!$Q$38:$AA$38,AC7)*2</f>
        <v>0</v>
      </c>
      <c r="AO7" s="4">
        <f>COUNTIFS(Pricing!$Q$41:$AA$41,AC7)*2</f>
        <v>0</v>
      </c>
      <c r="AP7" s="4">
        <f>COUNTIFS(Pricing!$Q$44:$AA$44,AC7)*2</f>
        <v>0</v>
      </c>
      <c r="AQ7" s="4">
        <f>COUNTIFS(Pricing!$Q$47:$AA$47,AI7)*2</f>
        <v>0</v>
      </c>
      <c r="AR7" s="4">
        <f>COUNTIFS(Pricing!$Q$50:$AA$50,AJ7)*2</f>
        <v>0</v>
      </c>
    </row>
    <row r="8" spans="1:58" x14ac:dyDescent="0.25">
      <c r="B8" t="s">
        <v>222</v>
      </c>
      <c r="C8" s="68">
        <v>20</v>
      </c>
      <c r="E8" t="s">
        <v>223</v>
      </c>
      <c r="F8" s="68">
        <v>200</v>
      </c>
      <c r="G8" t="s">
        <v>224</v>
      </c>
      <c r="K8" s="71" t="s">
        <v>57</v>
      </c>
      <c r="L8" s="72">
        <f t="shared" si="1"/>
        <v>292.03020000000004</v>
      </c>
      <c r="M8" s="72">
        <f t="shared" si="2"/>
        <v>801.38519999999994</v>
      </c>
      <c r="N8" s="72">
        <f t="shared" si="3"/>
        <v>292.03020000000004</v>
      </c>
      <c r="O8" s="72">
        <f t="shared" si="4"/>
        <v>775.10159999999996</v>
      </c>
      <c r="P8" s="72">
        <f t="shared" si="5"/>
        <v>504.50399999999996</v>
      </c>
      <c r="Q8" s="72">
        <f t="shared" si="6"/>
        <v>504.50399999999996</v>
      </c>
      <c r="R8" s="72">
        <f t="shared" si="7"/>
        <v>681.34499999999991</v>
      </c>
      <c r="S8" s="72">
        <f t="shared" si="8"/>
        <v>0</v>
      </c>
      <c r="T8" s="72">
        <f t="shared" si="9"/>
        <v>0</v>
      </c>
      <c r="U8" s="72">
        <f t="shared" si="10"/>
        <v>0</v>
      </c>
      <c r="V8" s="72">
        <f t="shared" si="11"/>
        <v>0</v>
      </c>
      <c r="W8" s="72">
        <f t="shared" si="12"/>
        <v>0</v>
      </c>
      <c r="X8" s="72">
        <f t="shared" si="13"/>
        <v>0</v>
      </c>
      <c r="Y8" s="72">
        <f>$Y$3+($C7*$N$35)+(M35*N35)</f>
        <v>0</v>
      </c>
      <c r="Z8" s="72">
        <f>$Z$3+($C7*$N$36)+(M36*N36)</f>
        <v>0</v>
      </c>
      <c r="AA8" s="68">
        <f t="shared" si="0"/>
        <v>3850.9001999999996</v>
      </c>
      <c r="AC8" s="4" t="s">
        <v>225</v>
      </c>
      <c r="AD8" s="4">
        <f>COUNTIFS(Pricing!$Q$8:$AA$8,AC8)*2</f>
        <v>0</v>
      </c>
      <c r="AE8" s="4">
        <f>COUNTIFS(Pricing!$Q$11:$AA$11,AC8)*2</f>
        <v>0</v>
      </c>
      <c r="AF8" s="4">
        <f>COUNTIFS(Pricing!$Q$14:$AA$14,AC8)*2</f>
        <v>0</v>
      </c>
      <c r="AG8" s="4">
        <f>COUNTIFS(Pricing!$Q$17:$AA$17,AC8)*2</f>
        <v>0</v>
      </c>
      <c r="AH8" s="4">
        <f>COUNTIFS(Pricing!$Q$20:$AA$20,AC8)*2</f>
        <v>0</v>
      </c>
      <c r="AI8" s="4">
        <f>COUNTIFS(Pricing!$Q$23:$AA$23,AC8)*2</f>
        <v>0</v>
      </c>
      <c r="AJ8" s="4">
        <f>COUNTIFS(Pricing!$Q$26:$AA$26,AC8)*2</f>
        <v>0</v>
      </c>
      <c r="AK8" s="4">
        <f>COUNTIFS(Pricing!$Q$29:$AA$29,AC8)*2</f>
        <v>0</v>
      </c>
      <c r="AL8" s="4">
        <f>COUNTIFS(Pricing!$Q$32:$AA$32,AC8)*2</f>
        <v>0</v>
      </c>
      <c r="AM8" s="4">
        <f>COUNTIFS(Pricing!$Q$35:$AA$35,AC8)*2</f>
        <v>0</v>
      </c>
      <c r="AN8" s="4">
        <f>COUNTIFS(Pricing!$Q$38:$AA$38,AC8)*2</f>
        <v>0</v>
      </c>
      <c r="AO8" s="4">
        <f>COUNTIFS(Pricing!$Q$41:$AA$41,AC8)*2</f>
        <v>0</v>
      </c>
      <c r="AP8" s="4">
        <f>COUNTIFS(Pricing!$Q$44:$AA$44,AC8)*2</f>
        <v>0</v>
      </c>
      <c r="AQ8" s="4">
        <f>COUNTIFS(Pricing!$Q$47:$AA$47,AI8)*2</f>
        <v>0</v>
      </c>
      <c r="AR8" s="4">
        <f>COUNTIFS(Pricing!$Q$50:$AA$50,AJ8)*2</f>
        <v>0</v>
      </c>
    </row>
    <row r="9" spans="1:58" x14ac:dyDescent="0.25">
      <c r="B9" t="s">
        <v>226</v>
      </c>
      <c r="C9" s="68">
        <v>35</v>
      </c>
      <c r="E9" t="s">
        <v>227</v>
      </c>
      <c r="F9" s="68">
        <v>75</v>
      </c>
      <c r="AC9" s="4" t="s">
        <v>228</v>
      </c>
      <c r="AD9" s="4">
        <f>COUNTIFS(Pricing!$Q$8:$AA$8,AC9)*2</f>
        <v>0</v>
      </c>
      <c r="AE9" s="4">
        <f>COUNTIFS(Pricing!$Q$11:$AA$11,AC9)*2</f>
        <v>0</v>
      </c>
      <c r="AF9" s="4">
        <f>COUNTIFS(Pricing!$Q$14:$AA$14,AC9)*2</f>
        <v>0</v>
      </c>
      <c r="AG9" s="4">
        <f>COUNTIFS(Pricing!$Q$17:$AA$17,AC9)*2</f>
        <v>0</v>
      </c>
      <c r="AH9" s="4">
        <f>COUNTIFS(Pricing!$Q$20:$AA$20,AC9)*2</f>
        <v>0</v>
      </c>
      <c r="AI9" s="4">
        <f>COUNTIFS(Pricing!$Q$23:$AA$23,AC9)*2</f>
        <v>0</v>
      </c>
      <c r="AJ9" s="4">
        <f>COUNTIFS(Pricing!$Q$26:$AA$26,AC9)*2</f>
        <v>0</v>
      </c>
      <c r="AK9" s="4">
        <f>COUNTIFS(Pricing!$Q$29:$AA$29,AC9)*2</f>
        <v>0</v>
      </c>
      <c r="AL9" s="4">
        <f>COUNTIFS(Pricing!$Q$32:$AA$32,AC9)*2</f>
        <v>0</v>
      </c>
      <c r="AM9" s="4">
        <f>COUNTIFS(Pricing!$Q$35:$AA$35,AC9)*2</f>
        <v>0</v>
      </c>
      <c r="AN9" s="4">
        <f>COUNTIFS(Pricing!$Q$38:$AA$38,AC9)*2</f>
        <v>0</v>
      </c>
      <c r="AO9" s="4">
        <f>COUNTIFS(Pricing!$Q$41:$AA$41,AC9)*2</f>
        <v>0</v>
      </c>
      <c r="AP9" s="4">
        <f>COUNTIFS(Pricing!$Q$44:$AA$44,AC9)*2</f>
        <v>0</v>
      </c>
      <c r="AQ9" s="4">
        <f>COUNTIFS(Pricing!$Q$47:$AA$47,AI9)*2</f>
        <v>0</v>
      </c>
      <c r="AR9" s="4">
        <f>COUNTIFS(Pricing!$Q$50:$AA$50,AJ9)*2</f>
        <v>0</v>
      </c>
    </row>
    <row r="10" spans="1:58" x14ac:dyDescent="0.25">
      <c r="B10" t="s">
        <v>41</v>
      </c>
      <c r="C10" s="171">
        <v>0.25</v>
      </c>
      <c r="E10" t="s">
        <v>229</v>
      </c>
      <c r="F10" s="68">
        <v>100</v>
      </c>
      <c r="G10" t="s">
        <v>224</v>
      </c>
      <c r="AC10" s="4" t="s">
        <v>230</v>
      </c>
      <c r="AD10" s="4">
        <f>COUNTIFS(Pricing!$Q$8:$AA$8,AC10)*2</f>
        <v>0</v>
      </c>
      <c r="AE10" s="4">
        <f>COUNTIFS(Pricing!$Q$11:$AA$11,AC10)*2</f>
        <v>0</v>
      </c>
      <c r="AF10" s="4">
        <f>COUNTIFS(Pricing!$Q$14:$AA$14,AC10)*2</f>
        <v>0</v>
      </c>
      <c r="AG10" s="4">
        <f>COUNTIFS(Pricing!$Q$17:$AA$17,AC10)*2</f>
        <v>0</v>
      </c>
      <c r="AH10" s="4">
        <f>COUNTIFS(Pricing!$Q$20:$AA$20,AC10)*2</f>
        <v>0</v>
      </c>
      <c r="AI10" s="4">
        <f>COUNTIFS(Pricing!$Q$23:$AA$23,AC10)*2</f>
        <v>0</v>
      </c>
      <c r="AJ10" s="4">
        <f>COUNTIFS(Pricing!$Q$26:$AA$26,AC10)*2</f>
        <v>0</v>
      </c>
      <c r="AK10" s="4">
        <f>COUNTIFS(Pricing!$Q$29:$AA$29,AC10)*2</f>
        <v>0</v>
      </c>
      <c r="AL10" s="4">
        <f>COUNTIFS(Pricing!$Q$32:$AA$32,AC10)*2</f>
        <v>0</v>
      </c>
      <c r="AM10" s="4">
        <f>COUNTIFS(Pricing!$Q$35:$AA$35,AC10)*2</f>
        <v>0</v>
      </c>
      <c r="AN10" s="4">
        <f>COUNTIFS(Pricing!$Q$38:$AA$38,AC10)*2</f>
        <v>0</v>
      </c>
      <c r="AO10" s="4">
        <f>COUNTIFS(Pricing!$Q$41:$AA$41,AC10)*2</f>
        <v>0</v>
      </c>
      <c r="AP10" s="4">
        <f>COUNTIFS(Pricing!$Q$44:$AA$44,AC10)*2</f>
        <v>0</v>
      </c>
      <c r="AQ10" s="4">
        <f>COUNTIFS(Pricing!$Q$47:$AA$47,AI10)*2</f>
        <v>0</v>
      </c>
      <c r="AR10" s="4">
        <f>COUNTIFS(Pricing!$Q$50:$AA$50,AJ10)*2</f>
        <v>0</v>
      </c>
    </row>
    <row r="11" spans="1:58" x14ac:dyDescent="0.25">
      <c r="B11" t="s">
        <v>231</v>
      </c>
      <c r="C11" s="68">
        <v>100</v>
      </c>
      <c r="E11" t="s">
        <v>232</v>
      </c>
      <c r="F11" s="68">
        <v>275</v>
      </c>
      <c r="G11" t="s">
        <v>233</v>
      </c>
      <c r="K11" s="836" t="str">
        <f>" Base Price -" &amp; C10 &amp; "% Discount + Bay Posts + Std Shapes + Custom Colours + Installation + Buildout"</f>
        <v xml:space="preserve"> Base Price -0.25% Discount + Bay Posts + Std Shapes + Custom Colours + Installation + Buildout</v>
      </c>
      <c r="L11" s="837"/>
      <c r="M11" s="837"/>
      <c r="N11" s="837"/>
      <c r="O11" s="837"/>
      <c r="P11" s="837"/>
      <c r="Q11" s="837"/>
      <c r="R11" s="837"/>
      <c r="S11" s="837"/>
      <c r="T11" s="837"/>
      <c r="U11" s="837"/>
      <c r="V11" s="837"/>
      <c r="W11" s="837"/>
      <c r="X11" s="837"/>
      <c r="Y11" s="837"/>
      <c r="Z11" s="837"/>
      <c r="AC11" s="4" t="s">
        <v>234</v>
      </c>
      <c r="AD11" s="4">
        <f>COUNTIFS(Pricing!$Q$8:$AA$8,AC11)*2</f>
        <v>0</v>
      </c>
      <c r="AE11" s="4">
        <f>COUNTIFS(Pricing!$Q$11:$AA$11,AC11)*2</f>
        <v>0</v>
      </c>
      <c r="AF11" s="4">
        <f>COUNTIFS(Pricing!$Q$14:$AA$14,AC11)*2</f>
        <v>0</v>
      </c>
      <c r="AG11" s="4">
        <f>COUNTIFS(Pricing!$Q$17:$AA$17,AC11)*2</f>
        <v>0</v>
      </c>
      <c r="AH11" s="4">
        <f>COUNTIFS(Pricing!$Q$20:$AA$20,AC11)*2</f>
        <v>0</v>
      </c>
      <c r="AI11" s="4">
        <f>COUNTIFS(Pricing!$Q$23:$AA$23,AC11)*2</f>
        <v>0</v>
      </c>
      <c r="AJ11" s="4">
        <f>COUNTIFS(Pricing!$Q$26:$AA$26,AC11)*2</f>
        <v>0</v>
      </c>
      <c r="AK11" s="4">
        <f>COUNTIFS(Pricing!$Q$29:$AA$29,AC11)*2</f>
        <v>0</v>
      </c>
      <c r="AL11" s="4">
        <f>COUNTIFS(Pricing!$Q$32:$AA$32,AC11)*2</f>
        <v>0</v>
      </c>
      <c r="AM11" s="4">
        <f>COUNTIFS(Pricing!$Q$35:$AA$35,AC11)*2</f>
        <v>0</v>
      </c>
      <c r="AN11" s="4">
        <f>COUNTIFS(Pricing!$Q$38:$AA$38,AC11)*2</f>
        <v>0</v>
      </c>
      <c r="AO11" s="4">
        <f>COUNTIFS(Pricing!$Q$41:$AA$41,AC11)*2</f>
        <v>0</v>
      </c>
      <c r="AP11" s="4">
        <f>COUNTIFS(Pricing!$Q$44:$AA$44,AC11)*2</f>
        <v>0</v>
      </c>
      <c r="AQ11" s="4">
        <f>COUNTIFS(Pricing!$Q$47:$AA$47,AI11)*2</f>
        <v>0</v>
      </c>
      <c r="AR11" s="4">
        <f>COUNTIFS(Pricing!$Q$50:$AA$50,AJ11)*2</f>
        <v>0</v>
      </c>
    </row>
    <row r="12" spans="1:58" x14ac:dyDescent="0.25">
      <c r="B12" t="s">
        <v>235</v>
      </c>
      <c r="C12" s="171">
        <v>0.25</v>
      </c>
      <c r="E12" t="s">
        <v>236</v>
      </c>
      <c r="F12" s="68">
        <v>20</v>
      </c>
      <c r="G12" t="s">
        <v>209</v>
      </c>
      <c r="K12" s="34"/>
      <c r="L12" s="69" t="s">
        <v>178</v>
      </c>
      <c r="M12" s="69" t="s">
        <v>179</v>
      </c>
      <c r="N12" s="69" t="s">
        <v>180</v>
      </c>
      <c r="O12" s="69" t="s">
        <v>181</v>
      </c>
      <c r="P12" s="69" t="s">
        <v>182</v>
      </c>
      <c r="Q12" s="69" t="s">
        <v>183</v>
      </c>
      <c r="R12" s="69" t="s">
        <v>184</v>
      </c>
      <c r="S12" s="69" t="s">
        <v>185</v>
      </c>
      <c r="T12" s="69" t="s">
        <v>186</v>
      </c>
      <c r="U12" s="69" t="s">
        <v>187</v>
      </c>
      <c r="V12" s="69" t="s">
        <v>188</v>
      </c>
      <c r="W12" s="69" t="s">
        <v>189</v>
      </c>
      <c r="X12" s="69" t="s">
        <v>190</v>
      </c>
      <c r="Y12" s="69" t="s">
        <v>191</v>
      </c>
      <c r="Z12" s="69" t="s">
        <v>192</v>
      </c>
      <c r="AA12" s="69" t="s">
        <v>62</v>
      </c>
      <c r="AB12" s="134" t="s">
        <v>237</v>
      </c>
      <c r="AC12" s="4" t="s">
        <v>238</v>
      </c>
      <c r="AD12" s="4">
        <f>COUNTIFS(Pricing!$Q$8:$AA$8,AC12)*2</f>
        <v>0</v>
      </c>
      <c r="AE12" s="4">
        <f>COUNTIFS(Pricing!$Q$11:$AA$11,AC12)*2</f>
        <v>0</v>
      </c>
      <c r="AF12" s="4">
        <f>COUNTIFS(Pricing!$Q$14:$AA$14,AC12)*2</f>
        <v>0</v>
      </c>
      <c r="AG12" s="4">
        <f>COUNTIFS(Pricing!$Q$17:$AA$17,AC12)*2</f>
        <v>0</v>
      </c>
      <c r="AH12" s="4">
        <f>COUNTIFS(Pricing!$Q$20:$AA$20,AC12)*2</f>
        <v>0</v>
      </c>
      <c r="AI12" s="4">
        <f>COUNTIFS(Pricing!$Q$23:$AA$23,AC12)*2</f>
        <v>0</v>
      </c>
      <c r="AJ12" s="4">
        <f>COUNTIFS(Pricing!$Q$26:$AA$26,AC12)*2</f>
        <v>0</v>
      </c>
      <c r="AK12" s="4">
        <f>COUNTIFS(Pricing!$Q$29:$AA$29,AC12)*2</f>
        <v>0</v>
      </c>
      <c r="AL12" s="4">
        <f>COUNTIFS(Pricing!$Q$32:$AA$32,AC12)*2</f>
        <v>0</v>
      </c>
      <c r="AM12" s="4">
        <f>COUNTIFS(Pricing!$Q$35:$AA$35,AC12)*2</f>
        <v>0</v>
      </c>
      <c r="AN12" s="4">
        <f>COUNTIFS(Pricing!$Q$38:$AA$38,AC12)*2</f>
        <v>0</v>
      </c>
      <c r="AO12" s="4">
        <f>COUNTIFS(Pricing!$Q$41:$AA$41,AC12)*2</f>
        <v>0</v>
      </c>
      <c r="AP12" s="4">
        <f>COUNTIFS(Pricing!$Q$44:$AA$44,AC12)*2</f>
        <v>0</v>
      </c>
      <c r="AQ12" s="4">
        <f>COUNTIFS(Pricing!$Q$47:$AA$47,AI12)*2</f>
        <v>0</v>
      </c>
      <c r="AR12" s="4">
        <f>COUNTIFS(Pricing!$Q$50:$AA$50,AJ12)*2</f>
        <v>0</v>
      </c>
      <c r="AT12" t="s">
        <v>179</v>
      </c>
    </row>
    <row r="13" spans="1:58" x14ac:dyDescent="0.25">
      <c r="A13" t="s">
        <v>212</v>
      </c>
      <c r="B13" t="s">
        <v>239</v>
      </c>
      <c r="C13" s="68">
        <v>35</v>
      </c>
      <c r="E13" t="s">
        <v>240</v>
      </c>
      <c r="F13" s="68">
        <v>20</v>
      </c>
      <c r="G13" t="s">
        <v>209</v>
      </c>
      <c r="K13" s="34" t="s">
        <v>43</v>
      </c>
      <c r="L13" s="72">
        <f>((C2*N22)-((C2*N22)*$C$10))+($M$22*$N$22)+AA22+V22</f>
        <v>137.0754</v>
      </c>
      <c r="M13" s="72">
        <f>((C2*N23)-((C2*N23)*$C$10))+($M$23*$N$23)+AA23+V23</f>
        <v>376.16039999999998</v>
      </c>
      <c r="N13" s="72">
        <f>((C2*N24)-((C2*N24)*$C$10))+($M$24*$N$24)+AA24+V24</f>
        <v>137.0754</v>
      </c>
      <c r="O13" s="72">
        <f>((C2*N25)-((C2*N25)*$C$10))+($M$25*$N$25)+AA25+V25</f>
        <v>363.82319999999999</v>
      </c>
      <c r="P13" s="72">
        <f>((C2*N26)-((C2*N26)*$C$10))+($M$26*$N$26)+AA26+V26</f>
        <v>236.80799999999999</v>
      </c>
      <c r="Q13" s="72">
        <f>((C2*N27)-((C2*N27)*$C$10))+($M$27*$N$27)+AA27+V27</f>
        <v>236.80799999999999</v>
      </c>
      <c r="R13" s="72">
        <f>((C2*N28)-((C2*N28)*$C$10))+($M$28*$N$28)+AA28+V28</f>
        <v>319.81499999999994</v>
      </c>
      <c r="S13" s="72">
        <f>((C2*N29)-((C2*N29)*$C$10))+($M$29*$N$29)+AA29+V29</f>
        <v>0</v>
      </c>
      <c r="T13" s="72">
        <f>((C2*N30)-((C2*N30)*$C$10))+($M$30*$N$30)+AA30+V30</f>
        <v>0</v>
      </c>
      <c r="U13" s="72">
        <f>((C2*N31)-((C2*N31)*$C$10))+($M$31*$N$31)+AA31+V31</f>
        <v>0</v>
      </c>
      <c r="V13" s="72">
        <f>((C2*N32)-((C2*N32)*$C$10))+($M$32*$N$32)+AA32+V32</f>
        <v>0</v>
      </c>
      <c r="W13" s="72">
        <f>((C2*N33)-((C2*N33)*$C$10))+($M$33*$N$33)+AA33+V33</f>
        <v>0</v>
      </c>
      <c r="X13" s="72">
        <f>((C2*N34)-((C2*N34)*$C$10))+($M$34*$N$34)+AA34+V34</f>
        <v>0</v>
      </c>
      <c r="Y13" s="72">
        <f>((C2*N35)-((C2*N35)*$C$10))+($M$35*$N$35)+AA35+V35</f>
        <v>0</v>
      </c>
      <c r="Z13" s="72">
        <f>((C2*N36)-((C2*N36)*$C$10))+($M$36*$N$36)+AA36+V36</f>
        <v>0</v>
      </c>
      <c r="AA13" s="68">
        <f>SUM(L13:Z13)</f>
        <v>1807.5654</v>
      </c>
      <c r="AB13" s="68">
        <f>AA13*(1-5%)</f>
        <v>1717.1871299999998</v>
      </c>
      <c r="AC13" s="4" t="s">
        <v>241</v>
      </c>
      <c r="AD13" s="4">
        <f>COUNTIFS(Pricing!$Q$8:$AA$8,AC13)*2</f>
        <v>0</v>
      </c>
      <c r="AE13" s="4">
        <f>COUNTIFS(Pricing!$Q$11:$AA$11,AC13)*2</f>
        <v>0</v>
      </c>
      <c r="AF13" s="4">
        <f>COUNTIFS(Pricing!$Q$14:$AA$14,AC13)*2</f>
        <v>0</v>
      </c>
      <c r="AG13" s="4">
        <f>COUNTIFS(Pricing!$Q$17:$AA$17,AC13)*2</f>
        <v>0</v>
      </c>
      <c r="AH13" s="4">
        <f>COUNTIFS(Pricing!$Q$20:$AA$20,AC13)*2</f>
        <v>0</v>
      </c>
      <c r="AI13" s="4">
        <f>COUNTIFS(Pricing!$Q$23:$AA$23,AC13)*2</f>
        <v>0</v>
      </c>
      <c r="AJ13" s="4">
        <f>COUNTIFS(Pricing!$Q$26:$AA$26,AC13)*2</f>
        <v>0</v>
      </c>
      <c r="AK13" s="4">
        <f>COUNTIFS(Pricing!$Q$29:$AA$29,AC13)*2</f>
        <v>0</v>
      </c>
      <c r="AL13" s="4">
        <f>COUNTIFS(Pricing!$Q$32:$AA$32,AC13)*2</f>
        <v>0</v>
      </c>
      <c r="AM13" s="4">
        <f>COUNTIFS(Pricing!$Q$35:$AA$35,AC13)*2</f>
        <v>0</v>
      </c>
      <c r="AN13" s="4">
        <f>COUNTIFS(Pricing!$Q$38:$AA$38,AC13)*2</f>
        <v>0</v>
      </c>
      <c r="AO13" s="4">
        <f>COUNTIFS(Pricing!$Q$41:$AA$41,AC13)*2</f>
        <v>0</v>
      </c>
      <c r="AP13" s="4">
        <f>COUNTIFS(Pricing!$Q$44:$AA$44,AC13)*2</f>
        <v>0</v>
      </c>
      <c r="AQ13" s="4">
        <f>COUNTIFS(Pricing!$Q$47:$AA$47,AI13)*2</f>
        <v>0</v>
      </c>
      <c r="AR13" s="4">
        <f>COUNTIFS(Pricing!$Q$50:$AA$50,AJ13)*2</f>
        <v>0</v>
      </c>
    </row>
    <row r="14" spans="1:58" x14ac:dyDescent="0.25">
      <c r="B14" t="s">
        <v>242</v>
      </c>
      <c r="C14" s="171">
        <v>0.1</v>
      </c>
      <c r="E14" t="s">
        <v>243</v>
      </c>
      <c r="F14" s="68">
        <v>12.5</v>
      </c>
      <c r="G14" t="s">
        <v>244</v>
      </c>
      <c r="K14" s="34" t="s">
        <v>45</v>
      </c>
      <c r="L14" s="72">
        <f>$L$13+(C3*$N$22)</f>
        <v>165.55</v>
      </c>
      <c r="M14" s="72">
        <f>$M$13+(C3*$N$23)</f>
        <v>454.29999999999995</v>
      </c>
      <c r="N14" s="72">
        <f>$N$13+(C3*$N$24)</f>
        <v>165.55</v>
      </c>
      <c r="O14" s="72">
        <f>$O$13+(C3*$N$25)</f>
        <v>439.4</v>
      </c>
      <c r="P14" s="72">
        <f>$P$13+(C3*$N$26)</f>
        <v>286</v>
      </c>
      <c r="Q14" s="72">
        <f>$Q$13+(C3*$N$27)</f>
        <v>286</v>
      </c>
      <c r="R14" s="72">
        <f>$R$13+(C3*$N$28)</f>
        <v>386.24999999999994</v>
      </c>
      <c r="S14" s="72">
        <f>$S$13+(C3*$N$29)</f>
        <v>0</v>
      </c>
      <c r="T14" s="72">
        <f>$T$13+(C3*$N$30)</f>
        <v>0</v>
      </c>
      <c r="U14" s="72">
        <f>$U$13+(C3*$N$31)</f>
        <v>0</v>
      </c>
      <c r="V14" s="72">
        <f>$V$13+(C3*$N$32)</f>
        <v>0</v>
      </c>
      <c r="W14" s="72">
        <f>$W$13+(C3*$N$33)</f>
        <v>0</v>
      </c>
      <c r="X14" s="72">
        <f>$X$13+(C3*$N$34)</f>
        <v>0</v>
      </c>
      <c r="Y14" s="72">
        <f>$Y$13+(C3*$N$35)</f>
        <v>0</v>
      </c>
      <c r="Z14" s="72">
        <f>$Z$13+(C3*$N$36)</f>
        <v>0</v>
      </c>
      <c r="AA14" s="68">
        <f t="shared" ref="AA14:AA18" si="15">SUM(L14:Z14)</f>
        <v>2183.0499999999997</v>
      </c>
      <c r="AC14" s="4" t="s">
        <v>245</v>
      </c>
      <c r="AD14" s="4">
        <f>COUNTIFS(Pricing!$Q$8:$AA$8,AC14)*2</f>
        <v>0</v>
      </c>
      <c r="AE14" s="4">
        <f>COUNTIFS(Pricing!$Q$11:$AA$11,AC14)*2</f>
        <v>0</v>
      </c>
      <c r="AF14" s="4">
        <f>COUNTIFS(Pricing!$Q$14:$AA$14,AC14)*2</f>
        <v>0</v>
      </c>
      <c r="AG14" s="4">
        <f>COUNTIFS(Pricing!$Q$17:$AA$17,AC14)*2</f>
        <v>0</v>
      </c>
      <c r="AH14" s="4">
        <f>COUNTIFS(Pricing!$Q$20:$AA$20,AC14)*2</f>
        <v>0</v>
      </c>
      <c r="AI14" s="4">
        <f>COUNTIFS(Pricing!$Q$23:$AA$23,AC14)*2</f>
        <v>0</v>
      </c>
      <c r="AJ14" s="4">
        <f>COUNTIFS(Pricing!$Q$26:$AA$26,AC14)*2</f>
        <v>0</v>
      </c>
      <c r="AK14" s="4">
        <f>COUNTIFS(Pricing!$Q$29:$AA$29,AC14)*2</f>
        <v>0</v>
      </c>
      <c r="AL14" s="4">
        <f>COUNTIFS(Pricing!$Q$32:$AA$32,AC14)*2</f>
        <v>0</v>
      </c>
      <c r="AM14" s="4">
        <f>COUNTIFS(Pricing!$Q$35:$AA$35,AC14)*2</f>
        <v>0</v>
      </c>
      <c r="AN14" s="4">
        <f>COUNTIFS(Pricing!$Q$38:$AA$38,AC14)*2</f>
        <v>0</v>
      </c>
      <c r="AO14" s="4">
        <f>COUNTIFS(Pricing!$Q$41:$AA$41,AC14)*2</f>
        <v>0</v>
      </c>
      <c r="AP14" s="4">
        <f>COUNTIFS(Pricing!$Q$44:$AA$44,AC14)*2</f>
        <v>0</v>
      </c>
      <c r="AQ14" s="4">
        <f>COUNTIFS(Pricing!$Q$47:$AA$47,AI14)*2</f>
        <v>0</v>
      </c>
      <c r="AR14" s="4">
        <f>COUNTIFS(Pricing!$Q$50:$AA$50,AJ14)*2</f>
        <v>0</v>
      </c>
      <c r="AT14" t="s">
        <v>180</v>
      </c>
    </row>
    <row r="15" spans="1:58" x14ac:dyDescent="0.25">
      <c r="B15" t="s">
        <v>246</v>
      </c>
      <c r="C15" s="68">
        <v>100</v>
      </c>
      <c r="E15" t="s">
        <v>247</v>
      </c>
      <c r="F15" s="68">
        <v>5</v>
      </c>
      <c r="K15" s="34" t="s">
        <v>48</v>
      </c>
      <c r="L15" s="72">
        <f>$L$13+(C4*$N$22)</f>
        <v>178.79400000000001</v>
      </c>
      <c r="M15" s="72">
        <f>$M$13+(C4*$N$23)</f>
        <v>490.64400000000001</v>
      </c>
      <c r="N15" s="72">
        <f>$N$13+(C4*$N$24)</f>
        <v>178.79400000000001</v>
      </c>
      <c r="O15" s="72">
        <f>$O$13+(C4*$N$25)</f>
        <v>474.55200000000002</v>
      </c>
      <c r="P15" s="72">
        <f>$P$13+(C4*$N$26)</f>
        <v>308.88</v>
      </c>
      <c r="Q15" s="72">
        <f>$Q$13+(C4*$N$27)</f>
        <v>308.88</v>
      </c>
      <c r="R15" s="72">
        <f>$R$13+(C4*$N$28)</f>
        <v>417.14999999999992</v>
      </c>
      <c r="S15" s="72">
        <f>$S$13+(C4*$N$29)</f>
        <v>0</v>
      </c>
      <c r="T15" s="72">
        <f>$T$13+(C4*$N$30)</f>
        <v>0</v>
      </c>
      <c r="U15" s="72">
        <f>$U$13+(C4*$N$31)</f>
        <v>0</v>
      </c>
      <c r="V15" s="72">
        <f>$V$13+(C4*$N$32)</f>
        <v>0</v>
      </c>
      <c r="W15" s="72">
        <f>$W$13+(C4*$N$33)</f>
        <v>0</v>
      </c>
      <c r="X15" s="72">
        <f>$X$13+(C4*$N$34)</f>
        <v>0</v>
      </c>
      <c r="Y15" s="72">
        <f>$Y$13+(C4*$N$35)</f>
        <v>0</v>
      </c>
      <c r="Z15" s="72">
        <f>$Z$13+(C4*$N$36)</f>
        <v>0</v>
      </c>
      <c r="AA15" s="68">
        <f t="shared" si="15"/>
        <v>2357.6940000000004</v>
      </c>
      <c r="AC15" s="4" t="s">
        <v>248</v>
      </c>
      <c r="AD15" s="4">
        <f>COUNTIFS(Pricing!$Q$8:$AA$8,AC15)*2</f>
        <v>0</v>
      </c>
      <c r="AE15" s="4">
        <f>COUNTIFS(Pricing!$Q$11:$AA$11,AC15)*2</f>
        <v>0</v>
      </c>
      <c r="AF15" s="4">
        <f>COUNTIFS(Pricing!$Q$14:$AA$14,AC15)*2</f>
        <v>0</v>
      </c>
      <c r="AG15" s="4">
        <f>COUNTIFS(Pricing!$Q$17:$AA$17,AC15)*2</f>
        <v>0</v>
      </c>
      <c r="AH15" s="4">
        <f>COUNTIFS(Pricing!$Q$20:$AA$20,AC15)*2</f>
        <v>0</v>
      </c>
      <c r="AI15" s="4">
        <f>COUNTIFS(Pricing!$Q$23:$AA$23,AC15)*2</f>
        <v>0</v>
      </c>
      <c r="AJ15" s="4">
        <f>COUNTIFS(Pricing!$Q$26:$AA$26,AC15)*2</f>
        <v>0</v>
      </c>
      <c r="AK15" s="4">
        <f>COUNTIFS(Pricing!$Q$29:$AA$29,AC15)*2</f>
        <v>0</v>
      </c>
      <c r="AL15" s="4">
        <f>COUNTIFS(Pricing!$Q$32:$AA$32,AC15)*2</f>
        <v>0</v>
      </c>
      <c r="AM15" s="4">
        <f>COUNTIFS(Pricing!$Q$35:$AA$35,AC15)*2</f>
        <v>0</v>
      </c>
      <c r="AN15" s="4">
        <f>COUNTIFS(Pricing!$Q$38:$AA$38,AC15)*2</f>
        <v>0</v>
      </c>
      <c r="AO15" s="4">
        <f>COUNTIFS(Pricing!$Q$41:$AA$41,AC15)*2</f>
        <v>0</v>
      </c>
      <c r="AP15" s="4">
        <f>COUNTIFS(Pricing!$Q$44:$AA$44,AC15)*2</f>
        <v>0</v>
      </c>
      <c r="AQ15" s="4">
        <f>COUNTIFS(Pricing!$Q$47:$AA$47,AI15)*2</f>
        <v>0</v>
      </c>
      <c r="AR15" s="4">
        <f>COUNTIFS(Pricing!$Q$50:$AA$50,AJ15)*2</f>
        <v>0</v>
      </c>
    </row>
    <row r="16" spans="1:58" x14ac:dyDescent="0.25">
      <c r="A16" t="s">
        <v>249</v>
      </c>
      <c r="B16" t="s">
        <v>250</v>
      </c>
      <c r="C16" s="68">
        <v>330</v>
      </c>
      <c r="E16" t="s">
        <v>251</v>
      </c>
      <c r="F16" s="68">
        <v>5</v>
      </c>
      <c r="K16" s="34" t="s">
        <v>52</v>
      </c>
      <c r="L16" s="72">
        <f>$L$13+(C5*$N$22)+V22+W22+Z22</f>
        <v>298.392</v>
      </c>
      <c r="M16" s="72">
        <f>$M$13+(C5*$N$23)+V23+W23</f>
        <v>654.19200000000001</v>
      </c>
      <c r="N16" s="72">
        <f>$N$13+(C5*$N$24)+V24+W24</f>
        <v>238.392</v>
      </c>
      <c r="O16" s="72">
        <f>$O$13+(C5*$N$25)+V25+W25</f>
        <v>632.73599999999999</v>
      </c>
      <c r="P16" s="72">
        <f>$P$13+(C5*$N$26)+V26+W26</f>
        <v>411.84</v>
      </c>
      <c r="Q16" s="72">
        <f>$Q$13+(C5*$N$27)+V27+W27</f>
        <v>411.84</v>
      </c>
      <c r="R16" s="72">
        <f>$R$13+(C5*$N$28)+V28+W28</f>
        <v>556.19999999999993</v>
      </c>
      <c r="S16" s="72">
        <f>$S$13+(C5*$N$29)+V29+W29</f>
        <v>0</v>
      </c>
      <c r="T16" s="72">
        <f>$T$13+(C5*$N$30)+V30+W30</f>
        <v>0</v>
      </c>
      <c r="U16" s="72">
        <f>$U$13+(C5*$N$31)+V31+W31</f>
        <v>0</v>
      </c>
      <c r="V16" s="72">
        <f>$V$13+(C5*$N$32)+V32+W32</f>
        <v>0</v>
      </c>
      <c r="W16" s="72">
        <f>$W$13+(C5*$N$33)+V33+W33</f>
        <v>0</v>
      </c>
      <c r="X16" s="72">
        <f>$X$13+(C5*$N$34)+V34+W34</f>
        <v>0</v>
      </c>
      <c r="Y16" s="72">
        <f>$Y$13+(C5*$N$35)+V35+W35</f>
        <v>0</v>
      </c>
      <c r="Z16" s="72">
        <f>$Z$13+(C5*$N$36)+V36+W36</f>
        <v>0</v>
      </c>
      <c r="AA16" s="68">
        <f t="shared" si="15"/>
        <v>3203.5920000000001</v>
      </c>
      <c r="AC16" s="4" t="s">
        <v>252</v>
      </c>
      <c r="AD16" s="4">
        <f>COUNTIFS(Pricing!$Q$8:$AA$8,AC16)*2</f>
        <v>0</v>
      </c>
      <c r="AE16" s="4">
        <f>COUNTIFS(Pricing!$Q$11:$AA$11,AC16)*2</f>
        <v>0</v>
      </c>
      <c r="AF16" s="4">
        <f>COUNTIFS(Pricing!$Q$14:$AA$14,AC16)*2</f>
        <v>0</v>
      </c>
      <c r="AG16" s="4">
        <f>COUNTIFS(Pricing!$Q$17:$AA$17,AC16)*2</f>
        <v>0</v>
      </c>
      <c r="AH16" s="4">
        <f>COUNTIFS(Pricing!$Q$20:$AA$20,AC16)*2</f>
        <v>0</v>
      </c>
      <c r="AI16" s="4">
        <f>COUNTIFS(Pricing!$Q$23:$AA$23,AC16)*2</f>
        <v>0</v>
      </c>
      <c r="AJ16" s="4">
        <f>COUNTIFS(Pricing!$Q$26:$AA$26,AC16)*2</f>
        <v>0</v>
      </c>
      <c r="AK16" s="4">
        <f>COUNTIFS(Pricing!$Q$29:$AA$29,AC16)*2</f>
        <v>0</v>
      </c>
      <c r="AL16" s="4">
        <f>COUNTIFS(Pricing!$Q$32:$AA$32,AC16)*2</f>
        <v>0</v>
      </c>
      <c r="AM16" s="4">
        <f>COUNTIFS(Pricing!$Q$35:$AA$35,AC16)*2</f>
        <v>0</v>
      </c>
      <c r="AN16" s="4">
        <f>COUNTIFS(Pricing!$Q$38:$AA$38,AC16)*2</f>
        <v>0</v>
      </c>
      <c r="AO16" s="4">
        <f>COUNTIFS(Pricing!$Q$41:$AA$41,AC16)*2</f>
        <v>0</v>
      </c>
      <c r="AP16" s="4">
        <f>COUNTIFS(Pricing!$Q$44:$AA$44,AC16)*2</f>
        <v>0</v>
      </c>
      <c r="AQ16" s="4">
        <f>COUNTIFS(Pricing!$Q$47:$AA$47,AI16)*2</f>
        <v>0</v>
      </c>
      <c r="AR16" s="4">
        <f>COUNTIFS(Pricing!$Q$50:$AA$50,AJ16)*2</f>
        <v>0</v>
      </c>
      <c r="AT16" t="s">
        <v>181</v>
      </c>
    </row>
    <row r="17" spans="1:46" x14ac:dyDescent="0.25">
      <c r="A17" t="s">
        <v>212</v>
      </c>
      <c r="B17" t="s">
        <v>253</v>
      </c>
      <c r="C17" s="68">
        <v>115</v>
      </c>
      <c r="E17" t="s">
        <v>254</v>
      </c>
      <c r="F17" s="68">
        <v>20</v>
      </c>
      <c r="K17" s="34" t="s">
        <v>54</v>
      </c>
      <c r="L17" s="72">
        <f>$L$13+(C6*$N$22)</f>
        <v>211.904</v>
      </c>
      <c r="M17" s="72">
        <f>$M$13+(C6*$N$23)</f>
        <v>581.50399999999991</v>
      </c>
      <c r="N17" s="72">
        <f>$N$13+(C6*$N$24)</f>
        <v>211.904</v>
      </c>
      <c r="O17" s="72">
        <f>$O$13+(C6*$N$25)</f>
        <v>562.43200000000002</v>
      </c>
      <c r="P17" s="72">
        <f>$P$13+(C6*$N$26)</f>
        <v>366.08</v>
      </c>
      <c r="Q17" s="72">
        <f>$Q$13+(C6*$N$27)</f>
        <v>366.08</v>
      </c>
      <c r="R17" s="72">
        <f>$R$13+(C6*$N$28)</f>
        <v>494.39999999999992</v>
      </c>
      <c r="S17" s="72">
        <f>$S$13+(C6*$N$29)</f>
        <v>0</v>
      </c>
      <c r="T17" s="72">
        <f>$T$13+(C6*$N$30)</f>
        <v>0</v>
      </c>
      <c r="U17" s="72">
        <f>$U$13+(C6*$N$31)</f>
        <v>0</v>
      </c>
      <c r="V17" s="72">
        <f>$V$13+(C6*$N$32)</f>
        <v>0</v>
      </c>
      <c r="W17" s="72">
        <f>$W$13+(C6*$N$33)</f>
        <v>0</v>
      </c>
      <c r="X17" s="72">
        <f>$X$13+(C6*$N$34)</f>
        <v>0</v>
      </c>
      <c r="Y17" s="72">
        <f>$Y$13+(C6*$N$35)</f>
        <v>0</v>
      </c>
      <c r="Z17" s="72">
        <f>$Z$13+(C6*$N$36)</f>
        <v>0</v>
      </c>
      <c r="AA17" s="68">
        <f t="shared" si="15"/>
        <v>2794.3040000000001</v>
      </c>
      <c r="AC17" s="4" t="s">
        <v>255</v>
      </c>
      <c r="AD17" s="4">
        <f>COUNTIFS(Pricing!$Q$8:$AA$8,AC17)*2</f>
        <v>0</v>
      </c>
      <c r="AE17" s="4">
        <f>COUNTIFS(Pricing!$Q$11:$AA$11,AC17)*2</f>
        <v>0</v>
      </c>
      <c r="AF17" s="4">
        <f>COUNTIFS(Pricing!$Q$14:$AA$14,AC17)*2</f>
        <v>0</v>
      </c>
      <c r="AG17" s="4">
        <f>COUNTIFS(Pricing!$Q$17:$AA$17,AC17)*2</f>
        <v>0</v>
      </c>
      <c r="AH17" s="4">
        <f>COUNTIFS(Pricing!$Q$20:$AA$20,AC17)*2</f>
        <v>0</v>
      </c>
      <c r="AI17" s="4">
        <f>COUNTIFS(Pricing!$Q$23:$AA$23,AC17)*2</f>
        <v>0</v>
      </c>
      <c r="AJ17" s="4">
        <f>COUNTIFS(Pricing!$Q$26:$AA$26,AC17)*2</f>
        <v>0</v>
      </c>
      <c r="AK17" s="4">
        <f>COUNTIFS(Pricing!$Q$29:$AA$29,AC17)*2</f>
        <v>0</v>
      </c>
      <c r="AL17" s="4">
        <f>COUNTIFS(Pricing!$Q$32:$AA$32,AC17)*2</f>
        <v>0</v>
      </c>
      <c r="AM17" s="4">
        <f>COUNTIFS(Pricing!$Q$35:$AA$35,AC17)*2</f>
        <v>0</v>
      </c>
      <c r="AN17" s="4">
        <f>COUNTIFS(Pricing!$Q$38:$AA$38,AC17)*2</f>
        <v>0</v>
      </c>
      <c r="AO17" s="4">
        <f>COUNTIFS(Pricing!$Q$41:$AA$41,AC17)*2</f>
        <v>0</v>
      </c>
      <c r="AP17" s="4">
        <f>COUNTIFS(Pricing!$Q$44:$AA$44,AC17)*2</f>
        <v>0</v>
      </c>
      <c r="AQ17" s="4">
        <f>COUNTIFS(Pricing!$Q$47:$AA$47,AI17)*2</f>
        <v>0</v>
      </c>
      <c r="AR17" s="4">
        <f>COUNTIFS(Pricing!$Q$50:$AA$50,AJ17)*2</f>
        <v>0</v>
      </c>
    </row>
    <row r="18" spans="1:46" x14ac:dyDescent="0.25">
      <c r="B18" t="s">
        <v>256</v>
      </c>
      <c r="C18" s="68">
        <v>400</v>
      </c>
      <c r="F18" s="68"/>
      <c r="K18" s="34" t="s">
        <v>57</v>
      </c>
      <c r="L18" s="72">
        <f>$L$13+(C7*$N$22)+V22+W22</f>
        <v>246.33840000000001</v>
      </c>
      <c r="M18" s="72">
        <f>$M$13+(C7*$N$23)+V23+W23</f>
        <v>675.99839999999995</v>
      </c>
      <c r="N18" s="72">
        <f>$N$13+(C7*$N$24)+V24+W24</f>
        <v>246.33840000000001</v>
      </c>
      <c r="O18" s="72">
        <f>$O$13+(C7*$N$25)+V25+W25</f>
        <v>653.82719999999995</v>
      </c>
      <c r="P18" s="72">
        <f>$P$13+(C7*$N$26)+V26+W26</f>
        <v>425.56799999999998</v>
      </c>
      <c r="Q18" s="72">
        <f>$Q$13+(C7*$N$27)+V27+W27</f>
        <v>425.56799999999998</v>
      </c>
      <c r="R18" s="72">
        <f>$R$13+(C7*$N$28)+V28+W28</f>
        <v>574.7399999999999</v>
      </c>
      <c r="S18" s="72">
        <f>$S$13+(C7*$N$29)+V29+W29</f>
        <v>0</v>
      </c>
      <c r="T18" s="72">
        <f>$T$13+(C7*$N$30)+V30+W30</f>
        <v>0</v>
      </c>
      <c r="U18" s="72">
        <f>$U$13+(C7*$N$31)+V31+W31</f>
        <v>0</v>
      </c>
      <c r="V18" s="72">
        <f>$V$13+(C7*$N$32)+V32+W32</f>
        <v>0</v>
      </c>
      <c r="W18" s="72">
        <f>$W$13+(C7*$N$33)+V33+W33</f>
        <v>0</v>
      </c>
      <c r="X18" s="72">
        <f>$X$13+(C7*$N$34)+V34+W34</f>
        <v>0</v>
      </c>
      <c r="Y18" s="72">
        <f>$Y$13+(C7*$N$35)+V35+W35</f>
        <v>0</v>
      </c>
      <c r="Z18" s="72">
        <f>$Z$13+(C7*$N$36)+V36+W36</f>
        <v>0</v>
      </c>
      <c r="AA18" s="68">
        <f t="shared" si="15"/>
        <v>3248.3783999999996</v>
      </c>
      <c r="AC18" s="4" t="s">
        <v>257</v>
      </c>
      <c r="AD18" s="4">
        <f>COUNTIFS(Pricing!$Q$8:$AA$8,AC18)*2</f>
        <v>0</v>
      </c>
      <c r="AE18" s="4">
        <f>COUNTIFS(Pricing!$Q$11:$AA$11,AC18)*2</f>
        <v>0</v>
      </c>
      <c r="AF18" s="4">
        <f>COUNTIFS(Pricing!$Q$14:$AA$14,AC18)*2</f>
        <v>0</v>
      </c>
      <c r="AG18" s="4">
        <f>COUNTIFS(Pricing!$Q$17:$AA$17,AC18)*2</f>
        <v>0</v>
      </c>
      <c r="AH18" s="4">
        <f>COUNTIFS(Pricing!$Q$20:$AA$20,AC18)*2</f>
        <v>0</v>
      </c>
      <c r="AI18" s="4">
        <f>COUNTIFS(Pricing!$Q$23:$AA$23,AC18)*2</f>
        <v>0</v>
      </c>
      <c r="AJ18" s="4">
        <f>COUNTIFS(Pricing!$Q$26:$AA$26,AC18)*2</f>
        <v>0</v>
      </c>
      <c r="AK18" s="4">
        <f>COUNTIFS(Pricing!$Q$29:$AA$29,AC18)*2</f>
        <v>0</v>
      </c>
      <c r="AL18" s="4">
        <f>COUNTIFS(Pricing!$Q$32:$AA$32,AC18)*2</f>
        <v>0</v>
      </c>
      <c r="AM18" s="4">
        <f>COUNTIFS(Pricing!$Q$35:$AA$35,AC18)*2</f>
        <v>0</v>
      </c>
      <c r="AN18" s="4">
        <f>COUNTIFS(Pricing!$Q$38:$AA$38,AC18)*2</f>
        <v>0</v>
      </c>
      <c r="AO18" s="4">
        <f>COUNTIFS(Pricing!$Q$41:$AA$41,AC18)*2</f>
        <v>0</v>
      </c>
      <c r="AP18" s="4">
        <f>COUNTIFS(Pricing!$Q$44:$AA$44,AC18)*2</f>
        <v>0</v>
      </c>
      <c r="AQ18" s="4">
        <f>COUNTIFS(Pricing!$Q$47:$AA$47,AI18)*2</f>
        <v>0</v>
      </c>
      <c r="AR18" s="4">
        <f>COUNTIFS(Pricing!$Q$50:$AA$50,AJ18)*2</f>
        <v>0</v>
      </c>
      <c r="AT18" t="s">
        <v>182</v>
      </c>
    </row>
    <row r="19" spans="1:46" x14ac:dyDescent="0.25">
      <c r="A19" t="s">
        <v>258</v>
      </c>
      <c r="B19" t="s">
        <v>259</v>
      </c>
      <c r="C19" s="68">
        <v>60</v>
      </c>
      <c r="Z19" s="72"/>
      <c r="AC19" s="73" t="s">
        <v>62</v>
      </c>
      <c r="AD19" s="73">
        <f t="shared" ref="AD19:AR19" si="16">SUM(AD2:AD18)</f>
        <v>1</v>
      </c>
      <c r="AE19" s="73">
        <f t="shared" si="16"/>
        <v>4</v>
      </c>
      <c r="AF19" s="73">
        <f t="shared" si="16"/>
        <v>1</v>
      </c>
      <c r="AG19" s="73">
        <f t="shared" si="16"/>
        <v>4</v>
      </c>
      <c r="AH19" s="73">
        <f t="shared" si="16"/>
        <v>4</v>
      </c>
      <c r="AI19" s="73">
        <f t="shared" si="16"/>
        <v>4</v>
      </c>
      <c r="AJ19" s="73">
        <f t="shared" si="16"/>
        <v>4</v>
      </c>
      <c r="AK19" s="73">
        <f t="shared" si="16"/>
        <v>0</v>
      </c>
      <c r="AL19" s="73">
        <f t="shared" si="16"/>
        <v>0</v>
      </c>
      <c r="AM19" s="73">
        <f t="shared" si="16"/>
        <v>0</v>
      </c>
      <c r="AN19" s="73">
        <f t="shared" si="16"/>
        <v>0</v>
      </c>
      <c r="AO19" s="73">
        <f t="shared" si="16"/>
        <v>0</v>
      </c>
      <c r="AP19" s="73">
        <f t="shared" si="16"/>
        <v>0</v>
      </c>
      <c r="AQ19" s="73">
        <f t="shared" si="16"/>
        <v>0</v>
      </c>
      <c r="AR19" s="73">
        <f t="shared" si="16"/>
        <v>0</v>
      </c>
    </row>
    <row r="20" spans="1:46" x14ac:dyDescent="0.25">
      <c r="K20" s="834" t="s">
        <v>260</v>
      </c>
      <c r="L20" s="834"/>
      <c r="M20" s="834"/>
      <c r="N20" s="834"/>
      <c r="O20" s="834"/>
      <c r="P20" s="834"/>
      <c r="Q20" s="834"/>
      <c r="R20" s="834"/>
      <c r="S20" s="834"/>
      <c r="T20" s="834"/>
      <c r="U20" s="834"/>
      <c r="V20" s="834"/>
      <c r="W20" s="834"/>
      <c r="X20" s="834"/>
      <c r="Y20" s="834"/>
      <c r="Z20" s="834"/>
      <c r="AA20" s="90"/>
      <c r="AB20" s="834" t="s">
        <v>261</v>
      </c>
      <c r="AC20" s="834"/>
      <c r="AD20" s="834"/>
      <c r="AE20" s="834"/>
      <c r="AF20" s="834"/>
      <c r="AT20" t="s">
        <v>183</v>
      </c>
    </row>
    <row r="21" spans="1:46" x14ac:dyDescent="0.25">
      <c r="B21" s="170" t="s">
        <v>262</v>
      </c>
      <c r="L21" s="75" t="s">
        <v>263</v>
      </c>
      <c r="M21" s="4" t="s">
        <v>264</v>
      </c>
      <c r="N21" s="4" t="s">
        <v>13</v>
      </c>
      <c r="O21" s="4" t="s">
        <v>226</v>
      </c>
      <c r="P21" s="4" t="s">
        <v>265</v>
      </c>
      <c r="Q21" s="4" t="s">
        <v>266</v>
      </c>
      <c r="R21" s="4" t="s">
        <v>208</v>
      </c>
      <c r="S21" s="76" t="s">
        <v>239</v>
      </c>
      <c r="T21" s="76" t="s">
        <v>267</v>
      </c>
      <c r="U21" s="4" t="s">
        <v>268</v>
      </c>
      <c r="V21" s="4" t="s">
        <v>269</v>
      </c>
      <c r="W21" s="4" t="s">
        <v>270</v>
      </c>
      <c r="X21" s="4" t="s">
        <v>271</v>
      </c>
      <c r="Y21" s="4" t="s">
        <v>272</v>
      </c>
      <c r="Z21" s="4" t="s">
        <v>273</v>
      </c>
      <c r="AA21" s="4" t="s">
        <v>12</v>
      </c>
    </row>
    <row r="22" spans="1:46" x14ac:dyDescent="0.25">
      <c r="B22" s="120" t="s">
        <v>67</v>
      </c>
      <c r="C22" s="201">
        <v>0</v>
      </c>
      <c r="D22" s="120"/>
      <c r="E22" s="120">
        <f>ROUND(20%*Pricing!T62,0.2)</f>
        <v>507</v>
      </c>
      <c r="K22" t="s">
        <v>178</v>
      </c>
      <c r="L22" s="77">
        <f>COUNTIFS(Pricing!Q8:AA8,"(CB)")</f>
        <v>0</v>
      </c>
      <c r="M22" s="4">
        <f>IF(L22&gt;0,20,)</f>
        <v>0</v>
      </c>
      <c r="N22" s="78">
        <f>IF(Pricing!AD8="Quoted",,IF(Pricing!E8="",,Pricing!L8*Pricing!M8/1000000))</f>
        <v>0.66220000000000001</v>
      </c>
      <c r="O22" s="75">
        <f>IF(Pricing!AD8="Quoted",,IF(OR(Pricing!J8 = "Silent",Pricing!J8 = "Split Tilt"),ROUND($N$22*$C$9,0.2),0))</f>
        <v>23</v>
      </c>
      <c r="P22" s="75">
        <f>IF(Pricing!AD8="Quoted",,IF(Pricing!D8="Tracked",ROUND($C$11+(F2*$Q$22),0.2),))</f>
        <v>0</v>
      </c>
      <c r="Q22" s="79">
        <f>IF(Pricing!AD8="Quoted",,IF(Pricing!D8="Tracked",CONVERT(Pricing!L8,"mm","m"),))</f>
        <v>0</v>
      </c>
      <c r="R22" s="75">
        <f>IF(Pricing!D8="S/Shade",ROUND($F$3*N22,0.2),0)</f>
        <v>0</v>
      </c>
      <c r="S22" s="68">
        <f>AL10*L14</f>
        <v>0</v>
      </c>
      <c r="T22" s="4">
        <f>IF(R22&gt;0,N22,)</f>
        <v>0</v>
      </c>
      <c r="U22" s="78">
        <f>IF(Pricing!AD8="Quoted",,IF(OR(Pricing!J8="Silent",(Pricing!J8="Split Tilt")),Pricing!L8*Pricing!M8/1000000,))</f>
        <v>0.66220000000000001</v>
      </c>
      <c r="V22" s="68">
        <f>IF(Pricing!AD8="Quoted",,IF(Pricing!D8="Shape",IF(AD19&gt;2,ROUND(C16+((AD19-2)*C17),0.2),ROUND(C16,0.2)),))</f>
        <v>0</v>
      </c>
      <c r="W22" s="68">
        <f>IF(Pricing!D8="French Door Cutout",ROUND(Matrix2!$F$4,0.2),)</f>
        <v>0</v>
      </c>
      <c r="X22" s="68">
        <f>IF(Pricing!AD8="Quoted",,IF(OR(Pricing!F8="Custom Colour",ISNUMBER(SEARCH("Classic Black",Pricing!F8)),ISNUMBER(SEARCH("Matte Black",Pricing!F8))),ROUND(Matrix2!F11,0.2),))</f>
        <v>0</v>
      </c>
      <c r="Y22" s="68">
        <f>IF(OR(AND(Pricing!E8&lt;&gt;"Java",Pricing!G10="Stainless Steel"),Pricing!G10="Brushed Nickel Plated"),ROUND(Matrix2!$F$12*Matrix2!N22,0.2),)</f>
        <v>0</v>
      </c>
      <c r="Z22" s="68">
        <f t="shared" ref="Z22:Z33" si="17">IF(AND(N22&lt;1,N22&gt;0),ROUND(1*$C$19,0.2),ROUND(N22*$C$19,0.2))</f>
        <v>60</v>
      </c>
      <c r="AA22" s="68">
        <f>IF(Pricing!AD8="Quoted",,IF(Pricing!AB10="YES",ROUND(CONVERT(Pricing!L8,"mm","m")*$F$14,0.2),))</f>
        <v>0</v>
      </c>
      <c r="AB22" s="838" t="s">
        <v>274</v>
      </c>
      <c r="AC22" s="838"/>
      <c r="AD22" s="839" t="str">
        <f xml:space="preserve"> TRIM(Pricing!Q8 &amp; Pricing!R8 &amp;  Pricing!S8 &amp; Pricing!T8  &amp; Pricing!U8 &amp; Pricing!V8  &amp; Pricing!W8  &amp; Pricing!X8  &amp; Pricing!Y8 &amp; Pricing!Z8  &amp; Pricing!AA8)</f>
        <v>L</v>
      </c>
      <c r="AE22" s="839"/>
      <c r="AF22" s="839"/>
      <c r="AH22" s="838" t="s">
        <v>275</v>
      </c>
      <c r="AI22" s="838"/>
      <c r="AJ22" s="839" t="str">
        <f xml:space="preserve"> TRIM('Survey Front'!S12 &amp; 'Survey Front'!T12 &amp;  'Survey Front'!U12 &amp; 'Survey Front'!V12  &amp; 'Survey Front'!W12 &amp; 'Survey Front'!X12  &amp; 'Survey Front'!Y12  &amp; 'Survey Front'!Z12  &amp; 'Survey Front'!AA12 &amp; 'Survey Front'!AB12  &amp; 'Survey Front'!AC12)</f>
        <v>L</v>
      </c>
      <c r="AK22" s="839"/>
      <c r="AL22" s="839"/>
      <c r="AT22" t="s">
        <v>184</v>
      </c>
    </row>
    <row r="23" spans="1:46" x14ac:dyDescent="0.25">
      <c r="B23" s="120" t="s">
        <v>69</v>
      </c>
      <c r="C23" s="202">
        <v>0.14899999999999999</v>
      </c>
      <c r="D23" s="120"/>
      <c r="E23" s="120"/>
      <c r="K23" t="s">
        <v>179</v>
      </c>
      <c r="L23" s="77">
        <f>COUNTIFS(Pricing!Q11:AA11,"(CB)")</f>
        <v>0</v>
      </c>
      <c r="M23" s="4">
        <f t="shared" ref="M23:M36" si="18">IF(L23&gt;0,20,)</f>
        <v>0</v>
      </c>
      <c r="N23" s="78">
        <f>IF(Pricing!AD11="Quoted",,IF(Pricing!E11="",,Pricing!L11*Pricing!M11/1000000))</f>
        <v>1.8171999999999999</v>
      </c>
      <c r="O23" s="75">
        <f>IF(Pricing!AD11="Quoted",,IF(OR(Pricing!J11 = "Silent",Pricing!J11 = "Split Tilt"),ROUND($N$23*$C$9,0.2),0))</f>
        <v>64</v>
      </c>
      <c r="P23" s="75">
        <f>IF(Pricing!AD11="Quoted",,IF(Pricing!D11="Tracked",ROUND($C$11+(F2*$Q$23),0.2),))</f>
        <v>0</v>
      </c>
      <c r="Q23" s="79">
        <f>IF(Pricing!AD11="Quoted",,IF(Pricing!D11="Tracked",CONVERT(Pricing!L11,"mm","m"),))</f>
        <v>0</v>
      </c>
      <c r="R23" s="75">
        <f>IF(Pricing!D11="S/Shade",ROUND($F$3*N23,0.2),0)</f>
        <v>0</v>
      </c>
      <c r="T23" s="4">
        <f t="shared" ref="T23:T36" si="19">IF(R23&gt;0,N23,)</f>
        <v>0</v>
      </c>
      <c r="U23" s="78">
        <f>IF(Pricing!AD11="Quoted",,IF(OR(Pricing!J11="Silent",Pricing!J11="Split Tilt"),Pricing!L11*Pricing!M11/1000000,))</f>
        <v>1.8171999999999999</v>
      </c>
      <c r="V23" s="68">
        <f>IF(Pricing!AD11="Quoted",,IF(Pricing!D11="Shape",IF(AE19&gt;2,ROUND(C16+((AE19-2)*C17),0.2),ROUND(C16,0.2)),))</f>
        <v>0</v>
      </c>
      <c r="W23" s="68">
        <f>IF(Pricing!D11="French Door Cutout",ROUND(Matrix2!$F$4,0.2),)</f>
        <v>0</v>
      </c>
      <c r="X23" s="68">
        <f>IF(Pricing!AD11="Quoted",,IF(OR(Pricing!F11="Custom Colour",ISNUMBER(SEARCH("Classic Black",Pricing!F11)),ISNUMBER(SEARCH("Matte Black",Pricing!F11))),ROUND(Matrix2!F11,0.2),))</f>
        <v>0</v>
      </c>
      <c r="Y23" s="68">
        <f>IF(OR(AND(Pricing!E11&lt;&gt;"Java",Pricing!G13="Stainless Steel"),Pricing!G13="Brushed Nickel Plated"),ROUND(Matrix2!$F$12*Matrix2!N23,0.2),)</f>
        <v>0</v>
      </c>
      <c r="Z23" s="179">
        <f t="shared" si="17"/>
        <v>109</v>
      </c>
      <c r="AA23" s="68">
        <f>IF(Pricing!AD11="Quoted",,IF(Pricing!AB13="YES",ROUND(CONVERT(Pricing!L11,"mm","m")*$F$14,0.2),))</f>
        <v>0</v>
      </c>
      <c r="AB23" s="838" t="s">
        <v>276</v>
      </c>
      <c r="AC23" s="838"/>
      <c r="AD23" s="839" t="str">
        <f xml:space="preserve"> TRIM(Pricing!Q11 &amp;Pricing!R11 &amp; Pricing!S11 &amp; Pricing!T11 &amp; Pricing!U11 &amp; Pricing!V11 &amp; Pricing!W11 &amp; Pricing!X11 &amp; Pricing!Y11 &amp; Pricing!Z11 &amp; Pricing!AA11)</f>
        <v>LLRR</v>
      </c>
      <c r="AE23" s="839"/>
      <c r="AF23" s="839"/>
      <c r="AH23" s="840" t="s">
        <v>277</v>
      </c>
      <c r="AI23" s="841"/>
      <c r="AJ23" s="839" t="str">
        <f xml:space="preserve"> TRIM('Survey Front'!S15 &amp; 'Survey Front'!T15 &amp;  'Survey Front'!U15 &amp; 'Survey Front'!V15  &amp; 'Survey Front'!W15 &amp; 'Survey Front'!X15  &amp; 'Survey Front'!Y15  &amp; 'Survey Front'!Z15  &amp; 'Survey Front'!AA15 &amp; 'Survey Front'!AB15  &amp; 'Survey Front'!AC15)</f>
        <v>LLRR</v>
      </c>
      <c r="AK23" s="839"/>
      <c r="AL23" s="839"/>
    </row>
    <row r="24" spans="1:46" x14ac:dyDescent="0.25">
      <c r="B24" s="120" t="s">
        <v>72</v>
      </c>
      <c r="C24" s="202">
        <v>0.14899999999999999</v>
      </c>
      <c r="D24" s="120"/>
      <c r="E24" s="120"/>
      <c r="K24" t="s">
        <v>180</v>
      </c>
      <c r="L24" s="77">
        <f>COUNTIFS(Pricing!Q14:AA14,"(CB)")</f>
        <v>0</v>
      </c>
      <c r="M24" s="4">
        <f t="shared" si="18"/>
        <v>0</v>
      </c>
      <c r="N24" s="78">
        <f>IF(Pricing!AD14="Quoted",,IF(Pricing!E14="",,Pricing!L14*Pricing!M14/1000000))</f>
        <v>0.66220000000000001</v>
      </c>
      <c r="O24" s="75">
        <f>IF(Pricing!AD14="Quoted",,IF(OR(Pricing!J14 = "Silent",Pricing!J14 = "Split Tilt"),ROUND($N$24*$C$9,0.2),0))</f>
        <v>23</v>
      </c>
      <c r="P24" s="75">
        <f>IF(Pricing!AD14="Quoted",,IF(Pricing!D14="Tracked",ROUND($C$11+($F$2*$Q$24),0.2),))</f>
        <v>0</v>
      </c>
      <c r="Q24" s="79">
        <f>IF(Pricing!AD14="Quoted",,IF(Pricing!D14="Tracked",CONVERT(Pricing!L14,"mm","m"),))</f>
        <v>0</v>
      </c>
      <c r="R24" s="75">
        <f>IF(Pricing!D14="S/Shade",ROUND($F$3*N24,0.2),0)</f>
        <v>0</v>
      </c>
      <c r="T24" s="4">
        <f t="shared" si="19"/>
        <v>0</v>
      </c>
      <c r="U24" s="78">
        <f>IF(Pricing!AD14="Quoted",,IF(OR(Pricing!J14="Silent",Pricing!J14="Split Tilt"),Pricing!L14*Pricing!M14/1000000,))</f>
        <v>0.66220000000000001</v>
      </c>
      <c r="V24" s="68">
        <f>IF(Pricing!AD14="Quoted",,IF(Pricing!D14="Shape",IF(AF19&gt;2,ROUND(C16+((AF19-2)*C17),0.2),ROUND(C16,0.2)),))</f>
        <v>0</v>
      </c>
      <c r="W24" s="68">
        <f>IF(Pricing!D14="French Door Cutout",ROUND(Matrix2!$F$4,0.2),)</f>
        <v>0</v>
      </c>
      <c r="X24" s="68">
        <f>IF(Pricing!AD14="Quoted",,IF(OR(Pricing!F14="Custom Colour",ISNUMBER(SEARCH("Classic Black",Pricing!F14)),ISNUMBER(SEARCH("Matte Black",Pricing!F14))),ROUND(Matrix2!F11,0.2),))</f>
        <v>0</v>
      </c>
      <c r="Y24" s="68">
        <f>IF(OR(AND(Pricing!E14&lt;&gt;"Java",Pricing!G16="Stainless Steel"),Pricing!G16="Brushed Nickel Plated"),ROUND(Matrix2!$F$12*Matrix2!N24,0.2),)</f>
        <v>0</v>
      </c>
      <c r="Z24" s="179">
        <f t="shared" si="17"/>
        <v>60</v>
      </c>
      <c r="AA24" s="68">
        <f>IF(Pricing!AD14="Quoted",,IF(Pricing!AB16="YES",ROUND(CONVERT(Pricing!L14,"mm","m")*$F$14,0.2),))</f>
        <v>0</v>
      </c>
      <c r="AB24" s="838" t="s">
        <v>278</v>
      </c>
      <c r="AC24" s="838"/>
      <c r="AD24" s="839" t="str">
        <f xml:space="preserve"> TRIM(Pricing!Q14 &amp; Pricing!R14 &amp; Pricing!S14 &amp; Pricing!T14  &amp; Pricing!U14 &amp;  Pricing!V14 &amp;  Pricing!W14 &amp; Pricing!X14 &amp; Pricing!Y14 &amp; Pricing!Z14 &amp;Pricing!AA14)</f>
        <v>R</v>
      </c>
      <c r="AE24" s="839"/>
      <c r="AF24" s="839"/>
      <c r="AH24" s="840" t="s">
        <v>279</v>
      </c>
      <c r="AI24" s="841"/>
      <c r="AJ24" s="839" t="str">
        <f xml:space="preserve"> TRIM('Survey Front'!S18 &amp; 'Survey Front'!T18 &amp;  'Survey Front'!U18 &amp; 'Survey Front'!V18  &amp; 'Survey Front'!W18 &amp; 'Survey Front'!X18  &amp; 'Survey Front'!Y18  &amp; 'Survey Front'!Z18  &amp; 'Survey Front'!AA18 &amp; 'Survey Front'!AB18  &amp; 'Survey Front'!AC18)</f>
        <v>LRR</v>
      </c>
      <c r="AK24" s="839"/>
      <c r="AL24" s="839"/>
      <c r="AT24" t="s">
        <v>185</v>
      </c>
    </row>
    <row r="25" spans="1:46" x14ac:dyDescent="0.25">
      <c r="K25" t="s">
        <v>181</v>
      </c>
      <c r="L25" s="77">
        <f>COUNTIFS(Pricing!Q17:AA17,"(CB)")</f>
        <v>0</v>
      </c>
      <c r="M25" s="4">
        <f t="shared" si="18"/>
        <v>0</v>
      </c>
      <c r="N25" s="78">
        <f>IF(Pricing!AD17="Quoted",,IF(Pricing!E17="",,Pricing!L17*Pricing!M17/1000000))</f>
        <v>1.7576000000000001</v>
      </c>
      <c r="O25" s="75">
        <f>IF(Pricing!AD17="Quoted",,IF(OR(Pricing!J17 = "Silent",Pricing!J17 = "Split Tilt"),ROUND($N$25*$C$9,0.2),0))</f>
        <v>62</v>
      </c>
      <c r="P25" s="75">
        <f>IF(Pricing!AD17="Quoted",,IF(Pricing!D17="Tracked",ROUND($C$11+($F$2*$Q$25),0.2),))</f>
        <v>0</v>
      </c>
      <c r="Q25" s="79">
        <f>IF(Pricing!AD17="Quoted",,IF(Pricing!D17="Tracked",CONVERT(Pricing!L17,"mm","m"),))</f>
        <v>0</v>
      </c>
      <c r="R25" s="75">
        <f>IF(Pricing!D17="S/Shade",ROUND($F$3*N25,0.2),0)</f>
        <v>0</v>
      </c>
      <c r="T25" s="4">
        <f t="shared" si="19"/>
        <v>0</v>
      </c>
      <c r="U25" s="78">
        <f>IF(Pricing!AD17="Quoted",,IF(OR(Pricing!J17="Silent",Pricing!J17="Split Tilt"),Pricing!L17*Pricing!M17/1000000,))</f>
        <v>1.7576000000000001</v>
      </c>
      <c r="V25" s="68">
        <f>IF(Pricing!AD17="Quoted",,IF(Pricing!D17="Shape",IF(AG19&gt;2,ROUND(C16+((AG19-2)*C17),0.2),ROUND(C16,0.2)),))</f>
        <v>0</v>
      </c>
      <c r="W25" s="68">
        <f>IF(Pricing!D17="French Door Cutout",ROUND(Matrix2!$F$4,0.2),)</f>
        <v>0</v>
      </c>
      <c r="X25" s="68">
        <f>IF(Pricing!AD17="Quoted",,IF(OR(Pricing!F17="Custom Colour",ISNUMBER(SEARCH("Classic Black",Pricing!F17)),ISNUMBER(SEARCH("Matte Black",Pricing!F17))),ROUND(Matrix2!F11,0.2),))</f>
        <v>0</v>
      </c>
      <c r="Y25" s="68">
        <f>IF(OR(AND(Pricing!E17&lt;&gt;"Java",Pricing!G19="Stainless Steel"),Pricing!G19="Brushed Nickel Plated"),ROUND(Matrix2!$F$12*Matrix2!N25,0.2),)</f>
        <v>0</v>
      </c>
      <c r="Z25" s="179">
        <f t="shared" si="17"/>
        <v>105</v>
      </c>
      <c r="AA25" s="68">
        <f>IF(Pricing!AD17="Quoted",,IF(Pricing!AB19="YES",ROUND(CONVERT(Pricing!L17,"mm","m")*$F$14,0.2),))</f>
        <v>0</v>
      </c>
      <c r="AB25" s="838" t="s">
        <v>280</v>
      </c>
      <c r="AC25" s="838"/>
      <c r="AD25" s="839" t="str">
        <f xml:space="preserve"> TRIM(Pricing!Q17 &amp; Pricing!R17 &amp; Pricing!S17 &amp; Pricing!T17 &amp; Pricing!U17 &amp; Pricing!V17 &amp; Pricing!W17 &amp; Pricing!X17 &amp; Pricing!Y17 &amp; Pricing!Z17 &amp; Pricing!AA17)</f>
        <v>LLRR</v>
      </c>
      <c r="AE25" s="839"/>
      <c r="AF25" s="839"/>
      <c r="AH25" s="840" t="s">
        <v>281</v>
      </c>
      <c r="AI25" s="841"/>
      <c r="AJ25" s="839" t="str">
        <f xml:space="preserve"> TRIM('Survey Front'!S21 &amp; 'Survey Front'!T21 &amp;  'Survey Front'!U21 &amp; 'Survey Front'!V21  &amp; 'Survey Front'!W21 &amp; 'Survey Front'!X21  &amp; 'Survey Front'!Y21  &amp; 'Survey Front'!Z21  &amp; 'Survey Front'!AA21 &amp; 'Survey Front'!AB21  &amp; 'Survey Front'!AC21)</f>
        <v>LLRR</v>
      </c>
      <c r="AK25" s="839"/>
      <c r="AL25" s="839"/>
    </row>
    <row r="26" spans="1:46" x14ac:dyDescent="0.25">
      <c r="K26" t="s">
        <v>182</v>
      </c>
      <c r="L26" s="77">
        <f>COUNTIFS(Pricing!Q20:AA20,"(CB)")</f>
        <v>0</v>
      </c>
      <c r="M26" s="4">
        <f t="shared" si="18"/>
        <v>0</v>
      </c>
      <c r="N26" s="78">
        <f>IF(Pricing!AD20="Quoted",,IF(Pricing!E20="",,Pricing!L20*Pricing!M20/1000000))</f>
        <v>1.1439999999999999</v>
      </c>
      <c r="O26" s="75">
        <f>IF(Pricing!AD20="Quoted",,IF(OR(Pricing!J20 = "Silent",Pricing!J20 = "Split Tilt"),ROUND($N$26*$C$9,0.2),0))</f>
        <v>40</v>
      </c>
      <c r="P26" s="75">
        <f>IF(Pricing!AD20="Quoted",,IF(Pricing!D20="Tracked",ROUND($C11+(F2*Q26),0.2),))</f>
        <v>0</v>
      </c>
      <c r="Q26" s="79">
        <f>IF(Pricing!AD20="Quoted",,IF(Pricing!D20="Tracked",CONVERT(Pricing!L20,"mm","m"),))</f>
        <v>0</v>
      </c>
      <c r="R26" s="75">
        <f>IF(Pricing!D20="S/Shade",ROUND($F$3*N26,0.2),0)</f>
        <v>0</v>
      </c>
      <c r="T26" s="4">
        <f t="shared" si="19"/>
        <v>0</v>
      </c>
      <c r="U26" s="78">
        <f>IF(Pricing!AD20="Quoted",,IF(OR(Pricing!J20="Silent",Pricing!J20="Split Tilt"),Pricing!L20*Pricing!M20/1000000,))</f>
        <v>1.1439999999999999</v>
      </c>
      <c r="V26" s="68">
        <f>IF(Pricing!AD20="Quoted",,IF(Pricing!D20="Shape",IF(AH19&gt;2,ROUND(C16+((AH19-2)*C17),0.2),ROUND(C16,0.2)),))</f>
        <v>0</v>
      </c>
      <c r="W26" s="68">
        <f>IF(Pricing!D20="French Door Cutout",ROUND(Matrix2!$F$4,0.2),)</f>
        <v>0</v>
      </c>
      <c r="X26" s="68">
        <f>IF(Pricing!AD20="Quoted",,IF(OR(Pricing!F20="Custom Colour",ISNUMBER(SEARCH("Classic Black",Pricing!F20)),ISNUMBER(SEARCH("Matte Black",Pricing!F20))),ROUND(Matrix2!F11,0.2),))</f>
        <v>0</v>
      </c>
      <c r="Y26" s="68">
        <f>IF(OR(AND(Pricing!E20&lt;&gt;"Java",Pricing!G22="Stainless Steel"),Pricing!G22="Brushed Nickel Plated"),ROUND(Matrix2!$F$12*Matrix2!N26,0.2),)</f>
        <v>0</v>
      </c>
      <c r="Z26" s="179">
        <f t="shared" si="17"/>
        <v>69</v>
      </c>
      <c r="AA26" s="68">
        <f>IF(Pricing!AD20="Quoted",,IF(Pricing!AB22="YES",ROUND(CONVERT(Pricing!L20,"mm","m")*$F$14,0.2),))</f>
        <v>0</v>
      </c>
      <c r="AB26" s="838" t="s">
        <v>282</v>
      </c>
      <c r="AC26" s="838"/>
      <c r="AD26" s="839" t="str">
        <f xml:space="preserve"> TRIM(Pricing!Q20 &amp; Pricing!R20 &amp; Pricing!S20 &amp;Pricing!T20 &amp;Pricing!U20 &amp; Pricing!V20 &amp; Pricing!W20 &amp; Pricing!X20 &amp; Pricing!Y20 &amp; Pricing!Z20 &amp; Pricing!AA20)</f>
        <v>LLRR</v>
      </c>
      <c r="AE26" s="839"/>
      <c r="AF26" s="839"/>
      <c r="AH26" s="840" t="s">
        <v>283</v>
      </c>
      <c r="AI26" s="841"/>
      <c r="AJ26" s="839" t="str">
        <f xml:space="preserve"> TRIM('Survey Front'!S24 &amp; 'Survey Front'!T24 &amp;  'Survey Front'!U24 &amp; 'Survey Front'!V24  &amp; 'Survey Front'!W24 &amp; 'Survey Front'!X24  &amp; 'Survey Front'!Y24  &amp; 'Survey Front'!Z24  &amp; 'Survey Front'!AA24 &amp; 'Survey Front'!AB24  &amp; 'Survey Front'!AC24)</f>
        <v>LLRR</v>
      </c>
      <c r="AK26" s="839"/>
      <c r="AL26" s="839"/>
      <c r="AT26" t="s">
        <v>186</v>
      </c>
    </row>
    <row r="27" spans="1:46" x14ac:dyDescent="0.25">
      <c r="K27" t="s">
        <v>183</v>
      </c>
      <c r="L27" s="77">
        <f>COUNTIFS(Pricing!Q23:AA23,"(CB)")</f>
        <v>0</v>
      </c>
      <c r="M27" s="4">
        <f t="shared" si="18"/>
        <v>0</v>
      </c>
      <c r="N27" s="78">
        <f>IF(Pricing!AD23="Quoted",,IF(Pricing!E23="",,Pricing!L23*Pricing!M23/1000000))</f>
        <v>1.1439999999999999</v>
      </c>
      <c r="O27" s="75">
        <f>IF(Pricing!AD23="Quoted",,IF(OR(Pricing!J23 = "Silent",Pricing!J23 = "Split Tilt"),ROUND($N$27*$C$9,0.2),0))</f>
        <v>40</v>
      </c>
      <c r="P27" s="75">
        <f>IF(Pricing!AD23="Quoted",,IF(Pricing!D23="Tracked",ROUND(C11+(F2*Q27),0.2),))</f>
        <v>0</v>
      </c>
      <c r="Q27" s="79">
        <f>IF(Pricing!AD23="Quoted",,IF(Pricing!D23="Tracked",CONVERT(Pricing!L23,"mm","m"),))</f>
        <v>0</v>
      </c>
      <c r="R27" s="75">
        <f>IF(Pricing!D23="S/Shade",ROUND($F$3*N27,0.2),0)</f>
        <v>0</v>
      </c>
      <c r="T27" s="4">
        <f t="shared" si="19"/>
        <v>0</v>
      </c>
      <c r="U27" s="78">
        <f>IF(Pricing!AD23="Quoted",,IF(OR(Pricing!J23="Silent",Pricing!J23="Split Tilt"),Pricing!L23*Pricing!M23/1000000,))</f>
        <v>1.1439999999999999</v>
      </c>
      <c r="V27" s="68">
        <f>IF(Pricing!AD23="Quoted",,IF(Pricing!D23="Shape",IF(AI19&gt;2,ROUND(C16+((AI19-2)*C17),0.2),ROUND(C16,0.2)),))</f>
        <v>0</v>
      </c>
      <c r="W27" s="68">
        <f>IF(Pricing!D23="French Door Cutout",ROUND(Matrix2!$F$4,0.2),)</f>
        <v>0</v>
      </c>
      <c r="X27" s="68">
        <f>IF(Pricing!AD23="Quoted",,IF(OR(Pricing!F23="Custom Colour",ISNUMBER(SEARCH("Classic Black",Pricing!F23)),ISNUMBER(SEARCH("Matte Black",Pricing!F23))),ROUND(Matrix2!F11,0.2),))</f>
        <v>0</v>
      </c>
      <c r="Y27" s="68">
        <f>IF(OR(AND(Pricing!E23&lt;&gt;"Java",Pricing!G25="Stainless Steel"),Pricing!G25="Brushed Nickel Plated"),ROUND(Matrix2!$F$12*Matrix2!N27,0.2),)</f>
        <v>0</v>
      </c>
      <c r="Z27" s="179">
        <f t="shared" si="17"/>
        <v>69</v>
      </c>
      <c r="AA27" s="68">
        <f>IF(Pricing!AD23="Quoted",,IF(Pricing!AD23="YES",ROUND(CONVERT(Pricing!L23,"mm","m")*$F$14,0.2),))</f>
        <v>0</v>
      </c>
      <c r="AB27" s="838" t="s">
        <v>284</v>
      </c>
      <c r="AC27" s="838"/>
      <c r="AD27" s="839" t="str">
        <f xml:space="preserve"> TRIM(Pricing!Q23 &amp;Pricing!R23 &amp;Pricing!S23 &amp;Pricing!T23 &amp;Pricing!U23 &amp; Pricing!V23 &amp; Pricing!W23 &amp; Pricing!X23 &amp; Pricing!Y23 &amp; Pricing!Z23 &amp; Pricing!AA23)</f>
        <v>LLRR</v>
      </c>
      <c r="AE27" s="839"/>
      <c r="AF27" s="839"/>
      <c r="AH27" s="840" t="s">
        <v>285</v>
      </c>
      <c r="AI27" s="841"/>
      <c r="AJ27" s="839" t="str">
        <f xml:space="preserve"> TRIM('Survey Front'!S27 &amp; 'Survey Front'!T27 &amp;  'Survey Front'!U27 &amp; 'Survey Front'!V27  &amp; 'Survey Front'!W27 &amp; 'Survey Front'!X27  &amp; 'Survey Front'!Y27  &amp; 'Survey Front'!Z27  &amp; 'Survey Front'!AA27 &amp; 'Survey Front'!AB27  &amp; 'Survey Front'!AC27)</f>
        <v>LLRR</v>
      </c>
      <c r="AK27" s="839"/>
      <c r="AL27" s="839"/>
    </row>
    <row r="28" spans="1:46" x14ac:dyDescent="0.25">
      <c r="B28" t="s">
        <v>286</v>
      </c>
      <c r="K28" t="s">
        <v>184</v>
      </c>
      <c r="L28" s="77">
        <f>COUNTIFS(Pricing!Q26:AA26,"(CB)")</f>
        <v>0</v>
      </c>
      <c r="M28" s="4">
        <f t="shared" si="18"/>
        <v>0</v>
      </c>
      <c r="N28" s="78">
        <f>IF(Pricing!AD26="Quoted",,IF(Pricing!E26="",,Pricing!L26*Pricing!M26/1000000))</f>
        <v>1.5449999999999999</v>
      </c>
      <c r="O28" s="75">
        <f>IF(Pricing!AD26="Quoted",,IF(OR(Pricing!J26 = "Silent",Pricing!J26 = "Split Tilt"),ROUND($N$28*$C$9,0.2),0))</f>
        <v>54</v>
      </c>
      <c r="P28" s="75">
        <f>IF(Pricing!AD26="Quoted",,IF(Pricing!D26="Tracked",ROUND(C11+(F2*Q28),0.2),))</f>
        <v>0</v>
      </c>
      <c r="Q28" s="79">
        <f>IF(Pricing!AD26="Quoted",,IF(Pricing!D26="Tracked",CONVERT(Pricing!L26,"mm","m"),))</f>
        <v>0</v>
      </c>
      <c r="R28" s="75">
        <f>IF(Pricing!D26="S/Shade",ROUND($F$3*N28,0.2),0)</f>
        <v>0</v>
      </c>
      <c r="T28" s="4">
        <f t="shared" si="19"/>
        <v>0</v>
      </c>
      <c r="U28" s="78">
        <f>IF(Pricing!AD26="Quoted",,IF(OR(Pricing!J26="Silent",Pricing!J26="Split Tilt"),Pricing!L26*Pricing!M26/1000000,))</f>
        <v>1.5449999999999999</v>
      </c>
      <c r="V28" s="68">
        <f>IF(Pricing!AD26="Quoted",,IF(Pricing!D26="Shape",IF(AJ19&gt;2,ROUND(C16+((AJ19-2)*C17),0.2),ROUND(C16,0.2)),))</f>
        <v>0</v>
      </c>
      <c r="W28" s="68">
        <f>IF(Pricing!D26="French Door Cutout",ROUND(Matrix2!$F$4,0.2),)</f>
        <v>0</v>
      </c>
      <c r="X28" s="68">
        <f>IF(Pricing!AD26="Quoted",,IF(OR(Pricing!F26="Custom Colour",ISNUMBER(SEARCH("Classic Black",Pricing!F26)),ISNUMBER(SEARCH("Matte Black",Pricing!F26))),ROUND(Matrix2!F11,0.2),))</f>
        <v>0</v>
      </c>
      <c r="Y28" s="68">
        <f>IF(OR(AND(Pricing!E26&lt;&gt;"Java",Pricing!G28="Stainless Steel"),Pricing!G28="Brushed Nickel Plated"),ROUND(Matrix2!$F$12*Matrix2!N28,0.2),)</f>
        <v>0</v>
      </c>
      <c r="Z28" s="179">
        <f t="shared" si="17"/>
        <v>93</v>
      </c>
      <c r="AA28" s="68">
        <f>IF(Pricing!AD26="Quoted",,IF(Pricing!AD26="YES",ROUND(CONVERT(Pricing!L26,"mm","m")*$F$14,0.2),))</f>
        <v>0</v>
      </c>
      <c r="AB28" s="838" t="s">
        <v>287</v>
      </c>
      <c r="AC28" s="838"/>
      <c r="AD28" s="839" t="str">
        <f xml:space="preserve"> TRIM(Pricing!Q26 &amp;Pricing!R26 &amp;Pricing!S26 &amp; Pricing!T26 &amp; Pricing!U26 &amp; Pricing!V26 &amp; Pricing!W26 &amp; Pricing!X26 &amp; Pricing!Y26 &amp;Pricing!Z26 &amp;Pricing!AA26)</f>
        <v>LLRR</v>
      </c>
      <c r="AE28" s="839"/>
      <c r="AF28" s="839"/>
      <c r="AH28" s="840" t="s">
        <v>288</v>
      </c>
      <c r="AI28" s="841"/>
      <c r="AJ28" s="839" t="str">
        <f xml:space="preserve"> TRIM('Survey Front'!S30 &amp; 'Survey Front'!T30 &amp;  'Survey Front'!U30 &amp; 'Survey Front'!V30  &amp; 'Survey Front'!W30 &amp; 'Survey Front'!X30  &amp; 'Survey Front'!Y30  &amp; 'Survey Front'!Z30  &amp; 'Survey Front'!AA30 &amp; 'Survey Front'!AB30  &amp; 'Survey Front'!AC30)</f>
        <v>LLRR</v>
      </c>
      <c r="AK28" s="839"/>
      <c r="AL28" s="839"/>
      <c r="AT28" t="s">
        <v>187</v>
      </c>
    </row>
    <row r="29" spans="1:46" x14ac:dyDescent="0.25">
      <c r="B29" s="75"/>
      <c r="K29" t="s">
        <v>185</v>
      </c>
      <c r="L29" s="77">
        <f>COUNTIFS(Pricing!Q29:AA29,"(CB)")</f>
        <v>0</v>
      </c>
      <c r="M29" s="4">
        <f t="shared" si="18"/>
        <v>0</v>
      </c>
      <c r="N29" s="78">
        <f>IF(Pricing!AD29="Quoted",,IF(Pricing!E29="",,Pricing!L29*Pricing!M29/1000000))</f>
        <v>0</v>
      </c>
      <c r="O29" s="75">
        <f>IF(Pricing!AD29="Quoted",,IF(OR(Pricing!J29 = "Silent",Pricing!J29 = "Split Tilt"),ROUND($N$29*$C$9,0.2),0))</f>
        <v>0</v>
      </c>
      <c r="P29" s="75">
        <f>IF(Pricing!AD29="Quoted",,IF(Pricing!D29="Tracked",ROUND(C11+(F2*Q29),0.2),))</f>
        <v>0</v>
      </c>
      <c r="Q29" s="79">
        <f>IF(Pricing!AD29="Quoted",,IF(Pricing!D29="Tracked",CONVERT(Pricing!L29,"mm","m"),))</f>
        <v>0</v>
      </c>
      <c r="R29" s="75">
        <f>IF(Pricing!D29="S/Shade",ROUND($F$3*N29,0.2),0)</f>
        <v>0</v>
      </c>
      <c r="T29" s="4">
        <f t="shared" si="19"/>
        <v>0</v>
      </c>
      <c r="U29" s="78">
        <f>IF(Pricing!AD29="Quoted",,IF(OR(Pricing!J29="Silent",Pricing!J29="Split Tilt"),Pricing!L29*Pricing!M29/1000000,))</f>
        <v>0</v>
      </c>
      <c r="V29" s="68">
        <f>IF(Pricing!AD29="Quoted",,IF(Pricing!D29="Shape",IF(AK19&gt;2,ROUND(C16+((AK19-2)*C17),0.2),ROUND(C16,0.2)),))</f>
        <v>0</v>
      </c>
      <c r="W29" s="68">
        <f>IF(Pricing!D29="French Door Cutout",ROUND(Matrix2!$F$4,0.2),)</f>
        <v>0</v>
      </c>
      <c r="X29" s="68">
        <f>IF(Pricing!AD29="Quoted",,IF(OR(Pricing!F29="Custom Colour",ISNUMBER(SEARCH("Classic Black",Pricing!F29)),ISNUMBER(SEARCH("Matte Black",Pricing!F29))),ROUND(Matrix2!F11,0.2),))</f>
        <v>0</v>
      </c>
      <c r="Y29" s="68">
        <f>IF(OR(AND(Pricing!E29&lt;&gt;"Java",Pricing!G31="Stainless Steel"),Pricing!G31="Brushed Nickel Plated"),ROUND(Matrix2!$F$12*Matrix2!N29,0.2),)</f>
        <v>0</v>
      </c>
      <c r="Z29" s="179">
        <f t="shared" si="17"/>
        <v>0</v>
      </c>
      <c r="AA29" s="68">
        <f>IF(Pricing!AD29="Quoted",,IF(Pricing!AD29="YES",ROUND(CONVERT(Pricing!L29,"mm","m")*$F$14,0.2),))</f>
        <v>0</v>
      </c>
      <c r="AB29" s="838" t="s">
        <v>289</v>
      </c>
      <c r="AC29" s="838"/>
      <c r="AD29" s="839" t="str">
        <f xml:space="preserve"> TRIM(Pricing!Q29 &amp; Pricing!R29 &amp;  Pricing!S29 &amp; Pricing!T29 &amp; Pricing!U29  &amp; Pricing!V29 &amp;  Pricing!W29 &amp; Pricing!X29 &amp;Pricing!Y29 &amp;  Pricing!Z29 &amp; Pricing!AA29)</f>
        <v/>
      </c>
      <c r="AE29" s="839"/>
      <c r="AF29" s="839"/>
      <c r="AH29" s="840" t="s">
        <v>290</v>
      </c>
      <c r="AI29" s="841"/>
      <c r="AJ29" s="839" t="str">
        <f xml:space="preserve"> TRIM('Survey Front'!S33 &amp; 'Survey Front'!T33 &amp;  'Survey Front'!U33 &amp; 'Survey Front'!V33  &amp; 'Survey Front'!W33 &amp; 'Survey Front'!X33  &amp; 'Survey Front'!Y33  &amp; 'Survey Front'!Z33  &amp; 'Survey Front'!AA33 &amp; 'Survey Front'!AB33  &amp; 'Survey Front'!AC33)</f>
        <v/>
      </c>
      <c r="AK29" s="839"/>
      <c r="AL29" s="839"/>
    </row>
    <row r="30" spans="1:46" x14ac:dyDescent="0.25">
      <c r="K30" t="s">
        <v>186</v>
      </c>
      <c r="L30" s="77">
        <f>COUNTIFS(Pricing!Q32:AA32,"(CB)")</f>
        <v>0</v>
      </c>
      <c r="M30" s="4">
        <f t="shared" si="18"/>
        <v>0</v>
      </c>
      <c r="N30" s="78">
        <f>IF(Pricing!AD32="Quoted",,IF(Pricing!E32="",,Pricing!L32*Pricing!M32/1000000))</f>
        <v>0</v>
      </c>
      <c r="O30" s="75">
        <f>IF(Pricing!AD32="Quoted",,IF(OR(Pricing!J32 = "Silent",Pricing!J32 = "Split Tilt"),ROUND($N$30*$C$9,0.2),0))</f>
        <v>0</v>
      </c>
      <c r="P30" s="75">
        <f>IF(Pricing!AD32="Quoted",,IF(Pricing!D32="Tracked",ROUND(C11+(F2*Q30),0.2),))</f>
        <v>0</v>
      </c>
      <c r="Q30" s="79">
        <f>IF(Pricing!AD32="Quoted",,IF(Pricing!E32="Tracked",CONVERT(Pricing!L32,"mm","m"),))</f>
        <v>0</v>
      </c>
      <c r="R30" s="75">
        <f>IF(Pricing!D32="S/Shade",ROUND($F$3*N30,0.2),0)</f>
        <v>0</v>
      </c>
      <c r="T30" s="4">
        <f t="shared" si="19"/>
        <v>0</v>
      </c>
      <c r="U30" s="78">
        <f>IF(Pricing!AD32="Quoted",,IF(OR(Pricing!J32="Silent",Pricing!J32="Split Tilt"),Pricing!L32*Pricing!M32/1000000,))</f>
        <v>0</v>
      </c>
      <c r="V30" s="68">
        <f>IF(Pricing!AD32="Quoted",,IF(Pricing!D32="Shape",IF(AL19&gt;2,ROUND(C16+((AL19-2)*C17),0.2),ROUND(C16,0.2)),))</f>
        <v>0</v>
      </c>
      <c r="W30" s="68">
        <f>IF(Pricing!D32="French Door Cutout",ROUND(Matrix2!$F$4,0.2),)</f>
        <v>0</v>
      </c>
      <c r="X30" s="68">
        <f>IF(Pricing!AD32="Quoted",,IF(OR(Pricing!F32="Custom Colour",ISNUMBER(SEARCH("Classic Black",Pricing!F32)),ISNUMBER(SEARCH("Matte Black",Pricing!F32))),ROUND(Matrix2!F11,0.2),))</f>
        <v>0</v>
      </c>
      <c r="Y30" s="68">
        <f>IF(OR(AND(Pricing!E32&lt;&gt;"Java",Pricing!G34="Stainless Steel"),Pricing!G34="Brushed Nickel Plated"),ROUND(Matrix2!$F$12*Matrix2!N30,0.2),)</f>
        <v>0</v>
      </c>
      <c r="Z30" s="179">
        <f t="shared" si="17"/>
        <v>0</v>
      </c>
      <c r="AA30" s="68">
        <f>IF(Pricing!AD32="Quoted",,IF(Pricing!AD32="YES",ROUND(CONVERT(Pricing!L32,"mm","m")*$F$14,0.2),))</f>
        <v>0</v>
      </c>
      <c r="AB30" s="838" t="s">
        <v>291</v>
      </c>
      <c r="AC30" s="838"/>
      <c r="AD30" s="839" t="str">
        <f xml:space="preserve"> TRIM(Pricing!Q32&amp; Pricing!R32 &amp; Pricing!S32 &amp; Pricing!T32 &amp; Pricing!U32 &amp; Pricing!V32 &amp;  Pricing!W32 &amp; Pricing!X32 &amp; Pricing!Y32 &amp;Pricing!Z32 &amp; Pricing!AA32)</f>
        <v/>
      </c>
      <c r="AE30" s="839"/>
      <c r="AF30" s="839"/>
      <c r="AH30" s="840" t="s">
        <v>292</v>
      </c>
      <c r="AI30" s="841"/>
      <c r="AJ30" s="839" t="str">
        <f xml:space="preserve"> TRIM('Survey Front'!S36 &amp; 'Survey Front'!T36 &amp;  'Survey Front'!U36 &amp; 'Survey Front'!V36  &amp; 'Survey Front'!W36 &amp; 'Survey Front'!X36  &amp; 'Survey Front'!Y36  &amp; 'Survey Front'!Z36  &amp; 'Survey Front'!AA36 &amp; 'Survey Front'!AB36  &amp; 'Survey Front'!AC36)</f>
        <v/>
      </c>
      <c r="AK30" s="839"/>
      <c r="AL30" s="839"/>
      <c r="AT30" t="s">
        <v>188</v>
      </c>
    </row>
    <row r="31" spans="1:46" x14ac:dyDescent="0.25">
      <c r="K31" t="s">
        <v>187</v>
      </c>
      <c r="L31" s="77">
        <f>COUNTIFS(Pricing!Q35:AA35,"(CB)")</f>
        <v>0</v>
      </c>
      <c r="M31" s="4">
        <f t="shared" si="18"/>
        <v>0</v>
      </c>
      <c r="N31" s="78">
        <f>IF(Pricing!AD35="Quoted",,IF(Pricing!E35="",,Pricing!L35*Pricing!M35/1000000))</f>
        <v>0</v>
      </c>
      <c r="O31" s="75">
        <f>IF(Pricing!AD35="Quoted",,IF(OR(Pricing!J35 = "Silent",Pricing!J35 = "Split Tilt"),ROUND($N$31*$C$9,0.2),0))</f>
        <v>0</v>
      </c>
      <c r="P31" s="75">
        <f>IF(Pricing!AD35="Quoted",,IF(Pricing!D35="Tracked",ROUND(C11+(F2*Q31),0.2),))</f>
        <v>0</v>
      </c>
      <c r="Q31" s="79">
        <f>IF(Pricing!AD35="Quoted",,IF(Pricing!E35="Tracked",CONVERT(Pricing!L35,"mm","m"),))</f>
        <v>0</v>
      </c>
      <c r="R31" s="75">
        <f>IF(Pricing!D35="S/Shade",ROUND($F$3*N31,0.2),0)</f>
        <v>0</v>
      </c>
      <c r="T31" s="4">
        <f t="shared" si="19"/>
        <v>0</v>
      </c>
      <c r="U31" s="78">
        <f>IF(Pricing!AD35="Quoted",,IF(OR(Pricing!J35="Silent",Pricing!J35="Split Tilt"),Pricing!L35*Pricing!M35/1000000,))</f>
        <v>0</v>
      </c>
      <c r="V31" s="68">
        <f>IF(Pricing!AD35="Quoted",,IF(Pricing!D35="Shape",IF(AM19&gt;2,ROUND(C16+((AM19-2)*C17),0.2),ROUND(C16,0.2)),))</f>
        <v>0</v>
      </c>
      <c r="W31" s="68">
        <f>IF(Pricing!D35="French Door Cutout",ROUND(Matrix2!$F$4,0.2),)</f>
        <v>0</v>
      </c>
      <c r="X31" s="68">
        <f>IF(Pricing!AD35="Quoted",,IF(OR(Pricing!F35="Custom Colour",ISNUMBER(SEARCH("Classic Black",Pricing!F35)),ISNUMBER(SEARCH("Matte Black",Pricing!F35))),ROUND(Matrix2!F11,0.2),))</f>
        <v>0</v>
      </c>
      <c r="Y31" s="68">
        <f>IF(OR(AND(Pricing!E35&lt;&gt;"Java",Pricing!G37="Stainless Steel"),Pricing!G37="Brushed Nickel Plated"),ROUND(Matrix2!$F$12*Matrix2!N31,0.2),)</f>
        <v>0</v>
      </c>
      <c r="Z31" s="179">
        <f t="shared" si="17"/>
        <v>0</v>
      </c>
      <c r="AA31" s="68">
        <f>IF(Pricing!AD35="Quoted",,IF(Pricing!AD35="YES",ROUND(CONVERT(Pricing!L35,"mm","m")*$F$14,0.2),))</f>
        <v>0</v>
      </c>
      <c r="AB31" s="838" t="s">
        <v>293</v>
      </c>
      <c r="AC31" s="838"/>
      <c r="AD31" s="839" t="str">
        <f xml:space="preserve"> TRIM(Pricing!Q35 &amp; Pricing!R35 &amp; Pricing!S35 &amp; Pricing!T35 &amp;  Pricing!U35 &amp; Pricing!V35 &amp;  Pricing!W35 &amp; Pricing!X35 &amp;  Pricing!Y35 &amp; Pricing!Z35 &amp;  Pricing!AA35)</f>
        <v/>
      </c>
      <c r="AE31" s="839"/>
      <c r="AF31" s="839"/>
      <c r="AH31" s="840" t="s">
        <v>294</v>
      </c>
      <c r="AI31" s="841"/>
      <c r="AJ31" s="839" t="str">
        <f xml:space="preserve"> TRIM('Survey Front'!S39 &amp; 'Survey Front'!T39 &amp;  'Survey Front'!U39 &amp; 'Survey Front'!V39  &amp; 'Survey Front'!W39 &amp; 'Survey Front'!X39  &amp; 'Survey Front'!Y39  &amp; 'Survey Front'!Z39  &amp; 'Survey Front'!AA39 &amp; 'Survey Front'!AB39  &amp; 'Survey Front'!AC39)</f>
        <v/>
      </c>
      <c r="AK31" s="839"/>
      <c r="AL31" s="839"/>
    </row>
    <row r="32" spans="1:46" x14ac:dyDescent="0.25">
      <c r="K32" t="s">
        <v>188</v>
      </c>
      <c r="L32" s="77">
        <f>COUNTIFS(Pricing!Q38:AA38,"(CB)")</f>
        <v>0</v>
      </c>
      <c r="M32" s="4">
        <f t="shared" si="18"/>
        <v>0</v>
      </c>
      <c r="N32" s="78">
        <f>IF(Pricing!AD38="Quoted",,IF(Pricing!E38="",,Pricing!L38*Pricing!M38/1000000))</f>
        <v>0</v>
      </c>
      <c r="O32" s="75">
        <f>IF(Pricing!AD38="Quoted",,IF(OR(Pricing!J38 = "Silent",Pricing!J38 = "Split Tilt"),ROUND($N$32*$C$9,0.2),0))</f>
        <v>0</v>
      </c>
      <c r="P32" s="75">
        <f>IF(Pricing!AD38="Quoted",,IF(Pricing!D38="Tracked",ROUND(C11+(F2*Q32),0.2),))</f>
        <v>0</v>
      </c>
      <c r="Q32" s="79">
        <f>IF(Pricing!AD38="Quoted",,IF(Pricing!E38="Tracked",CONVERT(Pricing!L38,"mm","m"),))</f>
        <v>0</v>
      </c>
      <c r="R32" s="75">
        <f>IF(Pricing!D38="S/Shade",ROUND($F$3*N32,0.2),0)</f>
        <v>0</v>
      </c>
      <c r="T32" s="4">
        <f t="shared" si="19"/>
        <v>0</v>
      </c>
      <c r="U32" s="78">
        <f>IF(Pricing!AD38="Quoted",,IF(OR(Pricing!J38="Silent",Pricing!J38="Split Tilt"),Pricing!L38*Pricing!M38/1000000,))</f>
        <v>0</v>
      </c>
      <c r="V32" s="68">
        <f>IF(Pricing!AD38="Quoted",,IF(Pricing!D38="Shape",IF(AN19&gt;2,ROUND(C16+((AN19-2)*C17),0.2),ROUND(C16,0.2)),))</f>
        <v>0</v>
      </c>
      <c r="W32" s="68">
        <f>IF(Pricing!D38="French Door Cutout",ROUND(Matrix2!$F$4,0.2),)</f>
        <v>0</v>
      </c>
      <c r="X32" s="68">
        <f>IF(Pricing!AD38="Quoted",,IF(OR(Pricing!F38="Custom Colour",ISNUMBER(SEARCH("Classic Black",Pricing!F38)),ISNUMBER(SEARCH("Matte Black",Pricing!F38))),ROUND(Matrix2!F11,0.2),))</f>
        <v>0</v>
      </c>
      <c r="Y32" s="68">
        <f>IF(OR(AND(Pricing!E38&lt;&gt;"Java",Pricing!G40="Stainless Steel"),Pricing!G40="Brushed Nickel Plated"),ROUND(Matrix2!$F$12*Matrix2!N32,0.2),)</f>
        <v>0</v>
      </c>
      <c r="Z32" s="179">
        <f t="shared" si="17"/>
        <v>0</v>
      </c>
      <c r="AA32" s="68">
        <f>IF(Pricing!AD38="Quoted",,IF(Pricing!AD38="YES",ROUND(CONVERT(Pricing!L38,"mm","m")*$F$14,0.2),))</f>
        <v>0</v>
      </c>
      <c r="AB32" s="838" t="s">
        <v>295</v>
      </c>
      <c r="AC32" s="838"/>
      <c r="AD32" s="839" t="str">
        <f xml:space="preserve"> TRIM(Pricing!Q38 &amp; Pricing!R38 &amp; Pricing!S38 &amp; Pricing!T38 &amp;Pricing!U38 &amp; Pricing!V38 &amp;  Pricing!W38 &amp;Pricing!X38&amp; Pricing!Y38 &amp; Pricing!Z38 &amp; Pricing!AA38)</f>
        <v/>
      </c>
      <c r="AE32" s="839"/>
      <c r="AF32" s="839"/>
      <c r="AH32" s="840" t="s">
        <v>296</v>
      </c>
      <c r="AI32" s="841"/>
      <c r="AJ32" s="839" t="str">
        <f xml:space="preserve"> TRIM('Survey Front'!S42 &amp; 'Survey Front'!T42 &amp;  'Survey Front'!U42 &amp; 'Survey Front'!V42  &amp; 'Survey Front'!W42 &amp; 'Survey Front'!X42  &amp; 'Survey Front'!Y42  &amp; 'Survey Front'!Z42  &amp; 'Survey Front'!AA42 &amp; 'Survey Front'!AB42  &amp; 'Survey Front'!AC42)</f>
        <v/>
      </c>
      <c r="AK32" s="839"/>
      <c r="AL32" s="839"/>
      <c r="AT32" t="s">
        <v>189</v>
      </c>
    </row>
    <row r="33" spans="11:46" x14ac:dyDescent="0.25">
      <c r="K33" t="s">
        <v>189</v>
      </c>
      <c r="L33" s="77">
        <f>COUNTIFS(Pricing!Q41:AA41,"(CB)")</f>
        <v>0</v>
      </c>
      <c r="M33" s="4">
        <f t="shared" si="18"/>
        <v>0</v>
      </c>
      <c r="N33" s="78">
        <f>IF(Pricing!AD41="Quoted",,IF(Pricing!E41="",,Pricing!L41*Pricing!M41/1000000))</f>
        <v>0</v>
      </c>
      <c r="O33" s="75">
        <f>IF(Pricing!AD41="Quoted",,IF(OR(Pricing!J41 = "Silent",Pricing!J41 = "Split Tilt"),ROUND($N$33*$C$9,0.2),0))</f>
        <v>0</v>
      </c>
      <c r="P33" s="75">
        <f>IF(Pricing!AD41="Quoted",,IF(Pricing!D41="Tracked",ROUND(C11+(F2*Q33),0.2),))</f>
        <v>0</v>
      </c>
      <c r="Q33" s="79">
        <f>IF(Pricing!AD41="Quoted",,IF(Pricing!E41="Tracked",CONVERT(Pricing!L41,"mm","m"),))</f>
        <v>0</v>
      </c>
      <c r="R33" s="75">
        <f>IF(Pricing!D41="S/Shade",ROUND($F$3*N33,0.2),0)</f>
        <v>0</v>
      </c>
      <c r="T33" s="4">
        <f t="shared" si="19"/>
        <v>0</v>
      </c>
      <c r="U33" s="78">
        <f>IF(Pricing!AD41="Quoted",,IF(OR(Pricing!J41="Silent",Pricing!J41="Split Tilt"),Pricing!L41*Pricing!M41/1000000,))</f>
        <v>0</v>
      </c>
      <c r="V33" s="68">
        <f>IF(Pricing!AD41="Quoted",,IF(Pricing!D41="Shape",IF(AO19&gt;2,ROUND(C16+((AO19-2)*C17),0.2),ROUND(C16,0.2)),))</f>
        <v>0</v>
      </c>
      <c r="W33" s="68">
        <f>IF(Pricing!D41="French Door Cutout",ROUND(Matrix2!$F$4,0.2),)</f>
        <v>0</v>
      </c>
      <c r="X33" s="68">
        <f>IF(Pricing!AD41="Quoted",,IF(OR(Pricing!F41="Custom Colour",ISNUMBER(SEARCH("Classic Black",Pricing!F41)),ISNUMBER(SEARCH("Matte Black",Pricing!F41))),ROUND(Matrix2!F11,0.2),))</f>
        <v>0</v>
      </c>
      <c r="Y33" s="68">
        <f>IF(OR(AND(Pricing!E41&lt;&gt;"Java",Pricing!G43="Stainless Steel"),Pricing!G43="Brushed Nickel Plated"),ROUND(Matrix2!$F$12*Matrix2!N33,0.2),)</f>
        <v>0</v>
      </c>
      <c r="Z33" s="179">
        <f t="shared" si="17"/>
        <v>0</v>
      </c>
      <c r="AA33" s="68">
        <f>IF(Pricing!AD41="Quoted",,IF(Pricing!AD41="YES",ROUND(CONVERT(Pricing!L41,"mm","m")*$F$14,0.2),))</f>
        <v>0</v>
      </c>
      <c r="AB33" s="838" t="s">
        <v>297</v>
      </c>
      <c r="AC33" s="838"/>
      <c r="AD33" s="839" t="str">
        <f xml:space="preserve"> TRIM(Pricing!Q41 &amp;Pricing!R41 &amp; Pricing!S41 &amp;Pricing!T41 &amp;  Pricing!U41 &amp; Pricing!V41 &amp; Pricing!W41 &amp; Pricing!X41 &amp;Pricing!Y41 &amp; Pricing!Z41 &amp; Pricing!AA41)</f>
        <v/>
      </c>
      <c r="AE33" s="839"/>
      <c r="AF33" s="839"/>
      <c r="AH33" s="840" t="s">
        <v>298</v>
      </c>
      <c r="AI33" s="841"/>
      <c r="AJ33" s="839" t="str">
        <f xml:space="preserve"> TRIM('Survey Front'!S45 &amp; 'Survey Front'!T45 &amp;  'Survey Front'!U45 &amp; 'Survey Front'!V45  &amp; 'Survey Front'!W45 &amp; 'Survey Front'!X45  &amp; 'Survey Front'!Y45  &amp; 'Survey Front'!Z45  &amp; 'Survey Front'!AA45 &amp; 'Survey Front'!AB45  &amp; 'Survey Front'!AC45)</f>
        <v/>
      </c>
      <c r="AK33" s="839"/>
      <c r="AL33" s="839"/>
    </row>
    <row r="34" spans="11:46" x14ac:dyDescent="0.25">
      <c r="K34" t="s">
        <v>190</v>
      </c>
      <c r="L34" s="77">
        <f>COUNTIFS(Pricing!Q44:AA44,"(CB)")</f>
        <v>0</v>
      </c>
      <c r="M34" s="4">
        <f t="shared" si="18"/>
        <v>0</v>
      </c>
      <c r="N34" s="78">
        <f>IF(Pricing!AD44="Quoted",,IF(Pricing!E44="",,Pricing!L44*Pricing!M44/1000000))</f>
        <v>0</v>
      </c>
      <c r="O34" s="75">
        <f>IF(Pricing!AD44="Quoted",,IF(OR(Pricing!J44 = "Silent",Pricing!J44 = "Split Tilt"),ROUND($N$34*$C$9,0.2),0))</f>
        <v>0</v>
      </c>
      <c r="P34" s="75">
        <f>IF(Pricing!AD44="Quoted",,IF(Pricing!D44="Tracked",ROUND(C11+(F2*Q34),0.2),))</f>
        <v>0</v>
      </c>
      <c r="Q34" s="79">
        <f>IF(Pricing!AD44="Quoted",,IF(Pricing!E44="Tracked",CONVERT(Pricing!L44,"mm","m"),))</f>
        <v>0</v>
      </c>
      <c r="R34" s="75">
        <f>IF(Pricing!D44="S/Shade",ROUND($F$3*N34,0.2),0)</f>
        <v>0</v>
      </c>
      <c r="T34" s="4">
        <f t="shared" si="19"/>
        <v>0</v>
      </c>
      <c r="U34" s="78">
        <f>IF(Pricing!AD44="Quoted",,IF(OR(Pricing!J44="Silent",Pricing!J44="Split Tilt"),Pricing!L44*Pricing!M44/1000000,))</f>
        <v>0</v>
      </c>
      <c r="V34" s="68">
        <f>IF(Pricing!AD44="Quoted",,IF(Pricing!D44="Shape",IF(AP19&gt;2,ROUND(C16+((AP19-2)*C17),0.2),ROUND(C16,0.2)),))</f>
        <v>0</v>
      </c>
      <c r="W34" s="68">
        <f>IF(Pricing!D44="French Door Cutout",ROUND(Matrix2!$F$4,0.2),)</f>
        <v>0</v>
      </c>
      <c r="X34" s="68">
        <f>IF(Pricing!AD44="Quoted",,IF(OR(Pricing!F44="Custom Colour",ISNUMBER(SEARCH("Classic Black",Pricing!F44)),ISNUMBER(SEARCH("Matte Black",Pricing!F44))),ROUND(Matrix2!F11,0.2),))</f>
        <v>0</v>
      </c>
      <c r="Y34" s="68">
        <f>IF(OR(AND(Pricing!E44&lt;&gt;"Java",Pricing!G46="Stainless Steel"),Pricing!G46="Brushed Nickel Plated"),ROUND(Matrix2!$F$12*Matrix2!N34,0.2),)</f>
        <v>0</v>
      </c>
      <c r="Z34" s="179">
        <f>IF(AND(N34&lt;1,N34&gt;0),ROUND(1*$C$19,0.2),ROUND(N34*$C$19,))</f>
        <v>0</v>
      </c>
      <c r="AA34" s="68">
        <f>IF(Pricing!AD44="Quoted",,IF(Pricing!AD44="YES",ROUND(CONVERT(Pricing!L44,"mm","m")*$F$14,0.2),))</f>
        <v>0</v>
      </c>
      <c r="AB34" s="838" t="s">
        <v>299</v>
      </c>
      <c r="AC34" s="838"/>
      <c r="AD34" s="839" t="str">
        <f xml:space="preserve"> TRIM(Pricing!Q44 &amp; Pricing!R44 &amp; Pricing!S44 &amp; Pricing!T44 &amp; Pricing!U44 &amp; Pricing!V44 &amp; Pricing!W44 &amp; Pricing!X44 &amp; Pricing!Y44 &amp;Pricing!Z44 &amp; Pricing!AA44)</f>
        <v/>
      </c>
      <c r="AE34" s="839"/>
      <c r="AF34" s="839"/>
      <c r="AH34" s="840" t="s">
        <v>300</v>
      </c>
      <c r="AI34" s="841"/>
      <c r="AJ34" s="839" t="str">
        <f xml:space="preserve"> TRIM('Survey Front'!S48 &amp; 'Survey Front'!T48 &amp;  'Survey Front'!U48 &amp; 'Survey Front'!V48  &amp; 'Survey Front'!W48 &amp; 'Survey Front'!X48  &amp; 'Survey Front'!Y48  &amp; 'Survey Front'!Z48  &amp; 'Survey Front'!AA48 &amp; 'Survey Front'!AB48  &amp; 'Survey Front'!AC48)</f>
        <v/>
      </c>
      <c r="AK34" s="839"/>
      <c r="AL34" s="839"/>
      <c r="AT34" t="s">
        <v>190</v>
      </c>
    </row>
    <row r="35" spans="11:46" x14ac:dyDescent="0.25">
      <c r="K35" t="s">
        <v>191</v>
      </c>
      <c r="L35" s="77">
        <f>COUNTIFS(Pricing!Q47:AA47,"(CB)")</f>
        <v>0</v>
      </c>
      <c r="M35" s="4">
        <f t="shared" si="18"/>
        <v>0</v>
      </c>
      <c r="N35" s="78">
        <f>IF(Pricing!AD47="Quoted",,IF(Pricing!E47="",,Pricing!L47*Pricing!M47/1000000))</f>
        <v>0</v>
      </c>
      <c r="O35" s="75">
        <f>IF(Pricing!AD47="Quoted",,IF(OR(Pricing!J47 = "Silent",Pricing!J47 = "Split Tilt"),ROUND($N$35*$C$9,0.2),0))</f>
        <v>0</v>
      </c>
      <c r="P35" s="75">
        <f>IF(Pricing!AD47="Quoted",,IF(Pricing!D47="Tracked",ROUND(C11+(F2*Q35),0.2),))</f>
        <v>0</v>
      </c>
      <c r="Q35" s="79">
        <f>IF(Pricing!AD47="Quoted",,IF(Pricing!E47="Tracked",CONVERT(Pricing!L47,"mm","m"),))</f>
        <v>0</v>
      </c>
      <c r="R35" s="75">
        <f>IF(Pricing!D47="S/Shade",ROUND($F$3*N35,0.2),0)</f>
        <v>0</v>
      </c>
      <c r="T35" s="4">
        <f t="shared" si="19"/>
        <v>0</v>
      </c>
      <c r="U35" s="78">
        <f>IF(Pricing!AD47="Quoted",,IF(OR(Pricing!J47="Silent",Pricing!J47="Split Tilt"),Pricing!L47*Pricing!M47/1000000,))</f>
        <v>0</v>
      </c>
      <c r="V35" s="68">
        <f>IF(Pricing!AD47="Quoted",,IF(Pricing!D47="Shape",IF(AQ19&gt;2,ROUND(C16+((AQ19-2)*C17),0.2),ROUND(C16,0.2)),))</f>
        <v>0</v>
      </c>
      <c r="W35" s="68">
        <f>IF(Pricing!D47="French Door Cutout",ROUND(Matrix2!$F$4,0.2),)</f>
        <v>0</v>
      </c>
      <c r="X35" s="68">
        <f>IF(Pricing!AD47="Quoted",,IF(OR(Pricing!F47="Custom Colour",ISNUMBER(SEARCH("Classic Black",Pricing!F47)),ISNUMBER(SEARCH("Matte Black",Pricing!F47))),ROUND(Matrix2!F11,0.2),))</f>
        <v>0</v>
      </c>
      <c r="Y35" s="68">
        <f>IF(OR(AND(Pricing!E47&lt;&gt;"Java",Pricing!G49="Stainless Steel"),Pricing!G49="Brushed Nickel Plated"),ROUND(Matrix2!$F$12*Matrix2!N35,0.2),)</f>
        <v>0</v>
      </c>
      <c r="Z35" s="179">
        <f>IF(AND(N35&lt;1,N35&gt;0),ROUND(1*$C$19,0.2),ROUND(N35*$C$19,0.2))</f>
        <v>0</v>
      </c>
      <c r="AA35" s="68">
        <f>IF(Pricing!AD47="Quoted",,IF(Pricing!AD47="YES",ROUND(CONVERT(Pricing!L47,"mm","m")*$F$14,0.2),))</f>
        <v>0</v>
      </c>
      <c r="AB35" s="838" t="s">
        <v>301</v>
      </c>
      <c r="AC35" s="838"/>
      <c r="AD35" s="839" t="str">
        <f xml:space="preserve"> TRIM(Pricing!Q47 &amp; Pricing!R47 &amp;Pricing!S47 &amp; Pricing!T47 &amp; Pricing!U47 &amp; Pricing!V47 &amp; Pricing!W47 &amp; Pricing!X47 &amp; Pricing!Y47 &amp; Pricing!Z47 &amp; Pricing!AA47)</f>
        <v/>
      </c>
      <c r="AE35" s="839"/>
      <c r="AF35" s="839"/>
      <c r="AH35" s="840" t="s">
        <v>302</v>
      </c>
      <c r="AI35" s="841"/>
      <c r="AJ35" s="839" t="str">
        <f xml:space="preserve"> TRIM('Survey Front'!S51 &amp; 'Survey Front'!T51 &amp;  'Survey Front'!U51 &amp; 'Survey Front'!V51  &amp; 'Survey Front'!W51 &amp; 'Survey Front'!X51  &amp; 'Survey Front'!Y51  &amp; 'Survey Front'!Z51  &amp; 'Survey Front'!AA51 &amp; 'Survey Front'!AB51  &amp; 'Survey Front'!AC51)</f>
        <v/>
      </c>
      <c r="AK35" s="839"/>
      <c r="AL35" s="839"/>
    </row>
    <row r="36" spans="11:46" x14ac:dyDescent="0.25">
      <c r="K36" t="s">
        <v>192</v>
      </c>
      <c r="L36" s="77">
        <f>COUNTIFS(Pricing!Q50:AA50,"(CB)")</f>
        <v>0</v>
      </c>
      <c r="M36" s="4">
        <f t="shared" si="18"/>
        <v>0</v>
      </c>
      <c r="N36" s="78">
        <f>IF(Pricing!AD50="Quoted",,IF(Pricing!E50="",,Pricing!L50*Pricing!M50/1000000))</f>
        <v>0</v>
      </c>
      <c r="O36" s="75">
        <f>IF(Pricing!AD50="Quoted",,IF(OR(Pricing!J50 = "Silent",Pricing!J50 = "Split Tilt"),ROUND($N$36*$C$9,0.2),0))</f>
        <v>0</v>
      </c>
      <c r="P36" s="75">
        <f>IF(Pricing!AD50="Quoted",,IF(Pricing!D50="Tracked",ROUND(C11+(F2*Q36),0.2),))</f>
        <v>0</v>
      </c>
      <c r="Q36" s="79">
        <f>IF(Pricing!AD50="Quoted",,IF(Pricing!E50="Tracked",CONVERT(Pricing!L50,"mm","m"),))</f>
        <v>0</v>
      </c>
      <c r="R36" s="75">
        <f>IF(Pricing!D50="S/Shade",ROUND($F$3*N36,0.2),0)</f>
        <v>0</v>
      </c>
      <c r="T36" s="4">
        <f t="shared" si="19"/>
        <v>0</v>
      </c>
      <c r="U36" s="78">
        <f>IF(Pricing!AD50="Quoted",,IF(OR(Pricing!J50="Silent",Pricing!J50="Split Tilt"),Pricing!L50*Pricing!M50/1000000,))</f>
        <v>0</v>
      </c>
      <c r="V36" s="68">
        <f>IF(Pricing!AD50="Quoted",,IF(Pricing!D50="Shape",IF(AR19&gt;2,ROUND(C16+((AR19-2)*C17),0.2),ROUND(C16,0.2)),))</f>
        <v>0</v>
      </c>
      <c r="W36" s="68">
        <f>IF(Pricing!D50="French Door Cutout",ROUND(Matrix2!$F$4,0.2),)</f>
        <v>0</v>
      </c>
      <c r="X36" s="68">
        <f>IF(Pricing!AD50="Quoted",,IF(OR(Pricing!F50="Custom Colour",ISNUMBER(SEARCH("Classic Black",Pricing!F50)),ISNUMBER(SEARCH("Matte Black",Pricing!F50))),ROUND(Matrix2!F11,0.2),))</f>
        <v>0</v>
      </c>
      <c r="Y36" s="68">
        <f>IF(OR(AND(Pricing!E50&lt;&gt;"Java",Pricing!G52="Stainless Steel"),Pricing!G52="Brushed Nickel Plated"),ROUND(Matrix2!$F$12*Matrix2!N36,0.2),)</f>
        <v>0</v>
      </c>
      <c r="Z36" s="179">
        <f>IF(AND(N36&lt;1,N36&gt;0),ROUND(1*$C$19,0.2),ROUND(N36*$C$19,0.2))</f>
        <v>0</v>
      </c>
      <c r="AA36" s="68">
        <f>IF(Pricing!AD50="Quoted",,IF(Pricing!AD50="YES",ROUND(CONVERT(Pricing!L50,"mm","m")*$F$14,0.2),))</f>
        <v>0</v>
      </c>
      <c r="AB36" s="838" t="s">
        <v>303</v>
      </c>
      <c r="AC36" s="838"/>
      <c r="AD36" s="839" t="str">
        <f xml:space="preserve"> TRIM(Pricing!Q50 &amp; Pricing!R50 &amp; Pricing!S50 &amp;Pricing!T50 &amp; Pricing!U50 &amp; Pricing!V50 &amp; Pricing!W50 &amp; Pricing!X50 &amp; Pricing!Y50 &amp; Pricing!Z50 &amp; Pricing!AA50)</f>
        <v/>
      </c>
      <c r="AE36" s="839"/>
      <c r="AF36" s="839"/>
      <c r="AH36" s="840" t="s">
        <v>304</v>
      </c>
      <c r="AI36" s="841"/>
      <c r="AJ36" s="839" t="str">
        <f xml:space="preserve"> TRIM('Survey Front'!S54 &amp; 'Survey Front'!T54 &amp;  'Survey Front'!U54 &amp; 'Survey Front'!V54  &amp; 'Survey Front'!W54 &amp; 'Survey Front'!X54  &amp; 'Survey Front'!Y54  &amp; 'Survey Front'!Z54  &amp; 'Survey Front'!AA54 &amp; 'Survey Front'!AB54  &amp; 'Survey Front'!AC54)</f>
        <v/>
      </c>
      <c r="AK36" s="839"/>
      <c r="AL36" s="839"/>
      <c r="AT36" t="s">
        <v>191</v>
      </c>
    </row>
    <row r="38" spans="11:46" x14ac:dyDescent="0.25">
      <c r="AH38" t="s">
        <v>305</v>
      </c>
      <c r="AT38" t="s">
        <v>192</v>
      </c>
    </row>
    <row r="39" spans="11:46" x14ac:dyDescent="0.25">
      <c r="K39" s="836" t="s">
        <v>306</v>
      </c>
      <c r="L39" s="837"/>
      <c r="M39" s="837"/>
      <c r="N39" s="837"/>
      <c r="O39" s="837"/>
      <c r="P39" s="837"/>
      <c r="Q39" s="837"/>
      <c r="R39" s="837"/>
      <c r="S39" s="837"/>
      <c r="T39" s="837"/>
      <c r="U39" s="837"/>
      <c r="V39" s="837"/>
      <c r="W39" s="837"/>
      <c r="X39" s="837"/>
      <c r="Y39" s="837"/>
      <c r="Z39" s="837"/>
      <c r="AC39" s="67" t="s">
        <v>177</v>
      </c>
      <c r="AD39" s="67" t="s">
        <v>178</v>
      </c>
      <c r="AE39" s="67" t="s">
        <v>179</v>
      </c>
      <c r="AF39" s="67" t="s">
        <v>180</v>
      </c>
      <c r="AG39" s="67" t="s">
        <v>181</v>
      </c>
      <c r="AH39" s="67" t="s">
        <v>182</v>
      </c>
      <c r="AI39" s="67" t="s">
        <v>183</v>
      </c>
      <c r="AJ39" s="67" t="s">
        <v>184</v>
      </c>
      <c r="AK39" s="67" t="s">
        <v>185</v>
      </c>
      <c r="AL39" s="67" t="s">
        <v>186</v>
      </c>
      <c r="AM39" s="67" t="s">
        <v>187</v>
      </c>
      <c r="AN39" s="67" t="s">
        <v>188</v>
      </c>
      <c r="AO39" s="67" t="s">
        <v>189</v>
      </c>
      <c r="AP39" s="67" t="s">
        <v>190</v>
      </c>
      <c r="AQ39" s="67" t="s">
        <v>191</v>
      </c>
      <c r="AR39" s="67" t="s">
        <v>192</v>
      </c>
    </row>
    <row r="40" spans="11:46" x14ac:dyDescent="0.25">
      <c r="K40" s="34"/>
      <c r="L40" s="69" t="s">
        <v>178</v>
      </c>
      <c r="M40" s="69" t="s">
        <v>179</v>
      </c>
      <c r="N40" s="69" t="s">
        <v>180</v>
      </c>
      <c r="O40" s="69" t="s">
        <v>181</v>
      </c>
      <c r="P40" s="69" t="s">
        <v>182</v>
      </c>
      <c r="Q40" s="69" t="s">
        <v>183</v>
      </c>
      <c r="R40" s="69" t="s">
        <v>184</v>
      </c>
      <c r="S40" s="69" t="s">
        <v>185</v>
      </c>
      <c r="T40" s="69" t="s">
        <v>186</v>
      </c>
      <c r="U40" s="69" t="s">
        <v>187</v>
      </c>
      <c r="V40" s="69" t="s">
        <v>188</v>
      </c>
      <c r="W40" s="69" t="s">
        <v>189</v>
      </c>
      <c r="X40" s="69" t="s">
        <v>190</v>
      </c>
      <c r="Y40" s="69" t="s">
        <v>191</v>
      </c>
      <c r="Z40" s="69" t="s">
        <v>192</v>
      </c>
      <c r="AC40" s="70" t="s">
        <v>196</v>
      </c>
      <c r="AD40" s="4">
        <f>COUNTIFS('Survey Front'!$S$12:$AC$12,$AC40)</f>
        <v>1</v>
      </c>
      <c r="AE40" s="4">
        <f>COUNTIFS('Survey Front'!$S$15:$AC$15,$AC40)</f>
        <v>0</v>
      </c>
      <c r="AF40" s="4">
        <f>COUNTIFS('Survey Front'!$S$18:$AC$18,$AC40)</f>
        <v>1</v>
      </c>
      <c r="AG40" s="4">
        <f>COUNTIFS('Survey Front'!$S$21:$AC$21,$AC40)</f>
        <v>0</v>
      </c>
      <c r="AH40" s="4">
        <f>COUNTIFS('Survey Front'!$S$24:$AC$24,$AC40)</f>
        <v>0</v>
      </c>
      <c r="AI40" s="4">
        <f>COUNTIFS('Survey Front'!$S$27:$AC$27,$AC40)</f>
        <v>0</v>
      </c>
      <c r="AJ40" s="4">
        <f>COUNTIFS('Survey Front'!$S$30:$AC$30,$AC40)</f>
        <v>0</v>
      </c>
      <c r="AK40" s="4">
        <f>COUNTIFS('Survey Front'!$S$33:$AC$33,$AC40)</f>
        <v>0</v>
      </c>
      <c r="AL40" s="4">
        <f>COUNTIFS('Survey Front'!$S$36:$AC$36,$AC40)</f>
        <v>0</v>
      </c>
      <c r="AM40" s="4">
        <f>COUNTIFS('Survey Front'!$S$39:$AC$39,$AC40)</f>
        <v>0</v>
      </c>
      <c r="AN40" s="4">
        <f>COUNTIFS('Survey Front'!$S$42:$AC$42,$AC40)</f>
        <v>0</v>
      </c>
      <c r="AO40" s="4">
        <f>COUNTIFS('Survey Front'!$S$45:$AC$45,$AC40)</f>
        <v>0</v>
      </c>
      <c r="AP40" s="4">
        <f>COUNTIFS('Survey Front'!$S$48:$AC$48,$AC40)</f>
        <v>0</v>
      </c>
      <c r="AQ40" s="4">
        <f>COUNTIFS('Survey Front'!$S$51:$AC$51,$AC40)</f>
        <v>0</v>
      </c>
      <c r="AR40" s="4">
        <f>COUNTIFS('Survey Front'!$S$54:$AC$54,$AC40)</f>
        <v>0</v>
      </c>
    </row>
    <row r="41" spans="11:46" x14ac:dyDescent="0.25">
      <c r="K41" s="71" t="s">
        <v>43</v>
      </c>
      <c r="L41" s="72">
        <f>IF(Pricing!$AD$8="Quoted",($C2*$N$60)+AA60+V60,)</f>
        <v>0</v>
      </c>
      <c r="M41" s="72">
        <f>IF(Pricing!$AD$11="Quoted",($C2*$N$61)+AA61+V61,)</f>
        <v>0</v>
      </c>
      <c r="N41" s="72">
        <f>IF(Pricing!$AD$14="Quoted",($C2*$N$62)+AA62+V62,)</f>
        <v>0</v>
      </c>
      <c r="O41" s="72">
        <f>IF(Pricing!$AD$17="Quoted",($C2*$N$63)+AA63+V63,)</f>
        <v>0</v>
      </c>
      <c r="P41" s="72">
        <f>IF(Pricing!$AD$20="Quoted",($C2*$N$64)+AA64+V64,)</f>
        <v>0</v>
      </c>
      <c r="Q41" s="72">
        <f>IF(Pricing!$AD$23="Quoted",($C2*$N$65)+AA65+V65,)</f>
        <v>0</v>
      </c>
      <c r="R41" s="72">
        <f>IF(Pricing!$AD$26="Quoted",($C2*$N$66)+AA66+V66,)</f>
        <v>0</v>
      </c>
      <c r="S41" s="72">
        <f>IF(Pricing!$AD$29="Quoted",($C2*$N$67)+AA67+V67,)</f>
        <v>0</v>
      </c>
      <c r="T41" s="72">
        <f>IF(Pricing!$AD$32="Quoted",($C2*$N$68)+AA68+V68,)</f>
        <v>0</v>
      </c>
      <c r="U41" s="72">
        <f>IF(Pricing!$AD$35="Quoted",($C2*$N$69)+AA69+V69,)</f>
        <v>0</v>
      </c>
      <c r="V41" s="72">
        <f>IF(Pricing!$AD$38="Quoted",($C2*$N$70)+AA70+V70:V71,)</f>
        <v>0</v>
      </c>
      <c r="W41" s="72">
        <f>IF(Pricing!$AD$41="Quoted",($C2*$N$71)+AA71+V71,)</f>
        <v>0</v>
      </c>
      <c r="X41" s="72">
        <f>IF(Pricing!$AD$44="Quoted",($C2*$N$72)+AA72+V72,)</f>
        <v>0</v>
      </c>
      <c r="Y41" s="72">
        <f>IF(Pricing!$AD$47="Quoted",($C2*$N$73)+AA73+V73,)</f>
        <v>0</v>
      </c>
      <c r="Z41" s="72">
        <f>IF(Pricing!$AD$50="Quoted",($C2*$N$74)+AA74+V74,)</f>
        <v>0</v>
      </c>
      <c r="AA41" s="68">
        <f>SUM(L41:Z41)</f>
        <v>0</v>
      </c>
      <c r="AC41" s="4" t="s">
        <v>210</v>
      </c>
      <c r="AD41" s="4">
        <f>COUNTIFS('Survey Front'!$S$12:$AC$12,$AC41)</f>
        <v>0</v>
      </c>
      <c r="AE41" s="4">
        <f>COUNTIFS('Survey Front'!$S$15:$AC$15,$AC41)</f>
        <v>0</v>
      </c>
      <c r="AF41" s="4">
        <f>COUNTIFS('Survey Front'!$S$18:$AC$18,$AC41)</f>
        <v>0</v>
      </c>
      <c r="AG41" s="4">
        <f>COUNTIFS('Survey Front'!$S$21:$AC$21,$AC41)</f>
        <v>0</v>
      </c>
      <c r="AH41" s="4">
        <f>COUNTIFS('Survey Front'!$S$24:$AC$24,$AC41)</f>
        <v>0</v>
      </c>
      <c r="AI41" s="4">
        <f>COUNTIFS('Survey Front'!$S$27:$AC$27,$AC41)</f>
        <v>0</v>
      </c>
      <c r="AJ41" s="4">
        <f>COUNTIFS('Survey Front'!$S$30:$AC$30,$AC41)</f>
        <v>0</v>
      </c>
      <c r="AK41" s="4">
        <f>COUNTIFS('Survey Front'!$S$33:$AC$33,$AC41)</f>
        <v>0</v>
      </c>
      <c r="AL41" s="4">
        <f>COUNTIFS('Survey Front'!$S$36:$AC$36,$AC41)</f>
        <v>0</v>
      </c>
      <c r="AM41" s="4">
        <f>COUNTIFS('Survey Front'!$S$39:$AC$39,$AC41)</f>
        <v>0</v>
      </c>
      <c r="AN41" s="4">
        <f>COUNTIFS('Survey Front'!$S$42:$AC$42,$AC41)</f>
        <v>0</v>
      </c>
      <c r="AO41" s="4">
        <f>COUNTIFS('Survey Front'!$S$45:$AC$45,$AC41)</f>
        <v>0</v>
      </c>
      <c r="AP41" s="4">
        <f>COUNTIFS('Survey Front'!$S$48:$AC$48,$AC41)</f>
        <v>0</v>
      </c>
      <c r="AQ41" s="4">
        <f>COUNTIFS('Survey Front'!$S$51:$AC$51,$AC41)</f>
        <v>0</v>
      </c>
      <c r="AR41" s="4">
        <f>COUNTIFS('Survey Front'!$S$54:$AC$54,$AC41)</f>
        <v>0</v>
      </c>
    </row>
    <row r="42" spans="11:46" x14ac:dyDescent="0.25">
      <c r="K42" s="71" t="s">
        <v>45</v>
      </c>
      <c r="L42" s="72">
        <f>$L$41+(C3*$N$60)</f>
        <v>0</v>
      </c>
      <c r="M42" s="72">
        <f>(C3*$N$61)+M41</f>
        <v>0</v>
      </c>
      <c r="N42" s="75">
        <f>(C3*$N$62)+N41</f>
        <v>0</v>
      </c>
      <c r="O42" s="72">
        <f>(C3*$N$63)+O41</f>
        <v>0</v>
      </c>
      <c r="P42" s="72">
        <f>(C3*$N$64)+P41</f>
        <v>0</v>
      </c>
      <c r="Q42" s="72">
        <f>(C3*$N$65)+Q41</f>
        <v>0</v>
      </c>
      <c r="R42" s="72">
        <f>(C3*$N$66)+R41</f>
        <v>0</v>
      </c>
      <c r="S42" s="72">
        <f>(C3*$N$67)+S41</f>
        <v>0</v>
      </c>
      <c r="T42" s="72">
        <f>(C3*$N$68)+T41</f>
        <v>0</v>
      </c>
      <c r="U42" s="72">
        <f>(C3*$N$69)+U41</f>
        <v>0</v>
      </c>
      <c r="V42" s="72">
        <f>(C3*$N$70)+V41</f>
        <v>0</v>
      </c>
      <c r="W42" s="72">
        <f>(C3*$N$71)+W41</f>
        <v>0</v>
      </c>
      <c r="X42" s="72">
        <f>(C3*$N$72)+X41</f>
        <v>0</v>
      </c>
      <c r="Y42" s="72">
        <f>(C3*$N$73)+Y41</f>
        <v>0</v>
      </c>
      <c r="Z42" s="72">
        <f>(C3*$N$74)+Z41</f>
        <v>0</v>
      </c>
      <c r="AA42" s="68">
        <f t="shared" ref="AA42:AA46" si="20">SUM(L42:Z42)</f>
        <v>0</v>
      </c>
      <c r="AC42" s="4" t="s">
        <v>213</v>
      </c>
      <c r="AD42" s="4">
        <f>COUNTIFS('Survey Front'!$S$12:$AC$12,$AC42)*2</f>
        <v>0</v>
      </c>
      <c r="AE42" s="4">
        <f>COUNTIFS('Survey Front'!$S$15:$AC$15,$AC42)*2</f>
        <v>2</v>
      </c>
      <c r="AF42" s="4">
        <f>COUNTIFS('Survey Front'!$S$18:$AC$18,$AC42)*2</f>
        <v>0</v>
      </c>
      <c r="AG42" s="4">
        <f>COUNTIFS('Survey Front'!$S$21:$AC$21,$AC42)*2</f>
        <v>2</v>
      </c>
      <c r="AH42" s="4">
        <f>COUNTIFS('Survey Front'!$S$24:$AC$24,$AC42)*2</f>
        <v>2</v>
      </c>
      <c r="AI42" s="4">
        <f>COUNTIFS('Survey Front'!$S$27:$AC$27,$AC42)*2</f>
        <v>2</v>
      </c>
      <c r="AJ42" s="4">
        <f>COUNTIFS('Survey Front'!$S$30:$AC$30,$AC42)*2</f>
        <v>2</v>
      </c>
      <c r="AK42" s="4">
        <f>COUNTIFS('Survey Front'!$S$33:$AC$33,$AC42)*2</f>
        <v>0</v>
      </c>
      <c r="AL42" s="4">
        <f>COUNTIFS('Survey Front'!$S$36:$AC$36,$AC42)*2</f>
        <v>0</v>
      </c>
      <c r="AM42" s="4">
        <f>COUNTIFS('Survey Front'!$S$39:$AC$39,$AC42)*2</f>
        <v>0</v>
      </c>
      <c r="AN42" s="4">
        <f>COUNTIFS('Survey Front'!$S$42:$AC$42,$AC42)*2</f>
        <v>0</v>
      </c>
      <c r="AO42" s="4">
        <f>COUNTIFS('Survey Front'!$S$45:$AC$45,$AC42)*2</f>
        <v>0</v>
      </c>
      <c r="AP42" s="4">
        <f>COUNTIFS('Survey Front'!$S$48:$AC$48,$AC42)*2</f>
        <v>0</v>
      </c>
      <c r="AQ42" s="4">
        <f>COUNTIFS('Survey Front'!$S$51:$AC$51,$AC42)*2</f>
        <v>0</v>
      </c>
      <c r="AR42" s="4">
        <f>COUNTIFS('Survey Front'!$S$54:$AC$54,$AC42)*2</f>
        <v>0</v>
      </c>
    </row>
    <row r="43" spans="11:46" x14ac:dyDescent="0.25">
      <c r="K43" s="71" t="s">
        <v>48</v>
      </c>
      <c r="L43" s="72">
        <f>(C4*$N$60)+L41</f>
        <v>0</v>
      </c>
      <c r="M43" s="72">
        <f>(C4*$N$61)+M41</f>
        <v>0</v>
      </c>
      <c r="N43" s="72">
        <f>(C4*$N$62)+N41</f>
        <v>0</v>
      </c>
      <c r="O43" s="72">
        <f>(C4*$N$63)+O41</f>
        <v>0</v>
      </c>
      <c r="P43" s="72">
        <f>(C4*$N$64)+P41</f>
        <v>0</v>
      </c>
      <c r="Q43" s="72">
        <f>(C4*$N$65)+Q41</f>
        <v>0</v>
      </c>
      <c r="R43" s="72">
        <f>(C4*$N$66)+R41</f>
        <v>0</v>
      </c>
      <c r="S43" s="72">
        <f>(C4*$N$67)+S41</f>
        <v>0</v>
      </c>
      <c r="T43" s="72">
        <f>(C4*$N$68)+T41</f>
        <v>0</v>
      </c>
      <c r="U43" s="72">
        <f>(C4*$N$69)+U41</f>
        <v>0</v>
      </c>
      <c r="V43" s="72">
        <f>(C4*$N$70)+V41</f>
        <v>0</v>
      </c>
      <c r="W43" s="72">
        <f>(C4*$N$71)+W41</f>
        <v>0</v>
      </c>
      <c r="X43" s="72">
        <f>(C4*$N$72)+X41</f>
        <v>0</v>
      </c>
      <c r="Y43" s="72">
        <f>(C4*$N$73)+Y41</f>
        <v>0</v>
      </c>
      <c r="Z43" s="72">
        <f>(C4*$N$74)+Z41</f>
        <v>0</v>
      </c>
      <c r="AA43" s="68">
        <f t="shared" si="20"/>
        <v>0</v>
      </c>
      <c r="AC43" s="4" t="s">
        <v>216</v>
      </c>
      <c r="AD43" s="4">
        <f>COUNTIFS('Survey Front'!$S$12:$AC$12,$AC43)*2</f>
        <v>0</v>
      </c>
      <c r="AE43" s="4">
        <f>COUNTIFS('Survey Front'!$S$15:$AC$15,$AC43)*2</f>
        <v>2</v>
      </c>
      <c r="AF43" s="4">
        <f>COUNTIFS('Survey Front'!$S$18:$AC$18,$AC43)*2</f>
        <v>2</v>
      </c>
      <c r="AG43" s="4">
        <f>COUNTIFS('Survey Front'!$S$21:$AC$21,$AC43)*2</f>
        <v>2</v>
      </c>
      <c r="AH43" s="4">
        <f>COUNTIFS('Survey Front'!$S$24:$AC$24,$AC43)*2</f>
        <v>2</v>
      </c>
      <c r="AI43" s="4">
        <f>COUNTIFS('Survey Front'!$S$27:$AC$27,$AC43)*2</f>
        <v>2</v>
      </c>
      <c r="AJ43" s="4">
        <f>COUNTIFS('Survey Front'!$S$30:$AC$30,$AC43)*2</f>
        <v>2</v>
      </c>
      <c r="AK43" s="4">
        <f>COUNTIFS('Survey Front'!$S$33:$AC$33,$AC43)*2</f>
        <v>0</v>
      </c>
      <c r="AL43" s="4">
        <f>COUNTIFS('Survey Front'!$S$36:$AC$36,$AC43)*2</f>
        <v>0</v>
      </c>
      <c r="AM43" s="4">
        <f>COUNTIFS('Survey Front'!$S$39:$AC$39,$AC43)*2</f>
        <v>0</v>
      </c>
      <c r="AN43" s="4">
        <f>COUNTIFS('Survey Front'!$S$42:$AC$42,$AC43)*2</f>
        <v>0</v>
      </c>
      <c r="AO43" s="4">
        <f>COUNTIFS('Survey Front'!$S$45:$AC$45,$AC43)*2</f>
        <v>0</v>
      </c>
      <c r="AP43" s="4">
        <f>COUNTIFS('Survey Front'!$S$48:$AC$48,$AC43)*2</f>
        <v>0</v>
      </c>
      <c r="AQ43" s="4">
        <f>COUNTIFS('Survey Front'!$S$51:$AC$51,$AC43)*2</f>
        <v>0</v>
      </c>
      <c r="AR43" s="4">
        <f>COUNTIFS('Survey Front'!$S$54:$AC$54,$AC43)*2</f>
        <v>0</v>
      </c>
    </row>
    <row r="44" spans="11:46" x14ac:dyDescent="0.25">
      <c r="K44" s="71" t="s">
        <v>52</v>
      </c>
      <c r="L44" s="72">
        <f>(C5*$N$60)+V60+W60+L41</f>
        <v>0</v>
      </c>
      <c r="M44" s="72">
        <f>(C5*$N$61)+V61+W61+M41</f>
        <v>0</v>
      </c>
      <c r="N44" s="72">
        <f>(C5*$N$62)+V62+W62+N41</f>
        <v>0</v>
      </c>
      <c r="O44" s="72">
        <f>(C5*$N$63)+V63+W63+O41</f>
        <v>0</v>
      </c>
      <c r="P44" s="72">
        <f>(C5*$N$64)+V64+W64+P41</f>
        <v>0</v>
      </c>
      <c r="Q44" s="72">
        <f>(C5*$N$65)+V65+W65+Q41</f>
        <v>0</v>
      </c>
      <c r="R44" s="72">
        <f>(C5*$N$66)+V66+W66+R41</f>
        <v>0</v>
      </c>
      <c r="S44" s="72">
        <f>(C5*$N$67)+V67+W67+S41</f>
        <v>0</v>
      </c>
      <c r="T44" s="72">
        <f>(C5*$N$68)+V68+W68+T41</f>
        <v>0</v>
      </c>
      <c r="U44" s="72">
        <f>(C5*$N$69)+V69+W69+U41</f>
        <v>0</v>
      </c>
      <c r="V44" s="72">
        <f>(C5*$N$70)+V70+W70+V41</f>
        <v>0</v>
      </c>
      <c r="W44" s="72">
        <f>(C5*$N$71)+V71+W71+W41</f>
        <v>0</v>
      </c>
      <c r="X44" s="72">
        <f>(C5*$N$72)+V72+W72+X41</f>
        <v>0</v>
      </c>
      <c r="Y44" s="72">
        <f>(C5*$N$73)+V73+W73+Y41</f>
        <v>0</v>
      </c>
      <c r="Z44" s="72">
        <f>(C5*$N$74)+V74+W74+Z41</f>
        <v>0</v>
      </c>
      <c r="AA44" s="68">
        <f t="shared" si="20"/>
        <v>0</v>
      </c>
      <c r="AC44" s="4" t="s">
        <v>219</v>
      </c>
      <c r="AD44" s="4">
        <f>COUNTIFS('Survey Front'!$S$12:$AC$12,$AC44)*2</f>
        <v>0</v>
      </c>
      <c r="AE44" s="4">
        <f>COUNTIFS('Survey Front'!$S$15:$AC$15,$AC44)*2</f>
        <v>0</v>
      </c>
      <c r="AF44" s="4">
        <f>COUNTIFS('Survey Front'!$S$18:$AC$18,$AC44)*2</f>
        <v>0</v>
      </c>
      <c r="AG44" s="4">
        <f>COUNTIFS('Survey Front'!$S$21:$AC$21,$AC44)*2</f>
        <v>0</v>
      </c>
      <c r="AH44" s="4">
        <f>COUNTIFS('Survey Front'!$S$24:$AC$24,$AC44)*2</f>
        <v>0</v>
      </c>
      <c r="AI44" s="4">
        <f>COUNTIFS('Survey Front'!$S$27:$AC$27,$AC44)*2</f>
        <v>0</v>
      </c>
      <c r="AJ44" s="4">
        <f>COUNTIFS('Survey Front'!$S$30:$AC$30,$AC44)*2</f>
        <v>0</v>
      </c>
      <c r="AK44" s="4">
        <f>COUNTIFS('Survey Front'!$S$33:$AC$33,$AC44)*2</f>
        <v>0</v>
      </c>
      <c r="AL44" s="4">
        <f>COUNTIFS('Survey Front'!$S$36:$AC$36,$AC44)*2</f>
        <v>0</v>
      </c>
      <c r="AM44" s="4">
        <f>COUNTIFS('Survey Front'!$S$39:$AC$39,$AC44)*2</f>
        <v>0</v>
      </c>
      <c r="AN44" s="4">
        <f>COUNTIFS('Survey Front'!$S$42:$AC$42,$AC44)*2</f>
        <v>0</v>
      </c>
      <c r="AO44" s="4">
        <f>COUNTIFS('Survey Front'!$S$45:$AC$45,$AC44)*2</f>
        <v>0</v>
      </c>
      <c r="AP44" s="4">
        <f>COUNTIFS('Survey Front'!$S$48:$AC$48,$AC44)*2</f>
        <v>0</v>
      </c>
      <c r="AQ44" s="4">
        <f>COUNTIFS('Survey Front'!$S$51:$AC$51,$AC44)*2</f>
        <v>0</v>
      </c>
      <c r="AR44" s="4">
        <f>COUNTIFS('Survey Front'!$S$54:$AC$54,$AC44)*2</f>
        <v>0</v>
      </c>
    </row>
    <row r="45" spans="11:46" x14ac:dyDescent="0.25">
      <c r="K45" s="71" t="s">
        <v>54</v>
      </c>
      <c r="L45" s="72">
        <f>(C6*$N$60)+L41</f>
        <v>0</v>
      </c>
      <c r="M45" s="72">
        <f>(C6*$N$61)+M41</f>
        <v>0</v>
      </c>
      <c r="N45" s="72">
        <f>(C6*$N$62)+N41</f>
        <v>0</v>
      </c>
      <c r="O45" s="72">
        <f>(C6*$N$63)+O41</f>
        <v>0</v>
      </c>
      <c r="P45" s="72">
        <f>(C6*$N$64)+P41</f>
        <v>0</v>
      </c>
      <c r="Q45" s="72">
        <f>(C6*$N$65)+Q41</f>
        <v>0</v>
      </c>
      <c r="R45" s="72">
        <f>(C6*$N$66)+R41</f>
        <v>0</v>
      </c>
      <c r="S45" s="72">
        <f>(C6*$N$67)+S41</f>
        <v>0</v>
      </c>
      <c r="T45" s="72">
        <f>(C6*$N$68)+T41</f>
        <v>0</v>
      </c>
      <c r="U45" s="72">
        <f>(C6*$N$69)+U41</f>
        <v>0</v>
      </c>
      <c r="V45" s="72">
        <f>(C6*$N$70)+V41</f>
        <v>0</v>
      </c>
      <c r="W45" s="72">
        <f>(C6*$N$71)+W41</f>
        <v>0</v>
      </c>
      <c r="X45" s="72">
        <f>(C6*$N$72)+X41</f>
        <v>0</v>
      </c>
      <c r="Y45" s="72">
        <f>(C6*$N$73)+Y41</f>
        <v>0</v>
      </c>
      <c r="Z45" s="72">
        <f>(C6*$N$74)+Z41</f>
        <v>0</v>
      </c>
      <c r="AA45" s="68">
        <f t="shared" si="20"/>
        <v>0</v>
      </c>
      <c r="AC45" s="4" t="s">
        <v>221</v>
      </c>
      <c r="AD45" s="4">
        <f>COUNTIFS('Survey Front'!$S$12:$AC$12,$AC45)*2</f>
        <v>0</v>
      </c>
      <c r="AE45" s="4">
        <f>COUNTIFS('Survey Front'!$S$15:$AC$15,$AC45)*2</f>
        <v>0</v>
      </c>
      <c r="AF45" s="4">
        <f>COUNTIFS('Survey Front'!$S$18:$AC$18,$AC45)*2</f>
        <v>0</v>
      </c>
      <c r="AG45" s="4">
        <f>COUNTIFS('Survey Front'!$S$21:$AC$21,$AC45)*2</f>
        <v>0</v>
      </c>
      <c r="AH45" s="4">
        <f>COUNTIFS('Survey Front'!$S$24:$AC$24,$AC45)*2</f>
        <v>0</v>
      </c>
      <c r="AI45" s="4">
        <f>COUNTIFS('Survey Front'!$S$27:$AC$27,$AC45)*2</f>
        <v>0</v>
      </c>
      <c r="AJ45" s="4">
        <f>COUNTIFS('Survey Front'!$S$30:$AC$30,$AC45)*2</f>
        <v>0</v>
      </c>
      <c r="AK45" s="4">
        <f>COUNTIFS('Survey Front'!$S$33:$AC$33,$AC45)*2</f>
        <v>0</v>
      </c>
      <c r="AL45" s="4">
        <f>COUNTIFS('Survey Front'!$S$36:$AC$36,$AC45)*2</f>
        <v>0</v>
      </c>
      <c r="AM45" s="4">
        <f>COUNTIFS('Survey Front'!$S$39:$AC$39,$AC45)*2</f>
        <v>0</v>
      </c>
      <c r="AN45" s="4">
        <f>COUNTIFS('Survey Front'!$S$42:$AC$42,$AC45)*2</f>
        <v>0</v>
      </c>
      <c r="AO45" s="4">
        <f>COUNTIFS('Survey Front'!$S$45:$AC$45,$AC45)*2</f>
        <v>0</v>
      </c>
      <c r="AP45" s="4">
        <f>COUNTIFS('Survey Front'!$S$48:$AC$48,$AC45)*2</f>
        <v>0</v>
      </c>
      <c r="AQ45" s="4">
        <f>COUNTIFS('Survey Front'!$S$51:$AC$51,$AC45)*2</f>
        <v>0</v>
      </c>
      <c r="AR45" s="4">
        <f>COUNTIFS('Survey Front'!$S$54:$AC$54,$AC45)*2</f>
        <v>0</v>
      </c>
    </row>
    <row r="46" spans="11:46" x14ac:dyDescent="0.25">
      <c r="K46" s="71" t="s">
        <v>57</v>
      </c>
      <c r="L46" s="72">
        <f>(C7*$N$60)+V60+W60+L41</f>
        <v>0</v>
      </c>
      <c r="M46" s="72">
        <f>$M$41+(C7*$N$61)+V61+W61</f>
        <v>0</v>
      </c>
      <c r="N46" s="72">
        <f>$N$41+(C7*$N$62)+V62+W62</f>
        <v>0</v>
      </c>
      <c r="O46" s="72">
        <f>$O$41+(C7*$N$63)+V63+W63</f>
        <v>0</v>
      </c>
      <c r="P46" s="72">
        <f>$P$41+(C7*$N$64)+V64+W64</f>
        <v>0</v>
      </c>
      <c r="Q46" s="72">
        <f>$Q$41+(C7*$N$65)+V65+W65</f>
        <v>0</v>
      </c>
      <c r="R46" s="72">
        <f>$R$41+(C7*$N$66)+V66+W66</f>
        <v>0</v>
      </c>
      <c r="S46" s="72">
        <f>$S$41+(C7*$N$67)+V67+W67</f>
        <v>0</v>
      </c>
      <c r="T46" s="72">
        <f>$T$41+(C7*$N$68)+V68+W68</f>
        <v>0</v>
      </c>
      <c r="U46" s="72">
        <f>$U$41+(C7*$N$69)+V69+W69</f>
        <v>0</v>
      </c>
      <c r="V46" s="72">
        <f>$V$41+(C7*$N$70)+V70+W70</f>
        <v>0</v>
      </c>
      <c r="W46" s="72">
        <f>$W$41+(C7*$N$71)+V71+W71</f>
        <v>0</v>
      </c>
      <c r="X46" s="72">
        <f>$X$41+(C7*$N$72)+V72+W72</f>
        <v>0</v>
      </c>
      <c r="Y46" s="72">
        <f>$Y$41+(C7*$N$73)+V73+W73</f>
        <v>0</v>
      </c>
      <c r="Z46" s="72">
        <f>$Z$41+(C7*$N$74)+V74+W74</f>
        <v>0</v>
      </c>
      <c r="AA46" s="68">
        <f t="shared" si="20"/>
        <v>0</v>
      </c>
      <c r="AC46" s="4" t="s">
        <v>225</v>
      </c>
      <c r="AD46" s="4">
        <f>COUNTIFS('Survey Front'!$S$12:$AC$12,$AC46)*2</f>
        <v>0</v>
      </c>
      <c r="AE46" s="4">
        <f>COUNTIFS('Survey Front'!$S$15:$AC$15,$AC46)*2</f>
        <v>0</v>
      </c>
      <c r="AF46" s="4">
        <f>COUNTIFS('Survey Front'!$S$18:$AC$18,$AC46)*2</f>
        <v>0</v>
      </c>
      <c r="AG46" s="4">
        <f>COUNTIFS('Survey Front'!$S$21:$AC$21,$AC46)*2</f>
        <v>0</v>
      </c>
      <c r="AH46" s="4">
        <f>COUNTIFS('Survey Front'!$S$24:$AC$24,$AC46)*2</f>
        <v>0</v>
      </c>
      <c r="AI46" s="4">
        <f>COUNTIFS('Survey Front'!$S$27:$AC$27,$AC46)*2</f>
        <v>0</v>
      </c>
      <c r="AJ46" s="4">
        <f>COUNTIFS('Survey Front'!$S$30:$AC$30,$AC46)*2</f>
        <v>0</v>
      </c>
      <c r="AK46" s="4">
        <f>COUNTIFS('Survey Front'!$S$33:$AC$33,$AC46)*2</f>
        <v>0</v>
      </c>
      <c r="AL46" s="4">
        <f>COUNTIFS('Survey Front'!$S$36:$AC$36,$AC46)*2</f>
        <v>0</v>
      </c>
      <c r="AM46" s="4">
        <f>COUNTIFS('Survey Front'!$S$39:$AC$39,$AC46)*2</f>
        <v>0</v>
      </c>
      <c r="AN46" s="4">
        <f>COUNTIFS('Survey Front'!$S$42:$AC$42,$AC46)*2</f>
        <v>0</v>
      </c>
      <c r="AO46" s="4">
        <f>COUNTIFS('Survey Front'!$S$45:$AC$45,$AC46)*2</f>
        <v>0</v>
      </c>
      <c r="AP46" s="4">
        <f>COUNTIFS('Survey Front'!$S$48:$AC$48,$AC46)*2</f>
        <v>0</v>
      </c>
      <c r="AQ46" s="4">
        <f>COUNTIFS('Survey Front'!$S$51:$AC$51,$AC46)*2</f>
        <v>0</v>
      </c>
      <c r="AR46" s="4">
        <f>COUNTIFS('Survey Front'!$S$54:$AC$54,$AC46)*2</f>
        <v>0</v>
      </c>
    </row>
    <row r="47" spans="11:46" x14ac:dyDescent="0.25">
      <c r="AC47" s="4" t="s">
        <v>228</v>
      </c>
      <c r="AD47" s="4">
        <f>COUNTIFS('Survey Front'!$S$12:$AC$12,$AC47)*2</f>
        <v>0</v>
      </c>
      <c r="AE47" s="4">
        <f>COUNTIFS('Survey Front'!$S$15:$AC$15,$AC47)*2</f>
        <v>0</v>
      </c>
      <c r="AF47" s="4">
        <f>COUNTIFS('Survey Front'!$S$18:$AC$18,$AC47)*2</f>
        <v>0</v>
      </c>
      <c r="AG47" s="4">
        <f>COUNTIFS('Survey Front'!$S$21:$AC$21,$AC47)*2</f>
        <v>0</v>
      </c>
      <c r="AH47" s="4">
        <f>COUNTIFS('Survey Front'!$S$24:$AC$24,$AC47)*2</f>
        <v>0</v>
      </c>
      <c r="AI47" s="4">
        <f>COUNTIFS('Survey Front'!$S$27:$AC$27,$AC47)*2</f>
        <v>0</v>
      </c>
      <c r="AJ47" s="4">
        <f>COUNTIFS('Survey Front'!$S$30:$AC$30,$AC47)*2</f>
        <v>0</v>
      </c>
      <c r="AK47" s="4">
        <f>COUNTIFS('Survey Front'!$S$33:$AC$33,$AC47)*2</f>
        <v>0</v>
      </c>
      <c r="AL47" s="4">
        <f>COUNTIFS('Survey Front'!$S$36:$AC$36,$AC47)*2</f>
        <v>0</v>
      </c>
      <c r="AM47" s="4">
        <f>COUNTIFS('Survey Front'!$S$39:$AC$39,$AC47)*2</f>
        <v>0</v>
      </c>
      <c r="AN47" s="4">
        <f>COUNTIFS('Survey Front'!$S$42:$AC$42,$AC47)*2</f>
        <v>0</v>
      </c>
      <c r="AO47" s="4">
        <f>COUNTIFS('Survey Front'!$S$45:$AC$45,$AC47)*2</f>
        <v>0</v>
      </c>
      <c r="AP47" s="4">
        <f>COUNTIFS('Survey Front'!$S$48:$AC$48,$AC47)*2</f>
        <v>0</v>
      </c>
      <c r="AQ47" s="4">
        <f>COUNTIFS('Survey Front'!$S$51:$AC$51,$AC47)*2</f>
        <v>0</v>
      </c>
      <c r="AR47" s="4">
        <f>COUNTIFS('Survey Front'!$S$54:$AC$54,$AC47)*2</f>
        <v>0</v>
      </c>
    </row>
    <row r="48" spans="11:46" x14ac:dyDescent="0.25">
      <c r="AC48" s="4" t="s">
        <v>230</v>
      </c>
      <c r="AD48" s="4">
        <f>COUNTIFS('Survey Front'!$S$12:$AC$12,$AC48)*2</f>
        <v>0</v>
      </c>
      <c r="AE48" s="4">
        <f>COUNTIFS('Survey Front'!$S$15:$AC$15,$AC48)*2</f>
        <v>0</v>
      </c>
      <c r="AF48" s="4">
        <f>COUNTIFS('Survey Front'!$S$18:$AC$18,$AC48)*2</f>
        <v>0</v>
      </c>
      <c r="AG48" s="4">
        <f>COUNTIFS('Survey Front'!$S$21:$AC$21,$AC48)*2</f>
        <v>0</v>
      </c>
      <c r="AH48" s="4">
        <f>COUNTIFS('Survey Front'!$S$24:$AC$24,$AC48)*2</f>
        <v>0</v>
      </c>
      <c r="AI48" s="4">
        <f>COUNTIFS('Survey Front'!$S$27:$AC$27,$AC48)*2</f>
        <v>0</v>
      </c>
      <c r="AJ48" s="4">
        <f>COUNTIFS('Survey Front'!$S$30:$AC$30,$AC48)*2</f>
        <v>0</v>
      </c>
      <c r="AK48" s="4">
        <f>COUNTIFS('Survey Front'!$S$33:$AC$33,$AC48)*2</f>
        <v>0</v>
      </c>
      <c r="AL48" s="4">
        <f>COUNTIFS('Survey Front'!$S$36:$AC$36,$AC48)*2</f>
        <v>0</v>
      </c>
      <c r="AM48" s="4">
        <f>COUNTIFS('Survey Front'!$S$39:$AC$39,$AC48)*2</f>
        <v>0</v>
      </c>
      <c r="AN48" s="4">
        <f>COUNTIFS('Survey Front'!$S$42:$AC$42,$AC48)*2</f>
        <v>0</v>
      </c>
      <c r="AO48" s="4">
        <f>COUNTIFS('Survey Front'!$S$45:$AC$45,$AC48)*2</f>
        <v>0</v>
      </c>
      <c r="AP48" s="4">
        <f>COUNTIFS('Survey Front'!$S$48:$AC$48,$AC48)*2</f>
        <v>0</v>
      </c>
      <c r="AQ48" s="4">
        <f>COUNTIFS('Survey Front'!$S$51:$AC$51,$AC48)*2</f>
        <v>0</v>
      </c>
      <c r="AR48" s="4">
        <f>COUNTIFS('Survey Front'!$S$54:$AC$54,$AC48)*2</f>
        <v>0</v>
      </c>
    </row>
    <row r="49" spans="11:44" x14ac:dyDescent="0.25">
      <c r="K49" s="836" t="s">
        <v>307</v>
      </c>
      <c r="L49" s="837"/>
      <c r="M49" s="837"/>
      <c r="N49" s="837"/>
      <c r="O49" s="837"/>
      <c r="P49" s="837"/>
      <c r="Q49" s="837"/>
      <c r="R49" s="837"/>
      <c r="S49" s="837"/>
      <c r="T49" s="837"/>
      <c r="U49" s="837"/>
      <c r="V49" s="837"/>
      <c r="W49" s="837"/>
      <c r="X49" s="837"/>
      <c r="Y49" s="837"/>
      <c r="Z49" s="837"/>
      <c r="AC49" s="4" t="s">
        <v>234</v>
      </c>
      <c r="AD49" s="4">
        <f>COUNTIFS('Survey Front'!$S$12:$AC$12,$AC49)*2</f>
        <v>0</v>
      </c>
      <c r="AE49" s="4">
        <f>COUNTIFS('Survey Front'!$S$15:$AC$15,$AC49)*2</f>
        <v>0</v>
      </c>
      <c r="AF49" s="4">
        <f>COUNTIFS('Survey Front'!$S$18:$AC$18,$AC49)*2</f>
        <v>0</v>
      </c>
      <c r="AG49" s="4">
        <f>COUNTIFS('Survey Front'!$S$21:$AC$21,$AC49)*2</f>
        <v>0</v>
      </c>
      <c r="AH49" s="4">
        <f>COUNTIFS('Survey Front'!$S$24:$AC$24,$AC49)*2</f>
        <v>0</v>
      </c>
      <c r="AI49" s="4">
        <f>COUNTIFS('Survey Front'!$S$27:$AC$27,$AC49)*2</f>
        <v>0</v>
      </c>
      <c r="AJ49" s="4">
        <f>COUNTIFS('Survey Front'!$S$30:$AC$30,$AC49)*2</f>
        <v>0</v>
      </c>
      <c r="AK49" s="4">
        <f>COUNTIFS('Survey Front'!$S$33:$AC$33,$AC49)*2</f>
        <v>0</v>
      </c>
      <c r="AL49" s="4">
        <f>COUNTIFS('Survey Front'!$S$36:$AC$36,$AC49)*2</f>
        <v>0</v>
      </c>
      <c r="AM49" s="4">
        <f>COUNTIFS('Survey Front'!$S$39:$AC$39,$AC49)*2</f>
        <v>0</v>
      </c>
      <c r="AN49" s="4">
        <f>COUNTIFS('Survey Front'!$S$42:$AC$42,$AC49)*2</f>
        <v>0</v>
      </c>
      <c r="AO49" s="4">
        <f>COUNTIFS('Survey Front'!$S$45:$AC$45,$AC49)*2</f>
        <v>0</v>
      </c>
      <c r="AP49" s="4">
        <f>COUNTIFS('Survey Front'!$S$48:$AC$48,$AC49)*2</f>
        <v>0</v>
      </c>
      <c r="AQ49" s="4">
        <f>COUNTIFS('Survey Front'!$S$51:$AC$51,$AC49)*2</f>
        <v>0</v>
      </c>
      <c r="AR49" s="4">
        <f>COUNTIFS('Survey Front'!$S$54:$AC$54,$AC49)*2</f>
        <v>0</v>
      </c>
    </row>
    <row r="50" spans="11:44" x14ac:dyDescent="0.25">
      <c r="K50" s="34"/>
      <c r="L50" s="69" t="s">
        <v>178</v>
      </c>
      <c r="M50" s="69" t="s">
        <v>179</v>
      </c>
      <c r="N50" s="69" t="s">
        <v>180</v>
      </c>
      <c r="O50" s="69" t="s">
        <v>181</v>
      </c>
      <c r="P50" s="69" t="s">
        <v>182</v>
      </c>
      <c r="Q50" s="69" t="s">
        <v>183</v>
      </c>
      <c r="R50" s="69" t="s">
        <v>184</v>
      </c>
      <c r="S50" s="69" t="s">
        <v>185</v>
      </c>
      <c r="T50" s="69" t="s">
        <v>186</v>
      </c>
      <c r="U50" s="69" t="s">
        <v>187</v>
      </c>
      <c r="V50" s="69" t="s">
        <v>188</v>
      </c>
      <c r="W50" s="69" t="s">
        <v>189</v>
      </c>
      <c r="X50" s="69" t="s">
        <v>190</v>
      </c>
      <c r="Y50" s="69" t="s">
        <v>191</v>
      </c>
      <c r="Z50" s="69" t="s">
        <v>192</v>
      </c>
      <c r="AB50" s="134" t="s">
        <v>237</v>
      </c>
      <c r="AC50" s="4" t="s">
        <v>238</v>
      </c>
      <c r="AD50" s="4">
        <f>COUNTIFS('Survey Front'!$S$12:$AC$12,$AC50)*2</f>
        <v>0</v>
      </c>
      <c r="AE50" s="4">
        <f>COUNTIFS('Survey Front'!$S$15:$AC$15,$AC50)*2</f>
        <v>0</v>
      </c>
      <c r="AF50" s="4">
        <f>COUNTIFS('Survey Front'!$S$18:$AC$18,$AC50)*2</f>
        <v>0</v>
      </c>
      <c r="AG50" s="4">
        <f>COUNTIFS('Survey Front'!$S$21:$AC$21,$AC50)*2</f>
        <v>0</v>
      </c>
      <c r="AH50" s="4">
        <f>COUNTIFS('Survey Front'!$S$24:$AC$24,$AC50)*2</f>
        <v>0</v>
      </c>
      <c r="AI50" s="4">
        <f>COUNTIFS('Survey Front'!$S$27:$AC$27,$AC50)*2</f>
        <v>0</v>
      </c>
      <c r="AJ50" s="4">
        <f>COUNTIFS('Survey Front'!$S$30:$AC$30,$AC50)*2</f>
        <v>0</v>
      </c>
      <c r="AK50" s="4">
        <f>COUNTIFS('Survey Front'!$S$33:$AC$33,$AC50)*2</f>
        <v>0</v>
      </c>
      <c r="AL50" s="4">
        <f>COUNTIFS('Survey Front'!$S$36:$AC$36,$AC50)*2</f>
        <v>0</v>
      </c>
      <c r="AM50" s="4">
        <f>COUNTIFS('Survey Front'!$S$39:$AC$39,$AC50)*2</f>
        <v>0</v>
      </c>
      <c r="AN50" s="4">
        <f>COUNTIFS('Survey Front'!$S$42:$AC$42,$AC50)*2</f>
        <v>0</v>
      </c>
      <c r="AO50" s="4">
        <f>COUNTIFS('Survey Front'!$S$45:$AC$45,$AC50)*2</f>
        <v>0</v>
      </c>
      <c r="AP50" s="4">
        <f>COUNTIFS('Survey Front'!$S$48:$AC$48,$AC50)*2</f>
        <v>0</v>
      </c>
      <c r="AQ50" s="4">
        <f>COUNTIFS('Survey Front'!$S$51:$AC$51,$AC50)*2</f>
        <v>0</v>
      </c>
      <c r="AR50" s="4">
        <f>COUNTIFS('Survey Front'!$S$54:$AC$54,$AC50)*2</f>
        <v>0</v>
      </c>
    </row>
    <row r="51" spans="11:44" x14ac:dyDescent="0.25">
      <c r="K51" s="34" t="s">
        <v>43</v>
      </c>
      <c r="L51" s="72">
        <f>((C2*N60)-((C2*N60)*$C$10))+(M60*N60)+AA60+V60</f>
        <v>0</v>
      </c>
      <c r="M51" s="72">
        <f>((C2*N61)-((C2*N61)*$C$10))+(M61*N61)+AA61+V61</f>
        <v>0</v>
      </c>
      <c r="N51" s="72">
        <f>((C2*N62)-((C2*N62)*$C$10))+(M62*N62)+AA62+V62</f>
        <v>0</v>
      </c>
      <c r="O51" s="72">
        <f>((C2*N63)-((C2*N63)*$C$10))+(M63*N63)+AA63+V63</f>
        <v>0</v>
      </c>
      <c r="P51" s="72">
        <f>((C2*N64)-((C2*N64)*$C$10))+(M64*N64)+AA64+V64</f>
        <v>0</v>
      </c>
      <c r="Q51" s="72">
        <f>((C2*N65)-((C2*N65)*$C$10))+(M65*N65)+AA65+V65</f>
        <v>0</v>
      </c>
      <c r="R51" s="72">
        <f>((C2*N66)-((C2*N66)*$C$10))+(M66*N66)+AA66+V66</f>
        <v>0</v>
      </c>
      <c r="S51" s="72">
        <f>((C2*N67)-((C2*N67)*$C$10))+(M67*N67)+AA67+V67</f>
        <v>0</v>
      </c>
      <c r="T51" s="72">
        <f>((C2*N68)-((C2*N68)*$C$10))+(M68*N68)+AA68+V68</f>
        <v>0</v>
      </c>
      <c r="U51" s="72">
        <f>((C2*N69)-((C2*N69)*$C$10))+(M69*N69)+AA69+V69</f>
        <v>0</v>
      </c>
      <c r="V51" s="72">
        <f>((C2*N70)-((C2*N70)*$C$10))+(M70*N70)+AA70+V70</f>
        <v>0</v>
      </c>
      <c r="W51" s="72">
        <f>((C2*N71)-((C2*N71)*$C$10))+(M71*N71)+AA71+V71</f>
        <v>0</v>
      </c>
      <c r="X51" s="72">
        <f>((C2*N72)-((C2*N72)*$C$10))+(M72*N72)+AA72+V72</f>
        <v>0</v>
      </c>
      <c r="Y51" s="72">
        <f>((C2*N73)-((C2*N73)*$C$10))+(M73*N73)+AA73+V73</f>
        <v>0</v>
      </c>
      <c r="Z51" s="72">
        <f>((C2*N74)-((C2*N74)*$C$10))+(M74*N74)+AA74+V74</f>
        <v>0</v>
      </c>
      <c r="AA51" s="68">
        <f>SUM(L51:Z51)</f>
        <v>0</v>
      </c>
      <c r="AB51" s="68">
        <f>AA51*(1-5%)</f>
        <v>0</v>
      </c>
      <c r="AC51" s="4" t="s">
        <v>241</v>
      </c>
      <c r="AD51" s="4">
        <f>COUNTIFS('Survey Front'!$S$12:$AC$12,$AC51)*2</f>
        <v>0</v>
      </c>
      <c r="AE51" s="4">
        <f>COUNTIFS('Survey Front'!$S$15:$AC$15,$AC51)*2</f>
        <v>0</v>
      </c>
      <c r="AF51" s="4">
        <f>COUNTIFS('Survey Front'!$S$18:$AC$18,$AC51)*2</f>
        <v>0</v>
      </c>
      <c r="AG51" s="4">
        <f>COUNTIFS('Survey Front'!$S$21:$AC$21,$AC51)*2</f>
        <v>0</v>
      </c>
      <c r="AH51" s="4">
        <f>COUNTIFS('Survey Front'!$S$24:$AC$24,$AC51)*2</f>
        <v>0</v>
      </c>
      <c r="AI51" s="4">
        <f>COUNTIFS('Survey Front'!$S$27:$AC$27,$AC51)*2</f>
        <v>0</v>
      </c>
      <c r="AJ51" s="4">
        <f>COUNTIFS('Survey Front'!$S$30:$AC$30,$AC51)*2</f>
        <v>0</v>
      </c>
      <c r="AK51" s="4">
        <f>COUNTIFS('Survey Front'!$S$33:$AC$33,$AC51)*2</f>
        <v>0</v>
      </c>
      <c r="AL51" s="4">
        <f>COUNTIFS('Survey Front'!$S$36:$AC$36,$AC51)*2</f>
        <v>0</v>
      </c>
      <c r="AM51" s="4">
        <f>COUNTIFS('Survey Front'!$S$39:$AC$39,$AC51)*2</f>
        <v>0</v>
      </c>
      <c r="AN51" s="4">
        <f>COUNTIFS('Survey Front'!$S$42:$AC$42,$AC51)*2</f>
        <v>0</v>
      </c>
      <c r="AO51" s="4">
        <f>COUNTIFS('Survey Front'!$S$45:$AC$45,$AC51)*2</f>
        <v>0</v>
      </c>
      <c r="AP51" s="4">
        <f>COUNTIFS('Survey Front'!$S$48:$AC$48,$AC51)*2</f>
        <v>0</v>
      </c>
      <c r="AQ51" s="4">
        <f>COUNTIFS('Survey Front'!$S$51:$AC$51,$AC51)*2</f>
        <v>0</v>
      </c>
      <c r="AR51" s="4">
        <f>COUNTIFS('Survey Front'!$S$54:$AC$54,$AC51)*2</f>
        <v>0</v>
      </c>
    </row>
    <row r="52" spans="11:44" x14ac:dyDescent="0.25">
      <c r="K52" s="34" t="s">
        <v>45</v>
      </c>
      <c r="L52" s="72">
        <f>L51+(C3*$N$60)</f>
        <v>0</v>
      </c>
      <c r="M52" s="72">
        <f>$M$51+(C3*$N$61)</f>
        <v>0</v>
      </c>
      <c r="N52" s="72">
        <f>$N$51+(C3*$N$62)</f>
        <v>0</v>
      </c>
      <c r="O52" s="72">
        <f>$O$51+(C3*$N$63)</f>
        <v>0</v>
      </c>
      <c r="P52" s="72">
        <f>$P$51+(C3*$N$64)</f>
        <v>0</v>
      </c>
      <c r="Q52" s="72">
        <f>Q$51+($C3*$N$65)</f>
        <v>0</v>
      </c>
      <c r="R52" s="72">
        <f>R$51+($C3*$N$66)</f>
        <v>0</v>
      </c>
      <c r="S52" s="72">
        <f>S$51+($C3*$N$67)</f>
        <v>0</v>
      </c>
      <c r="T52" s="72">
        <f>T$51+($C3*$N$68)</f>
        <v>0</v>
      </c>
      <c r="U52" s="72">
        <f>U$51+($C3*$N$69)</f>
        <v>0</v>
      </c>
      <c r="V52" s="72">
        <f>V$51+($C3*$N$70)</f>
        <v>0</v>
      </c>
      <c r="W52" s="72">
        <f>W$51+($C3*$N$71)</f>
        <v>0</v>
      </c>
      <c r="X52" s="72">
        <f>X$51+($C3*$N$72)</f>
        <v>0</v>
      </c>
      <c r="Y52" s="72">
        <f>Y$51+($C3*$N$73)</f>
        <v>0</v>
      </c>
      <c r="Z52" s="72">
        <f>Z$51+($C3*$N$74)</f>
        <v>0</v>
      </c>
      <c r="AA52" s="68">
        <f t="shared" ref="AA52:AA56" si="21">SUM(L52:Z52)</f>
        <v>0</v>
      </c>
      <c r="AC52" s="4" t="s">
        <v>245</v>
      </c>
      <c r="AD52" s="4">
        <f>COUNTIFS('Survey Front'!$S$12:$AC$12,$AC52)*2</f>
        <v>0</v>
      </c>
      <c r="AE52" s="4">
        <f>COUNTIFS('Survey Front'!$S$15:$AC$15,$AC52)*2</f>
        <v>0</v>
      </c>
      <c r="AF52" s="4">
        <f>COUNTIFS('Survey Front'!$S$18:$AC$18,$AC52)*2</f>
        <v>0</v>
      </c>
      <c r="AG52" s="4">
        <f>COUNTIFS('Survey Front'!$S$21:$AC$21,$AC52)*2</f>
        <v>0</v>
      </c>
      <c r="AH52" s="4">
        <f>COUNTIFS('Survey Front'!$S$24:$AC$24,$AC52)*2</f>
        <v>0</v>
      </c>
      <c r="AI52" s="4">
        <f>COUNTIFS('Survey Front'!$S$27:$AC$27,$AC52)*2</f>
        <v>0</v>
      </c>
      <c r="AJ52" s="4">
        <f>COUNTIFS('Survey Front'!$S$30:$AC$30,$AC52)*2</f>
        <v>0</v>
      </c>
      <c r="AK52" s="4">
        <f>COUNTIFS('Survey Front'!$S$33:$AC$33,$AC52)*2</f>
        <v>0</v>
      </c>
      <c r="AL52" s="4">
        <f>COUNTIFS('Survey Front'!$S$36:$AC$36,$AC52)*2</f>
        <v>0</v>
      </c>
      <c r="AM52" s="4">
        <f>COUNTIFS('Survey Front'!$S$39:$AC$39,$AC52)*2</f>
        <v>0</v>
      </c>
      <c r="AN52" s="4">
        <f>COUNTIFS('Survey Front'!$S$42:$AC$42,$AC52)*2</f>
        <v>0</v>
      </c>
      <c r="AO52" s="4">
        <f>COUNTIFS('Survey Front'!$S$45:$AC$45,$AC52)*2</f>
        <v>0</v>
      </c>
      <c r="AP52" s="4">
        <f>COUNTIFS('Survey Front'!$S$48:$AC$48,$AC52)*2</f>
        <v>0</v>
      </c>
      <c r="AQ52" s="4">
        <f>COUNTIFS('Survey Front'!$S$51:$AC$51,$AC52)*2</f>
        <v>0</v>
      </c>
      <c r="AR52" s="4">
        <f>COUNTIFS('Survey Front'!$S$54:$AC$54,$AC52)*2</f>
        <v>0</v>
      </c>
    </row>
    <row r="53" spans="11:44" x14ac:dyDescent="0.25">
      <c r="K53" s="34" t="s">
        <v>48</v>
      </c>
      <c r="L53" s="72">
        <f>L51+(C4*$N$60)</f>
        <v>0</v>
      </c>
      <c r="M53" s="72">
        <f>$M$51+(C4*$N$61)</f>
        <v>0</v>
      </c>
      <c r="N53" s="72">
        <f>$N$51+(C4*$N$62)</f>
        <v>0</v>
      </c>
      <c r="O53" s="72">
        <f>$O$51+(C4*$N$63)</f>
        <v>0</v>
      </c>
      <c r="P53" s="72">
        <f>$P$51+(C4*$N$64)</f>
        <v>0</v>
      </c>
      <c r="Q53" s="72">
        <f>$Q$51+(C4*$N$65)</f>
        <v>0</v>
      </c>
      <c r="R53" s="72">
        <f>R$51+($C4*$N$66)</f>
        <v>0</v>
      </c>
      <c r="S53" s="72">
        <f>S$51+($C4*$N$67)</f>
        <v>0</v>
      </c>
      <c r="T53" s="72">
        <f>T$51+($C4*$N$68)</f>
        <v>0</v>
      </c>
      <c r="U53" s="72">
        <f>U$51+($C4*$N$69)</f>
        <v>0</v>
      </c>
      <c r="V53" s="72">
        <f>V$51+($C4*$N$70)</f>
        <v>0</v>
      </c>
      <c r="W53" s="72">
        <f>W$51+($C4*$N$71)</f>
        <v>0</v>
      </c>
      <c r="X53" s="72">
        <f>X$51+($C4*$N$72)</f>
        <v>0</v>
      </c>
      <c r="Y53" s="72">
        <f>Y$51+($C4*$N$73)</f>
        <v>0</v>
      </c>
      <c r="Z53" s="72">
        <f>Z$51+($C4*$N$74)</f>
        <v>0</v>
      </c>
      <c r="AA53" s="68">
        <f t="shared" si="21"/>
        <v>0</v>
      </c>
      <c r="AC53" s="4" t="s">
        <v>248</v>
      </c>
      <c r="AD53" s="4">
        <f>COUNTIFS('Survey Front'!$S$12:$AC$12,$AC53)*2</f>
        <v>0</v>
      </c>
      <c r="AE53" s="4">
        <f>COUNTIFS('Survey Front'!$S$15:$AC$15,$AC53)*2</f>
        <v>0</v>
      </c>
      <c r="AF53" s="4">
        <f>COUNTIFS('Survey Front'!$S$18:$AC$18,$AC53)*2</f>
        <v>0</v>
      </c>
      <c r="AG53" s="4">
        <f>COUNTIFS('Survey Front'!$S$21:$AC$21,$AC53)*2</f>
        <v>0</v>
      </c>
      <c r="AH53" s="4">
        <f>COUNTIFS('Survey Front'!$S$24:$AC$24,$AC53)*2</f>
        <v>0</v>
      </c>
      <c r="AI53" s="4">
        <f>COUNTIFS('Survey Front'!$S$27:$AC$27,$AC53)*2</f>
        <v>0</v>
      </c>
      <c r="AJ53" s="4">
        <f>COUNTIFS('Survey Front'!$S$30:$AC$30,$AC53)*2</f>
        <v>0</v>
      </c>
      <c r="AK53" s="4">
        <f>COUNTIFS('Survey Front'!$S$33:$AC$33,$AC53)*2</f>
        <v>0</v>
      </c>
      <c r="AL53" s="4">
        <f>COUNTIFS('Survey Front'!$S$36:$AC$36,$AC53)*2</f>
        <v>0</v>
      </c>
      <c r="AM53" s="4">
        <f>COUNTIFS('Survey Front'!$S$39:$AC$39,$AC53)*2</f>
        <v>0</v>
      </c>
      <c r="AN53" s="4">
        <f>COUNTIFS('Survey Front'!$S$42:$AC$42,$AC53)*2</f>
        <v>0</v>
      </c>
      <c r="AO53" s="4">
        <f>COUNTIFS('Survey Front'!$S$45:$AC$45,$AC53)*2</f>
        <v>0</v>
      </c>
      <c r="AP53" s="4">
        <f>COUNTIFS('Survey Front'!$S$48:$AC$48,$AC53)*2</f>
        <v>0</v>
      </c>
      <c r="AQ53" s="4">
        <f>COUNTIFS('Survey Front'!$S$51:$AC$51,$AC53)*2</f>
        <v>0</v>
      </c>
      <c r="AR53" s="4">
        <f>COUNTIFS('Survey Front'!$S$54:$AC$54,$AC53)*2</f>
        <v>0</v>
      </c>
    </row>
    <row r="54" spans="11:44" x14ac:dyDescent="0.25">
      <c r="K54" s="34" t="s">
        <v>52</v>
      </c>
      <c r="L54" s="72">
        <f>L51+(C5*$N$60)</f>
        <v>0</v>
      </c>
      <c r="M54" s="72">
        <f>$M$51+(C5*$N$61)</f>
        <v>0</v>
      </c>
      <c r="N54" s="72">
        <f>$N$51+(C5*$N$62)</f>
        <v>0</v>
      </c>
      <c r="O54" s="72">
        <f>$O$51+(C5*$N$63)</f>
        <v>0</v>
      </c>
      <c r="P54" s="72">
        <f>$P$51+(C5*$N$64)</f>
        <v>0</v>
      </c>
      <c r="Q54" s="72">
        <f>$Q$51+(C5*$N$65)</f>
        <v>0</v>
      </c>
      <c r="R54" s="72">
        <f>R$51+($C5*$N$66)</f>
        <v>0</v>
      </c>
      <c r="S54" s="72">
        <f>S$51+($C5*$N$67)</f>
        <v>0</v>
      </c>
      <c r="T54" s="72">
        <f>T$51+($C5*$N$68)</f>
        <v>0</v>
      </c>
      <c r="U54" s="72">
        <f>U$51+($C5*$N$69)</f>
        <v>0</v>
      </c>
      <c r="V54" s="72">
        <f>V$51+($C5*$N$70)</f>
        <v>0</v>
      </c>
      <c r="W54" s="72">
        <f>W$51+($C5*$N$71)</f>
        <v>0</v>
      </c>
      <c r="X54" s="72">
        <f>X$51+($C5*$N$72)</f>
        <v>0</v>
      </c>
      <c r="Y54" s="72">
        <f>Y$51+($C5*$N$73)</f>
        <v>0</v>
      </c>
      <c r="Z54" s="72">
        <f>Z$51+($C5*$N$74)</f>
        <v>0</v>
      </c>
      <c r="AA54" s="68">
        <f t="shared" si="21"/>
        <v>0</v>
      </c>
      <c r="AC54" s="4" t="s">
        <v>252</v>
      </c>
      <c r="AD54" s="4">
        <f>COUNTIFS('Survey Front'!$S$12:$AC$12,$AC54)*2</f>
        <v>0</v>
      </c>
      <c r="AE54" s="4">
        <f>COUNTIFS('Survey Front'!$S$15:$AC$15,$AC54)*2</f>
        <v>0</v>
      </c>
      <c r="AF54" s="4">
        <f>COUNTIFS('Survey Front'!$S$18:$AC$18,$AC54)*2</f>
        <v>0</v>
      </c>
      <c r="AG54" s="4">
        <f>COUNTIFS('Survey Front'!$S$21:$AC$21,$AC54)*2</f>
        <v>0</v>
      </c>
      <c r="AH54" s="4">
        <f>COUNTIFS('Survey Front'!$S$24:$AC$24,$AC54)*2</f>
        <v>0</v>
      </c>
      <c r="AI54" s="4">
        <f>COUNTIFS('Survey Front'!$S$27:$AC$27,$AC54)*2</f>
        <v>0</v>
      </c>
      <c r="AJ54" s="4">
        <f>COUNTIFS('Survey Front'!$S$30:$AC$30,$AC54)*2</f>
        <v>0</v>
      </c>
      <c r="AK54" s="4">
        <f>COUNTIFS('Survey Front'!$S$33:$AC$33,$AC54)*2</f>
        <v>0</v>
      </c>
      <c r="AL54" s="4">
        <f>COUNTIFS('Survey Front'!$S$36:$AC$36,$AC54)*2</f>
        <v>0</v>
      </c>
      <c r="AM54" s="4">
        <f>COUNTIFS('Survey Front'!$S$39:$AC$39,$AC54)*2</f>
        <v>0</v>
      </c>
      <c r="AN54" s="4">
        <f>COUNTIFS('Survey Front'!$S$42:$AC$42,$AC54)*2</f>
        <v>0</v>
      </c>
      <c r="AO54" s="4">
        <f>COUNTIFS('Survey Front'!$S$45:$AC$45,$AC54)*2</f>
        <v>0</v>
      </c>
      <c r="AP54" s="4">
        <f>COUNTIFS('Survey Front'!$S$48:$AC$48,$AC54)*2</f>
        <v>0</v>
      </c>
      <c r="AQ54" s="4">
        <f>COUNTIFS('Survey Front'!$S$51:$AC$51,$AC54)*2</f>
        <v>0</v>
      </c>
      <c r="AR54" s="4">
        <f>COUNTIFS('Survey Front'!$S$54:$AC$54,$AC54)*2</f>
        <v>0</v>
      </c>
    </row>
    <row r="55" spans="11:44" x14ac:dyDescent="0.25">
      <c r="K55" s="34" t="s">
        <v>54</v>
      </c>
      <c r="L55" s="72">
        <f>L51+(C6*$N$60)</f>
        <v>0</v>
      </c>
      <c r="M55" s="72">
        <f>$M$51+(C6*$N$61)</f>
        <v>0</v>
      </c>
      <c r="N55" s="72">
        <f>$N$51+(C6*$N$62)</f>
        <v>0</v>
      </c>
      <c r="O55" s="72">
        <f>$O$51+(C6*$N$63)</f>
        <v>0</v>
      </c>
      <c r="P55" s="72">
        <f>$P$51+(C6*$N$64)</f>
        <v>0</v>
      </c>
      <c r="Q55" s="72">
        <f>$Q$51+(C6*$N$65)</f>
        <v>0</v>
      </c>
      <c r="R55" s="72">
        <f>R$51+($C6*$N$66)</f>
        <v>0</v>
      </c>
      <c r="S55" s="72">
        <f>S$51+($C6*$N$67)</f>
        <v>0</v>
      </c>
      <c r="T55" s="72">
        <f>T$51+($C6*$N$68)</f>
        <v>0</v>
      </c>
      <c r="U55" s="72">
        <f>U$51+($C6*$N$69)</f>
        <v>0</v>
      </c>
      <c r="V55" s="72">
        <f>V$51+($C6*$N$70)</f>
        <v>0</v>
      </c>
      <c r="W55" s="72">
        <f>W$51+($C6*$N$71)</f>
        <v>0</v>
      </c>
      <c r="X55" s="72">
        <f>X$51+($C6*$N$72)</f>
        <v>0</v>
      </c>
      <c r="Y55" s="72">
        <f>Y$51+($C6*$N$73)</f>
        <v>0</v>
      </c>
      <c r="Z55" s="72">
        <f>Z$51+($C6*$N$74)</f>
        <v>0</v>
      </c>
      <c r="AA55" s="68">
        <f t="shared" si="21"/>
        <v>0</v>
      </c>
      <c r="AC55" s="4" t="s">
        <v>255</v>
      </c>
      <c r="AD55" s="4">
        <f>COUNTIFS('Survey Front'!$S$12:$AC$12,$AC55)*2</f>
        <v>0</v>
      </c>
      <c r="AE55" s="4">
        <f>COUNTIFS('Survey Front'!$S$15:$AC$15,$AC55)*2</f>
        <v>0</v>
      </c>
      <c r="AF55" s="4">
        <f>COUNTIFS('Survey Front'!$S$18:$AC$18,$AC55)*2</f>
        <v>0</v>
      </c>
      <c r="AG55" s="4">
        <f>COUNTIFS('Survey Front'!$S$21:$AC$21,$AC55)*2</f>
        <v>0</v>
      </c>
      <c r="AH55" s="4">
        <f>COUNTIFS('Survey Front'!$S$24:$AC$24,$AC55)*2</f>
        <v>0</v>
      </c>
      <c r="AI55" s="4">
        <f>COUNTIFS('Survey Front'!$S$27:$AC$27,$AC55)*2</f>
        <v>0</v>
      </c>
      <c r="AJ55" s="4">
        <f>COUNTIFS('Survey Front'!$S$30:$AC$30,$AC55)*2</f>
        <v>0</v>
      </c>
      <c r="AK55" s="4">
        <f>COUNTIFS('Survey Front'!$S$33:$AC$33,$AC55)*2</f>
        <v>0</v>
      </c>
      <c r="AL55" s="4">
        <f>COUNTIFS('Survey Front'!$S$36:$AC$36,$AC55)*2</f>
        <v>0</v>
      </c>
      <c r="AM55" s="4">
        <f>COUNTIFS('Survey Front'!$S$39:$AC$39,$AC55)*2</f>
        <v>0</v>
      </c>
      <c r="AN55" s="4">
        <f>COUNTIFS('Survey Front'!$S$42:$AC$42,$AC55)*2</f>
        <v>0</v>
      </c>
      <c r="AO55" s="4">
        <f>COUNTIFS('Survey Front'!$S$45:$AC$45,$AC55)*2</f>
        <v>0</v>
      </c>
      <c r="AP55" s="4">
        <f>COUNTIFS('Survey Front'!$S$48:$AC$48,$AC55)*2</f>
        <v>0</v>
      </c>
      <c r="AQ55" s="4">
        <f>COUNTIFS('Survey Front'!$S$51:$AC$51,$AC55)*2</f>
        <v>0</v>
      </c>
      <c r="AR55" s="4">
        <f>COUNTIFS('Survey Front'!$S$54:$AC$54,$AC55)*2</f>
        <v>0</v>
      </c>
    </row>
    <row r="56" spans="11:44" x14ac:dyDescent="0.25">
      <c r="K56" s="34" t="s">
        <v>57</v>
      </c>
      <c r="L56" s="72">
        <f>L51</f>
        <v>0</v>
      </c>
      <c r="M56" s="72">
        <f>$M$51+(C7*$N$61)</f>
        <v>0</v>
      </c>
      <c r="N56" s="72">
        <f>$N$51+(C7*$N$62)</f>
        <v>0</v>
      </c>
      <c r="O56" s="72">
        <f>$O$51+(C7*$N$63)</f>
        <v>0</v>
      </c>
      <c r="P56" s="72">
        <f>$P$51+(C7*$N$64)</f>
        <v>0</v>
      </c>
      <c r="Q56" s="72">
        <f>$Q$51+(C7*$N$65)</f>
        <v>0</v>
      </c>
      <c r="R56" s="72">
        <f>R$51+($C7*$N$66)</f>
        <v>0</v>
      </c>
      <c r="S56" s="72">
        <f>S$51+($C7*$N$67)</f>
        <v>0</v>
      </c>
      <c r="T56" s="72">
        <f>T$51+($C7*$N$68)</f>
        <v>0</v>
      </c>
      <c r="U56" s="72">
        <f>U$51+($C7*$N$69)</f>
        <v>0</v>
      </c>
      <c r="V56" s="72">
        <f>V$51+($C7*$N$70)</f>
        <v>0</v>
      </c>
      <c r="W56" s="72">
        <f>W$51+($C7*$N$71)</f>
        <v>0</v>
      </c>
      <c r="X56" s="72">
        <f>X$51+($C7*$N$72)</f>
        <v>0</v>
      </c>
      <c r="Y56" s="72">
        <f>Y$51+($C7*$N$73)</f>
        <v>0</v>
      </c>
      <c r="Z56" s="72">
        <f>Z$51+($C7*$N$74)</f>
        <v>0</v>
      </c>
      <c r="AA56" s="68">
        <f t="shared" si="21"/>
        <v>0</v>
      </c>
      <c r="AC56" s="4" t="s">
        <v>257</v>
      </c>
      <c r="AD56" s="4">
        <f>COUNTIFS('Survey Front'!$S$12:$AC$12,$AC56)*2</f>
        <v>0</v>
      </c>
      <c r="AE56" s="4">
        <f>COUNTIFS('Survey Front'!$S$15:$AC$15,$AC56)*2</f>
        <v>0</v>
      </c>
      <c r="AF56" s="4">
        <f>COUNTIFS('Survey Front'!$S$18:$AC$18,$AC56)*2</f>
        <v>0</v>
      </c>
      <c r="AG56" s="4">
        <f>COUNTIFS('Survey Front'!$S$21:$AC$21,$AC56)*2</f>
        <v>0</v>
      </c>
      <c r="AH56" s="4">
        <f>COUNTIFS('Survey Front'!$S$24:$AC$24,$AC56)*2</f>
        <v>0</v>
      </c>
      <c r="AI56" s="4">
        <f>COUNTIFS('Survey Front'!$S$27:$AC$27,$AC56)*2</f>
        <v>0</v>
      </c>
      <c r="AJ56" s="4">
        <f>COUNTIFS('Survey Front'!$S$30:$AC$30,$AC56)*2</f>
        <v>0</v>
      </c>
      <c r="AK56" s="4">
        <f>COUNTIFS('Survey Front'!$S$33:$AC$33,$AC56)*2</f>
        <v>0</v>
      </c>
      <c r="AL56" s="4">
        <f>COUNTIFS('Survey Front'!$S$36:$AC$36,$AC56)*2</f>
        <v>0</v>
      </c>
      <c r="AM56" s="4">
        <f>COUNTIFS('Survey Front'!$S$39:$AC$39,$AC56)*2</f>
        <v>0</v>
      </c>
      <c r="AN56" s="4">
        <f>COUNTIFS('Survey Front'!$S$42:$AC$42,$AC56)*2</f>
        <v>0</v>
      </c>
      <c r="AO56" s="4">
        <f>COUNTIFS('Survey Front'!$S$45:$AC$45,$AC56)*2</f>
        <v>0</v>
      </c>
      <c r="AP56" s="4">
        <f>COUNTIFS('Survey Front'!$S$48:$AC$48,$AC56)*2</f>
        <v>0</v>
      </c>
      <c r="AQ56" s="4">
        <f>COUNTIFS('Survey Front'!$S$51:$AC$51,$AC56)*2</f>
        <v>0</v>
      </c>
      <c r="AR56" s="4">
        <f>COUNTIFS('Survey Front'!$S$54:$AC$54,$AC56)*2</f>
        <v>0</v>
      </c>
    </row>
    <row r="57" spans="11:44" x14ac:dyDescent="0.25">
      <c r="AC57" s="73" t="s">
        <v>62</v>
      </c>
      <c r="AD57" s="73">
        <f t="shared" ref="AD57:AR57" si="22">SUM(AD40:AD56)</f>
        <v>1</v>
      </c>
      <c r="AE57" s="73">
        <f t="shared" si="22"/>
        <v>4</v>
      </c>
      <c r="AF57" s="73">
        <f t="shared" si="22"/>
        <v>3</v>
      </c>
      <c r="AG57" s="73">
        <f t="shared" si="22"/>
        <v>4</v>
      </c>
      <c r="AH57" s="73">
        <f t="shared" si="22"/>
        <v>4</v>
      </c>
      <c r="AI57" s="73">
        <f t="shared" si="22"/>
        <v>4</v>
      </c>
      <c r="AJ57" s="73">
        <f t="shared" si="22"/>
        <v>4</v>
      </c>
      <c r="AK57" s="73">
        <f t="shared" si="22"/>
        <v>0</v>
      </c>
      <c r="AL57" s="73">
        <f t="shared" si="22"/>
        <v>0</v>
      </c>
      <c r="AM57" s="73">
        <f t="shared" si="22"/>
        <v>0</v>
      </c>
      <c r="AN57" s="73">
        <f t="shared" si="22"/>
        <v>0</v>
      </c>
      <c r="AO57" s="73">
        <f t="shared" si="22"/>
        <v>0</v>
      </c>
      <c r="AP57" s="73">
        <f t="shared" si="22"/>
        <v>0</v>
      </c>
      <c r="AQ57" s="73">
        <f t="shared" si="22"/>
        <v>0</v>
      </c>
      <c r="AR57" s="73">
        <f t="shared" si="22"/>
        <v>0</v>
      </c>
    </row>
    <row r="58" spans="11:44" x14ac:dyDescent="0.25">
      <c r="K58" s="834" t="s">
        <v>308</v>
      </c>
      <c r="L58" s="834"/>
      <c r="M58" s="834"/>
      <c r="N58" s="834"/>
      <c r="O58" s="834"/>
      <c r="P58" s="834"/>
      <c r="Q58" s="834"/>
      <c r="R58" s="834"/>
      <c r="S58" s="834"/>
      <c r="T58" s="834"/>
      <c r="U58" s="834"/>
      <c r="V58" s="834"/>
      <c r="W58" s="834"/>
      <c r="X58" s="834"/>
      <c r="Y58" s="834"/>
      <c r="Z58" s="834"/>
      <c r="AA58" s="90"/>
    </row>
    <row r="59" spans="11:44" x14ac:dyDescent="0.25">
      <c r="L59" s="75" t="s">
        <v>263</v>
      </c>
      <c r="M59" s="4" t="s">
        <v>264</v>
      </c>
      <c r="N59" s="4" t="s">
        <v>13</v>
      </c>
      <c r="O59" s="4" t="s">
        <v>226</v>
      </c>
      <c r="P59" s="4" t="s">
        <v>265</v>
      </c>
      <c r="Q59" s="4" t="s">
        <v>266</v>
      </c>
      <c r="R59" s="4" t="s">
        <v>208</v>
      </c>
      <c r="S59" s="76" t="s">
        <v>239</v>
      </c>
      <c r="T59" s="76" t="s">
        <v>267</v>
      </c>
      <c r="U59" s="4" t="s">
        <v>268</v>
      </c>
      <c r="V59" s="4" t="s">
        <v>269</v>
      </c>
      <c r="W59" s="4" t="s">
        <v>270</v>
      </c>
      <c r="X59" t="s">
        <v>271</v>
      </c>
      <c r="Y59" s="4" t="s">
        <v>272</v>
      </c>
      <c r="Z59" t="s">
        <v>273</v>
      </c>
      <c r="AA59" s="4" t="s">
        <v>12</v>
      </c>
    </row>
    <row r="60" spans="11:44" x14ac:dyDescent="0.25">
      <c r="K60" t="s">
        <v>178</v>
      </c>
      <c r="L60" s="77">
        <f>COUNTIFS(Pricing!Q8:AA8,"(CB)")</f>
        <v>0</v>
      </c>
      <c r="M60" s="4">
        <f>IF(L60&gt;0,20,)</f>
        <v>0</v>
      </c>
      <c r="N60" s="78">
        <f>IF(Pricing!AD8="Quoted",IF(Pricing!E8="",,Pricing!L8*Pricing!M8/1000000),)</f>
        <v>0</v>
      </c>
      <c r="O60" s="75">
        <f>IF(Pricing!AD8="Quoted",IF(OR(Pricing!J8 = "Silent",Pricing!J8 = "Split Tilt"),ROUND($N$60*$C$9,0.2),0),)</f>
        <v>0</v>
      </c>
      <c r="P60" s="75">
        <f>IF(Pricing!AD8="Quoted",IF(Pricing!D8="Tracked",ROUND($C$11+(Q60*$F$2),0.2),),)</f>
        <v>0</v>
      </c>
      <c r="Q60" s="79">
        <f>IF(Pricing!AD8="Quoted",IF(Pricing!D8="Tracked",IF(N60&gt;0,CONVERT(Pricing!L8,"mm","m"),),),)</f>
        <v>0</v>
      </c>
      <c r="R60" s="75">
        <f>IF(Pricing!D8="S/Shade",ROUND($F$3*N60,0.2),0)</f>
        <v>0</v>
      </c>
      <c r="S60" s="68">
        <v>0</v>
      </c>
      <c r="T60" s="4">
        <f>IF(R60&gt;0,N60,)</f>
        <v>0</v>
      </c>
      <c r="U60" s="78">
        <f>IF(Pricing!AD8="Quoted",IF(OR(Pricing!J8="Silent",Pricing!J8="Split Tilt"),ROUND(N60*$C$9,0.2),),)</f>
        <v>0</v>
      </c>
      <c r="V60" s="68">
        <f>IF(Pricing!AD8="Quoted",IF(Pricing!D8="Shape",IF(AD19&gt;2,ROUND(C16+((AD19-2)*C17),0.2),ROUND(C16,0.2)),),)</f>
        <v>0</v>
      </c>
      <c r="W60" s="68">
        <f>IF(Pricing!D8="French Door Cutout",ROUND(Matrix2!$F$4,0.2),)</f>
        <v>0</v>
      </c>
      <c r="X60" s="68">
        <f>IF(Pricing!AD8="Quoted",IF(OR(Pricing!F8="Custom Colour",ISNUMBER(SEARCH("Classic Black",Pricing!F8)),ISNUMBER(SEARCH("Matte Black",Pricing!F8))),ROUND(Matrix2!F11,0.2),),)</f>
        <v>0</v>
      </c>
      <c r="Y60" s="68">
        <f>IF(OR(AND(Pricing!E8&lt;&gt;"Java",Pricing!G10="Stainless Steel"),Pricing!G10="Brushed Nickel Plated"),ROUND(Matrix2!$F$12*Matrix2!N60,0.2),)</f>
        <v>0</v>
      </c>
      <c r="Z60" s="200">
        <f t="shared" ref="Z60:Z74" si="23">IF(AND(N60&lt;1,N60&gt;0),ROUND(1*$C$19,0.2),ROUND(N60*$C$19,0.2))</f>
        <v>0</v>
      </c>
      <c r="AA60" s="68">
        <f>IF(Pricing!AD8="Quoted",IF(Pricing!AB10="YES",ROUND(CONVERT(Pricing!L8,"mm","m")*$F$14,0.2),),)</f>
        <v>0</v>
      </c>
    </row>
    <row r="61" spans="11:44" x14ac:dyDescent="0.25">
      <c r="K61" t="s">
        <v>179</v>
      </c>
      <c r="L61" s="77">
        <f>COUNTIFS(Pricing!Q11:AA11,"(CB)")</f>
        <v>0</v>
      </c>
      <c r="M61" s="4">
        <f t="shared" ref="M61:M74" si="24">IF(L61&gt;0,20,)</f>
        <v>0</v>
      </c>
      <c r="N61" s="78">
        <f>IF(Pricing!AD11="Quoted",IF(Pricing!E11="",,Pricing!L11*Pricing!M11/1000000),)</f>
        <v>0</v>
      </c>
      <c r="O61" s="75">
        <f>IF(Pricing!AD11="Quoted",IF(OR(Pricing!J11 = "Silent",Pricing!J11 = "Split Tilt"),ROUND($N$61*$C$9,0.2),0),)</f>
        <v>0</v>
      </c>
      <c r="P61" s="75">
        <f>IF(Pricing!AD11="Quoted",IF(Pricing!D11="Tracked",ROUND($C$11+(Q61*$F$2),0.2),),)</f>
        <v>0</v>
      </c>
      <c r="Q61" s="79">
        <f>IF(Pricing!AD11="Quoted",IF(Pricing!D11="Tracked",IF(N61&gt;0,CONVERT(Pricing!L11,"mm","m"),),),)</f>
        <v>0</v>
      </c>
      <c r="R61" s="75">
        <f>IF(Pricing!D11="S/Shade",ROUND($F$3*N61,0.2),0)</f>
        <v>0</v>
      </c>
      <c r="S61" s="68"/>
      <c r="T61" s="4">
        <f t="shared" ref="T61:T74" si="25">IF(R61&gt;0,N61,)</f>
        <v>0</v>
      </c>
      <c r="U61" s="78">
        <f>IF(Pricing!AD11="Quoted",IF(OR(Pricing!J11="Silent",Pricing!J11="Split Tilt"),ROUND(N61*$C$9,0.2),),)</f>
        <v>0</v>
      </c>
      <c r="V61" s="68">
        <f>IF(Pricing!AD11="Quoted",IF(Pricing!D11="Shape",IF(AE19&gt;2,ROUND(C16+((AE19-2)*C17),0.2),ROUND(C16,0.2)),),)</f>
        <v>0</v>
      </c>
      <c r="W61" s="68">
        <f>IF(Pricing!D11="French Door Cutout",ROUND(Matrix2!$F$4,0.2),)</f>
        <v>0</v>
      </c>
      <c r="X61" s="68">
        <f>IF(Pricing!AD11="Quoted",IF(OR(Pricing!F11="Custom Colour",ISNUMBER(SEARCH("Classic Black",Pricing!F11)),ISNUMBER(SEARCH("Matte Black",Pricing!F11))),ROUND(Matrix2!F11,0.2),),)</f>
        <v>0</v>
      </c>
      <c r="Y61" s="68">
        <f>IF(OR(AND(Pricing!E11&lt;&gt;"Java",Pricing!G13="Stainless Steel"),Pricing!G13="Brushed Nickel Plated"),ROUND(Matrix2!$F$12*Matrix2!N61,0.2),)</f>
        <v>0</v>
      </c>
      <c r="Z61" s="200">
        <f t="shared" si="23"/>
        <v>0</v>
      </c>
      <c r="AA61" s="68">
        <f>IF(Pricing!AD11="Quoted",IF(Pricing!AB13="YES",ROUND(CONVERT(Pricing!L11,"mm","m")*$F$14,0.2),),)</f>
        <v>0</v>
      </c>
    </row>
    <row r="62" spans="11:44" x14ac:dyDescent="0.25">
      <c r="K62" t="s">
        <v>180</v>
      </c>
      <c r="L62" s="77">
        <f>COUNTIFS(Pricing!Q14:AA14,"(CB)")</f>
        <v>0</v>
      </c>
      <c r="M62" s="4">
        <f t="shared" si="24"/>
        <v>0</v>
      </c>
      <c r="N62" s="78">
        <f>IF(Pricing!AD14="Quoted",IF(Pricing!E14="",,Pricing!L14*Pricing!M14/1000000),)</f>
        <v>0</v>
      </c>
      <c r="O62" s="75">
        <f>IF(Pricing!AD14="Quoted",IF(OR(Pricing!J14="Silent",Pricing!J14="Split Tilt"),ROUND($N$62*$C$9,0.2),0),)</f>
        <v>0</v>
      </c>
      <c r="P62" s="75">
        <f>IF(Pricing!AD14="Quoted",IF(Pricing!D14="Tracked",ROUND(($C$11+(Q62*$F$2)),0.2),),)</f>
        <v>0</v>
      </c>
      <c r="Q62" s="79">
        <f>IF(Pricing!AD14="Quoted",IF(Pricing!D14="Tracked",IF(N62&gt;0,CONVERT(Pricing!L14,"mm","m"),),),)</f>
        <v>0</v>
      </c>
      <c r="R62" s="75">
        <f>IF(Pricing!D14="S/Shade",ROUND($F$3*N62,0.2),0)</f>
        <v>0</v>
      </c>
      <c r="S62" s="68"/>
      <c r="T62" s="4">
        <f t="shared" si="25"/>
        <v>0</v>
      </c>
      <c r="U62" s="78">
        <f>IF(Pricing!AD8="Quoted",IF(OR(Pricing!J14="Silent",Pricing!J14="Split Tilt"),ROUND(N62*$C$9,0.2),),)</f>
        <v>0</v>
      </c>
      <c r="V62" s="68">
        <f>IF(Pricing!AD14="Quoted",IF(Pricing!D14="Shape",IF(AF19&gt;2,ROUND(C16+((AF19-2)*C17),0.2),ROUND(C16,0.2)),),)</f>
        <v>0</v>
      </c>
      <c r="W62" s="68">
        <f>IF(Pricing!D14="French Door Cutout",ROUND(Matrix2!$F$4,0.2),)</f>
        <v>0</v>
      </c>
      <c r="X62" s="68">
        <f>IF(Pricing!AD14="Quoted",IF(OR(Pricing!F14="Custom Colour",ISNUMBER(SEARCH("Classic Black",Pricing!F14)),ISNUMBER(SEARCH("Matte Black",Pricing!F14))),ROUND(Matrix2!F11,0.2),),)</f>
        <v>0</v>
      </c>
      <c r="Y62" s="68">
        <f>IF(OR(AND(Pricing!E14&lt;&gt;"Java",Pricing!G16="Stainless Steel"),Pricing!G16="Brushed Nickel Plated"),ROUND(Matrix2!$F$12*Matrix2!N62,0.2),)</f>
        <v>0</v>
      </c>
      <c r="Z62" s="200">
        <f t="shared" si="23"/>
        <v>0</v>
      </c>
      <c r="AA62" s="68">
        <f>IF(Pricing!AD14="Quoted",IF(Pricing!AB16="YES",ROUND(CONVERT(Pricing!L14,"mm","m")*$F$14,0.2),),)</f>
        <v>0</v>
      </c>
    </row>
    <row r="63" spans="11:44" x14ac:dyDescent="0.25">
      <c r="K63" t="s">
        <v>181</v>
      </c>
      <c r="L63" s="77">
        <f>COUNTIFS(Pricing!Q17:AA17,"(CB)")</f>
        <v>0</v>
      </c>
      <c r="M63" s="4">
        <f t="shared" si="24"/>
        <v>0</v>
      </c>
      <c r="N63" s="78">
        <f>IF(Pricing!AD17="Quoted",IF(Pricing!E17="",,Pricing!L17*Pricing!M17/1000000),)</f>
        <v>0</v>
      </c>
      <c r="O63" s="75">
        <f>IF(Pricing!AD17="Quoted",IF(OR(Pricing!J17 = "Silent",Pricing!J17 = "Split Tilt"),ROUND($N$63*$C$9,0.2),0),)</f>
        <v>0</v>
      </c>
      <c r="P63" s="75">
        <f>IF(Pricing!AD17="Quoted",IF(Pricing!D17="Tracked",ROUND($C$11+(Q63*$F$2),0.2),),)</f>
        <v>0</v>
      </c>
      <c r="Q63" s="79">
        <f>IF(Pricing!AD17="Quoted",IF(Pricing!D17="Tracked",IF(N63&gt;0,CONVERT(Pricing!L17,"mm","m"),),),)</f>
        <v>0</v>
      </c>
      <c r="R63" s="75">
        <f>IF(Pricing!D17="S/Shade",ROUND($F$3*N63,0.2),0)</f>
        <v>0</v>
      </c>
      <c r="S63" s="68"/>
      <c r="T63" s="4">
        <f t="shared" si="25"/>
        <v>0</v>
      </c>
      <c r="U63" s="78">
        <f>IF(Pricing!AD17="Quoted",IF(OR(Pricing!J17="Silent",Pricing!J17="Split Tilt"),ROUND(N63*$C$9,0.2),),)</f>
        <v>0</v>
      </c>
      <c r="V63" s="68">
        <f>IF(Pricing!AD17="Quoted",IF(Pricing!D17="Shape",IF(AG19&gt;2,ROUND(C16+((AG19-2)*C17),0.2),ROUND(C16,0.2)),),)</f>
        <v>0</v>
      </c>
      <c r="W63" s="68">
        <f>IF(Pricing!D17="French Door Cutout",ROUND(Matrix2!$F$4,0.2),)</f>
        <v>0</v>
      </c>
      <c r="X63" s="68">
        <f>IF(Pricing!AD17="Quoted",IF(OR(Pricing!F17="Custom Colour",ISNUMBER(SEARCH("Classic Black",Pricing!F17)),ISNUMBER(SEARCH("Matte Black",Pricing!F17))),ROUND(Matrix2!F11,0.2),),)</f>
        <v>0</v>
      </c>
      <c r="Y63" s="68">
        <f>IF(OR(AND(Pricing!E17&lt;&gt;"Java",Pricing!G19="Stainless Steel"),Pricing!G19="Brushed Nickel Plated"),ROUND(Matrix2!$F$12*Matrix2!N63,0.2),)</f>
        <v>0</v>
      </c>
      <c r="Z63" s="200">
        <f t="shared" si="23"/>
        <v>0</v>
      </c>
      <c r="AA63" s="68">
        <f>IF(Pricing!AD17="Quoted",IF(Pricing!AB19="YES",ROUND(CONVERT(Pricing!L17,"mm","m")*$F$14,0.2),),)</f>
        <v>0</v>
      </c>
    </row>
    <row r="64" spans="11:44" x14ac:dyDescent="0.25">
      <c r="K64" t="s">
        <v>182</v>
      </c>
      <c r="L64" s="77">
        <f>COUNTIFS(Pricing!Q20:AA20,"(CB)")</f>
        <v>0</v>
      </c>
      <c r="M64" s="4">
        <f t="shared" si="24"/>
        <v>0</v>
      </c>
      <c r="N64" s="78">
        <f>IF(Pricing!AD20="Quoted",IF(Pricing!E20="",,Pricing!L20*Pricing!M20/1000000),)</f>
        <v>0</v>
      </c>
      <c r="O64" s="75">
        <f>IF(Pricing!AD20="Quoted",IF(OR(Pricing!J20 = "Silent",Pricing!J20 = "Split Tilt"),ROUND($N$64*$C$9,0.2),0),)</f>
        <v>0</v>
      </c>
      <c r="P64" s="75">
        <f>IF(Pricing!AD20="Quoted",IF(Pricing!D20="Tracked",ROUND($C$11+(Q64*$F$2),0.2),),)</f>
        <v>0</v>
      </c>
      <c r="Q64" s="79">
        <f>IF(Pricing!AD20="Quoted",IF(Pricing!D20="Tracked",IF(N64&gt;0,CONVERT(Pricing!L20,"mm","m"),),),)</f>
        <v>0</v>
      </c>
      <c r="R64" s="75">
        <f>IF(Pricing!D20="S/Shade",ROUND($F$3*N64,0.2),0)</f>
        <v>0</v>
      </c>
      <c r="S64" s="68"/>
      <c r="T64" s="4">
        <f t="shared" si="25"/>
        <v>0</v>
      </c>
      <c r="U64" s="78">
        <f>IF(Pricing!AD20="Quoted",IF(OR(Pricing!J20="Silent",Pricing!J20="Split Tilt"),ROUND(N64*$C$9,0.2),),)</f>
        <v>0</v>
      </c>
      <c r="V64" s="68">
        <f>IF(Pricing!AD20="Quoted",IF(Pricing!D20="Shape",IF(AH19&gt;2,ROUND(C16+((AH19-2)*C17),0.2),ROUND(C16,0.2)),),)</f>
        <v>0</v>
      </c>
      <c r="W64" s="68">
        <f>IF(Pricing!D20="French Door Cutout",ROUND(Matrix2!$F$4,0.2),)</f>
        <v>0</v>
      </c>
      <c r="X64" s="68">
        <f>IF(Pricing!AD20="Quoted",IF(OR(Pricing!F20="Custom Colour",ISNUMBER(SEARCH("Classic Black",Pricing!F20)),ISNUMBER(SEARCH("Matte Black",Pricing!F20))),ROUND(Matrix2!F11,0.2),),)</f>
        <v>0</v>
      </c>
      <c r="Y64" s="68">
        <f>IF(OR(AND(Pricing!E20&lt;&gt;"Java",Pricing!G22="Stainless Steel"),Pricing!G22="Brushed Nickel Plated"),ROUND(Matrix2!$F$12*Matrix2!N65,0.2),)</f>
        <v>0</v>
      </c>
      <c r="Z64" s="200">
        <f t="shared" si="23"/>
        <v>0</v>
      </c>
      <c r="AA64" s="68">
        <f>IF(Pricing!AD20="Quoted",IF(Pricing!AB22="YES",ROUND(CONVERT(Pricing!L20,"mm","m")*$F$14,0.2),),)</f>
        <v>0</v>
      </c>
    </row>
    <row r="65" spans="11:27" x14ac:dyDescent="0.25">
      <c r="K65" t="s">
        <v>183</v>
      </c>
      <c r="L65" s="77">
        <f>COUNTIFS(Pricing!Q23:AA23,"(CB)")</f>
        <v>0</v>
      </c>
      <c r="M65" s="4">
        <f t="shared" si="24"/>
        <v>0</v>
      </c>
      <c r="N65" s="78">
        <f>IF(Pricing!AD23="Quoted",IF(Pricing!E23="",,Pricing!L23*Pricing!M23/1000000),)</f>
        <v>0</v>
      </c>
      <c r="O65" s="75">
        <f>IF(Pricing!AD23="Quoted",IF(OR(Pricing!J23="Silent",Pricing!J23="Split Tilt"),ROUND($N$65*$C$9,0.2),0),)</f>
        <v>0</v>
      </c>
      <c r="P65" s="75">
        <f>IF(Pricing!AD23="Quoted",IF(Pricing!D23="Tracked",ROUND($C$11+(Q65*$F$2),0.2),),)</f>
        <v>0</v>
      </c>
      <c r="Q65" s="79">
        <f>IF(Pricing!AD23="Quoted",IF(Pricing!D23="Tracked",IF(N65&gt;0,CONVERT(Pricing!L23,"mm","m"),),),)</f>
        <v>0</v>
      </c>
      <c r="R65" s="75">
        <f>IF(Pricing!D23="S/Shade",ROUND($F$3*N65,0.2),0)</f>
        <v>0</v>
      </c>
      <c r="S65" s="68"/>
      <c r="T65" s="4">
        <f t="shared" si="25"/>
        <v>0</v>
      </c>
      <c r="U65" s="78">
        <f>IF(Pricing!AD23="Quoted",IF(OR(Pricing!J23="Silent",Pricing!J23="Split Tilt"),ROUND(N65*$C$9,0.2),),)</f>
        <v>0</v>
      </c>
      <c r="V65" s="68">
        <f>IF(Pricing!AD23="Quoted",IF(Pricing!D23="Shape",ROUND(IF(AI19&gt;2,C16+((AI19-2)*C17),0.2),ROUND(C16,0.2)),),)</f>
        <v>0</v>
      </c>
      <c r="W65" s="68">
        <f>IF(Pricing!D23="French Door Cutout",ROUND(Matrix2!$F$4,0.2),)</f>
        <v>0</v>
      </c>
      <c r="X65" s="68">
        <f>IF(Pricing!AD23="Quoted",IF(OR(Pricing!F23="Custom Colour",ISNUMBER(SEARCH("Classic Black",Pricing!F23)),ISNUMBER(SEARCH("Matte Black",Pricing!F23))),ROUND(Matrix2!F11,0.2),),)</f>
        <v>0</v>
      </c>
      <c r="Y65" s="68">
        <f>IF(OR(AND(Pricing!E26&lt;&gt;"Java",Pricing!G28="Stainless Steel"),Pricing!G28="Brushed Nickel Plated"),ROUND(Matrix2!$F$12*Matrix2!N65,0.2),)</f>
        <v>0</v>
      </c>
      <c r="Z65" s="200">
        <f t="shared" si="23"/>
        <v>0</v>
      </c>
      <c r="AA65" s="68">
        <f>IF(Pricing!AD23="Quoted",IF(Pricing!AD23="YES",ROUND(CONVERT(Pricing!L23,"mm","m")*$F$14,0.2),),)</f>
        <v>0</v>
      </c>
    </row>
    <row r="66" spans="11:27" x14ac:dyDescent="0.25">
      <c r="K66" t="s">
        <v>184</v>
      </c>
      <c r="L66" s="77">
        <f>COUNTIFS(Pricing!Q26:AA128,"(CB)")</f>
        <v>0</v>
      </c>
      <c r="M66" s="4">
        <f t="shared" si="24"/>
        <v>0</v>
      </c>
      <c r="N66" s="78">
        <f>IF(Pricing!AD26="Quoted",IF(Pricing!E26="",,Pricing!L26*Pricing!M26/1000000),)</f>
        <v>0</v>
      </c>
      <c r="O66" s="75">
        <f>IF(Pricing!AD26="Quoted",IF(OR(Pricing!J26 = "Silent",Pricing!J26 = "Split Tilt"),ROUND($N$66*$C$9,0.2),0),)</f>
        <v>0</v>
      </c>
      <c r="P66" s="75">
        <f>IF(Pricing!AD26="Quoted",IF(Pricing!D26="Tracked",ROUND($C$11+(Q66*$F$2),0.2),),)</f>
        <v>0</v>
      </c>
      <c r="Q66" s="79">
        <f>IF(Pricing!AD26="Quoted",IF(Pricing!D26="Tracked",IF(N66&gt;0,CONVERT(Pricing!L26,"mm","m"),),),)</f>
        <v>0</v>
      </c>
      <c r="R66" s="75">
        <f>IF(Pricing!D26="S/Shade",ROUND($F$3*N66,0.2),0)</f>
        <v>0</v>
      </c>
      <c r="S66" s="68"/>
      <c r="T66" s="4">
        <f t="shared" si="25"/>
        <v>0</v>
      </c>
      <c r="U66" s="78">
        <f>IF(Pricing!AD26="Quoted",IF(OR(Pricing!J26="Silent",Pricing!J26="Split Tilt"),ROUND(N66*$C$9,0.2),),)</f>
        <v>0</v>
      </c>
      <c r="V66" s="68">
        <f>IF(Pricing!AD26="Quoted",IF(Pricing!D26="Shape",IF(AJ19&gt;2,ROUND(C16+((AJ19-2)*C17),0.2),ROUND(C16,0.2)),),)</f>
        <v>0</v>
      </c>
      <c r="W66" s="68">
        <f>IF(Pricing!D26="French Door Cutout",ROUND(Matrix2!$F$4,0.2),)</f>
        <v>0</v>
      </c>
      <c r="X66" s="68">
        <f>IF(Pricing!AD26="Quoted",IF(OR(Pricing!F26="Custom Colour",ISNUMBER(SEARCH("Classic Black",Pricing!F26)),ISNUMBER(SEARCH("Matte Black",Pricing!F26))),ROUND(Matrix2!F11,0.2),),)</f>
        <v>0</v>
      </c>
      <c r="Y66" s="68">
        <f>IF(OR(AND(Pricing!E26&lt;&gt;"Java",Pricing!G28="Stainless Steel"),Pricing!G28="Brushed Nickel Plated"),ROUND(Matrix2!$F$12*Matrix2!N66,0.2),)</f>
        <v>0</v>
      </c>
      <c r="Z66" s="200">
        <f t="shared" si="23"/>
        <v>0</v>
      </c>
      <c r="AA66" s="68">
        <f>IF(Pricing!AD26="Quoted",IF(Pricing!AD26="YES",ROUND(CONVERT(Pricing!L26,"mm","m")*$F$14,0.2),),)</f>
        <v>0</v>
      </c>
    </row>
    <row r="67" spans="11:27" x14ac:dyDescent="0.25">
      <c r="K67" t="s">
        <v>185</v>
      </c>
      <c r="L67" s="77">
        <f>COUNTIFS(Pricing!Q29:AA29,"(CB)")</f>
        <v>0</v>
      </c>
      <c r="M67" s="4">
        <f t="shared" si="24"/>
        <v>0</v>
      </c>
      <c r="N67" s="78">
        <f>IF(Pricing!AD29="Quoted",IF(Pricing!E29="",,Pricing!L29*Pricing!M29/1000000),)</f>
        <v>0</v>
      </c>
      <c r="O67" s="75">
        <f>IF(Pricing!AD29="Quoted",IF(OR(Pricing!J29 = "Silent",Pricing!J29 = "Split Tilt"),ROUND($N$67*$C$9,0.2),0),)</f>
        <v>0</v>
      </c>
      <c r="P67" s="75">
        <f>IF(Pricing!AD29="Quoted",IF(Pricing!D29="Tracked",ROUND($C$11+(Q67*$F$2),0.2),),)</f>
        <v>0</v>
      </c>
      <c r="Q67" s="79">
        <f>IF(Pricing!AD29="Quoted",IF(Pricing!D29="Tracked",IF(N67&gt;0,CONVERT(Pricing!L29,"mm","m"),),),)</f>
        <v>0</v>
      </c>
      <c r="R67" s="75">
        <f>IF(Pricing!D29="S/Shade",ROUND($F$3*N67,0.2),0)</f>
        <v>0</v>
      </c>
      <c r="S67" s="68"/>
      <c r="T67" s="4">
        <f t="shared" si="25"/>
        <v>0</v>
      </c>
      <c r="U67" s="78">
        <f>IF(Pricing!AD29="Quoted",IF(OR(Pricing!J29="Silent",Pricing!J29="Split Tilt"),ROUND(N67*$C$9,0.2),),)</f>
        <v>0</v>
      </c>
      <c r="V67" s="68">
        <f>IF(Pricing!AD29="Quoted",IF(Pricing!D29="Shape",IF(AK19&gt;2,ROUND(C16+((AK19-2)*C17),0.2),ROUND(C16,0.2)),),)</f>
        <v>0</v>
      </c>
      <c r="W67" s="68">
        <f>IF(Pricing!D29="French Door Cutout",ROUND(Matrix2!$F$4,0.2),)</f>
        <v>0</v>
      </c>
      <c r="X67" s="68">
        <f>IF(Pricing!AD29="Quoted",IF(OR(Pricing!F29="Custom Colour",ISNUMBER(SEARCH("Classic Black",Pricing!F29)),ISNUMBER(SEARCH("Matte Black",Pricing!F29))),ROUND(Matrix2!F11,0.2),),)</f>
        <v>0</v>
      </c>
      <c r="Y67" s="68">
        <f>IF(OR(AND(Pricing!E29&lt;&gt;"Java",Pricing!G31="Stainless Steel"),Pricing!G31="Brushed Nickel Plated"),ROUND(Matrix2!$F$12*Matrix2!N67,0.2),)</f>
        <v>0</v>
      </c>
      <c r="Z67" s="200">
        <f t="shared" si="23"/>
        <v>0</v>
      </c>
      <c r="AA67" s="68">
        <f>IF(Pricing!AD29="Quoted",IF(Pricing!AD29="YES",ROUND(CONVERT(Pricing!L29,"mm","m")*$F$14,0.2),),)</f>
        <v>0</v>
      </c>
    </row>
    <row r="68" spans="11:27" x14ac:dyDescent="0.25">
      <c r="K68" t="s">
        <v>186</v>
      </c>
      <c r="L68" s="77">
        <f>COUNTIFS(Pricing!Q32:AA32,"(CB)")</f>
        <v>0</v>
      </c>
      <c r="M68" s="4">
        <f t="shared" si="24"/>
        <v>0</v>
      </c>
      <c r="N68" s="78">
        <f>IF(Pricing!AD32="Quoted",IF(Pricing!E32="",,Pricing!L32*Pricing!M32/1000000),)</f>
        <v>0</v>
      </c>
      <c r="O68" s="75">
        <f>IF(Pricing!AD32="Quoted",IF(OR(Pricing!J32 = "Silent",Pricing!J32 = "Split Tilt"),ROUND($N$68*$C$9,0.2),0),)</f>
        <v>0</v>
      </c>
      <c r="P68" s="75">
        <f>IF(Pricing!AD32="Quoted",IF(Pricing!D32="Tracked",ROUND($C$11+(Q68*$F$2),0.2),),)</f>
        <v>0</v>
      </c>
      <c r="Q68" s="79">
        <f>IF(Pricing!AD32="Quoted",IF(Pricing!D32="Tracked",IF(N68&gt;0,CONVERT(Pricing!L32,"mm","m"),),),)</f>
        <v>0</v>
      </c>
      <c r="R68" s="75">
        <f>IF(Pricing!D32="S/Shade",ROUND($F$3*N68,0.2),0)</f>
        <v>0</v>
      </c>
      <c r="S68" s="68"/>
      <c r="T68" s="4">
        <f t="shared" si="25"/>
        <v>0</v>
      </c>
      <c r="U68" s="78">
        <f>IF(Pricing!AD32="Quoted",IF(OR(Pricing!J32="Silent",Pricing!J32="Split Tilt"),ROUND(N68*$C$9,0.2),),)</f>
        <v>0</v>
      </c>
      <c r="V68" s="68">
        <f>IF(Pricing!AD32="Quoted",IF(Pricing!D32="Shape",IF(AL19&gt;2,ROUND(C16+((AL19-2)*C17),0.2),ROUND(C16,0.2)),),)</f>
        <v>0</v>
      </c>
      <c r="W68" s="68">
        <f>IF(Pricing!D32="French Door Cutout",ROUND(Matrix2!$F$4,0.2),)</f>
        <v>0</v>
      </c>
      <c r="X68" s="68">
        <f>IF(Pricing!AD32="Quoted",IF(OR(Pricing!F32="Custom Colour",ISNUMBER(SEARCH("Classic Black",Pricing!F32)),ISNUMBER(SEARCH("Matte Black",Pricing!F32))),ROUND(Matrix2!F11,0.2),),)</f>
        <v>0</v>
      </c>
      <c r="Y68" s="68">
        <f>IF(OR(AND(Pricing!E32&lt;&gt;"Java",Pricing!G34="Stainless Steel"),Pricing!G34="Brushed Nickel Plated"),ROUND(Matrix2!$F$12*Matrix2!N68,0.2),)</f>
        <v>0</v>
      </c>
      <c r="Z68" s="200">
        <f t="shared" si="23"/>
        <v>0</v>
      </c>
      <c r="AA68" s="68">
        <f>IF(Pricing!AD32="Quoted",IF(Pricing!AD32="YES",ROUND(CONVERT(Pricing!L32,"mm","m")*$F$14,0.2),),)</f>
        <v>0</v>
      </c>
    </row>
    <row r="69" spans="11:27" x14ac:dyDescent="0.25">
      <c r="K69" t="s">
        <v>187</v>
      </c>
      <c r="L69" s="77">
        <f>COUNTIFS(Pricing!Q35:AA35,"(CB)")</f>
        <v>0</v>
      </c>
      <c r="M69" s="4">
        <f t="shared" si="24"/>
        <v>0</v>
      </c>
      <c r="N69" s="78">
        <f>IF(Pricing!AD35="Quoted",IF(Pricing!E35="",,Pricing!L35*Pricing!M35/1000000),)</f>
        <v>0</v>
      </c>
      <c r="O69" s="75">
        <f>IF(Pricing!AD35="Quoted",IF(OR(Pricing!J35 = "Silent",Pricing!J35 = "Split Tilt"),ROUND($N$69*$C$9,0.2),0),)</f>
        <v>0</v>
      </c>
      <c r="P69" s="75">
        <f>IF(Pricing!AD35="Quoted",IF(Pricing!D35="Tracked",ROUND($C$11+(Q69*$F$2),0.2),),)</f>
        <v>0</v>
      </c>
      <c r="Q69" s="79">
        <f>IF(Pricing!AD35="Quoted",IF(Pricing!D35="Tracked",IF(N69&gt;0,CONVERT(Pricing!L35,"mm","m"),),),)</f>
        <v>0</v>
      </c>
      <c r="R69" s="75">
        <f>IF(Pricing!D35="S/Shade",ROUND($F$3*N69,0.2),0)</f>
        <v>0</v>
      </c>
      <c r="S69" s="68"/>
      <c r="T69" s="4">
        <f t="shared" si="25"/>
        <v>0</v>
      </c>
      <c r="U69" s="78">
        <f>IF(Pricing!AD35="Quoted",IF(OR(Pricing!J35="Silent",Pricing!J35="Split Tilt"),ROUND(N69*$C$9,0.2),),)</f>
        <v>0</v>
      </c>
      <c r="V69" s="68">
        <f>IF(Pricing!AD35="Quoted",IF(Pricing!D35="Shape",IF(AM19&gt;2,Roumd(C16+((AM19-2)*C17),0.2),ROUND(C16,0.2)),),)</f>
        <v>0</v>
      </c>
      <c r="W69" s="68">
        <f>IF(Pricing!D35="French Door Cutout",ROUND(Matrix2!$F$4,0.2),)</f>
        <v>0</v>
      </c>
      <c r="X69" s="68">
        <f>IF(Pricing!AD35="Quoted",IF(OR(Pricing!F35="Custom Colour",ISNUMBER(SEARCH("Classic Black",Pricing!F35)),ISNUMBER(SEARCH("Matte Black",Pricing!F35))),ROUND(Matrix2!F11,0.2),),)</f>
        <v>0</v>
      </c>
      <c r="Y69" s="68">
        <f>IF(OR(AND(Pricing!E35&lt;&gt;"Java",Pricing!G37="Stainless Steel"),Pricing!G37="Brushed Nickel Plated"),ROUND(Matrix2!$F$12*Matrix2!N69,0.2),)</f>
        <v>0</v>
      </c>
      <c r="Z69" s="200">
        <f t="shared" si="23"/>
        <v>0</v>
      </c>
      <c r="AA69" s="68">
        <f>IF(Pricing!AD35="Quoted",IF(Pricing!AD35="YES",ROUND(CONVERT(Pricing!L35,"mm","m")*$F$14,0.2),),)</f>
        <v>0</v>
      </c>
    </row>
    <row r="70" spans="11:27" x14ac:dyDescent="0.25">
      <c r="K70" t="s">
        <v>188</v>
      </c>
      <c r="L70" s="77">
        <f>COUNTIFS(Pricing!Q38:AA38,"(CB)")</f>
        <v>0</v>
      </c>
      <c r="M70" s="4">
        <f t="shared" si="24"/>
        <v>0</v>
      </c>
      <c r="N70" s="78">
        <f>IF(Pricing!AD38="Quoted",IF(Pricing!E38="",,Pricing!L38*Pricing!M38/1000000),)</f>
        <v>0</v>
      </c>
      <c r="O70" s="75">
        <f>IF(Pricing!AD38="Quoted",IF(OR(Pricing!J38 = "Silent",Pricing!J38 = "Split Tilt"),ROUND($N$70*$C$9,0.2),0),)</f>
        <v>0</v>
      </c>
      <c r="P70" s="75">
        <f>IF(Pricing!AD38="Quoted",IF(Pricing!D38="Tracked",ROUND($C$11+(Q70*$F$2),0.2),),)</f>
        <v>0</v>
      </c>
      <c r="Q70" s="79">
        <f>IF(Pricing!AD38="Quoted",IF(Pricing!D38="Tracked",IF(N70&gt;0,CONVERT(Pricing!L38,"mm","m"),),),)</f>
        <v>0</v>
      </c>
      <c r="R70" s="75">
        <f>IF(Pricing!D38="S/Shade",ROUND($F$3*N70,0.2),0)</f>
        <v>0</v>
      </c>
      <c r="S70" s="68"/>
      <c r="T70" s="4">
        <f t="shared" si="25"/>
        <v>0</v>
      </c>
      <c r="U70" s="78">
        <f>IF(Pricing!AD38="Quoted",IF(OR(Pricing!J38="Silent",Pricing!J38="Split Tilt"),ROUND(N70*$C$9,0.2),),)</f>
        <v>0</v>
      </c>
      <c r="V70" s="68">
        <f>IF(Pricing!AD38="Quoted",IF(Pricing!D38="Shape",IF(AN19&gt;2,ROUND(C16+((AN19-2)*C17),0.2),ROUND(C16,0.2)),),)</f>
        <v>0</v>
      </c>
      <c r="W70" s="68">
        <f>IF(Pricing!D38="French Door Cutout",ROUND(Matrix2!$F$4,0.2),)</f>
        <v>0</v>
      </c>
      <c r="X70" s="68">
        <f>IF(Pricing!AD38="Quoted",IF(OR(Pricing!F38="Custom Colour",ISNUMBER(SEARCH("Classic Black",Pricing!F38)),ISNUMBER(SEARCH("Matte Black",Pricing!F38))),ROUND(Matrix2!F11,0.2),),)</f>
        <v>0</v>
      </c>
      <c r="Y70" s="68">
        <f>IF(OR(AND(Pricing!E38&lt;&gt;"Java",Pricing!G40="Stainless Steel"),Pricing!G40="Brushed Nickel Plated"),ROUND(Matrix2!$F$12*Matrix2!N70,0.2),)</f>
        <v>0</v>
      </c>
      <c r="Z70" s="200">
        <f t="shared" si="23"/>
        <v>0</v>
      </c>
      <c r="AA70" s="68">
        <f>IF(Pricing!AD38="Quoted",IF(Pricing!AD38="YES",ROUND(CONVERT(Pricing!L38,"mm","m")*$F$14,0.2),),)</f>
        <v>0</v>
      </c>
    </row>
    <row r="71" spans="11:27" x14ac:dyDescent="0.25">
      <c r="K71" t="s">
        <v>189</v>
      </c>
      <c r="L71" s="77">
        <f>COUNTIFS(Pricing!Q41:AA41,"(CB)")</f>
        <v>0</v>
      </c>
      <c r="M71" s="4">
        <f t="shared" si="24"/>
        <v>0</v>
      </c>
      <c r="N71" s="78">
        <f>IF(Pricing!AD41="Quoted",IF(Pricing!E41="",,Pricing!L41*Pricing!M41/1000000),)</f>
        <v>0</v>
      </c>
      <c r="O71" s="75">
        <f>IF(Pricing!AD41="Quoted",IF(OR(Pricing!J41 = "Silent",Pricing!J41 = "Split Tilt"),ROUND($N$61*$C$9,0.2),0),)</f>
        <v>0</v>
      </c>
      <c r="P71" s="75">
        <f>IF(Pricing!AD41="Quoted",IF(Pricing!D41="Tracked",ROUND($C$11+(Q71*$F$2),0.2),),)</f>
        <v>0</v>
      </c>
      <c r="Q71" s="79">
        <f>IF(Pricing!AD41="Quoted",IF(Pricing!D41="Tracked",IF(N71&gt;0,CONVERT(Pricing!L41,"mm","m"),),),)</f>
        <v>0</v>
      </c>
      <c r="R71" s="75">
        <f>IF(Pricing!D41="S/Shade",ROUND($F$3*N71,0.2),0)</f>
        <v>0</v>
      </c>
      <c r="S71" s="68"/>
      <c r="T71" s="4">
        <f t="shared" si="25"/>
        <v>0</v>
      </c>
      <c r="U71" s="78">
        <f>IF(Pricing!AD41="Quoted",IF(OR(Pricing!J41="Silent",Pricing!J41="Split Tilt"),ROUND(N71*$C$9,0.2),),)</f>
        <v>0</v>
      </c>
      <c r="V71" s="68">
        <f>IF(Pricing!AD41="Quoted",IF(Pricing!D41="Shape",IF(AO19&gt;2,ROUND(C16+((AO19-2)*C17),0.2),ROUND(C16,0.2)),),)</f>
        <v>0</v>
      </c>
      <c r="W71" s="68">
        <f>IF(Pricing!D41="French Door Cutout",ROUND(Matrix2!$F$4,0.2),)</f>
        <v>0</v>
      </c>
      <c r="X71" s="68">
        <f>IF(Pricing!AD41="Quoted",IF(OR(Pricing!F41="Custom Colour",ISNUMBER(SEARCH("Classic Black",Pricing!F41)),ISNUMBER(SEARCH("Matte Black",Pricing!F41))),ROUND(Matrix2!F11,0.2),),)</f>
        <v>0</v>
      </c>
      <c r="Y71" s="68">
        <f>IF(OR(AND(Pricing!E41&lt;&gt;"Java",Pricing!G43="Stainless Steel"),Pricing!G43="Brushed Nickel Plated"),ROUND(Matrix2!$F$12*Matrix2!N71,0.2),)</f>
        <v>0</v>
      </c>
      <c r="Z71" s="200">
        <f t="shared" si="23"/>
        <v>0</v>
      </c>
      <c r="AA71" s="68">
        <f>IF(Pricing!AD41="Quoted",IF(Pricing!AD41="YES",ROUND(CONVERT(Pricing!L41,"mm","m")*$F$14,0.2),),)</f>
        <v>0</v>
      </c>
    </row>
    <row r="72" spans="11:27" x14ac:dyDescent="0.25">
      <c r="K72" t="s">
        <v>190</v>
      </c>
      <c r="L72" s="77">
        <f>COUNTIFS(Pricing!Q44:AA44,"(CB)")</f>
        <v>0</v>
      </c>
      <c r="M72" s="4">
        <f t="shared" si="24"/>
        <v>0</v>
      </c>
      <c r="N72" s="78">
        <f>IF(Pricing!AD44="Quoted",IF(Pricing!E44="",,Pricing!L44*Pricing!M44/1000000),)</f>
        <v>0</v>
      </c>
      <c r="O72" s="75">
        <f>IF(Pricing!AD44="Quoted",IF(OR(Pricing!J44 = "Silent",Pricing!J44 = "Split Tilt"),ROUND($N$61*$C$9,0.2),0),)</f>
        <v>0</v>
      </c>
      <c r="P72" s="75">
        <f>IF(Pricing!AD44="Quoted",IF(Pricing!D44="Tracked",ROUND($C$11+(Q72*$F$2),0.2),),)</f>
        <v>0</v>
      </c>
      <c r="Q72" s="79">
        <f>IF(Pricing!AD44="Quoted",IF(Pricing!D44="Tracked",IF(N72&gt;0,CONVERT(Pricing!L44,"mm","m"),),),)</f>
        <v>0</v>
      </c>
      <c r="R72" s="75">
        <f>IF(Pricing!D44="S/Shade",ROUND($F$3*N72,0.2),0)</f>
        <v>0</v>
      </c>
      <c r="S72" s="68"/>
      <c r="T72" s="4">
        <f t="shared" si="25"/>
        <v>0</v>
      </c>
      <c r="U72" s="78">
        <f>IF(Pricing!AD44="Quoted",IF(OR(Pricing!J44="Silent",Pricing!J44="Split Tilt"),ROUND(N72*$C$9,0.2),),)</f>
        <v>0</v>
      </c>
      <c r="V72" s="68">
        <f>IF(Pricing!AD44="Quoted",IF(Pricing!D44="Shape",IF(AP19&gt;2,ROUND(C16+((AP19-2)*C17),0.2),ROUND(C16,0.2)),),)</f>
        <v>0</v>
      </c>
      <c r="W72" s="68">
        <f>IF(Pricing!D44="French Door Cutout",ROUND(Matrix2!$F$4,0.2),)</f>
        <v>0</v>
      </c>
      <c r="X72" s="68">
        <f>IF(Pricing!AD44="Quoted",IF(OR(Pricing!F44="Custom Colour",ISNUMBER(SEARCH("Classic Black",Pricing!F44)),ISNUMBER(SEARCH("Matte Black",Pricing!F44))),ROUND(Matrix2!F11,0.2),),)</f>
        <v>0</v>
      </c>
      <c r="Y72" s="68">
        <f>IF(OR(AND(Pricing!E44&lt;&gt;"Java",Pricing!G46="Stainless Steel"),Pricing!G46="Brushed Nickel Plated"),ROUND(Matrix2!$F$12*Matrix2!N72,0.2),)</f>
        <v>0</v>
      </c>
      <c r="Z72" s="200">
        <f t="shared" si="23"/>
        <v>0</v>
      </c>
      <c r="AA72" s="68">
        <f>IF(Pricing!AD44="Quoted",IF(Pricing!AD44="YES",ROUND(CONVERT(Pricing!L44,"mm","m")*$F$14,0.2),),)</f>
        <v>0</v>
      </c>
    </row>
    <row r="73" spans="11:27" x14ac:dyDescent="0.25">
      <c r="K73" t="s">
        <v>191</v>
      </c>
      <c r="L73" s="77">
        <f>COUNTIFS(Pricing!Q47:AA47,"(CB)")</f>
        <v>0</v>
      </c>
      <c r="M73" s="4">
        <f t="shared" si="24"/>
        <v>0</v>
      </c>
      <c r="N73" s="78">
        <f>IF(Pricing!AD47="Quoted",IF(Pricing!E47="",,Pricing!L47*Pricing!M47/1000000),)</f>
        <v>0</v>
      </c>
      <c r="O73" s="75">
        <f>IF(Pricing!AD47="Quoted",IF(OR(Pricing!J47="Silent",Pricing!J47="Split Tilt"),ROUND($N$61*$C$9,0.2),0),)</f>
        <v>0</v>
      </c>
      <c r="P73" s="75">
        <f>IF(Pricing!AD47="Quoted",IF(Pricing!D47="Tracked",ROUND($C$11+(Q73*$F$2),0.2),),)</f>
        <v>0</v>
      </c>
      <c r="Q73" s="79">
        <f>IF(Pricing!AD47="Quoted",IF(Pricing!D47="Tracked",IF(N73&gt;0,CONVERT(Pricing!L47,"mm","m"),),),)</f>
        <v>0</v>
      </c>
      <c r="R73" s="75">
        <f>IF(Pricing!D47="S/Shade",ROUND($F$3*N73,0.2),0)</f>
        <v>0</v>
      </c>
      <c r="S73" s="68"/>
      <c r="T73" s="4">
        <f t="shared" si="25"/>
        <v>0</v>
      </c>
      <c r="U73" s="78">
        <f>IF(Pricing!AD47="Quoted",IF(OR(Pricing!J47="Silent",Pricing!J47="Split Tilt"),ROUND(N73*$C$9,0.2),),)</f>
        <v>0</v>
      </c>
      <c r="V73" s="68">
        <f>IF(Pricing!AD47="Quoted",IF(Pricing!D47="Shape",IF(AQ19&gt;2,ROUND(C16+((AQ19-2)*C17),0.2),ROUND(C16,0.2)),),)</f>
        <v>0</v>
      </c>
      <c r="W73" s="68">
        <f>IF(Pricing!D47="French Door Cutout",ROUND(Matrix2!$F$4,0.2),)</f>
        <v>0</v>
      </c>
      <c r="X73" s="68">
        <f>IF(Pricing!AD47="Quoted",IF(OR(Pricing!F47="Custom Colour",ISNUMBER(SEARCH("Classic Black",Pricing!F47)),ISNUMBER(SEARCH("Matte Black",Pricing!F47))),ROUND(Matrix2!F11,0.2),),)</f>
        <v>0</v>
      </c>
      <c r="Y73" s="68">
        <f>IF(OR(AND(Pricing!E47&lt;&gt;"Java",Pricing!G49="Stainless Steel"),Pricing!G49="Brushed Nickel Plated"),ROUND(Matrix2!$F$12*Matrix2!N73,0.2),)</f>
        <v>0</v>
      </c>
      <c r="Z73" s="200">
        <f t="shared" si="23"/>
        <v>0</v>
      </c>
      <c r="AA73" s="68">
        <f>IF(Pricing!AD47="Quoted",IF(Pricing!AD47="YES",ROUND(CONVERT(Pricing!L47,"mm","m")*$F$14,0.2),),)</f>
        <v>0</v>
      </c>
    </row>
    <row r="74" spans="11:27" x14ac:dyDescent="0.25">
      <c r="K74" t="s">
        <v>192</v>
      </c>
      <c r="L74" s="77">
        <f>COUNTIFS(Pricing!Q50:AA50,"(CB)")</f>
        <v>0</v>
      </c>
      <c r="M74" s="4">
        <f t="shared" si="24"/>
        <v>0</v>
      </c>
      <c r="N74" s="78">
        <f>IF(Pricing!AD50="Quoted",IF(Pricing!E50="",,Pricing!L50*Pricing!M50/1000000),)</f>
        <v>0</v>
      </c>
      <c r="O74" s="75">
        <f>IF(Pricing!AD50="Quoted",IF(OR(Pricing!J50 = "Silent",Pricing!J50 = "Split Tilt)"),ROUND($N$61*$C$9,0.2),0),)</f>
        <v>0</v>
      </c>
      <c r="P74" s="75">
        <f>IF(Pricing!AD50="Quoted",IF(Pricing!D50="Tracked",ROUND($C$11+(Q74*$F$2),0.2),),)</f>
        <v>0</v>
      </c>
      <c r="Q74" s="79">
        <f>IF(Pricing!AD50="Quoted",IF(Pricing!D50="Tracked",IF(N74&gt;0,CONVERT(Pricing!L50,"mm","m"),),),)</f>
        <v>0</v>
      </c>
      <c r="R74" s="75">
        <f>IF(Pricing!D50="S/Shade",ROUND($F$3*N74,0.2),0)</f>
        <v>0</v>
      </c>
      <c r="S74" s="68"/>
      <c r="T74" s="4">
        <f t="shared" si="25"/>
        <v>0</v>
      </c>
      <c r="U74" s="78">
        <f>IF(Pricing!AD50="Quoted",IF(OR(Pricing!J50="Silent",Pricing!J50="Split Tilt"),ROUND(N74*$C$9,0.2),),)</f>
        <v>0</v>
      </c>
      <c r="V74" s="68">
        <f>IF(Pricing!AD50="Quoted",IF(Pricing!D50="Shape",IF(AR19&gt;2,ROUND(C16+((AR19-2)*C17),0.2),ROUND(C16,0.2)),),)</f>
        <v>0</v>
      </c>
      <c r="W74" s="68">
        <f>IF(Pricing!D50="French Door Cutout",ROUND(Matrix2!$F$4,0.2),)</f>
        <v>0</v>
      </c>
      <c r="X74" s="68">
        <f>IF(Pricing!AD50="Quoted",IF(OR(Pricing!F50="Custom Colour",ISNUMBER(SEARCH("Classic Black",Pricing!F50)),ISNUMBER(SEARCH("Matte Black",Pricing!F50))),ROUND(Matrix2!F11,0.2),),)</f>
        <v>0</v>
      </c>
      <c r="Y74" s="68">
        <f>IF(OR(AND(Pricing!E50&lt;&gt;"Java",Pricing!G52="Stainless Steel"),Pricing!G52="Brushed Nickel Plated"),ROUND(Matrix2!$F$12*Matrix2!N74,0.2),)</f>
        <v>0</v>
      </c>
      <c r="Z74" s="200">
        <f t="shared" si="23"/>
        <v>0</v>
      </c>
      <c r="AA74" s="68">
        <f>IF(Pricing!AD50="Quoted",IF(Pricing!AD50="YES",ROUND(CONVERT(Pricing!L50,"mm","m")*$F$14,0.2),),)</f>
        <v>0</v>
      </c>
    </row>
    <row r="77" spans="11:27" ht="15.75" thickBot="1" x14ac:dyDescent="0.3">
      <c r="K77" s="834" t="s">
        <v>309</v>
      </c>
      <c r="L77" s="834"/>
      <c r="M77" s="834"/>
      <c r="N77" s="834"/>
      <c r="O77" s="834"/>
      <c r="P77" s="834"/>
      <c r="Q77" s="834"/>
      <c r="R77" s="834"/>
      <c r="S77" s="834"/>
      <c r="T77" s="834"/>
      <c r="U77" s="834"/>
      <c r="V77" s="834"/>
      <c r="W77" s="834"/>
      <c r="X77" s="834"/>
      <c r="Y77" s="834"/>
      <c r="Z77" s="834"/>
      <c r="AA77" s="834"/>
    </row>
    <row r="78" spans="11:27" ht="15.75" thickTop="1" x14ac:dyDescent="0.25">
      <c r="L78" s="80" t="s">
        <v>178</v>
      </c>
      <c r="M78" s="80" t="s">
        <v>179</v>
      </c>
      <c r="N78" s="80" t="s">
        <v>180</v>
      </c>
      <c r="O78" s="80" t="s">
        <v>181</v>
      </c>
      <c r="P78" s="80" t="s">
        <v>182</v>
      </c>
      <c r="Q78" s="80" t="s">
        <v>183</v>
      </c>
      <c r="R78" s="80" t="s">
        <v>184</v>
      </c>
      <c r="S78" s="80" t="s">
        <v>185</v>
      </c>
      <c r="T78" s="80" t="s">
        <v>186</v>
      </c>
      <c r="U78" s="80" t="s">
        <v>187</v>
      </c>
      <c r="V78" s="80" t="s">
        <v>188</v>
      </c>
      <c r="W78" s="80" t="s">
        <v>189</v>
      </c>
      <c r="X78" s="80" t="s">
        <v>190</v>
      </c>
      <c r="Y78" s="80" t="s">
        <v>191</v>
      </c>
      <c r="Z78" s="81" t="s">
        <v>192</v>
      </c>
      <c r="AA78" s="82" t="s">
        <v>78</v>
      </c>
    </row>
    <row r="79" spans="11:27" x14ac:dyDescent="0.25">
      <c r="K79" s="34" t="s">
        <v>43</v>
      </c>
      <c r="L79" s="78">
        <f>IF(AND(Pricing!$E$8=K79,Pricing!$AD$8="Quoted"),,IF(Pricing!$E$8=K79,$N$22,))</f>
        <v>0.66220000000000001</v>
      </c>
      <c r="M79" s="78">
        <f>IF(AND(Pricing!$E$11=K79,Pricing!$AD$11="Quoted"),,IF(Pricing!$E$11=K79,$N$23,))</f>
        <v>1.8171999999999999</v>
      </c>
      <c r="N79" s="78">
        <f>IF(AND(Pricing!$E$14=K79,Pricing!$AD$14="Quoted"),,IF(Pricing!$E$14=K79,$N$24,))</f>
        <v>0.66220000000000001</v>
      </c>
      <c r="O79" s="78">
        <f>IF(AND(Pricing!$E$17=K79,Pricing!$AD$17="Quoted"),,IF(Pricing!$E$17=K79,$N$25,))</f>
        <v>1.7576000000000001</v>
      </c>
      <c r="P79" s="78">
        <f>IF(AND(Pricing!$E$20=K79,Pricing!$AD$20="Quoted"),,IF(Pricing!$E$20=K79,$N$26,))</f>
        <v>1.1439999999999999</v>
      </c>
      <c r="Q79" s="78">
        <f>IF(AND(Pricing!$E$23=K79,Pricing!$AD$23="Quoted"),,IF(Pricing!$E$23=K79,$N$27,))</f>
        <v>1.1439999999999999</v>
      </c>
      <c r="R79" s="78">
        <f>IF(AND(Pricing!$E$26=K79,Pricing!$AD$26="Quoted"),,IF(Pricing!$E$26=K79,$N$28,))</f>
        <v>1.5449999999999999</v>
      </c>
      <c r="S79" s="78">
        <f>IF(AND(Pricing!$E$29=K79,Pricing!$AD$29="Quoted"),,IF(Pricing!$E$29=K79,$N$29,))</f>
        <v>0</v>
      </c>
      <c r="T79" s="78">
        <f>IF(AND(Pricing!$E$32=K79,Pricing!$AD$32="Quoted"),,IF(Pricing!$E$32=K79,$N$30,))</f>
        <v>0</v>
      </c>
      <c r="U79" s="78">
        <f>IF(AND(Pricing!$E$35=K79,Pricing!$AD$35="Quoted"),,IF(Pricing!$E$35=K79,$N$31,))</f>
        <v>0</v>
      </c>
      <c r="V79" s="78">
        <f>IF(AND(Pricing!$E$38=K79,Pricing!$AD$38="Quoted"),,IF(Pricing!$E$38=K79,$N$32,))</f>
        <v>0</v>
      </c>
      <c r="W79" s="78">
        <f>IF(AND(Pricing!$E$41=K79,Pricing!$AD$41="Quoted"),,IF(Pricing!$E$41=K79,$N$33,))</f>
        <v>0</v>
      </c>
      <c r="X79" s="78">
        <f>IF(AND(Pricing!$E$44=K79,Pricing!$AD$44="Quoted"),,IF(Pricing!$E$44=K79,$N$34,))</f>
        <v>0</v>
      </c>
      <c r="Y79" s="78">
        <f>IF(AND(Pricing!$E$47=K79,Pricing!$AD$47="Quoted"),,IF(Pricing!$E$47=K79,$N$35,))</f>
        <v>0</v>
      </c>
      <c r="Z79" s="78">
        <f>IF(AND(Pricing!$E$50=K79,Pricing!$AD$50="Quoted"),,IF(Pricing!$E$50=K79,$N$36,))</f>
        <v>0</v>
      </c>
      <c r="AA79" s="83">
        <f>SUM(L79:Z79)</f>
        <v>8.7322000000000006</v>
      </c>
    </row>
    <row r="80" spans="11:27" x14ac:dyDescent="0.25">
      <c r="K80" s="34" t="s">
        <v>45</v>
      </c>
      <c r="L80" s="78">
        <f>IF(AND(Pricing!$E$8=K80,Pricing!$AD$8="Quoted"),,IF(Pricing!$E$8=K80,$N$22,))</f>
        <v>0</v>
      </c>
      <c r="M80" s="78">
        <f>IF(AND(Pricing!$E$11=$K80,Pricing!$AD$11="Quoted"),,IF(Pricing!$E$11=K80,$N$23,))</f>
        <v>0</v>
      </c>
      <c r="N80" s="78">
        <f>IF(AND(Pricing!$E$14=K80,Pricing!$AD$14="Quoted"),,IF(Pricing!$E$14=K80,$N$24,))</f>
        <v>0</v>
      </c>
      <c r="O80" s="78">
        <f>IF(AND(Pricing!$E$17=K80,Pricing!$AD$17="Quoted"),,IF(Pricing!$E$17=K80,$N$25,))</f>
        <v>0</v>
      </c>
      <c r="P80" s="78">
        <f>IF(AND(Pricing!$E$20=K80,Pricing!$AD$20="Quoted"),,IF(Pricing!$E$20=K80,$N$26,))</f>
        <v>0</v>
      </c>
      <c r="Q80" s="78">
        <f>IF(AND(Pricing!$E$23=K80,Pricing!$AD$23="Quoted"),,IF(Pricing!$E$23=K80,$N$27,))</f>
        <v>0</v>
      </c>
      <c r="R80" s="78">
        <f>IF(AND(Pricing!$E$26=K80,Pricing!$AD$26="Quoted"),,IF(Pricing!$E$26=K80,$N$28,))</f>
        <v>0</v>
      </c>
      <c r="S80" s="78">
        <f>IF(AND(Pricing!$E$29=K80,Pricing!$AD$29="Quoted"),,IF(Pricing!$E$29=K80,$N$29,))</f>
        <v>0</v>
      </c>
      <c r="T80" s="78">
        <f>IF(AND(Pricing!$E$32=K80,Pricing!$AD$32="Quoted"),,IF(Pricing!$E$32=K80,$N$30,))</f>
        <v>0</v>
      </c>
      <c r="U80" s="78">
        <f>IF(AND(Pricing!$E$35=K80,Pricing!$AD$35="Quoted"),,IF(Pricing!$E$35=K80,$N$31,))</f>
        <v>0</v>
      </c>
      <c r="V80" s="78">
        <f>IF(AND(Pricing!$E$38=K80,Pricing!$AD$38="Quoted"),,IF(Pricing!$E$38=K80,$N$32,))</f>
        <v>0</v>
      </c>
      <c r="W80" s="78">
        <f>IF(AND(Pricing!$E$41=K80,Pricing!$AD$41="Quoted"),,IF(Pricing!$E$41=K80,$N$33,))</f>
        <v>0</v>
      </c>
      <c r="X80" s="78">
        <f>IF(AND(Pricing!$E$44=K80,Pricing!$AD$44="Quoted"),,IF(Pricing!$E$44=K80,$N$34,))</f>
        <v>0</v>
      </c>
      <c r="Y80" s="78">
        <f>IF(AND(Pricing!$E$47=K80,Pricing!$AD$47="Quoted"),,IF(Pricing!$E$47=K80,$N$35,))</f>
        <v>0</v>
      </c>
      <c r="Z80" s="78">
        <f>IF(AND(Pricing!$E$50=K80,Pricing!$AD$50="Quoted"),,IF(Pricing!$E$50=K80,$N$36,))</f>
        <v>0</v>
      </c>
      <c r="AA80" s="83">
        <f t="shared" ref="AA80:AA84" si="26">SUM(L80:Z80)</f>
        <v>0</v>
      </c>
    </row>
    <row r="81" spans="11:27" x14ac:dyDescent="0.25">
      <c r="K81" s="34" t="s">
        <v>48</v>
      </c>
      <c r="L81" s="78">
        <f>IF(AND(Pricing!$E$8=K81,Pricing!$AD$8="Quoted"),,IF(Pricing!$E$8=K81,$N$22,))</f>
        <v>0</v>
      </c>
      <c r="M81" s="78">
        <f>IF(AND(Pricing!$E$11=$K81,Pricing!$AD$11="Quoted"),,IF(Pricing!$E$11=K81,$N$23,))</f>
        <v>0</v>
      </c>
      <c r="N81" s="78">
        <f>IF(AND(Pricing!$E$14=K81,Pricing!$AD$14="Quoted"),,IF(Pricing!$E$14=K81,$N$24,))</f>
        <v>0</v>
      </c>
      <c r="O81" s="78">
        <f>IF(AND(Pricing!$E$17=K81,Pricing!$AD$17="Quoted"),,IF(Pricing!$E$17=K81,$N$25,))</f>
        <v>0</v>
      </c>
      <c r="P81" s="78">
        <f>IF(AND(Pricing!$E$20=K81,Pricing!$AD$20="Quoted"),,IF(Pricing!$E$20=K81,$N$26,))</f>
        <v>0</v>
      </c>
      <c r="Q81" s="78">
        <f>IF(AND(Pricing!$E$23=K81,Pricing!$AD$23="Quoted"),,IF(Pricing!$E$23=K81,$N$27,))</f>
        <v>0</v>
      </c>
      <c r="R81" s="78">
        <f>IF(AND(Pricing!$E$26=K81,Pricing!$AD$26="Quoted"),,IF(Pricing!$E$26=K81,$N$28,))</f>
        <v>0</v>
      </c>
      <c r="S81" s="78">
        <f>IF(AND(Pricing!$E$29=K81,Pricing!$AD$29="Quoted"),,IF(Pricing!$E$29=K81,$N$29,))</f>
        <v>0</v>
      </c>
      <c r="T81" s="78">
        <f>IF(AND(Pricing!$E$32=K81,Pricing!$AD$32="Quoted"),,IF(Pricing!$E$32=K81,$N$30,))</f>
        <v>0</v>
      </c>
      <c r="U81" s="78">
        <f>IF(AND(Pricing!$E$35=K81,Pricing!$AD$35="Quoted"),,IF(Pricing!$E$35=K81,$N$31,))</f>
        <v>0</v>
      </c>
      <c r="V81" s="78">
        <f>IF(AND(Pricing!$E$38=K81,Pricing!$AD$38="Quoted"),,IF(Pricing!$E$38=K81,$N$32,))</f>
        <v>0</v>
      </c>
      <c r="W81" s="78">
        <f>IF(AND(Pricing!$E$41=K81,Pricing!$AD$41="Quoted"),,IF(Pricing!$E$41=K81,$N$33,))</f>
        <v>0</v>
      </c>
      <c r="X81" s="78">
        <f>IF(AND(Pricing!$E$44=K81,Pricing!$AD$44="Quoted"),,IF(Pricing!$E$44=K81,$N$34,))</f>
        <v>0</v>
      </c>
      <c r="Y81" s="78">
        <f>IF(AND(Pricing!$E$47=K81,Pricing!$AD$47="Quoted"),,IF(Pricing!$E$47=K81,$N$35,))</f>
        <v>0</v>
      </c>
      <c r="Z81" s="78">
        <f>IF(AND(Pricing!$E$50=K81,Pricing!$AD$50="Quoted"),,IF(Pricing!$E$50=K81,$N$36,))</f>
        <v>0</v>
      </c>
      <c r="AA81" s="83">
        <f t="shared" si="26"/>
        <v>0</v>
      </c>
    </row>
    <row r="82" spans="11:27" x14ac:dyDescent="0.25">
      <c r="K82" s="34" t="s">
        <v>52</v>
      </c>
      <c r="L82" s="78">
        <f>IF(AND(Pricing!$E$8=K82,Pricing!$AD$8="Quoted"),,IF(Pricing!$E$8=K82,$N$22,))</f>
        <v>0</v>
      </c>
      <c r="M82" s="78">
        <f>IF(AND(Pricing!$E$11=$K82,Pricing!$AD$11="Quoted"),,IF(Pricing!$E$11=K82,$N$23,))</f>
        <v>0</v>
      </c>
      <c r="N82" s="78">
        <f>IF(AND(Pricing!$E$14=K82,Pricing!$AD$14="Quoted"),,IF(Pricing!$E$14=K82,$N$24,))</f>
        <v>0</v>
      </c>
      <c r="O82" s="78">
        <f>IF(AND(Pricing!$E$17=K82,Pricing!$AD$17="Quoted"),,IF(Pricing!$E$17=K82,$N$25,))</f>
        <v>0</v>
      </c>
      <c r="P82" s="78">
        <f>IF(AND(Pricing!$E$20=K82,Pricing!$AD$20="Quoted"),,IF(Pricing!$E$20=K82,$N$26,))</f>
        <v>0</v>
      </c>
      <c r="Q82" s="78">
        <f>IF(AND(Pricing!$E$23=K82,Pricing!$AD$23="Quoted"),,IF(Pricing!$E$23=K82,$N$27,))</f>
        <v>0</v>
      </c>
      <c r="R82" s="78">
        <f>IF(AND(Pricing!$E$26=K82,Pricing!$AD$26="Quoted"),,IF(Pricing!$E$26=K82,$N$28,))</f>
        <v>0</v>
      </c>
      <c r="S82" s="78">
        <f>IF(AND(Pricing!$E$29=K82,Pricing!$AD$29="Quoted"),,IF(Pricing!$E$29=K82,$N$29,))</f>
        <v>0</v>
      </c>
      <c r="T82" s="78">
        <f>IF(AND(Pricing!$E$32=K82,Pricing!$AD$32="Quoted"),,IF(Pricing!$E$32=K82,$N$30,))</f>
        <v>0</v>
      </c>
      <c r="U82" s="78">
        <f>IF(AND(Pricing!$E$35=K82,Pricing!$AD$35="Quoted"),,IF(Pricing!$E$35=K82,$N$31,))</f>
        <v>0</v>
      </c>
      <c r="V82" s="78">
        <f>IF(AND(Pricing!$E$38=K82,Pricing!$AD$38="Quoted"),,IF(Pricing!$E$38=K82,$N$32,))</f>
        <v>0</v>
      </c>
      <c r="W82" s="78">
        <f>IF(AND(Pricing!$E$41=K82,Pricing!$AD$41="Quoted"),,IF(Pricing!$E$41=K82,$N$33,))</f>
        <v>0</v>
      </c>
      <c r="X82" s="78">
        <f>IF(AND(Pricing!$E$44=K82,Pricing!$AD$44="Quoted"),,IF(Pricing!$E$44=K82,$N$34,))</f>
        <v>0</v>
      </c>
      <c r="Y82" s="78">
        <f>IF(AND(Pricing!$E$47=K82,Pricing!$AD$47="Quoted"),,IF(Pricing!$E$47=K82,$N$35,))</f>
        <v>0</v>
      </c>
      <c r="Z82" s="78">
        <f>IF(AND(Pricing!$E$50=K82,Pricing!$AD$50="Quoted"),,IF(Pricing!$E$50=K82,$N$36,))</f>
        <v>0</v>
      </c>
      <c r="AA82" s="83">
        <f t="shared" si="26"/>
        <v>0</v>
      </c>
    </row>
    <row r="83" spans="11:27" x14ac:dyDescent="0.25">
      <c r="K83" s="34" t="s">
        <v>54</v>
      </c>
      <c r="L83" s="78">
        <f>IF(AND(Pricing!$E$8=K83,Pricing!$AD$8="Quoted"),,IF(Pricing!$E$8=K83,$N$22,))</f>
        <v>0</v>
      </c>
      <c r="M83" s="78">
        <f>IF(AND(Pricing!$E$11=$K83,Pricing!$AD$11="Quoted"),,IF(Pricing!$E$11=K83,$N$23,))</f>
        <v>0</v>
      </c>
      <c r="N83" s="78">
        <f>IF(AND(Pricing!$E$14=K83,Pricing!$AD$14="Quoted"),,IF(Pricing!$E$14=K83,$N$24,))</f>
        <v>0</v>
      </c>
      <c r="O83" s="78">
        <f>IF(AND(Pricing!$E$17=K83,Pricing!$AD$17="Quoted"),,IF(Pricing!$E$17=K83,$N$25,))</f>
        <v>0</v>
      </c>
      <c r="P83" s="78">
        <f>IF(AND(Pricing!$E$20=K83,Pricing!$AD$20="Quoted"),,IF(Pricing!$E$20=K83,$N$26,))</f>
        <v>0</v>
      </c>
      <c r="Q83" s="78">
        <f>IF(AND(Pricing!$E$23=K83,Pricing!$AD$23="Quoted"),,IF(Pricing!$E$23=K83,$N$27,))</f>
        <v>0</v>
      </c>
      <c r="R83" s="78">
        <f>IF(AND(Pricing!$E$26=K83,Pricing!$AD$26="Quoted"),,IF(Pricing!$E$26=K83,$N$28,))</f>
        <v>0</v>
      </c>
      <c r="S83" s="78">
        <f>IF(AND(Pricing!$E$29=K83,Pricing!$AD$29="Quoted"),,IF(Pricing!$E$29=K83,$N$29,))</f>
        <v>0</v>
      </c>
      <c r="T83" s="78">
        <f>IF(AND(Pricing!$E$32=K83,Pricing!$AD$32="Quoted"),,IF(Pricing!$E$32=K83,$N$30,))</f>
        <v>0</v>
      </c>
      <c r="U83" s="78">
        <f>IF(AND(Pricing!$E$35=K83,Pricing!$AD$35="Quoted"),,IF(Pricing!$E$35=K83,$N$31,))</f>
        <v>0</v>
      </c>
      <c r="V83" s="78">
        <f>IF(AND(Pricing!$E$38=K83,Pricing!$AD$38="Quoted"),,IF(Pricing!$E$38=K83,$N$32,))</f>
        <v>0</v>
      </c>
      <c r="W83" s="78">
        <f>IF(AND(Pricing!$E$41=K83,Pricing!$AD$41="Quoted"),,IF(Pricing!$E$41=K83,$N$33,))</f>
        <v>0</v>
      </c>
      <c r="X83" s="78">
        <f>IF(AND(Pricing!$E$44=K83,Pricing!$AD$44="Quoted"),,IF(Pricing!$E$44=K83,$N$34,))</f>
        <v>0</v>
      </c>
      <c r="Y83" s="78">
        <f>IF(AND(Pricing!$E$47=K83,Pricing!$AD$47="Quoted"),,IF(Pricing!$E$47=K83,$N$35,))</f>
        <v>0</v>
      </c>
      <c r="Z83" s="78">
        <f>IF(AND(Pricing!$E$50=K83,Pricing!$AD$50="Quoted"),,IF(Pricing!$E$50=K83,$N$36,))</f>
        <v>0</v>
      </c>
      <c r="AA83" s="83">
        <f t="shared" si="26"/>
        <v>0</v>
      </c>
    </row>
    <row r="84" spans="11:27" ht="15.75" thickBot="1" x14ac:dyDescent="0.3">
      <c r="K84" s="36" t="s">
        <v>57</v>
      </c>
      <c r="L84" s="78">
        <f>IF(AND(Pricing!$E$8=K84,Pricing!$AD$8="Quoted"),,IF(Pricing!$E$8=K84,$N$22,))</f>
        <v>0</v>
      </c>
      <c r="M84" s="78">
        <f>IF(AND(Pricing!$E$11=$K84,Pricing!$AD$11="Quoted"),,IF(Pricing!$E$11=K84,$N$23,))</f>
        <v>0</v>
      </c>
      <c r="N84" s="78">
        <f>IF(AND(Pricing!$E$14=K84,Pricing!$AD$14="Quoted"),,IF(Pricing!$E$14=K84,$N$24,))</f>
        <v>0</v>
      </c>
      <c r="O84" s="78">
        <f>IF(AND(Pricing!$E$17=K84,Pricing!$AD$17="Quoted"),,IF(Pricing!$E$17=K84,$N$25,))</f>
        <v>0</v>
      </c>
      <c r="P84" s="78">
        <f>IF(AND(Pricing!$E$20=K84,Pricing!$AD$20="Quoted"),,IF(Pricing!$E$20=K84,$N$26,))</f>
        <v>0</v>
      </c>
      <c r="Q84" s="78">
        <f>IF(AND(Pricing!$E$23=K84,Pricing!$AD$23="Quoted"),,IF(Pricing!$E$23=K84,$N$27,))</f>
        <v>0</v>
      </c>
      <c r="R84" s="78">
        <f>IF(AND(Pricing!$E$26=K84,Pricing!$AD$26="Quoted"),,IF(Pricing!$E$26=K84,$N$28,))</f>
        <v>0</v>
      </c>
      <c r="S84" s="78">
        <f>IF(AND(Pricing!$E$29=K84,Pricing!$AD$29="Quoted"),,IF(Pricing!$E$29=K84,$N$29,))</f>
        <v>0</v>
      </c>
      <c r="T84" s="78">
        <f>IF(AND(Pricing!$E$32=K84,Pricing!$AD$32="Quoted"),,IF(Pricing!$E$32=K84,$N$30,))</f>
        <v>0</v>
      </c>
      <c r="U84" s="78">
        <f>IF(AND(Pricing!$E$35=K84,Pricing!$AD$35="Quoted"),,IF(Pricing!$E$35=K84,$N$31,))</f>
        <v>0</v>
      </c>
      <c r="V84" s="78">
        <f>IF(AND(Pricing!$E$38=K84,Pricing!$AD$38="Quoted"),,IF(Pricing!$E$38=K84,$N$32,))</f>
        <v>0</v>
      </c>
      <c r="W84" s="78">
        <f>IF(AND(Pricing!$E$41=K84,Pricing!$AD$41="Quoted"),,IF(Pricing!$E$41=K84,$N$33,))</f>
        <v>0</v>
      </c>
      <c r="X84" s="78">
        <f>IF(AND(Pricing!$E$44=K84,Pricing!$AD$44="Quoted"),,IF(Pricing!$E$44=K84,$N$34,))</f>
        <v>0</v>
      </c>
      <c r="Y84" s="78">
        <f>IF(AND(Pricing!$E$47=K84,Pricing!$AD$47="Quoted"),,IF(Pricing!$E$47=K84,$N$35,))</f>
        <v>0</v>
      </c>
      <c r="Z84" s="78">
        <f>IF(AND(Pricing!$E$50=K84,Pricing!$AD$50="Quoted"),,IF(Pricing!$E$50=K84,$N$36,))</f>
        <v>0</v>
      </c>
      <c r="AA84" s="84">
        <f t="shared" si="26"/>
        <v>0</v>
      </c>
    </row>
    <row r="85" spans="11:27" ht="15.75" thickTop="1" x14ac:dyDescent="0.25"/>
    <row r="87" spans="11:27" ht="15.75" thickBot="1" x14ac:dyDescent="0.3">
      <c r="K87" s="834" t="s">
        <v>310</v>
      </c>
      <c r="L87" s="834"/>
      <c r="M87" s="834"/>
      <c r="N87" s="834"/>
      <c r="O87" s="834"/>
      <c r="P87" s="834"/>
      <c r="Q87" s="834"/>
      <c r="R87" s="834"/>
      <c r="S87" s="834"/>
      <c r="T87" s="834"/>
      <c r="U87" s="834"/>
      <c r="V87" s="834"/>
      <c r="W87" s="834"/>
      <c r="X87" s="834"/>
      <c r="Y87" s="834"/>
      <c r="Z87" s="834"/>
      <c r="AA87" s="834"/>
    </row>
    <row r="88" spans="11:27" ht="15.75" thickTop="1" x14ac:dyDescent="0.25">
      <c r="L88" s="80" t="s">
        <v>178</v>
      </c>
      <c r="M88" s="80" t="s">
        <v>179</v>
      </c>
      <c r="N88" s="80" t="s">
        <v>180</v>
      </c>
      <c r="O88" s="80" t="s">
        <v>181</v>
      </c>
      <c r="P88" s="80" t="s">
        <v>182</v>
      </c>
      <c r="Q88" s="80" t="s">
        <v>183</v>
      </c>
      <c r="R88" s="80" t="s">
        <v>184</v>
      </c>
      <c r="S88" s="80" t="s">
        <v>185</v>
      </c>
      <c r="T88" s="80" t="s">
        <v>186</v>
      </c>
      <c r="U88" s="80" t="s">
        <v>187</v>
      </c>
      <c r="V88" s="80" t="s">
        <v>188</v>
      </c>
      <c r="W88" s="80" t="s">
        <v>189</v>
      </c>
      <c r="X88" s="80" t="s">
        <v>190</v>
      </c>
      <c r="Y88" s="80" t="s">
        <v>191</v>
      </c>
      <c r="Z88" s="81" t="s">
        <v>192</v>
      </c>
      <c r="AA88" s="82" t="s">
        <v>78</v>
      </c>
    </row>
    <row r="89" spans="11:27" x14ac:dyDescent="0.25">
      <c r="K89" s="34" t="s">
        <v>43</v>
      </c>
      <c r="L89" s="78">
        <f>N$60</f>
        <v>0</v>
      </c>
      <c r="M89" s="78">
        <f>$N61</f>
        <v>0</v>
      </c>
      <c r="N89" s="78">
        <f>$N62</f>
        <v>0</v>
      </c>
      <c r="O89" s="78">
        <f>$N63</f>
        <v>0</v>
      </c>
      <c r="P89" s="78">
        <f>$N64</f>
        <v>0</v>
      </c>
      <c r="Q89" s="78">
        <f>$N65</f>
        <v>0</v>
      </c>
      <c r="R89" s="78">
        <f>$N66</f>
        <v>0</v>
      </c>
      <c r="S89" s="78">
        <f>$N67</f>
        <v>0</v>
      </c>
      <c r="T89" s="78">
        <f>$N68</f>
        <v>0</v>
      </c>
      <c r="U89" s="78">
        <f>$N69</f>
        <v>0</v>
      </c>
      <c r="V89" s="78">
        <f>$N70</f>
        <v>0</v>
      </c>
      <c r="W89" s="78">
        <f>$N71</f>
        <v>0</v>
      </c>
      <c r="X89" s="78">
        <f>$N72</f>
        <v>0</v>
      </c>
      <c r="Y89" s="78">
        <f>$N73</f>
        <v>0</v>
      </c>
      <c r="Z89" s="78">
        <f>$N74</f>
        <v>0</v>
      </c>
      <c r="AA89" s="83">
        <f>SUM(L89:Z89)</f>
        <v>0</v>
      </c>
    </row>
    <row r="90" spans="11:27" x14ac:dyDescent="0.25">
      <c r="K90" s="34" t="s">
        <v>45</v>
      </c>
      <c r="L90" s="78">
        <f>IF(AND(Pricing!$E$8=K90,Pricing!$AD$8="Quoted"),IF(Pricing!$E$8=K90,N60,),)</f>
        <v>0</v>
      </c>
      <c r="M90" s="78">
        <f>IF(AND(Pricing!$E$11=$K90,Pricing!$AD$11="Quoted"),IF(Pricing!$E$11=K90,$N$61,),)</f>
        <v>0</v>
      </c>
      <c r="N90" s="78">
        <f>IF(AND(Pricing!$E$14=K90,Pricing!$AD$14="Quoted"),IF(Pricing!$E$14=K90,$N$62,),)</f>
        <v>0</v>
      </c>
      <c r="O90" s="78">
        <f>IF(AND(Pricing!$E$17=K90,Pricing!$AD$17="Quoted"),IF(Pricing!$E$17=K90,$N$63,),)</f>
        <v>0</v>
      </c>
      <c r="P90" s="78">
        <f>IF(AND(Pricing!$E$20=K90,Pricing!$AD$20="Quoted"),IF(Pricing!$E$20=K90,$N$64,),)</f>
        <v>0</v>
      </c>
      <c r="Q90" s="78">
        <f>IF(AND(Pricing!$E$23=K90,Pricing!$AD$23="Quoted"),IF(Pricing!$E$23=K90,$N$65,),)</f>
        <v>0</v>
      </c>
      <c r="R90" s="78">
        <f>IF(AND(Pricing!$E$26=K90,Pricing!$AD$26="Quoted"),IF(Pricing!$E$26=K90,$N$66,),)</f>
        <v>0</v>
      </c>
      <c r="S90" s="78">
        <f>IF(AND(Pricing!$E$29=K90,Pricing!$AD$29="Quoted"),IF(Pricing!$E$29=K90,$N$67,),)</f>
        <v>0</v>
      </c>
      <c r="T90" s="78">
        <f>IF(AND(Pricing!$E$32=K90,Pricing!$AD$32="Quoted"),IF(Pricing!$E$32=K90,$N$68,),)</f>
        <v>0</v>
      </c>
      <c r="U90" s="78">
        <f>IF(AND(Pricing!$E$35=K90,Pricing!$AD$35="Quoted"),IF(Pricing!$E$35=K90,$N$69,),)</f>
        <v>0</v>
      </c>
      <c r="V90" s="78">
        <f>IF(AND(Pricing!$E$38=K90,Pricing!$AD$38="Quoted"),IF(Pricing!$E$38=K90,$N$70,),)</f>
        <v>0</v>
      </c>
      <c r="W90" s="78">
        <f>IF(AND(Pricing!$E$41=K90,Pricing!$AD$41="Quoted"),IF(Pricing!$E$41=K90,$N$71,),)</f>
        <v>0</v>
      </c>
      <c r="X90" s="78">
        <f>IF(AND(Pricing!$E$44=K90,Pricing!$AD$44="Quoted"),IF(Pricing!$E$44=K90,$N$72,),)</f>
        <v>0</v>
      </c>
      <c r="Y90" s="78">
        <f>IF(AND(Pricing!$E$47=K90,Pricing!$AD$47="Quoted"),IF(Pricing!$E$47=K90,$N$73,),)</f>
        <v>0</v>
      </c>
      <c r="Z90" s="78">
        <f>IF(AND(Pricing!$E$50=K90,Pricing!$AD$50="Quoted"),IF(Pricing!$E$50=K90,$N$74,),)</f>
        <v>0</v>
      </c>
      <c r="AA90" s="83">
        <f t="shared" ref="AA90:AA94" si="27">SUM(L90:Z90)</f>
        <v>0</v>
      </c>
    </row>
    <row r="91" spans="11:27" x14ac:dyDescent="0.25">
      <c r="K91" s="34" t="s">
        <v>48</v>
      </c>
      <c r="L91" s="78">
        <f>IF(AND(Pricing!$E$8=K91,Pricing!$AD$8="Quoted"),IF(Pricing!$E$8=K91,N60,),)</f>
        <v>0</v>
      </c>
      <c r="M91" s="78">
        <f>IF(AND(Pricing!$E$11=$K91,Pricing!$AD$11="Quoted"),IF(Pricing!$E$11=K91,$N$61,),)</f>
        <v>0</v>
      </c>
      <c r="N91" s="78">
        <f>IF(AND(Pricing!$E$14=K91,Pricing!$AD$14="Quoted"),IF(Pricing!$E$14=K91,$N$62,),)</f>
        <v>0</v>
      </c>
      <c r="O91" s="78">
        <f>IF(AND(Pricing!$E$17=K91,Pricing!$AD$17="Quoted"),IF(Pricing!$E$17=K91,$N$63,),)</f>
        <v>0</v>
      </c>
      <c r="P91" s="78">
        <f>IF(AND(Pricing!$E$20=K91,Pricing!$AD$20="Quoted"),IF(Pricing!$E$20=K91,$N$64,),)</f>
        <v>0</v>
      </c>
      <c r="Q91" s="78">
        <f>IF(AND(Pricing!$E$23=K91,Pricing!$AD$23="Quoted"),IF(Pricing!$E$23=K91,$N$65,),)</f>
        <v>0</v>
      </c>
      <c r="R91" s="78">
        <f>IF(AND(Pricing!$E$26=K91,Pricing!$AD$26="Quoted"),IF(Pricing!$E$26=K91,$N$66,),)</f>
        <v>0</v>
      </c>
      <c r="S91" s="78">
        <f>IF(AND(Pricing!$E$29=K91,Pricing!$AD$29="Quoted"),IF(Pricing!$E$29=K91,$N$67,),)</f>
        <v>0</v>
      </c>
      <c r="T91" s="78">
        <f>IF(AND(Pricing!$E$32=K91,Pricing!$AD$32="Quoted"),IF(Pricing!$E$32=K91,$N$68,),)</f>
        <v>0</v>
      </c>
      <c r="U91" s="78">
        <f>IF(AND(Pricing!$E$35=K91,Pricing!$AD$35="Quoted"),IF(Pricing!$E$35=K91,$N$69,),)</f>
        <v>0</v>
      </c>
      <c r="V91" s="78">
        <f>IF(AND(Pricing!$E$38=K91,Pricing!$AD$38="Quoted"),IF(Pricing!$E$38=K91,$N$70,),)</f>
        <v>0</v>
      </c>
      <c r="W91" s="78">
        <f>IF(AND(Pricing!$E$41=K91,Pricing!$AD$41="Quoted"),IF(Pricing!$E$41=K91,$N$71,),)</f>
        <v>0</v>
      </c>
      <c r="X91" s="78">
        <f>IF(AND(Pricing!$E$44=K91,Pricing!$AD$44="Quoted"),IF(Pricing!$E$44=K91,$N$72,),)</f>
        <v>0</v>
      </c>
      <c r="Y91" s="78">
        <f>IF(AND(Pricing!$E$47=K91,Pricing!$AD$47="Quoted"),IF(Pricing!$E$47=K91,$N$73,),)</f>
        <v>0</v>
      </c>
      <c r="Z91" s="78">
        <f>IF(AND(Pricing!$E$50=K91,Pricing!$AD$50="Quoted"),IF(Pricing!$E$50=K91,$N$74,),)</f>
        <v>0</v>
      </c>
      <c r="AA91" s="83">
        <f t="shared" si="27"/>
        <v>0</v>
      </c>
    </row>
    <row r="92" spans="11:27" x14ac:dyDescent="0.25">
      <c r="K92" s="34" t="s">
        <v>52</v>
      </c>
      <c r="L92" s="78">
        <f>IF(AND(Pricing!$E$8=K92,Pricing!$AD$8="Quoted"),IF(Pricing!$E$8=K92,N60,),)</f>
        <v>0</v>
      </c>
      <c r="M92" s="78">
        <f>IF(AND(Pricing!$E$11=$K92,Pricing!$AD$11="Quoted"),IF(Pricing!$E$11=K92,$N$61,),)</f>
        <v>0</v>
      </c>
      <c r="N92" s="78">
        <f>IF(AND(Pricing!$E$14=K92,Pricing!$AD$14="Quoted"),IF(Pricing!$E$14=K92,$N$62,),)</f>
        <v>0</v>
      </c>
      <c r="O92" s="78">
        <f>IF(AND(Pricing!$E$17=K92,Pricing!$AD$17="Quoted"),IF(Pricing!$E$17=K92,$N$63,),)</f>
        <v>0</v>
      </c>
      <c r="P92" s="78">
        <f>IF(AND(Pricing!$E$20=K92,Pricing!$AD$20="Quoted"),IF(Pricing!$E$20=K92,$N$64,),)</f>
        <v>0</v>
      </c>
      <c r="Q92" s="78">
        <f>IF(AND(Pricing!$E$23=K92,Pricing!$AD$23="Quoted"),IF(Pricing!$E$23=K92,$N$65,),)</f>
        <v>0</v>
      </c>
      <c r="R92" s="78">
        <f>IF(AND(Pricing!$E$26=K92,Pricing!$AD$26="Quoted"),IF(Pricing!$E$26=K92,$N$66,),)</f>
        <v>0</v>
      </c>
      <c r="S92" s="78">
        <f>IF(AND(Pricing!$E$29=K92,Pricing!$AD$29="Quoted"),IF(Pricing!$E$29=K92,$N$67,),)</f>
        <v>0</v>
      </c>
      <c r="T92" s="78">
        <f>IF(AND(Pricing!$E$32=K92,Pricing!$AD$32="Quoted"),IF(Pricing!$E$32=K92,$N$68,),)</f>
        <v>0</v>
      </c>
      <c r="U92" s="78">
        <f>IF(AND(Pricing!$E$35=K92,Pricing!$AD$35="Quoted"),IF(Pricing!$E$35=K92,$N$69,),)</f>
        <v>0</v>
      </c>
      <c r="V92" s="78">
        <f>IF(AND(Pricing!$E$38=K92,Pricing!$AD$38="Quoted"),IF(Pricing!$E$38=K92,$N$70,),)</f>
        <v>0</v>
      </c>
      <c r="W92" s="78">
        <f>IF(AND(Pricing!$E$41=K92,Pricing!$AD$41="Quoted"),IF(Pricing!$E$41=K92,$N$71,),)</f>
        <v>0</v>
      </c>
      <c r="X92" s="78">
        <f>IF(AND(Pricing!$E$44=K92,Pricing!$AD$44="Quoted"),IF(Pricing!$E$44=K92,$N$72,),)</f>
        <v>0</v>
      </c>
      <c r="Y92" s="78">
        <f>IF(AND(Pricing!$E$47=K92,Pricing!$AD$47="Quoted"),IF(Pricing!$E$47=K92,$N$73,),)</f>
        <v>0</v>
      </c>
      <c r="Z92" s="78">
        <f>IF(AND(Pricing!$E$50=K92,Pricing!$AD$50="Quoted"),IF(Pricing!$E$50=K92,$N$74,),)</f>
        <v>0</v>
      </c>
      <c r="AA92" s="83">
        <f t="shared" si="27"/>
        <v>0</v>
      </c>
    </row>
    <row r="93" spans="11:27" x14ac:dyDescent="0.25">
      <c r="K93" s="34" t="s">
        <v>54</v>
      </c>
      <c r="L93" s="78">
        <f>IF(AND(Pricing!$E$8=K93,Pricing!$AD$8="Quoted"),IF(Pricing!$E$8=K93,N60,),)</f>
        <v>0</v>
      </c>
      <c r="M93" s="78">
        <f>IF(AND(Pricing!$E$11=$K93,Pricing!$AD$11="Quoted"),IF(Pricing!$E$11=K93,$N$61,),)</f>
        <v>0</v>
      </c>
      <c r="N93" s="78">
        <f>IF(AND(Pricing!$E$14=K93,Pricing!$AD$14="Quoted"),IF(Pricing!$E$14=K93,$N$62,),)</f>
        <v>0</v>
      </c>
      <c r="O93" s="78">
        <f>IF(AND(Pricing!$E$17=K93,Pricing!$AD$17="Quoted"),IF(Pricing!$E$17=K93,$N$63,),)</f>
        <v>0</v>
      </c>
      <c r="P93" s="78">
        <f>IF(AND(Pricing!$E$20=K93,Pricing!$AD$20="Quoted"),IF(Pricing!$E$20=K93,$N$64,),)</f>
        <v>0</v>
      </c>
      <c r="Q93" s="78">
        <f>IF(AND(Pricing!$E$23=K93,Pricing!$AD$23="Quoted"),IF(Pricing!$E$23=K93,$N$65,),)</f>
        <v>0</v>
      </c>
      <c r="R93" s="78">
        <f>IF(AND(Pricing!$E$26=K93,Pricing!$AD$26="Quoted"),IF(Pricing!$E$26=K93,$N$66,),)</f>
        <v>0</v>
      </c>
      <c r="S93" s="78">
        <f>IF(AND(Pricing!$E$29=K93,Pricing!$AD$29="Quoted"),IF(Pricing!$E$29=K93,$N$67,),)</f>
        <v>0</v>
      </c>
      <c r="T93" s="78">
        <f>IF(AND(Pricing!$E$32=K93,Pricing!$AD$32="Quoted"),IF(Pricing!$E$32=K93,$N$68,),)</f>
        <v>0</v>
      </c>
      <c r="U93" s="78">
        <f>IF(AND(Pricing!$E$35=K93,Pricing!$AD$35="Quoted"),IF(Pricing!$E$35=K93,$N$69,),)</f>
        <v>0</v>
      </c>
      <c r="V93" s="78">
        <f>IF(AND(Pricing!$E$38=K93,Pricing!$AD$38="Quoted"),IF(Pricing!$E$38=K93,$N$70,),)</f>
        <v>0</v>
      </c>
      <c r="W93" s="78">
        <f>IF(AND(Pricing!$E$41=K93,Pricing!$AD$41="Quoted"),IF(Pricing!$E$41=K93,$N$71,),)</f>
        <v>0</v>
      </c>
      <c r="X93" s="78">
        <f>IF(AND(Pricing!$E$44=K93,Pricing!$AD$44="Quoted"),IF(Pricing!$E$44=K93,$N$72,),)</f>
        <v>0</v>
      </c>
      <c r="Y93" s="78">
        <f>IF(AND(Pricing!$E$47=K93,Pricing!$AD$47="Quoted"),IF(Pricing!$E$47=K93,$N$73,),)</f>
        <v>0</v>
      </c>
      <c r="Z93" s="78">
        <f>IF(AND(Pricing!$E$50=K93,Pricing!$AD$50="Quoted"),IF(Pricing!$E$50=K93,$N$74,),)</f>
        <v>0</v>
      </c>
      <c r="AA93" s="83">
        <f t="shared" si="27"/>
        <v>0</v>
      </c>
    </row>
    <row r="94" spans="11:27" ht="15.75" thickBot="1" x14ac:dyDescent="0.3">
      <c r="K94" s="36" t="s">
        <v>57</v>
      </c>
      <c r="L94" s="78">
        <f>IF(AND(Pricing!$E$8=K94,Pricing!$AD$8="Quoted"),IF(Pricing!$E$8=K94,N60,),)</f>
        <v>0</v>
      </c>
      <c r="M94" s="78">
        <f>IF(AND(Pricing!$E$11=$K94,Pricing!$AD$11="Quoted"),IF(Pricing!$E$11=K94,$N$61,),)</f>
        <v>0</v>
      </c>
      <c r="N94" s="78">
        <f>IF(AND(Pricing!$E$14=K94,Pricing!$AD$14="Quoted"),IF(Pricing!$E$14=K94,$N$62,),)</f>
        <v>0</v>
      </c>
      <c r="O94" s="78">
        <f>IF(AND(Pricing!$E$17=K94,Pricing!$AD$17="Quoted"),IF(Pricing!$E$17=K94,$N$63,),)</f>
        <v>0</v>
      </c>
      <c r="P94" s="78">
        <f>IF(AND(Pricing!$E$20=K94,Pricing!$AD$20="Quoted"),IF(Pricing!$E$20=K94,$N$64,),)</f>
        <v>0</v>
      </c>
      <c r="Q94" s="78">
        <f>IF(AND(Pricing!$E$23=K94,Pricing!$AD$23="Quoted"),IF(Pricing!$E$23=K94,$N$65,),)</f>
        <v>0</v>
      </c>
      <c r="R94" s="78">
        <f>IF(AND(Pricing!$E$26=K94,Pricing!$AD$26="Quoted"),IF(Pricing!$E$26=K94,$N$66,),)</f>
        <v>0</v>
      </c>
      <c r="S94" s="78">
        <f>IF(AND(Pricing!$E$29=K94,Pricing!$AD$29="Quoted"),IF(Pricing!$E$29=K94,$N$67,),)</f>
        <v>0</v>
      </c>
      <c r="T94" s="78">
        <f>IF(AND(Pricing!$E$32=K94,Pricing!$AD$32="Quoted"),IF(Pricing!$E$32=K94,$N$68,),)</f>
        <v>0</v>
      </c>
      <c r="U94" s="78">
        <f>IF(AND(Pricing!$E$35=K94,Pricing!$AD$35="Quoted"),IF(Pricing!$E$35=K94,$N$69,),)</f>
        <v>0</v>
      </c>
      <c r="V94" s="78">
        <f>IF(AND(Pricing!$E$38=K94,Pricing!$AD$38="Quoted"),IF(Pricing!$E$38=K94,$N$70,),)</f>
        <v>0</v>
      </c>
      <c r="W94" s="78">
        <f>IF(AND(Pricing!$E$41=K94,Pricing!$AD$41="Quoted"),IF(Pricing!$E$41=K94,$N$71,),)</f>
        <v>0</v>
      </c>
      <c r="X94" s="78">
        <f>IF(AND(Pricing!$E$44=K94,Pricing!$AD$44="Quoted"),IF(Pricing!$E$44=K94,$N$72,),)</f>
        <v>0</v>
      </c>
      <c r="Y94" s="78">
        <f>IF(AND(Pricing!$E$47=K94,Pricing!$AD$47="Quoted"),IF(Pricing!$E$47=K94,$N$73,),)</f>
        <v>0</v>
      </c>
      <c r="Z94" s="78">
        <f>IF(AND(Pricing!$E$50=K94,Pricing!$AD$50="Quoted"),IF(Pricing!$E$50=K94,$N$74,),)</f>
        <v>0</v>
      </c>
      <c r="AA94" s="84">
        <f t="shared" si="27"/>
        <v>0</v>
      </c>
    </row>
    <row r="95" spans="11:27" ht="15.75" thickTop="1" x14ac:dyDescent="0.25"/>
    <row r="98" spans="11:27" ht="15.75" thickBot="1" x14ac:dyDescent="0.3">
      <c r="K98" s="834" t="s">
        <v>311</v>
      </c>
      <c r="L98" s="834"/>
      <c r="M98" s="834"/>
      <c r="N98" s="834"/>
      <c r="O98" s="834"/>
      <c r="P98" s="834"/>
      <c r="Q98" s="834"/>
      <c r="R98" s="834"/>
      <c r="S98" s="834"/>
      <c r="T98" s="834"/>
      <c r="U98" s="834"/>
      <c r="V98" s="834"/>
      <c r="W98" s="834"/>
      <c r="X98" s="834"/>
      <c r="Y98" s="834"/>
      <c r="Z98" s="834"/>
    </row>
    <row r="99" spans="11:27" ht="15.75" thickTop="1" x14ac:dyDescent="0.25">
      <c r="L99" s="80" t="s">
        <v>178</v>
      </c>
      <c r="M99" s="80" t="s">
        <v>179</v>
      </c>
      <c r="N99" s="80" t="s">
        <v>180</v>
      </c>
      <c r="O99" s="80" t="s">
        <v>181</v>
      </c>
      <c r="P99" s="80" t="s">
        <v>182</v>
      </c>
      <c r="Q99" s="80" t="s">
        <v>183</v>
      </c>
      <c r="R99" s="80" t="s">
        <v>184</v>
      </c>
      <c r="S99" s="80" t="s">
        <v>185</v>
      </c>
      <c r="T99" s="80" t="s">
        <v>186</v>
      </c>
      <c r="U99" s="80" t="s">
        <v>187</v>
      </c>
      <c r="V99" s="80" t="s">
        <v>188</v>
      </c>
      <c r="W99" s="80" t="s">
        <v>189</v>
      </c>
      <c r="X99" s="80" t="s">
        <v>190</v>
      </c>
      <c r="Y99" s="80" t="s">
        <v>191</v>
      </c>
      <c r="Z99" s="81" t="s">
        <v>192</v>
      </c>
      <c r="AA99" s="82" t="s">
        <v>78</v>
      </c>
    </row>
    <row r="100" spans="11:27" x14ac:dyDescent="0.25">
      <c r="K100" s="34" t="s">
        <v>43</v>
      </c>
      <c r="L100" s="76">
        <f>(C2*L89)-((C2*L89)*$C$10)</f>
        <v>0</v>
      </c>
      <c r="M100" s="76">
        <f>(C2*M89)-((C2*M89)*$C$10)</f>
        <v>0</v>
      </c>
      <c r="N100" s="76">
        <f>(C2*N89)-((C2*N89)*$C$10)</f>
        <v>0</v>
      </c>
      <c r="O100" s="76">
        <f>(C2*O89)-((C2*O89)*$C$10)</f>
        <v>0</v>
      </c>
      <c r="P100" s="76">
        <f>(C2*P89)-((C2*P89)*$C$10)</f>
        <v>0</v>
      </c>
      <c r="Q100" s="76">
        <f>(C2*Q89)-((C2*Q89)*$C$10)</f>
        <v>0</v>
      </c>
      <c r="R100" s="76">
        <f>(C2*R89)-((C2*R89)*$C$10)</f>
        <v>0</v>
      </c>
      <c r="S100" s="76">
        <f>(C2*S89)-((C2*S89)*$C$10)</f>
        <v>0</v>
      </c>
      <c r="T100" s="76">
        <f>(C2*T89)-((C2*T89)*$C$10)</f>
        <v>0</v>
      </c>
      <c r="U100" s="76">
        <f>(C2*U89)-((C2*U89)*$C$10)</f>
        <v>0</v>
      </c>
      <c r="V100" s="76">
        <f>(C2*V89)-((C2*V89)*$C$10)</f>
        <v>0</v>
      </c>
      <c r="W100" s="76">
        <f>(C2*W89)-((C2*W89)*$C$10)</f>
        <v>0</v>
      </c>
      <c r="X100" s="76">
        <f>(C2*X89)-((C2*X89)*$C$10)</f>
        <v>0</v>
      </c>
      <c r="Y100" s="76">
        <f>(C2*Y89)-((C2*Y89)*$C$10)</f>
        <v>0</v>
      </c>
      <c r="Z100" s="76">
        <f>(C2*Z89)-((C2*Z89)*$C$10)</f>
        <v>0</v>
      </c>
      <c r="AA100" s="176">
        <f>SUM(L100:Z100)</f>
        <v>0</v>
      </c>
    </row>
    <row r="101" spans="11:27" x14ac:dyDescent="0.25">
      <c r="K101" s="34" t="s">
        <v>45</v>
      </c>
      <c r="L101" s="76">
        <f>L90*C3</f>
        <v>0</v>
      </c>
      <c r="M101" s="76">
        <f>M90*C3</f>
        <v>0</v>
      </c>
      <c r="N101" s="76">
        <f>N90*C3</f>
        <v>0</v>
      </c>
      <c r="O101" s="76">
        <f>O90*C3</f>
        <v>0</v>
      </c>
      <c r="P101" s="76">
        <f>P90*C3</f>
        <v>0</v>
      </c>
      <c r="Q101" s="76">
        <f>Q90*C3</f>
        <v>0</v>
      </c>
      <c r="R101" s="76">
        <f>R90*C3</f>
        <v>0</v>
      </c>
      <c r="S101" s="76">
        <f>S90*C3</f>
        <v>0</v>
      </c>
      <c r="T101" s="76">
        <f>T90*C3</f>
        <v>0</v>
      </c>
      <c r="U101" s="76">
        <f>U90*C3</f>
        <v>0</v>
      </c>
      <c r="V101" s="76">
        <f>V90*C3</f>
        <v>0</v>
      </c>
      <c r="W101" s="76">
        <f>W90*C3</f>
        <v>0</v>
      </c>
      <c r="X101" s="76">
        <f>X90*C3</f>
        <v>0</v>
      </c>
      <c r="Y101" s="76">
        <f>Y90*C3</f>
        <v>0</v>
      </c>
      <c r="Z101" s="76">
        <f>Z90*C3</f>
        <v>0</v>
      </c>
      <c r="AA101" s="176">
        <f t="shared" ref="AA101:AA105" si="28">SUM(L101:Z101)</f>
        <v>0</v>
      </c>
    </row>
    <row r="102" spans="11:27" x14ac:dyDescent="0.25">
      <c r="K102" s="34" t="s">
        <v>48</v>
      </c>
      <c r="L102" s="76">
        <f t="shared" ref="L102:L105" si="29">L91*C4</f>
        <v>0</v>
      </c>
      <c r="M102" s="76">
        <f t="shared" ref="M102:M105" si="30">M91*C4</f>
        <v>0</v>
      </c>
      <c r="N102" s="76">
        <f t="shared" ref="N102:N105" si="31">N91*C4</f>
        <v>0</v>
      </c>
      <c r="O102" s="76">
        <f t="shared" ref="O102:O105" si="32">O91*C4</f>
        <v>0</v>
      </c>
      <c r="P102" s="76">
        <f t="shared" ref="P102:P105" si="33">P91*C4</f>
        <v>0</v>
      </c>
      <c r="Q102" s="76">
        <f t="shared" ref="Q102:Q105" si="34">Q91*C4</f>
        <v>0</v>
      </c>
      <c r="R102" s="76">
        <f t="shared" ref="R102:R105" si="35">R91*C4</f>
        <v>0</v>
      </c>
      <c r="S102" s="76">
        <f t="shared" ref="S102:S105" si="36">S91*C4</f>
        <v>0</v>
      </c>
      <c r="T102" s="76">
        <f t="shared" ref="T102:T105" si="37">T91*C4</f>
        <v>0</v>
      </c>
      <c r="U102" s="76">
        <f t="shared" ref="U102:U105" si="38">U91*C4</f>
        <v>0</v>
      </c>
      <c r="V102" s="76">
        <f t="shared" ref="V102:V105" si="39">V91*C4</f>
        <v>0</v>
      </c>
      <c r="W102" s="76">
        <f t="shared" ref="W102:W105" si="40">W91*C4</f>
        <v>0</v>
      </c>
      <c r="X102" s="76">
        <f t="shared" ref="X102:X105" si="41">X91*C4</f>
        <v>0</v>
      </c>
      <c r="Y102" s="76">
        <f t="shared" ref="Y102:Y105" si="42">Y91*C4</f>
        <v>0</v>
      </c>
      <c r="Z102" s="76">
        <f t="shared" ref="Z102:Z105" si="43">Z91*C4</f>
        <v>0</v>
      </c>
      <c r="AA102" s="176">
        <f t="shared" si="28"/>
        <v>0</v>
      </c>
    </row>
    <row r="103" spans="11:27" x14ac:dyDescent="0.25">
      <c r="K103" s="34" t="s">
        <v>52</v>
      </c>
      <c r="L103" s="76">
        <f t="shared" si="29"/>
        <v>0</v>
      </c>
      <c r="M103" s="76">
        <f t="shared" si="30"/>
        <v>0</v>
      </c>
      <c r="N103" s="76">
        <f t="shared" si="31"/>
        <v>0</v>
      </c>
      <c r="O103" s="76">
        <f t="shared" si="32"/>
        <v>0</v>
      </c>
      <c r="P103" s="76">
        <f t="shared" si="33"/>
        <v>0</v>
      </c>
      <c r="Q103" s="76">
        <f t="shared" si="34"/>
        <v>0</v>
      </c>
      <c r="R103" s="76">
        <f t="shared" si="35"/>
        <v>0</v>
      </c>
      <c r="S103" s="76">
        <f t="shared" si="36"/>
        <v>0</v>
      </c>
      <c r="T103" s="76">
        <f t="shared" si="37"/>
        <v>0</v>
      </c>
      <c r="U103" s="76">
        <f t="shared" si="38"/>
        <v>0</v>
      </c>
      <c r="V103" s="76">
        <f t="shared" si="39"/>
        <v>0</v>
      </c>
      <c r="W103" s="76">
        <f t="shared" si="40"/>
        <v>0</v>
      </c>
      <c r="X103" s="76">
        <f t="shared" si="41"/>
        <v>0</v>
      </c>
      <c r="Y103" s="76">
        <f t="shared" si="42"/>
        <v>0</v>
      </c>
      <c r="Z103" s="76">
        <f t="shared" si="43"/>
        <v>0</v>
      </c>
      <c r="AA103" s="176">
        <f t="shared" si="28"/>
        <v>0</v>
      </c>
    </row>
    <row r="104" spans="11:27" x14ac:dyDescent="0.25">
      <c r="K104" s="34" t="s">
        <v>54</v>
      </c>
      <c r="L104" s="76">
        <f t="shared" si="29"/>
        <v>0</v>
      </c>
      <c r="M104" s="76">
        <f t="shared" si="30"/>
        <v>0</v>
      </c>
      <c r="N104" s="76">
        <f t="shared" si="31"/>
        <v>0</v>
      </c>
      <c r="O104" s="76">
        <f t="shared" si="32"/>
        <v>0</v>
      </c>
      <c r="P104" s="76">
        <f t="shared" si="33"/>
        <v>0</v>
      </c>
      <c r="Q104" s="76">
        <f t="shared" si="34"/>
        <v>0</v>
      </c>
      <c r="R104" s="76">
        <f t="shared" si="35"/>
        <v>0</v>
      </c>
      <c r="S104" s="76">
        <f t="shared" si="36"/>
        <v>0</v>
      </c>
      <c r="T104" s="76">
        <f t="shared" si="37"/>
        <v>0</v>
      </c>
      <c r="U104" s="76">
        <f t="shared" si="38"/>
        <v>0</v>
      </c>
      <c r="V104" s="76">
        <f t="shared" si="39"/>
        <v>0</v>
      </c>
      <c r="W104" s="76">
        <f t="shared" si="40"/>
        <v>0</v>
      </c>
      <c r="X104" s="76">
        <f t="shared" si="41"/>
        <v>0</v>
      </c>
      <c r="Y104" s="76">
        <f t="shared" si="42"/>
        <v>0</v>
      </c>
      <c r="Z104" s="76">
        <f t="shared" si="43"/>
        <v>0</v>
      </c>
      <c r="AA104" s="176">
        <f t="shared" si="28"/>
        <v>0</v>
      </c>
    </row>
    <row r="105" spans="11:27" ht="15.75" thickBot="1" x14ac:dyDescent="0.3">
      <c r="K105" s="36" t="s">
        <v>57</v>
      </c>
      <c r="L105" s="76">
        <f t="shared" si="29"/>
        <v>0</v>
      </c>
      <c r="M105" s="76">
        <f t="shared" si="30"/>
        <v>0</v>
      </c>
      <c r="N105" s="76">
        <f t="shared" si="31"/>
        <v>0</v>
      </c>
      <c r="O105" s="76">
        <f t="shared" si="32"/>
        <v>0</v>
      </c>
      <c r="P105" s="76">
        <f t="shared" si="33"/>
        <v>0</v>
      </c>
      <c r="Q105" s="76">
        <f t="shared" si="34"/>
        <v>0</v>
      </c>
      <c r="R105" s="76">
        <f t="shared" si="35"/>
        <v>0</v>
      </c>
      <c r="S105" s="76">
        <f t="shared" si="36"/>
        <v>0</v>
      </c>
      <c r="T105" s="76">
        <f t="shared" si="37"/>
        <v>0</v>
      </c>
      <c r="U105" s="76">
        <f t="shared" si="38"/>
        <v>0</v>
      </c>
      <c r="V105" s="76">
        <f t="shared" si="39"/>
        <v>0</v>
      </c>
      <c r="W105" s="76">
        <f t="shared" si="40"/>
        <v>0</v>
      </c>
      <c r="X105" s="76">
        <f t="shared" si="41"/>
        <v>0</v>
      </c>
      <c r="Y105" s="76">
        <f t="shared" si="42"/>
        <v>0</v>
      </c>
      <c r="Z105" s="76">
        <f t="shared" si="43"/>
        <v>0</v>
      </c>
      <c r="AA105" s="177">
        <f t="shared" si="28"/>
        <v>0</v>
      </c>
    </row>
  </sheetData>
  <mergeCells count="71">
    <mergeCell ref="AH34:AI34"/>
    <mergeCell ref="AJ34:AL34"/>
    <mergeCell ref="AH35:AI35"/>
    <mergeCell ref="AJ35:AL35"/>
    <mergeCell ref="AH36:AI36"/>
    <mergeCell ref="AJ36:AL36"/>
    <mergeCell ref="AH31:AI31"/>
    <mergeCell ref="AJ31:AL31"/>
    <mergeCell ref="AH32:AI32"/>
    <mergeCell ref="AJ32:AL32"/>
    <mergeCell ref="AH33:AI33"/>
    <mergeCell ref="AJ33:AL33"/>
    <mergeCell ref="AH28:AI28"/>
    <mergeCell ref="AJ28:AL28"/>
    <mergeCell ref="AH29:AI29"/>
    <mergeCell ref="AJ29:AL29"/>
    <mergeCell ref="AH30:AI30"/>
    <mergeCell ref="AJ30:AL30"/>
    <mergeCell ref="AH25:AI25"/>
    <mergeCell ref="AJ25:AL25"/>
    <mergeCell ref="AH26:AI26"/>
    <mergeCell ref="AJ26:AL26"/>
    <mergeCell ref="AH27:AI27"/>
    <mergeCell ref="AJ27:AL27"/>
    <mergeCell ref="AH22:AI22"/>
    <mergeCell ref="AJ22:AL22"/>
    <mergeCell ref="AH23:AI23"/>
    <mergeCell ref="AJ23:AL23"/>
    <mergeCell ref="AH24:AI24"/>
    <mergeCell ref="AJ24:AL24"/>
    <mergeCell ref="AB33:AC33"/>
    <mergeCell ref="AD33:AF33"/>
    <mergeCell ref="AB34:AC34"/>
    <mergeCell ref="AD34:AF34"/>
    <mergeCell ref="K87:AA87"/>
    <mergeCell ref="K58:Z58"/>
    <mergeCell ref="K77:AA77"/>
    <mergeCell ref="AB35:AC35"/>
    <mergeCell ref="AD35:AF35"/>
    <mergeCell ref="AB36:AC36"/>
    <mergeCell ref="AD36:AF36"/>
    <mergeCell ref="K39:Z39"/>
    <mergeCell ref="K49:Z49"/>
    <mergeCell ref="AB30:AC30"/>
    <mergeCell ref="AD30:AF30"/>
    <mergeCell ref="AB31:AC31"/>
    <mergeCell ref="AD31:AF31"/>
    <mergeCell ref="AB32:AC32"/>
    <mergeCell ref="AD32:AF32"/>
    <mergeCell ref="AB27:AC27"/>
    <mergeCell ref="AD27:AF27"/>
    <mergeCell ref="AB28:AC28"/>
    <mergeCell ref="AD28:AF28"/>
    <mergeCell ref="AB29:AC29"/>
    <mergeCell ref="AD29:AF29"/>
    <mergeCell ref="K98:Z98"/>
    <mergeCell ref="AT1:BF1"/>
    <mergeCell ref="K1:Z1"/>
    <mergeCell ref="K11:Z11"/>
    <mergeCell ref="K20:Z20"/>
    <mergeCell ref="AB20:AF20"/>
    <mergeCell ref="AB22:AC22"/>
    <mergeCell ref="AD22:AF22"/>
    <mergeCell ref="AB23:AC23"/>
    <mergeCell ref="AD23:AF23"/>
    <mergeCell ref="AB24:AC24"/>
    <mergeCell ref="AD24:AF24"/>
    <mergeCell ref="AB25:AC25"/>
    <mergeCell ref="AD25:AF25"/>
    <mergeCell ref="AB26:AC26"/>
    <mergeCell ref="AD26:AF26"/>
  </mergeCells>
  <phoneticPr fontId="17" type="noConversion"/>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dimension ref="A1:AQ52"/>
  <sheetViews>
    <sheetView workbookViewId="0">
      <selection activeCell="T33" sqref="T33:T43"/>
    </sheetView>
  </sheetViews>
  <sheetFormatPr defaultRowHeight="15" x14ac:dyDescent="0.25"/>
  <cols>
    <col min="1" max="1" width="11.85546875" bestFit="1" customWidth="1"/>
    <col min="2" max="2" width="11.28515625" bestFit="1" customWidth="1"/>
    <col min="3" max="3" width="17.28515625" bestFit="1" customWidth="1"/>
    <col min="5" max="5" width="16.7109375" bestFit="1" customWidth="1"/>
    <col min="6" max="10" width="15.5703125" bestFit="1" customWidth="1"/>
    <col min="12" max="12" width="9.42578125" customWidth="1"/>
    <col min="13" max="13" width="9.28515625" customWidth="1"/>
    <col min="15" max="15" width="9.140625" customWidth="1"/>
    <col min="16" max="16" width="9.28515625" customWidth="1"/>
    <col min="17" max="17" width="10.140625" bestFit="1" customWidth="1"/>
    <col min="19" max="19" width="12" bestFit="1" customWidth="1"/>
    <col min="20" max="20" width="11.28515625" customWidth="1"/>
    <col min="22" max="22" width="18" bestFit="1" customWidth="1"/>
    <col min="25" max="25" width="15.5703125" customWidth="1"/>
    <col min="27" max="28" width="19" bestFit="1" customWidth="1"/>
    <col min="30" max="30" width="19" bestFit="1" customWidth="1"/>
    <col min="31" max="32" width="18.7109375" bestFit="1" customWidth="1"/>
    <col min="34" max="34" width="16.5703125" customWidth="1"/>
    <col min="35" max="35" width="13" customWidth="1"/>
    <col min="36" max="36" width="14.42578125" customWidth="1"/>
    <col min="37" max="37" width="15.28515625" customWidth="1"/>
    <col min="38" max="38" width="18.42578125" customWidth="1"/>
    <col min="39" max="39" width="17.28515625" customWidth="1"/>
    <col min="41" max="43" width="10.28515625" bestFit="1" customWidth="1"/>
  </cols>
  <sheetData>
    <row r="1" spans="1:43" x14ac:dyDescent="0.25">
      <c r="A1" t="s">
        <v>312</v>
      </c>
      <c r="B1" t="s">
        <v>313</v>
      </c>
      <c r="C1" t="s">
        <v>1</v>
      </c>
      <c r="D1" t="s">
        <v>2</v>
      </c>
      <c r="E1" t="s">
        <v>43</v>
      </c>
      <c r="F1" t="s">
        <v>48</v>
      </c>
      <c r="G1" t="s">
        <v>52</v>
      </c>
      <c r="H1" t="s">
        <v>54</v>
      </c>
      <c r="I1" t="s">
        <v>45</v>
      </c>
      <c r="J1" t="s">
        <v>57</v>
      </c>
      <c r="L1" t="s">
        <v>314</v>
      </c>
      <c r="M1" t="s">
        <v>315</v>
      </c>
      <c r="N1" t="s">
        <v>316</v>
      </c>
      <c r="O1" t="s">
        <v>317</v>
      </c>
      <c r="P1" t="s">
        <v>318</v>
      </c>
      <c r="Q1" t="s">
        <v>319</v>
      </c>
      <c r="S1" t="s">
        <v>320</v>
      </c>
      <c r="T1" t="s">
        <v>321</v>
      </c>
      <c r="U1" t="s">
        <v>150</v>
      </c>
      <c r="W1" t="s">
        <v>322</v>
      </c>
      <c r="Y1" t="s">
        <v>323</v>
      </c>
      <c r="AA1" s="1" t="s">
        <v>324</v>
      </c>
      <c r="AB1" s="2" t="s">
        <v>325</v>
      </c>
      <c r="AC1" s="2" t="s">
        <v>326</v>
      </c>
      <c r="AD1" s="2" t="s">
        <v>327</v>
      </c>
      <c r="AE1" s="2" t="s">
        <v>328</v>
      </c>
      <c r="AF1" s="3" t="s">
        <v>329</v>
      </c>
      <c r="AH1" t="s">
        <v>330</v>
      </c>
      <c r="AI1" t="s">
        <v>331</v>
      </c>
      <c r="AJ1" t="s">
        <v>332</v>
      </c>
      <c r="AK1" t="s">
        <v>333</v>
      </c>
      <c r="AL1" t="s">
        <v>334</v>
      </c>
      <c r="AM1" t="s">
        <v>335</v>
      </c>
    </row>
    <row r="2" spans="1:43" x14ac:dyDescent="0.25">
      <c r="A2" t="s">
        <v>336</v>
      </c>
      <c r="B2" t="s">
        <v>337</v>
      </c>
      <c r="C2" t="s">
        <v>338</v>
      </c>
      <c r="D2" t="s">
        <v>43</v>
      </c>
      <c r="E2" t="s">
        <v>339</v>
      </c>
      <c r="F2" t="s">
        <v>339</v>
      </c>
      <c r="G2" t="s">
        <v>339</v>
      </c>
      <c r="H2" t="s">
        <v>339</v>
      </c>
      <c r="I2" t="s">
        <v>339</v>
      </c>
      <c r="J2" t="s">
        <v>339</v>
      </c>
      <c r="L2" t="s">
        <v>340</v>
      </c>
      <c r="M2" t="s">
        <v>340</v>
      </c>
      <c r="N2" t="s">
        <v>340</v>
      </c>
      <c r="O2" t="s">
        <v>340</v>
      </c>
      <c r="P2" t="s">
        <v>340</v>
      </c>
      <c r="Q2" t="s">
        <v>340</v>
      </c>
      <c r="S2" t="s">
        <v>341</v>
      </c>
      <c r="T2">
        <v>44</v>
      </c>
      <c r="U2" t="s">
        <v>342</v>
      </c>
      <c r="W2" t="s">
        <v>343</v>
      </c>
      <c r="Y2" t="s">
        <v>344</v>
      </c>
      <c r="AA2" t="s">
        <v>339</v>
      </c>
      <c r="AB2" t="s">
        <v>339</v>
      </c>
      <c r="AC2" t="s">
        <v>345</v>
      </c>
      <c r="AD2" t="s">
        <v>339</v>
      </c>
      <c r="AE2" t="s">
        <v>339</v>
      </c>
      <c r="AF2" t="s">
        <v>339</v>
      </c>
      <c r="AH2" s="4">
        <v>4</v>
      </c>
      <c r="AI2" s="4">
        <v>4</v>
      </c>
      <c r="AJ2" s="4">
        <v>2</v>
      </c>
      <c r="AK2" s="4">
        <v>4</v>
      </c>
      <c r="AL2" s="4">
        <v>2</v>
      </c>
      <c r="AM2" s="4">
        <v>2</v>
      </c>
      <c r="AO2" s="5"/>
      <c r="AQ2" s="6"/>
    </row>
    <row r="3" spans="1:43" x14ac:dyDescent="0.25">
      <c r="A3" t="s">
        <v>346</v>
      </c>
      <c r="B3" t="s">
        <v>347</v>
      </c>
      <c r="C3" t="s">
        <v>348</v>
      </c>
      <c r="D3" t="s">
        <v>45</v>
      </c>
      <c r="E3" t="s">
        <v>349</v>
      </c>
      <c r="F3" t="s">
        <v>350</v>
      </c>
      <c r="G3" t="s">
        <v>350</v>
      </c>
      <c r="H3" t="s">
        <v>350</v>
      </c>
      <c r="I3" t="s">
        <v>350</v>
      </c>
      <c r="J3" t="s">
        <v>350</v>
      </c>
      <c r="L3" t="s">
        <v>351</v>
      </c>
      <c r="M3" t="s">
        <v>351</v>
      </c>
      <c r="N3" t="s">
        <v>351</v>
      </c>
      <c r="O3" t="s">
        <v>351</v>
      </c>
      <c r="P3" t="s">
        <v>351</v>
      </c>
      <c r="Q3" t="s">
        <v>351</v>
      </c>
      <c r="S3" t="s">
        <v>352</v>
      </c>
      <c r="U3" t="s">
        <v>353</v>
      </c>
      <c r="W3" t="s">
        <v>354</v>
      </c>
      <c r="Y3" t="s">
        <v>156</v>
      </c>
      <c r="AA3" t="s">
        <v>355</v>
      </c>
      <c r="AB3" t="s">
        <v>355</v>
      </c>
      <c r="AD3" t="s">
        <v>355</v>
      </c>
      <c r="AE3" t="s">
        <v>355</v>
      </c>
      <c r="AF3" t="s">
        <v>355</v>
      </c>
    </row>
    <row r="4" spans="1:43" x14ac:dyDescent="0.25">
      <c r="A4" t="s">
        <v>356</v>
      </c>
      <c r="B4" t="s">
        <v>357</v>
      </c>
      <c r="C4" t="s">
        <v>358</v>
      </c>
      <c r="D4" t="s">
        <v>48</v>
      </c>
      <c r="E4" t="s">
        <v>359</v>
      </c>
      <c r="F4" t="s">
        <v>349</v>
      </c>
      <c r="G4" t="s">
        <v>349</v>
      </c>
      <c r="H4" t="s">
        <v>349</v>
      </c>
      <c r="I4" t="s">
        <v>349</v>
      </c>
      <c r="J4" t="s">
        <v>349</v>
      </c>
      <c r="L4" t="s">
        <v>360</v>
      </c>
      <c r="M4" t="s">
        <v>360</v>
      </c>
      <c r="N4" t="s">
        <v>360</v>
      </c>
      <c r="O4" t="s">
        <v>360</v>
      </c>
      <c r="P4" t="s">
        <v>360</v>
      </c>
      <c r="Q4" t="s">
        <v>360</v>
      </c>
      <c r="S4" t="s">
        <v>361</v>
      </c>
      <c r="U4" t="s">
        <v>362</v>
      </c>
      <c r="W4" t="s">
        <v>363</v>
      </c>
      <c r="AA4" t="s">
        <v>359</v>
      </c>
      <c r="AB4" t="s">
        <v>359</v>
      </c>
      <c r="AD4" t="s">
        <v>359</v>
      </c>
      <c r="AE4" t="s">
        <v>359</v>
      </c>
      <c r="AF4" t="s">
        <v>359</v>
      </c>
    </row>
    <row r="5" spans="1:43" x14ac:dyDescent="0.25">
      <c r="A5" t="s">
        <v>364</v>
      </c>
      <c r="B5" t="s">
        <v>365</v>
      </c>
      <c r="C5" t="s">
        <v>66</v>
      </c>
      <c r="D5" t="s">
        <v>52</v>
      </c>
      <c r="E5" t="s">
        <v>366</v>
      </c>
      <c r="F5" t="s">
        <v>367</v>
      </c>
      <c r="G5" t="s">
        <v>367</v>
      </c>
      <c r="H5" t="s">
        <v>367</v>
      </c>
      <c r="I5" t="s">
        <v>367</v>
      </c>
      <c r="J5" t="s">
        <v>367</v>
      </c>
      <c r="L5" t="s">
        <v>368</v>
      </c>
      <c r="M5" t="s">
        <v>368</v>
      </c>
      <c r="N5" t="s">
        <v>368</v>
      </c>
      <c r="O5" t="s">
        <v>368</v>
      </c>
      <c r="P5" t="s">
        <v>368</v>
      </c>
      <c r="Q5" t="s">
        <v>368</v>
      </c>
      <c r="S5" t="s">
        <v>369</v>
      </c>
      <c r="W5" t="s">
        <v>370</v>
      </c>
      <c r="AA5" t="s">
        <v>371</v>
      </c>
      <c r="AB5" t="s">
        <v>371</v>
      </c>
      <c r="AD5" t="s">
        <v>371</v>
      </c>
      <c r="AE5" t="s">
        <v>371</v>
      </c>
      <c r="AF5" t="s">
        <v>371</v>
      </c>
      <c r="AH5" t="s">
        <v>372</v>
      </c>
    </row>
    <row r="6" spans="1:43" x14ac:dyDescent="0.25">
      <c r="A6" t="s">
        <v>373</v>
      </c>
      <c r="B6" t="s">
        <v>374</v>
      </c>
      <c r="C6" t="s">
        <v>208</v>
      </c>
      <c r="D6" t="s">
        <v>54</v>
      </c>
      <c r="E6" t="s">
        <v>375</v>
      </c>
      <c r="F6" t="s">
        <v>359</v>
      </c>
      <c r="G6" t="s">
        <v>359</v>
      </c>
      <c r="H6" t="s">
        <v>359</v>
      </c>
      <c r="I6" t="s">
        <v>359</v>
      </c>
      <c r="J6" t="s">
        <v>359</v>
      </c>
      <c r="L6" t="s">
        <v>376</v>
      </c>
      <c r="N6" t="s">
        <v>376</v>
      </c>
      <c r="O6" t="s">
        <v>376</v>
      </c>
      <c r="P6" t="s">
        <v>376</v>
      </c>
      <c r="Q6" t="s">
        <v>376</v>
      </c>
      <c r="S6" t="s">
        <v>377</v>
      </c>
      <c r="W6" t="s">
        <v>378</v>
      </c>
      <c r="AA6" t="s">
        <v>379</v>
      </c>
      <c r="AB6" t="s">
        <v>366</v>
      </c>
      <c r="AD6" t="s">
        <v>366</v>
      </c>
      <c r="AE6" t="s">
        <v>379</v>
      </c>
      <c r="AF6" t="s">
        <v>366</v>
      </c>
      <c r="AH6" t="s">
        <v>196</v>
      </c>
    </row>
    <row r="7" spans="1:43" x14ac:dyDescent="0.25">
      <c r="A7" t="s">
        <v>380</v>
      </c>
      <c r="B7" t="s">
        <v>381</v>
      </c>
      <c r="C7" t="s">
        <v>269</v>
      </c>
      <c r="D7" t="s">
        <v>57</v>
      </c>
      <c r="E7" t="s">
        <v>382</v>
      </c>
      <c r="F7" t="s">
        <v>383</v>
      </c>
      <c r="G7" t="s">
        <v>383</v>
      </c>
      <c r="H7" t="s">
        <v>383</v>
      </c>
      <c r="I7" t="s">
        <v>383</v>
      </c>
      <c r="J7" t="s">
        <v>383</v>
      </c>
      <c r="AA7" t="s">
        <v>384</v>
      </c>
      <c r="AB7" t="s">
        <v>375</v>
      </c>
      <c r="AD7" t="s">
        <v>375</v>
      </c>
      <c r="AE7" t="s">
        <v>385</v>
      </c>
      <c r="AF7" t="s">
        <v>375</v>
      </c>
      <c r="AH7" t="s">
        <v>210</v>
      </c>
    </row>
    <row r="8" spans="1:43" x14ac:dyDescent="0.25">
      <c r="A8" t="s">
        <v>386</v>
      </c>
      <c r="B8" t="s">
        <v>387</v>
      </c>
      <c r="C8" t="s">
        <v>388</v>
      </c>
      <c r="E8" t="s">
        <v>389</v>
      </c>
      <c r="F8" t="s">
        <v>390</v>
      </c>
      <c r="G8" t="s">
        <v>390</v>
      </c>
      <c r="H8" t="s">
        <v>390</v>
      </c>
      <c r="I8" t="s">
        <v>390</v>
      </c>
      <c r="J8" t="s">
        <v>390</v>
      </c>
      <c r="S8" t="s">
        <v>391</v>
      </c>
      <c r="Y8" t="s">
        <v>392</v>
      </c>
      <c r="AA8" t="s">
        <v>345</v>
      </c>
      <c r="AB8" t="s">
        <v>382</v>
      </c>
      <c r="AD8" t="s">
        <v>382</v>
      </c>
      <c r="AE8" t="s">
        <v>345</v>
      </c>
      <c r="AF8" t="s">
        <v>382</v>
      </c>
      <c r="AH8" t="s">
        <v>213</v>
      </c>
    </row>
    <row r="9" spans="1:43" x14ac:dyDescent="0.25">
      <c r="A9" t="s">
        <v>393</v>
      </c>
      <c r="B9" t="s">
        <v>394</v>
      </c>
      <c r="E9" t="s">
        <v>395</v>
      </c>
      <c r="F9" t="s">
        <v>396</v>
      </c>
      <c r="G9" t="s">
        <v>396</v>
      </c>
      <c r="H9" t="s">
        <v>396</v>
      </c>
      <c r="I9" t="s">
        <v>396</v>
      </c>
      <c r="J9" t="s">
        <v>396</v>
      </c>
      <c r="P9" t="s">
        <v>2</v>
      </c>
      <c r="Q9" t="s">
        <v>4</v>
      </c>
      <c r="R9" t="s">
        <v>341</v>
      </c>
      <c r="S9" t="s">
        <v>397</v>
      </c>
      <c r="V9" t="s">
        <v>398</v>
      </c>
      <c r="Y9" t="s">
        <v>399</v>
      </c>
      <c r="AA9" t="s">
        <v>400</v>
      </c>
      <c r="AB9" t="s">
        <v>401</v>
      </c>
      <c r="AD9" t="s">
        <v>401</v>
      </c>
      <c r="AE9" t="s">
        <v>400</v>
      </c>
      <c r="AF9" t="s">
        <v>401</v>
      </c>
      <c r="AH9" t="s">
        <v>216</v>
      </c>
    </row>
    <row r="10" spans="1:43" x14ac:dyDescent="0.25">
      <c r="A10" t="s">
        <v>402</v>
      </c>
      <c r="B10" t="s">
        <v>403</v>
      </c>
      <c r="E10" t="s">
        <v>404</v>
      </c>
      <c r="F10" t="s">
        <v>366</v>
      </c>
      <c r="G10" t="s">
        <v>366</v>
      </c>
      <c r="H10" t="s">
        <v>366</v>
      </c>
      <c r="I10" t="s">
        <v>366</v>
      </c>
      <c r="J10" t="s">
        <v>366</v>
      </c>
      <c r="P10" t="s">
        <v>43</v>
      </c>
      <c r="Q10" s="4" t="str">
        <f>L2</f>
        <v>47mm</v>
      </c>
      <c r="R10" s="4">
        <v>22.2</v>
      </c>
      <c r="S10" t="s">
        <v>405</v>
      </c>
      <c r="V10" t="s">
        <v>406</v>
      </c>
      <c r="Y10" t="s">
        <v>407</v>
      </c>
      <c r="AA10" t="s">
        <v>401</v>
      </c>
      <c r="AB10" t="s">
        <v>389</v>
      </c>
      <c r="AD10" t="s">
        <v>404</v>
      </c>
      <c r="AE10" t="s">
        <v>408</v>
      </c>
      <c r="AF10" t="s">
        <v>389</v>
      </c>
    </row>
    <row r="11" spans="1:43" x14ac:dyDescent="0.25">
      <c r="A11" t="s">
        <v>409</v>
      </c>
      <c r="B11" t="s">
        <v>410</v>
      </c>
      <c r="F11" t="s">
        <v>371</v>
      </c>
      <c r="G11" t="s">
        <v>371</v>
      </c>
      <c r="H11" t="s">
        <v>371</v>
      </c>
      <c r="I11" t="s">
        <v>371</v>
      </c>
      <c r="J11" t="s">
        <v>371</v>
      </c>
      <c r="L11" t="s">
        <v>149</v>
      </c>
      <c r="N11" t="s">
        <v>411</v>
      </c>
      <c r="P11" t="s">
        <v>43</v>
      </c>
      <c r="Q11" s="4" t="str">
        <f t="shared" ref="Q11:Q14" si="0">L3</f>
        <v>63mm</v>
      </c>
      <c r="R11" s="4">
        <v>22.2</v>
      </c>
      <c r="S11" t="s">
        <v>412</v>
      </c>
      <c r="V11" t="s">
        <v>413</v>
      </c>
      <c r="Y11" t="s">
        <v>414</v>
      </c>
      <c r="AA11" t="s">
        <v>415</v>
      </c>
      <c r="AB11" t="s">
        <v>395</v>
      </c>
      <c r="AD11" t="s">
        <v>389</v>
      </c>
      <c r="AE11" t="s">
        <v>415</v>
      </c>
      <c r="AF11" t="s">
        <v>395</v>
      </c>
    </row>
    <row r="12" spans="1:43" x14ac:dyDescent="0.25">
      <c r="B12" t="s">
        <v>416</v>
      </c>
      <c r="F12" t="s">
        <v>417</v>
      </c>
      <c r="G12" t="s">
        <v>417</v>
      </c>
      <c r="H12" t="s">
        <v>417</v>
      </c>
      <c r="I12" t="s">
        <v>417</v>
      </c>
      <c r="J12" t="s">
        <v>417</v>
      </c>
      <c r="L12" t="s">
        <v>418</v>
      </c>
      <c r="N12" t="s">
        <v>16</v>
      </c>
      <c r="P12" t="s">
        <v>43</v>
      </c>
      <c r="Q12" s="4" t="str">
        <f t="shared" si="0"/>
        <v>76mm</v>
      </c>
      <c r="R12" s="4">
        <v>22.2</v>
      </c>
      <c r="S12" t="s">
        <v>419</v>
      </c>
      <c r="V12" t="s">
        <v>420</v>
      </c>
      <c r="Y12" t="s">
        <v>421</v>
      </c>
      <c r="AB12" t="s">
        <v>404</v>
      </c>
      <c r="AD12" t="s">
        <v>395</v>
      </c>
      <c r="AF12" t="s">
        <v>404</v>
      </c>
    </row>
    <row r="13" spans="1:43" x14ac:dyDescent="0.25">
      <c r="B13" t="s">
        <v>422</v>
      </c>
      <c r="F13" t="s">
        <v>423</v>
      </c>
      <c r="G13" t="s">
        <v>423</v>
      </c>
      <c r="H13" t="s">
        <v>423</v>
      </c>
      <c r="I13" t="s">
        <v>423</v>
      </c>
      <c r="J13" t="s">
        <v>423</v>
      </c>
      <c r="L13" t="s">
        <v>424</v>
      </c>
      <c r="N13" t="s">
        <v>425</v>
      </c>
      <c r="P13" t="s">
        <v>43</v>
      </c>
      <c r="Q13" s="4" t="str">
        <f t="shared" si="0"/>
        <v>89mm</v>
      </c>
      <c r="R13" s="4">
        <v>22.2</v>
      </c>
      <c r="S13" t="s">
        <v>426</v>
      </c>
      <c r="Y13" t="s">
        <v>427</v>
      </c>
      <c r="AB13" t="s">
        <v>400</v>
      </c>
      <c r="AD13" t="s">
        <v>400</v>
      </c>
      <c r="AF13" t="s">
        <v>400</v>
      </c>
    </row>
    <row r="14" spans="1:43" x14ac:dyDescent="0.25">
      <c r="B14" t="s">
        <v>428</v>
      </c>
      <c r="F14" t="s">
        <v>375</v>
      </c>
      <c r="G14" t="s">
        <v>375</v>
      </c>
      <c r="H14" t="s">
        <v>375</v>
      </c>
      <c r="I14" t="s">
        <v>375</v>
      </c>
      <c r="J14" t="s">
        <v>375</v>
      </c>
      <c r="L14" t="s">
        <v>429</v>
      </c>
      <c r="N14" t="s">
        <v>430</v>
      </c>
      <c r="P14" t="s">
        <v>43</v>
      </c>
      <c r="Q14" s="4" t="str">
        <f t="shared" si="0"/>
        <v>114mm</v>
      </c>
      <c r="R14" s="7">
        <v>22.2</v>
      </c>
      <c r="Y14" t="s">
        <v>431</v>
      </c>
      <c r="AD14" t="s">
        <v>432</v>
      </c>
      <c r="AH14" t="s">
        <v>239</v>
      </c>
      <c r="AI14" t="str">
        <f>IF(ISNUMBER(FIND(AutoClose,AJ14)),"",AJ14&amp;AutoClose &amp; ",")</f>
        <v/>
      </c>
      <c r="AJ14" t="s">
        <v>433</v>
      </c>
    </row>
    <row r="15" spans="1:43" x14ac:dyDescent="0.25">
      <c r="B15" t="s">
        <v>409</v>
      </c>
      <c r="F15" t="s">
        <v>434</v>
      </c>
      <c r="G15" t="s">
        <v>434</v>
      </c>
      <c r="H15" t="s">
        <v>434</v>
      </c>
      <c r="I15" t="s">
        <v>434</v>
      </c>
      <c r="J15" t="s">
        <v>434</v>
      </c>
      <c r="L15" t="s">
        <v>435</v>
      </c>
      <c r="N15" t="s">
        <v>436</v>
      </c>
      <c r="P15" t="s">
        <v>45</v>
      </c>
      <c r="Q15" s="4" t="str">
        <f>P2</f>
        <v>47mm</v>
      </c>
      <c r="R15" s="7">
        <v>22.2</v>
      </c>
      <c r="Y15" t="s">
        <v>437</v>
      </c>
      <c r="AH15" t="s">
        <v>438</v>
      </c>
      <c r="AI15" t="str">
        <f>IF(ISNUMBER(FIND(ConcealedHinge,AJ14)),"",AJ14&amp;ConcealedHinge &amp; ",")</f>
        <v>Nickel Knob B,Nickel Knob A,Auto Close,Concealed Hinge,</v>
      </c>
    </row>
    <row r="16" spans="1:43" x14ac:dyDescent="0.25">
      <c r="B16">
        <v>1</v>
      </c>
      <c r="F16" t="s">
        <v>439</v>
      </c>
      <c r="G16" t="s">
        <v>382</v>
      </c>
      <c r="H16" t="s">
        <v>382</v>
      </c>
      <c r="I16" t="s">
        <v>382</v>
      </c>
      <c r="J16" t="s">
        <v>382</v>
      </c>
      <c r="L16" t="s">
        <v>440</v>
      </c>
      <c r="N16" t="s">
        <v>441</v>
      </c>
      <c r="P16" t="s">
        <v>45</v>
      </c>
      <c r="Q16" s="4" t="str">
        <f t="shared" ref="Q16:Q19" si="1">P3</f>
        <v>63mm</v>
      </c>
      <c r="R16" s="7">
        <v>22.2</v>
      </c>
      <c r="AH16" t="s">
        <v>442</v>
      </c>
      <c r="AI16" t="str">
        <f>IF(ISNUMBER(FIND(TelescopicWand,AJ14)),"",AJ14&amp;TelescopicWand &amp; ",")</f>
        <v>Nickel Knob B,Nickel Knob A,Auto Close,Telescopic Wand,</v>
      </c>
    </row>
    <row r="17" spans="2:35" x14ac:dyDescent="0.25">
      <c r="B17">
        <v>2</v>
      </c>
      <c r="F17" t="s">
        <v>382</v>
      </c>
      <c r="G17" t="s">
        <v>443</v>
      </c>
      <c r="H17" t="s">
        <v>443</v>
      </c>
      <c r="I17" t="s">
        <v>443</v>
      </c>
      <c r="J17" t="s">
        <v>443</v>
      </c>
      <c r="L17" t="s">
        <v>444</v>
      </c>
      <c r="N17" t="s">
        <v>445</v>
      </c>
      <c r="P17" t="s">
        <v>45</v>
      </c>
      <c r="Q17" s="4" t="str">
        <f t="shared" si="1"/>
        <v>76mm</v>
      </c>
      <c r="R17" s="7">
        <v>22.2</v>
      </c>
      <c r="AH17" t="s">
        <v>446</v>
      </c>
      <c r="AI17" t="str">
        <f>IF(ISNUMBER(FIND(NoneStdShape,AJ14)),"",AJ14&amp;NoneStdShape &amp; ",")</f>
        <v>Nickel Knob B,Nickel Knob A,Auto Close,None Std Shape,</v>
      </c>
    </row>
    <row r="18" spans="2:35" x14ac:dyDescent="0.25">
      <c r="B18">
        <v>3</v>
      </c>
      <c r="F18" t="s">
        <v>443</v>
      </c>
      <c r="G18" t="s">
        <v>389</v>
      </c>
      <c r="H18" t="s">
        <v>389</v>
      </c>
      <c r="I18" t="s">
        <v>389</v>
      </c>
      <c r="J18" t="s">
        <v>389</v>
      </c>
      <c r="L18" t="s">
        <v>447</v>
      </c>
      <c r="N18" t="s">
        <v>448</v>
      </c>
      <c r="P18" t="s">
        <v>45</v>
      </c>
      <c r="Q18" s="4" t="str">
        <f t="shared" si="1"/>
        <v>89mm</v>
      </c>
      <c r="R18" s="7">
        <v>22.2</v>
      </c>
      <c r="AH18" t="s">
        <v>215</v>
      </c>
      <c r="AI18" t="str">
        <f>IF(ISNUMBER(FIND(RingPull,AJ14)),"",AJ14&amp;RingPull &amp; ",")</f>
        <v>Nickel Knob B,Nickel Knob A,Auto Close,Ring Pull,</v>
      </c>
    </row>
    <row r="19" spans="2:35" x14ac:dyDescent="0.25">
      <c r="B19">
        <v>4</v>
      </c>
      <c r="F19" t="s">
        <v>389</v>
      </c>
      <c r="G19" t="s">
        <v>395</v>
      </c>
      <c r="H19" t="s">
        <v>395</v>
      </c>
      <c r="I19" t="s">
        <v>395</v>
      </c>
      <c r="J19" t="s">
        <v>395</v>
      </c>
      <c r="P19" t="s">
        <v>45</v>
      </c>
      <c r="Q19" s="4" t="str">
        <f t="shared" si="1"/>
        <v>114mm</v>
      </c>
      <c r="R19" s="7">
        <v>22.2</v>
      </c>
      <c r="AH19" t="s">
        <v>218</v>
      </c>
      <c r="AI19" t="str">
        <f>IF(ISNUMBER(FIND(Bolt,AJ14)),"",AJ14&amp;Bolt &amp; ",")</f>
        <v>Nickel Knob B,Nickel Knob A,Auto Close,Bolt,</v>
      </c>
    </row>
    <row r="20" spans="2:35" x14ac:dyDescent="0.25">
      <c r="B20">
        <v>5</v>
      </c>
      <c r="F20" t="s">
        <v>395</v>
      </c>
      <c r="G20" t="s">
        <v>449</v>
      </c>
      <c r="H20" t="s">
        <v>449</v>
      </c>
      <c r="I20" t="s">
        <v>449</v>
      </c>
      <c r="J20" t="s">
        <v>449</v>
      </c>
      <c r="P20" t="s">
        <v>48</v>
      </c>
      <c r="Q20" s="4" t="str">
        <f>M2</f>
        <v>47mm</v>
      </c>
      <c r="R20" s="7">
        <v>22.2</v>
      </c>
      <c r="AH20" t="s">
        <v>220</v>
      </c>
      <c r="AI20" t="str">
        <f>IF(ISNUMBER(FIND(AdjustableHinge,AJ14)),"",AJ14&amp;AdjustableHinge &amp; ",")</f>
        <v>Nickel Knob B,Nickel Knob A,Auto Close,Adjustable Hinge (Samoa),</v>
      </c>
    </row>
    <row r="21" spans="2:35" x14ac:dyDescent="0.25">
      <c r="F21" t="s">
        <v>449</v>
      </c>
      <c r="G21" t="s">
        <v>450</v>
      </c>
      <c r="H21" t="s">
        <v>451</v>
      </c>
      <c r="I21" t="s">
        <v>451</v>
      </c>
      <c r="J21" t="s">
        <v>451</v>
      </c>
      <c r="P21" t="s">
        <v>48</v>
      </c>
      <c r="Q21" s="4" t="str">
        <f t="shared" ref="Q21:Q23" si="2">M3</f>
        <v>63mm</v>
      </c>
      <c r="R21" s="7">
        <v>22.2</v>
      </c>
      <c r="T21" t="s">
        <v>452</v>
      </c>
      <c r="U21" t="s">
        <v>453</v>
      </c>
      <c r="AH21" t="s">
        <v>223</v>
      </c>
      <c r="AI21" t="str">
        <f>IF(ISNUMBER(FIND(PowerMotion,AJ14)),"",AJ14&amp;PowerMotion &amp; ",")</f>
        <v>Nickel Knob B,Nickel Knob A,Auto Close,Power Motion,</v>
      </c>
    </row>
    <row r="22" spans="2:35" x14ac:dyDescent="0.25">
      <c r="F22" t="s">
        <v>450</v>
      </c>
      <c r="G22" t="s">
        <v>454</v>
      </c>
      <c r="H22" t="s">
        <v>455</v>
      </c>
      <c r="I22" t="s">
        <v>455</v>
      </c>
      <c r="J22" t="s">
        <v>456</v>
      </c>
      <c r="P22" t="s">
        <v>48</v>
      </c>
      <c r="Q22" s="4" t="str">
        <f t="shared" si="2"/>
        <v>76mm</v>
      </c>
      <c r="R22" s="7">
        <v>22.2</v>
      </c>
      <c r="T22" t="s">
        <v>196</v>
      </c>
      <c r="U22" t="s">
        <v>213</v>
      </c>
      <c r="AH22" t="s">
        <v>229</v>
      </c>
      <c r="AI22" t="str">
        <f>IF(ISNUMBER(FIND(PowerMotionRemote,AJ14)),"",AJ14&amp;PowerMotionRemote &amp; ",")</f>
        <v>Nickel Knob B,Nickel Knob A,Auto Close,Power Motion Remote,</v>
      </c>
    </row>
    <row r="23" spans="2:35" x14ac:dyDescent="0.25">
      <c r="F23" t="s">
        <v>455</v>
      </c>
      <c r="G23" t="s">
        <v>404</v>
      </c>
      <c r="H23" t="s">
        <v>404</v>
      </c>
      <c r="I23" t="s">
        <v>404</v>
      </c>
      <c r="J23" t="s">
        <v>404</v>
      </c>
      <c r="L23" t="s">
        <v>457</v>
      </c>
      <c r="P23" t="s">
        <v>48</v>
      </c>
      <c r="Q23" s="4" t="str">
        <f t="shared" si="2"/>
        <v>89mm</v>
      </c>
      <c r="R23" s="7">
        <v>22.2</v>
      </c>
      <c r="T23" t="s">
        <v>210</v>
      </c>
      <c r="U23" t="s">
        <v>216</v>
      </c>
      <c r="AH23" t="s">
        <v>458</v>
      </c>
      <c r="AI23" t="str">
        <f>IF(ISNUMBER(FIND(NickelKnobA,AJ14)),"",AJ14&amp;NickelKnobA &amp; ",")</f>
        <v/>
      </c>
    </row>
    <row r="24" spans="2:35" x14ac:dyDescent="0.25">
      <c r="F24" t="s">
        <v>404</v>
      </c>
      <c r="G24" t="s">
        <v>73</v>
      </c>
      <c r="H24" t="s">
        <v>459</v>
      </c>
      <c r="I24" t="s">
        <v>73</v>
      </c>
      <c r="J24" t="s">
        <v>459</v>
      </c>
      <c r="L24" t="s">
        <v>460</v>
      </c>
      <c r="P24" t="s">
        <v>52</v>
      </c>
      <c r="Q24" s="4" t="str">
        <f>N2</f>
        <v>47mm</v>
      </c>
      <c r="R24" s="7">
        <v>22.2</v>
      </c>
      <c r="T24" t="s">
        <v>221</v>
      </c>
      <c r="AH24" t="s">
        <v>461</v>
      </c>
      <c r="AI24" t="str">
        <f>IF(ISNUMBER(FIND(NickelKnobB,AJ14)),"",AJ14&amp;NickelKnobB &amp; ",")</f>
        <v/>
      </c>
    </row>
    <row r="25" spans="2:35" x14ac:dyDescent="0.25">
      <c r="F25" t="s">
        <v>459</v>
      </c>
      <c r="G25" t="s">
        <v>462</v>
      </c>
      <c r="H25" t="s">
        <v>463</v>
      </c>
      <c r="I25" t="s">
        <v>462</v>
      </c>
      <c r="J25" t="s">
        <v>463</v>
      </c>
      <c r="P25" t="s">
        <v>52</v>
      </c>
      <c r="Q25" s="4" t="str">
        <f t="shared" ref="Q25:Q27" si="3">N3</f>
        <v>63mm</v>
      </c>
      <c r="R25" s="7">
        <v>22.2</v>
      </c>
      <c r="T25" t="s">
        <v>213</v>
      </c>
    </row>
    <row r="26" spans="2:35" x14ac:dyDescent="0.25">
      <c r="F26" t="s">
        <v>73</v>
      </c>
      <c r="H26" t="s">
        <v>464</v>
      </c>
      <c r="J26" t="s">
        <v>464</v>
      </c>
      <c r="P26" t="s">
        <v>52</v>
      </c>
      <c r="Q26" s="4" t="str">
        <f t="shared" si="3"/>
        <v>76mm</v>
      </c>
      <c r="R26" s="7">
        <v>22.2</v>
      </c>
      <c r="T26" t="s">
        <v>216</v>
      </c>
    </row>
    <row r="27" spans="2:35" x14ac:dyDescent="0.25">
      <c r="H27" t="s">
        <v>465</v>
      </c>
      <c r="J27" t="s">
        <v>465</v>
      </c>
      <c r="P27" t="s">
        <v>52</v>
      </c>
      <c r="Q27" s="4" t="str">
        <f t="shared" si="3"/>
        <v>89mm</v>
      </c>
      <c r="R27" s="7">
        <v>22.2</v>
      </c>
      <c r="T27" t="s">
        <v>466</v>
      </c>
    </row>
    <row r="28" spans="2:35" x14ac:dyDescent="0.25">
      <c r="H28" t="s">
        <v>467</v>
      </c>
      <c r="J28" t="s">
        <v>467</v>
      </c>
      <c r="P28" t="s">
        <v>52</v>
      </c>
      <c r="Q28" s="4" t="str">
        <f>N6</f>
        <v>114mm</v>
      </c>
      <c r="R28" s="7">
        <v>22.2</v>
      </c>
      <c r="T28" t="s">
        <v>468</v>
      </c>
      <c r="U28" t="s">
        <v>469</v>
      </c>
    </row>
    <row r="29" spans="2:35" x14ac:dyDescent="0.25">
      <c r="H29" t="s">
        <v>404</v>
      </c>
      <c r="J29" t="s">
        <v>470</v>
      </c>
      <c r="P29" t="s">
        <v>54</v>
      </c>
      <c r="Q29" s="4" t="str">
        <f>O2</f>
        <v>47mm</v>
      </c>
      <c r="R29" s="7">
        <v>22.2</v>
      </c>
      <c r="T29" t="s">
        <v>471</v>
      </c>
      <c r="U29" t="s">
        <v>472</v>
      </c>
    </row>
    <row r="30" spans="2:35" x14ac:dyDescent="0.25">
      <c r="H30" t="s">
        <v>473</v>
      </c>
      <c r="J30" t="s">
        <v>473</v>
      </c>
      <c r="P30" t="s">
        <v>54</v>
      </c>
      <c r="Q30" s="4" t="str">
        <f t="shared" ref="Q30:Q32" si="4">O3</f>
        <v>63mm</v>
      </c>
      <c r="R30" s="7">
        <v>22.2</v>
      </c>
      <c r="T30" t="s">
        <v>474</v>
      </c>
    </row>
    <row r="31" spans="2:35" x14ac:dyDescent="0.25">
      <c r="H31" t="s">
        <v>475</v>
      </c>
      <c r="J31" t="s">
        <v>476</v>
      </c>
      <c r="P31" t="s">
        <v>54</v>
      </c>
      <c r="Q31" s="4" t="str">
        <f t="shared" si="4"/>
        <v>76mm</v>
      </c>
      <c r="R31" s="7">
        <v>22.2</v>
      </c>
      <c r="T31" t="s">
        <v>477</v>
      </c>
    </row>
    <row r="32" spans="2:35" x14ac:dyDescent="0.25">
      <c r="H32" t="s">
        <v>478</v>
      </c>
      <c r="J32" t="s">
        <v>478</v>
      </c>
      <c r="P32" t="s">
        <v>54</v>
      </c>
      <c r="Q32" s="4" t="str">
        <f t="shared" si="4"/>
        <v>89mm</v>
      </c>
      <c r="R32" s="7">
        <v>22.2</v>
      </c>
      <c r="T32" t="s">
        <v>219</v>
      </c>
    </row>
    <row r="33" spans="8:20" x14ac:dyDescent="0.25">
      <c r="H33" t="s">
        <v>479</v>
      </c>
      <c r="J33" t="s">
        <v>479</v>
      </c>
      <c r="P33" t="s">
        <v>54</v>
      </c>
      <c r="Q33" s="4" t="str">
        <f>O6</f>
        <v>114mm</v>
      </c>
      <c r="R33" s="7">
        <v>22.2</v>
      </c>
      <c r="T33" t="s">
        <v>225</v>
      </c>
    </row>
    <row r="34" spans="8:20" x14ac:dyDescent="0.25">
      <c r="H34" t="s">
        <v>480</v>
      </c>
      <c r="J34" t="s">
        <v>480</v>
      </c>
      <c r="P34" t="s">
        <v>57</v>
      </c>
      <c r="Q34" s="4" t="str">
        <f>Q2</f>
        <v>47mm</v>
      </c>
      <c r="R34" s="7">
        <v>27</v>
      </c>
      <c r="T34" t="s">
        <v>228</v>
      </c>
    </row>
    <row r="35" spans="8:20" x14ac:dyDescent="0.25">
      <c r="H35" t="s">
        <v>481</v>
      </c>
      <c r="J35" t="s">
        <v>481</v>
      </c>
      <c r="P35" t="s">
        <v>57</v>
      </c>
      <c r="Q35" s="4" t="str">
        <f t="shared" ref="Q35:Q37" si="5">Q3</f>
        <v>63mm</v>
      </c>
      <c r="R35" s="7">
        <v>27</v>
      </c>
      <c r="T35" t="s">
        <v>230</v>
      </c>
    </row>
    <row r="36" spans="8:20" x14ac:dyDescent="0.25">
      <c r="H36" t="s">
        <v>482</v>
      </c>
      <c r="J36" t="s">
        <v>482</v>
      </c>
      <c r="P36" t="s">
        <v>57</v>
      </c>
      <c r="Q36" s="4" t="str">
        <f t="shared" si="5"/>
        <v>76mm</v>
      </c>
      <c r="R36" s="7">
        <v>27</v>
      </c>
      <c r="T36" t="s">
        <v>234</v>
      </c>
    </row>
    <row r="37" spans="8:20" x14ac:dyDescent="0.25">
      <c r="H37" t="s">
        <v>483</v>
      </c>
      <c r="J37" t="s">
        <v>483</v>
      </c>
      <c r="P37" t="s">
        <v>57</v>
      </c>
      <c r="Q37" s="4" t="str">
        <f t="shared" si="5"/>
        <v>89mm</v>
      </c>
      <c r="R37" s="7">
        <v>27</v>
      </c>
      <c r="T37" t="s">
        <v>238</v>
      </c>
    </row>
    <row r="38" spans="8:20" x14ac:dyDescent="0.25">
      <c r="H38" t="s">
        <v>484</v>
      </c>
      <c r="J38" t="s">
        <v>484</v>
      </c>
      <c r="P38" t="s">
        <v>57</v>
      </c>
      <c r="Q38" s="4" t="str">
        <f>Q6</f>
        <v>114mm</v>
      </c>
      <c r="R38" s="7">
        <v>27</v>
      </c>
      <c r="T38" t="s">
        <v>241</v>
      </c>
    </row>
    <row r="39" spans="8:20" x14ac:dyDescent="0.25">
      <c r="H39" t="s">
        <v>485</v>
      </c>
      <c r="J39" t="s">
        <v>485</v>
      </c>
      <c r="T39" t="s">
        <v>245</v>
      </c>
    </row>
    <row r="40" spans="8:20" x14ac:dyDescent="0.25">
      <c r="H40" t="s">
        <v>486</v>
      </c>
      <c r="J40" t="s">
        <v>486</v>
      </c>
      <c r="T40" t="s">
        <v>248</v>
      </c>
    </row>
    <row r="41" spans="8:20" x14ac:dyDescent="0.25">
      <c r="H41" t="s">
        <v>487</v>
      </c>
      <c r="J41" t="s">
        <v>487</v>
      </c>
      <c r="T41" t="s">
        <v>252</v>
      </c>
    </row>
    <row r="42" spans="8:20" x14ac:dyDescent="0.25">
      <c r="H42" t="s">
        <v>488</v>
      </c>
      <c r="J42" t="s">
        <v>488</v>
      </c>
      <c r="T42" t="s">
        <v>255</v>
      </c>
    </row>
    <row r="43" spans="8:20" x14ac:dyDescent="0.25">
      <c r="H43" t="s">
        <v>489</v>
      </c>
      <c r="J43" t="s">
        <v>490</v>
      </c>
      <c r="T43" t="s">
        <v>257</v>
      </c>
    </row>
    <row r="44" spans="8:20" x14ac:dyDescent="0.25">
      <c r="H44" t="s">
        <v>491</v>
      </c>
      <c r="J44" t="s">
        <v>492</v>
      </c>
    </row>
    <row r="45" spans="8:20" x14ac:dyDescent="0.25">
      <c r="H45" t="s">
        <v>493</v>
      </c>
      <c r="J45" t="s">
        <v>491</v>
      </c>
    </row>
    <row r="46" spans="8:20" x14ac:dyDescent="0.25">
      <c r="H46" t="s">
        <v>494</v>
      </c>
      <c r="J46" t="s">
        <v>495</v>
      </c>
    </row>
    <row r="47" spans="8:20" x14ac:dyDescent="0.25">
      <c r="H47" t="s">
        <v>496</v>
      </c>
      <c r="J47" t="s">
        <v>494</v>
      </c>
    </row>
    <row r="48" spans="8:20" x14ac:dyDescent="0.25">
      <c r="H48" t="s">
        <v>497</v>
      </c>
      <c r="J48" t="s">
        <v>496</v>
      </c>
    </row>
    <row r="49" spans="8:10" x14ac:dyDescent="0.25">
      <c r="H49" t="s">
        <v>498</v>
      </c>
      <c r="J49" t="s">
        <v>497</v>
      </c>
    </row>
    <row r="50" spans="8:10" x14ac:dyDescent="0.25">
      <c r="H50" t="s">
        <v>499</v>
      </c>
      <c r="J50" t="s">
        <v>498</v>
      </c>
    </row>
    <row r="51" spans="8:10" x14ac:dyDescent="0.25">
      <c r="H51" t="s">
        <v>73</v>
      </c>
      <c r="J51" t="s">
        <v>499</v>
      </c>
    </row>
    <row r="52" spans="8:10" x14ac:dyDescent="0.25">
      <c r="J52" t="s">
        <v>73</v>
      </c>
    </row>
  </sheetData>
  <dataValidations count="1">
    <dataValidation type="list" allowBlank="1" showInputMessage="1" showErrorMessage="1" sqref="AJ14" xr:uid="{4086FA99-968F-4936-8ECA-31804708CCFB}">
      <formula1>$AI$14:$AI$24</formula1>
    </dataValidation>
  </dataValidations>
  <pageMargins left="0.7" right="0.7" top="0.75" bottom="0.75" header="0.3" footer="0.3"/>
  <pageSetup paperSize="9" orientation="portrait" horizontalDpi="300" verticalDpi="300"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Q4" sqref="Q4"/>
    </sheetView>
  </sheetViews>
  <sheetFormatPr defaultColWidth="8.85546875" defaultRowHeight="15" x14ac:dyDescent="0.25"/>
  <cols>
    <col min="1" max="1" width="3" customWidth="1"/>
    <col min="3" max="3" width="7.28515625" customWidth="1"/>
    <col min="4" max="4" width="6.28515625" customWidth="1"/>
    <col min="5" max="5" width="2.28515625" customWidth="1"/>
    <col min="6" max="6" width="13.7109375" customWidth="1"/>
    <col min="7" max="7" width="3" customWidth="1"/>
    <col min="8" max="8" width="5.7109375" customWidth="1"/>
    <col min="9" max="9" width="2.28515625" customWidth="1"/>
    <col min="10" max="11" width="5.5703125" customWidth="1"/>
    <col min="12" max="12" width="6" customWidth="1"/>
    <col min="13" max="13" width="3.28515625" customWidth="1"/>
    <col min="14" max="14" width="3.7109375" customWidth="1"/>
    <col min="15" max="15" width="2.28515625" customWidth="1"/>
    <col min="16" max="16" width="9.28515625" customWidth="1"/>
    <col min="17" max="17" width="4.28515625" customWidth="1"/>
    <col min="18" max="18" width="6.7109375" customWidth="1"/>
    <col min="19" max="19" width="2.7109375" customWidth="1"/>
    <col min="20" max="20" width="1.7109375" customWidth="1"/>
    <col min="21" max="21" width="0.7109375" customWidth="1"/>
    <col min="22" max="22" width="1.85546875" customWidth="1"/>
    <col min="23" max="23" width="7.42578125" customWidth="1"/>
    <col min="24" max="24" width="1.42578125" customWidth="1"/>
    <col min="25" max="25" width="4.85546875" customWidth="1"/>
    <col min="26" max="26" width="0.7109375" customWidth="1"/>
    <col min="27" max="27" width="9.28515625" customWidth="1"/>
    <col min="28" max="28" width="2.7109375" customWidth="1"/>
  </cols>
  <sheetData>
    <row r="1" spans="1:28" x14ac:dyDescent="0.25">
      <c r="A1" s="17"/>
      <c r="B1" s="85" t="s">
        <v>500</v>
      </c>
      <c r="C1" s="17"/>
      <c r="D1" s="17"/>
      <c r="E1" s="17"/>
      <c r="F1" s="17"/>
      <c r="G1" s="17"/>
      <c r="H1" s="17"/>
      <c r="I1" s="17"/>
      <c r="J1" s="17"/>
      <c r="K1" s="17"/>
      <c r="L1" s="17"/>
      <c r="M1" s="17"/>
      <c r="N1" s="17"/>
      <c r="O1" s="17"/>
      <c r="P1" s="17"/>
      <c r="Q1" s="17"/>
      <c r="R1" s="17"/>
      <c r="S1" s="17"/>
      <c r="T1" s="17"/>
      <c r="U1" s="17"/>
      <c r="V1" s="17"/>
      <c r="W1" s="17"/>
      <c r="X1" s="17"/>
      <c r="Y1" s="17"/>
      <c r="Z1" s="17"/>
      <c r="AA1" s="17"/>
      <c r="AB1" s="17"/>
    </row>
    <row r="2" spans="1:28" x14ac:dyDescent="0.25">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row>
    <row r="3" spans="1:28" x14ac:dyDescent="0.25">
      <c r="A3" s="90"/>
      <c r="B3" t="s">
        <v>501</v>
      </c>
      <c r="D3" s="842" t="str">
        <f>IF(Pricing!B59="","Enter Name",Pricing!B59)</f>
        <v>Sue  Bennett</v>
      </c>
      <c r="E3" s="842"/>
      <c r="F3" s="842"/>
      <c r="G3" s="842"/>
      <c r="H3" s="842"/>
      <c r="I3" s="91"/>
      <c r="J3" s="92" t="s">
        <v>502</v>
      </c>
      <c r="K3" s="92"/>
      <c r="L3" s="842">
        <f>Pricing!E59</f>
        <v>66777</v>
      </c>
      <c r="M3" s="842"/>
      <c r="N3" s="842"/>
      <c r="O3" s="91"/>
      <c r="P3" s="92" t="s">
        <v>147</v>
      </c>
      <c r="Q3" s="842" t="str">
        <f>IF(ISERROR('Survey Front'!W8),"",'Survey Front'!W8)</f>
        <v>Please Select</v>
      </c>
      <c r="R3" s="842"/>
      <c r="S3" s="842"/>
      <c r="T3" s="842"/>
      <c r="U3" s="842"/>
      <c r="V3" s="842"/>
      <c r="W3" s="842"/>
      <c r="X3" s="842"/>
      <c r="Y3" s="842"/>
      <c r="Z3" s="842"/>
      <c r="AA3" s="842"/>
      <c r="AB3" s="93"/>
    </row>
    <row r="4" spans="1:28" x14ac:dyDescent="0.25">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row>
    <row r="5" spans="1:28" x14ac:dyDescent="0.25">
      <c r="A5" s="90"/>
      <c r="B5" s="843" t="s">
        <v>503</v>
      </c>
      <c r="C5" s="843"/>
      <c r="D5" s="843"/>
      <c r="E5" s="73"/>
      <c r="F5" s="844" t="s">
        <v>504</v>
      </c>
      <c r="G5" s="844"/>
      <c r="H5" s="844"/>
      <c r="I5" s="73"/>
      <c r="J5" s="844" t="s">
        <v>505</v>
      </c>
      <c r="K5" s="844"/>
      <c r="L5" s="844"/>
      <c r="M5" s="844"/>
      <c r="N5" s="844"/>
      <c r="O5" s="90"/>
      <c r="P5" s="844" t="s">
        <v>506</v>
      </c>
      <c r="Q5" s="844"/>
      <c r="R5" s="844"/>
      <c r="S5" s="844"/>
      <c r="T5" s="90"/>
      <c r="U5" s="90"/>
      <c r="V5" s="844" t="s">
        <v>507</v>
      </c>
      <c r="W5" s="844"/>
      <c r="X5" s="844"/>
      <c r="Y5" s="844"/>
      <c r="Z5" s="844"/>
      <c r="AA5" s="844"/>
      <c r="AB5" s="73"/>
    </row>
    <row r="6" spans="1:28" ht="21" x14ac:dyDescent="0.35">
      <c r="A6" s="90"/>
      <c r="B6" s="845" t="str">
        <f>'Survey Front'!D12</f>
        <v>Tier on Tier</v>
      </c>
      <c r="C6" s="845"/>
      <c r="D6" s="845"/>
      <c r="E6" s="90"/>
      <c r="F6" s="845" t="str">
        <f>'Survey Front'!E12</f>
        <v>Antigua</v>
      </c>
      <c r="G6" s="845"/>
      <c r="H6" s="845"/>
      <c r="I6" s="95"/>
      <c r="J6" s="845" t="str">
        <f>'Survey Front'!H12</f>
        <v>76mm</v>
      </c>
      <c r="K6" s="845"/>
      <c r="L6" s="845"/>
      <c r="M6" s="845"/>
      <c r="N6" s="845"/>
      <c r="O6" s="90"/>
      <c r="P6" s="845" t="str">
        <f>'Survey Front'!L12</f>
        <v>Silent</v>
      </c>
      <c r="Q6" s="845"/>
      <c r="R6" s="845"/>
      <c r="S6" s="845"/>
      <c r="T6" s="90"/>
      <c r="U6" s="90"/>
      <c r="V6" s="845" t="str">
        <f>'Survey Front'!F12</f>
        <v>Silk White</v>
      </c>
      <c r="W6" s="845"/>
      <c r="X6" s="845"/>
      <c r="Y6" s="845"/>
      <c r="Z6" s="845"/>
      <c r="AA6" s="845"/>
      <c r="AB6" s="90"/>
    </row>
    <row r="7" spans="1:28" ht="15.75" thickBot="1" x14ac:dyDescent="0.3">
      <c r="A7" s="90"/>
      <c r="B7" s="603"/>
      <c r="C7" s="603"/>
      <c r="D7" s="603"/>
      <c r="E7" s="90"/>
      <c r="F7" s="603"/>
      <c r="G7" s="603"/>
      <c r="H7" s="603"/>
      <c r="I7" s="90"/>
      <c r="J7" s="603"/>
      <c r="K7" s="603"/>
      <c r="L7" s="603"/>
      <c r="M7" s="603"/>
      <c r="N7" s="603"/>
      <c r="O7" s="90"/>
      <c r="P7" s="603"/>
      <c r="Q7" s="603"/>
      <c r="R7" s="603"/>
      <c r="S7" s="603"/>
      <c r="T7" s="90"/>
      <c r="U7" s="90"/>
      <c r="V7" s="603"/>
      <c r="W7" s="603"/>
      <c r="X7" s="603"/>
      <c r="Y7" s="603"/>
      <c r="Z7" s="603"/>
      <c r="AA7" s="603"/>
      <c r="AB7" s="90"/>
    </row>
    <row r="8" spans="1:28" x14ac:dyDescent="0.25">
      <c r="A8" s="90"/>
      <c r="B8" s="846" t="s">
        <v>23</v>
      </c>
      <c r="C8" s="846"/>
      <c r="D8" s="846"/>
      <c r="E8" s="90"/>
      <c r="F8" s="846" t="s">
        <v>23</v>
      </c>
      <c r="G8" s="846"/>
      <c r="H8" s="846"/>
      <c r="I8" s="90"/>
      <c r="J8" s="846" t="s">
        <v>23</v>
      </c>
      <c r="K8" s="846"/>
      <c r="L8" s="846"/>
      <c r="M8" s="846"/>
      <c r="N8" s="846"/>
      <c r="O8" s="90"/>
      <c r="P8" s="846" t="s">
        <v>23</v>
      </c>
      <c r="Q8" s="846"/>
      <c r="R8" s="846"/>
      <c r="S8" s="846"/>
      <c r="T8" s="90"/>
      <c r="U8" s="90"/>
      <c r="V8" s="846" t="s">
        <v>23</v>
      </c>
      <c r="W8" s="846"/>
      <c r="X8" s="846"/>
      <c r="Y8" s="846"/>
      <c r="Z8" s="846"/>
      <c r="AA8" s="846"/>
      <c r="AB8" s="90"/>
    </row>
    <row r="9" spans="1:28" x14ac:dyDescent="0.25">
      <c r="A9" s="90"/>
      <c r="B9" s="603"/>
      <c r="C9" s="603"/>
      <c r="D9" s="603"/>
      <c r="E9" s="90"/>
      <c r="F9" s="603"/>
      <c r="G9" s="603"/>
      <c r="H9" s="603"/>
      <c r="I9" s="90"/>
      <c r="J9" s="603"/>
      <c r="K9" s="603"/>
      <c r="L9" s="603"/>
      <c r="M9" s="603"/>
      <c r="N9" s="603"/>
      <c r="O9" s="90"/>
      <c r="P9" s="603"/>
      <c r="Q9" s="603"/>
      <c r="R9" s="603"/>
      <c r="S9" s="603"/>
      <c r="T9" s="90"/>
      <c r="U9" s="90"/>
      <c r="V9" s="847"/>
      <c r="W9" s="603"/>
      <c r="X9" s="603"/>
      <c r="Y9" s="603"/>
      <c r="Z9" s="603"/>
      <c r="AA9" s="603"/>
      <c r="AB9" s="90"/>
    </row>
    <row r="10" spans="1:28" x14ac:dyDescent="0.25">
      <c r="A10" s="90"/>
      <c r="B10" s="603"/>
      <c r="C10" s="603"/>
      <c r="D10" s="603"/>
      <c r="E10" s="90"/>
      <c r="F10" s="603"/>
      <c r="G10" s="603"/>
      <c r="H10" s="603"/>
      <c r="I10" s="90"/>
      <c r="J10" s="603"/>
      <c r="K10" s="603"/>
      <c r="L10" s="603"/>
      <c r="M10" s="603"/>
      <c r="N10" s="603"/>
      <c r="O10" s="90"/>
      <c r="P10" s="603"/>
      <c r="Q10" s="603"/>
      <c r="R10" s="603"/>
      <c r="S10" s="603"/>
      <c r="T10" s="90"/>
      <c r="U10" s="90"/>
      <c r="V10" s="603"/>
      <c r="W10" s="603"/>
      <c r="X10" s="603"/>
      <c r="Y10" s="603"/>
      <c r="Z10" s="603"/>
      <c r="AA10" s="603"/>
      <c r="AB10" s="90"/>
    </row>
    <row r="11" spans="1:28" x14ac:dyDescent="0.25">
      <c r="A11" s="90"/>
      <c r="B11" s="603"/>
      <c r="C11" s="603"/>
      <c r="D11" s="603"/>
      <c r="E11" s="90"/>
      <c r="F11" s="603"/>
      <c r="G11" s="603"/>
      <c r="H11" s="603"/>
      <c r="I11" s="90"/>
      <c r="J11" s="603"/>
      <c r="K11" s="603"/>
      <c r="L11" s="603"/>
      <c r="M11" s="603"/>
      <c r="N11" s="603"/>
      <c r="O11" s="90"/>
      <c r="P11" s="603"/>
      <c r="Q11" s="603"/>
      <c r="R11" s="603"/>
      <c r="S11" s="603"/>
      <c r="T11" s="90"/>
      <c r="U11" s="90"/>
      <c r="V11" s="603"/>
      <c r="W11" s="603"/>
      <c r="X11" s="603"/>
      <c r="Y11" s="603"/>
      <c r="Z11" s="603"/>
      <c r="AA11" s="603"/>
      <c r="AB11" s="90"/>
    </row>
    <row r="12" spans="1:28" x14ac:dyDescent="0.25">
      <c r="A12" s="90"/>
      <c r="B12" s="603"/>
      <c r="C12" s="603"/>
      <c r="D12" s="603"/>
      <c r="E12" s="90"/>
      <c r="F12" s="603"/>
      <c r="G12" s="603"/>
      <c r="H12" s="603"/>
      <c r="I12" s="90"/>
      <c r="J12" s="603"/>
      <c r="K12" s="603"/>
      <c r="L12" s="603"/>
      <c r="M12" s="603"/>
      <c r="N12" s="603"/>
      <c r="O12" s="90"/>
      <c r="P12" s="603"/>
      <c r="Q12" s="603"/>
      <c r="R12" s="603"/>
      <c r="S12" s="603"/>
      <c r="T12" s="90"/>
      <c r="U12" s="90"/>
      <c r="V12" s="603"/>
      <c r="W12" s="603"/>
      <c r="X12" s="603"/>
      <c r="Y12" s="603"/>
      <c r="Z12" s="603"/>
      <c r="AA12" s="603"/>
      <c r="AB12" s="90"/>
    </row>
    <row r="13" spans="1:28" x14ac:dyDescent="0.25">
      <c r="A13" s="90"/>
      <c r="B13" s="603"/>
      <c r="C13" s="603"/>
      <c r="D13" s="603"/>
      <c r="E13" s="90"/>
      <c r="F13" s="603"/>
      <c r="G13" s="603"/>
      <c r="H13" s="603"/>
      <c r="I13" s="90"/>
      <c r="J13" s="603"/>
      <c r="K13" s="603"/>
      <c r="L13" s="603"/>
      <c r="M13" s="603"/>
      <c r="N13" s="603"/>
      <c r="O13" s="90"/>
      <c r="P13" s="603"/>
      <c r="Q13" s="603"/>
      <c r="R13" s="603"/>
      <c r="S13" s="603"/>
      <c r="T13" s="90"/>
      <c r="U13" s="90"/>
      <c r="V13" s="603"/>
      <c r="W13" s="603"/>
      <c r="X13" s="603"/>
      <c r="Y13" s="603"/>
      <c r="Z13" s="603"/>
      <c r="AA13" s="603"/>
      <c r="AB13" s="90"/>
    </row>
    <row r="14" spans="1:28" ht="3.6" customHeight="1" x14ac:dyDescent="0.25">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ht="6" customHeight="1" x14ac:dyDescent="0.25">
      <c r="A15" s="90"/>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90"/>
    </row>
    <row r="16" spans="1:28" ht="6" customHeight="1" x14ac:dyDescent="0.25">
      <c r="A16" s="90"/>
      <c r="B16" s="90"/>
      <c r="C16" s="90"/>
      <c r="D16" s="90"/>
      <c r="E16" s="90"/>
      <c r="F16" s="90"/>
      <c r="G16" s="90"/>
      <c r="H16" s="90"/>
      <c r="I16" s="90"/>
      <c r="J16" s="90"/>
      <c r="K16" s="90"/>
      <c r="L16" s="90"/>
      <c r="M16" s="90"/>
      <c r="N16" s="90"/>
      <c r="O16" s="17"/>
      <c r="P16" s="17"/>
      <c r="Q16" s="17"/>
      <c r="R16" s="17"/>
      <c r="S16" s="17"/>
      <c r="T16" s="17"/>
      <c r="U16" s="17"/>
      <c r="V16" s="17"/>
      <c r="W16" s="17"/>
      <c r="X16" s="17"/>
      <c r="Y16" s="17"/>
      <c r="Z16" s="17"/>
      <c r="AA16" s="17"/>
      <c r="AB16" s="90"/>
    </row>
    <row r="17" spans="1:28" ht="21" customHeight="1" thickBot="1" x14ac:dyDescent="0.3">
      <c r="A17" s="90"/>
      <c r="B17" s="51" t="s">
        <v>508</v>
      </c>
      <c r="C17" s="17"/>
      <c r="D17" s="566"/>
      <c r="E17" s="566"/>
      <c r="F17" s="566"/>
      <c r="G17" s="566"/>
      <c r="H17" s="566"/>
      <c r="I17" s="566"/>
      <c r="J17" s="566"/>
      <c r="K17" s="566"/>
      <c r="L17" s="566"/>
      <c r="M17" s="566"/>
      <c r="N17" s="90"/>
      <c r="O17" s="17"/>
      <c r="P17" s="89" t="s">
        <v>509</v>
      </c>
      <c r="Q17" s="96"/>
      <c r="R17" s="96"/>
      <c r="S17" s="96"/>
      <c r="T17" s="96"/>
      <c r="U17" s="96"/>
      <c r="V17" s="96"/>
      <c r="W17" s="96"/>
      <c r="X17" s="96"/>
      <c r="Y17" s="96"/>
      <c r="Z17" s="96"/>
      <c r="AA17" s="96"/>
      <c r="AB17" s="90"/>
    </row>
    <row r="18" spans="1:28" ht="15.75" thickTop="1" x14ac:dyDescent="0.25">
      <c r="A18" s="90"/>
      <c r="B18" s="17"/>
      <c r="C18" s="17"/>
      <c r="D18" s="566"/>
      <c r="E18" s="566"/>
      <c r="F18" s="566"/>
      <c r="G18" s="566"/>
      <c r="H18" s="566"/>
      <c r="I18" s="566"/>
      <c r="J18" s="566"/>
      <c r="K18" s="566"/>
      <c r="L18" s="566"/>
      <c r="M18" s="566"/>
      <c r="N18" s="90"/>
      <c r="O18" s="17"/>
      <c r="P18" s="90"/>
      <c r="Q18" s="90"/>
      <c r="R18" s="90"/>
      <c r="S18" s="90"/>
      <c r="T18" s="90"/>
      <c r="U18" s="90"/>
      <c r="V18" s="90"/>
      <c r="W18" s="90"/>
      <c r="X18" s="90"/>
      <c r="Y18" s="90"/>
      <c r="Z18" s="90"/>
      <c r="AA18" s="90"/>
      <c r="AB18" s="90"/>
    </row>
    <row r="19" spans="1:28" x14ac:dyDescent="0.25">
      <c r="A19" s="90"/>
      <c r="B19" s="17"/>
      <c r="C19" s="17"/>
      <c r="D19" s="566"/>
      <c r="E19" s="566"/>
      <c r="F19" s="566"/>
      <c r="G19" s="566"/>
      <c r="H19" s="566"/>
      <c r="I19" s="566"/>
      <c r="J19" s="566"/>
      <c r="K19" s="566"/>
      <c r="L19" s="566"/>
      <c r="M19" s="566"/>
      <c r="N19" s="90"/>
      <c r="O19" s="17"/>
      <c r="P19" s="90" t="s">
        <v>510</v>
      </c>
      <c r="Q19" s="90"/>
      <c r="R19" s="831">
        <v>0</v>
      </c>
      <c r="S19" s="831"/>
      <c r="T19" s="831"/>
      <c r="U19" s="90"/>
      <c r="V19" s="90"/>
      <c r="W19" s="90" t="s">
        <v>511</v>
      </c>
      <c r="X19" s="90"/>
      <c r="Y19" s="90"/>
      <c r="Z19" s="90"/>
      <c r="AA19" s="19" t="s">
        <v>512</v>
      </c>
      <c r="AB19" s="90"/>
    </row>
    <row r="20" spans="1:28" ht="1.9" customHeight="1" x14ac:dyDescent="0.25">
      <c r="A20" s="90"/>
      <c r="B20" s="90"/>
      <c r="C20" s="90"/>
      <c r="D20" s="90"/>
      <c r="E20" s="90"/>
      <c r="F20" s="90"/>
      <c r="G20" s="90"/>
      <c r="H20" s="90"/>
      <c r="I20" s="90"/>
      <c r="J20" s="90"/>
      <c r="K20" s="90"/>
      <c r="L20" s="90"/>
      <c r="M20" s="90"/>
      <c r="N20" s="90"/>
      <c r="O20" s="17"/>
      <c r="P20" s="90"/>
      <c r="Q20" s="90"/>
      <c r="R20" s="90"/>
      <c r="S20" s="90"/>
      <c r="T20" s="90"/>
      <c r="U20" s="90"/>
      <c r="V20" s="90"/>
      <c r="W20" s="90"/>
      <c r="X20" s="90"/>
      <c r="Y20" s="90"/>
      <c r="Z20" s="90"/>
      <c r="AA20" s="73"/>
      <c r="AB20" s="90"/>
    </row>
    <row r="21" spans="1:28" x14ac:dyDescent="0.25">
      <c r="A21" s="90"/>
      <c r="B21" s="90"/>
      <c r="C21" s="90"/>
      <c r="D21" s="90"/>
      <c r="E21" s="90"/>
      <c r="F21" s="90"/>
      <c r="G21" s="90"/>
      <c r="H21" s="90"/>
      <c r="I21" s="90"/>
      <c r="J21" s="90"/>
      <c r="K21" s="90"/>
      <c r="L21" s="90"/>
      <c r="M21" s="90"/>
      <c r="N21" s="90"/>
      <c r="O21" s="17"/>
      <c r="P21" s="90" t="s">
        <v>513</v>
      </c>
      <c r="Q21" s="90"/>
      <c r="R21" s="831" t="s">
        <v>512</v>
      </c>
      <c r="S21" s="831"/>
      <c r="T21" s="831"/>
      <c r="U21" s="90"/>
      <c r="V21" s="90"/>
      <c r="W21" s="90" t="s">
        <v>514</v>
      </c>
      <c r="X21" s="90"/>
      <c r="Y21" s="90"/>
      <c r="Z21" s="90"/>
      <c r="AA21" s="19" t="s">
        <v>512</v>
      </c>
      <c r="AB21" s="90"/>
    </row>
    <row r="22" spans="1:28" ht="1.9" customHeight="1" x14ac:dyDescent="0.25">
      <c r="A22" s="90"/>
      <c r="B22" s="90"/>
      <c r="C22" s="90"/>
      <c r="D22" s="90"/>
      <c r="E22" s="90"/>
      <c r="F22" s="90"/>
      <c r="G22" s="90"/>
      <c r="H22" s="90"/>
      <c r="I22" s="90"/>
      <c r="J22" s="90"/>
      <c r="K22" s="90"/>
      <c r="L22" s="90"/>
      <c r="M22" s="90"/>
      <c r="N22" s="90"/>
      <c r="O22" s="17"/>
      <c r="P22" s="90"/>
      <c r="Q22" s="90"/>
      <c r="R22" s="90"/>
      <c r="S22" s="90"/>
      <c r="T22" s="90"/>
      <c r="U22" s="90"/>
      <c r="V22" s="90"/>
      <c r="W22" s="90"/>
      <c r="X22" s="90"/>
      <c r="Y22" s="90"/>
      <c r="Z22" s="90"/>
      <c r="AA22" s="73"/>
      <c r="AB22" s="90"/>
    </row>
    <row r="23" spans="1:28" x14ac:dyDescent="0.25">
      <c r="A23" s="90"/>
      <c r="B23" s="17" t="s">
        <v>515</v>
      </c>
      <c r="C23" s="17"/>
      <c r="D23" s="17"/>
      <c r="E23" s="17"/>
      <c r="F23" s="17"/>
      <c r="G23" s="17"/>
      <c r="H23" s="17"/>
      <c r="I23" s="17"/>
      <c r="J23" s="17"/>
      <c r="K23" s="17"/>
      <c r="L23" s="17"/>
      <c r="M23" s="17"/>
      <c r="N23" s="90"/>
      <c r="O23" s="17"/>
      <c r="P23" s="90" t="s">
        <v>516</v>
      </c>
      <c r="Q23" s="90"/>
      <c r="R23" s="831" t="s">
        <v>512</v>
      </c>
      <c r="S23" s="831"/>
      <c r="T23" s="831"/>
      <c r="U23" s="90"/>
      <c r="V23" s="90"/>
      <c r="W23" s="90" t="s">
        <v>517</v>
      </c>
      <c r="X23" s="90"/>
      <c r="Y23" s="90"/>
      <c r="Z23" s="90"/>
      <c r="AA23" s="19" t="s">
        <v>512</v>
      </c>
      <c r="AB23" s="90"/>
    </row>
    <row r="24" spans="1:28" ht="1.9" customHeight="1" x14ac:dyDescent="0.25">
      <c r="A24" s="90"/>
      <c r="B24" s="17"/>
      <c r="C24" s="17"/>
      <c r="D24" s="17"/>
      <c r="E24" s="17"/>
      <c r="F24" s="17"/>
      <c r="G24" s="17"/>
      <c r="H24" s="17"/>
      <c r="I24" s="17"/>
      <c r="J24" s="17"/>
      <c r="K24" s="17"/>
      <c r="L24" s="17"/>
      <c r="M24" s="17"/>
      <c r="N24" s="90"/>
      <c r="O24" s="17"/>
      <c r="P24" s="90"/>
      <c r="Q24" s="90"/>
      <c r="R24" s="90"/>
      <c r="S24" s="90"/>
      <c r="T24" s="90"/>
      <c r="U24" s="90"/>
      <c r="V24" s="90"/>
      <c r="W24" s="90"/>
      <c r="X24" s="90"/>
      <c r="Y24" s="90"/>
      <c r="Z24" s="90"/>
      <c r="AA24" s="73"/>
      <c r="AB24" s="90"/>
    </row>
    <row r="25" spans="1:28" x14ac:dyDescent="0.25">
      <c r="A25" s="90"/>
      <c r="B25" s="17"/>
      <c r="C25" s="17"/>
      <c r="D25" s="17"/>
      <c r="E25" s="17"/>
      <c r="F25" s="17"/>
      <c r="G25" s="17"/>
      <c r="H25" s="17"/>
      <c r="I25" s="17"/>
      <c r="J25" s="17"/>
      <c r="K25" s="17"/>
      <c r="L25" s="17"/>
      <c r="M25" s="17"/>
      <c r="N25" s="90"/>
      <c r="O25" s="17"/>
      <c r="P25" s="90" t="s">
        <v>518</v>
      </c>
      <c r="Q25" s="90"/>
      <c r="R25" s="831" t="s">
        <v>512</v>
      </c>
      <c r="S25" s="831"/>
      <c r="T25" s="831"/>
      <c r="U25" s="90"/>
      <c r="V25" s="90"/>
      <c r="W25" s="90" t="s">
        <v>363</v>
      </c>
      <c r="X25" s="90"/>
      <c r="Y25" s="90"/>
      <c r="Z25" s="90"/>
      <c r="AA25" s="19" t="s">
        <v>512</v>
      </c>
      <c r="AB25" s="90"/>
    </row>
    <row r="26" spans="1:28" ht="15.75" thickBot="1" x14ac:dyDescent="0.3">
      <c r="A26" s="90"/>
      <c r="B26" s="17" t="s">
        <v>519</v>
      </c>
      <c r="C26" s="17"/>
      <c r="D26" s="17"/>
      <c r="E26" s="848"/>
      <c r="F26" s="848"/>
      <c r="G26" s="848"/>
      <c r="H26" s="848"/>
      <c r="I26" s="848"/>
      <c r="J26" s="848"/>
      <c r="K26" s="848"/>
      <c r="L26" s="848"/>
      <c r="M26" s="17"/>
      <c r="N26" s="90"/>
      <c r="O26" s="17"/>
      <c r="P26" s="90"/>
      <c r="Q26" s="90"/>
      <c r="R26" s="90"/>
      <c r="S26" s="90"/>
      <c r="T26" s="90"/>
      <c r="U26" s="90"/>
      <c r="V26" s="90"/>
      <c r="W26" s="90"/>
      <c r="X26" s="90"/>
      <c r="Y26" s="90"/>
      <c r="Z26" s="90"/>
      <c r="AA26" s="90"/>
      <c r="AB26" s="90"/>
    </row>
    <row r="27" spans="1:28" ht="6" customHeight="1" x14ac:dyDescent="0.25">
      <c r="A27" s="90"/>
      <c r="B27" s="17"/>
      <c r="C27" s="17"/>
      <c r="D27" s="17"/>
      <c r="E27" s="17"/>
      <c r="F27" s="17"/>
      <c r="G27" s="17"/>
      <c r="H27" s="17"/>
      <c r="I27" s="17"/>
      <c r="J27" s="17"/>
      <c r="K27" s="17"/>
      <c r="L27" s="17"/>
      <c r="M27" s="17"/>
      <c r="N27" s="90"/>
      <c r="O27" s="17"/>
      <c r="P27" s="17"/>
      <c r="Q27" s="17"/>
      <c r="R27" s="17"/>
      <c r="S27" s="17"/>
      <c r="T27" s="17"/>
      <c r="U27" s="17"/>
      <c r="V27" s="17"/>
      <c r="W27" s="17"/>
      <c r="X27" s="17"/>
      <c r="Y27" s="17"/>
      <c r="Z27" s="17"/>
      <c r="AA27" s="17"/>
      <c r="AB27" s="90"/>
    </row>
    <row r="28" spans="1:28" ht="1.9" customHeight="1" x14ac:dyDescent="0.25">
      <c r="A28" s="90"/>
      <c r="B28" s="90"/>
      <c r="C28" s="90"/>
      <c r="D28" s="90"/>
      <c r="E28" s="90"/>
      <c r="F28" s="90"/>
      <c r="G28" s="90"/>
      <c r="H28" s="90"/>
      <c r="I28" s="90"/>
      <c r="J28" s="90"/>
      <c r="K28" s="90"/>
      <c r="L28" s="90"/>
      <c r="M28" s="90"/>
      <c r="N28" s="90"/>
      <c r="O28" s="17"/>
      <c r="P28" s="17"/>
      <c r="Q28" s="17"/>
      <c r="R28" s="17"/>
      <c r="S28" s="17"/>
      <c r="T28" s="17"/>
      <c r="U28" s="17"/>
      <c r="V28" s="17"/>
      <c r="W28" s="17"/>
      <c r="X28" s="17"/>
      <c r="Y28" s="17"/>
      <c r="Z28" s="17"/>
      <c r="AA28" s="17"/>
      <c r="AB28" s="90"/>
    </row>
    <row r="29" spans="1:28" ht="1.9" customHeight="1" x14ac:dyDescent="0.25">
      <c r="A29" s="90"/>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90"/>
    </row>
    <row r="30" spans="1:28" ht="1.9"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row>
    <row r="31" spans="1:28" x14ac:dyDescent="0.25">
      <c r="A31" s="90"/>
      <c r="B31" s="97" t="s">
        <v>520</v>
      </c>
      <c r="C31" s="90"/>
      <c r="D31" s="90"/>
      <c r="E31" s="90"/>
      <c r="F31" s="90"/>
      <c r="G31" s="90"/>
      <c r="H31" s="19">
        <v>12</v>
      </c>
      <c r="I31" s="98" t="s">
        <v>521</v>
      </c>
      <c r="J31" s="19">
        <v>14</v>
      </c>
      <c r="K31" s="89" t="s">
        <v>522</v>
      </c>
      <c r="L31" s="90"/>
      <c r="M31" s="90"/>
      <c r="N31" s="90"/>
      <c r="O31" s="90"/>
      <c r="P31" s="831" t="s">
        <v>523</v>
      </c>
      <c r="Q31" s="831"/>
      <c r="R31" s="831"/>
      <c r="S31" s="19"/>
      <c r="T31" s="90"/>
      <c r="U31" s="831" t="s">
        <v>524</v>
      </c>
      <c r="V31" s="831"/>
      <c r="W31" s="831"/>
      <c r="X31" s="90"/>
      <c r="Y31" s="831" t="s">
        <v>525</v>
      </c>
      <c r="Z31" s="831"/>
      <c r="AA31" s="831"/>
      <c r="AB31" s="90"/>
    </row>
    <row r="32" spans="1:28" x14ac:dyDescent="0.25">
      <c r="A32" s="90"/>
      <c r="B32" s="849" t="s">
        <v>526</v>
      </c>
      <c r="C32" s="849"/>
      <c r="D32" s="849"/>
      <c r="E32" s="849"/>
      <c r="F32" s="849"/>
      <c r="G32" s="849"/>
      <c r="H32" s="849"/>
      <c r="I32" s="849"/>
      <c r="J32" s="849"/>
      <c r="K32" s="849"/>
      <c r="L32" s="849"/>
      <c r="M32" s="849"/>
      <c r="N32" s="849"/>
      <c r="O32" s="99"/>
      <c r="P32" s="850" t="s">
        <v>527</v>
      </c>
      <c r="Q32" s="850"/>
      <c r="R32" s="850"/>
      <c r="S32" s="100"/>
      <c r="T32" s="90"/>
      <c r="U32" s="851" t="s">
        <v>527</v>
      </c>
      <c r="V32" s="851"/>
      <c r="W32" s="851"/>
      <c r="X32" s="90"/>
      <c r="Y32" s="851" t="s">
        <v>527</v>
      </c>
      <c r="Z32" s="851"/>
      <c r="AA32" s="851"/>
      <c r="AB32" s="90"/>
    </row>
    <row r="33" spans="1:28" x14ac:dyDescent="0.25">
      <c r="A33" s="90"/>
      <c r="B33" s="849"/>
      <c r="C33" s="849"/>
      <c r="D33" s="849"/>
      <c r="E33" s="849"/>
      <c r="F33" s="849"/>
      <c r="G33" s="849"/>
      <c r="H33" s="849"/>
      <c r="I33" s="849"/>
      <c r="J33" s="849"/>
      <c r="K33" s="849"/>
      <c r="L33" s="849"/>
      <c r="M33" s="849"/>
      <c r="N33" s="849"/>
      <c r="O33" s="90"/>
      <c r="P33" s="90"/>
      <c r="Q33" s="90"/>
      <c r="R33" s="90"/>
      <c r="S33" s="90"/>
      <c r="T33" s="90"/>
      <c r="U33" s="90"/>
      <c r="V33" s="90"/>
      <c r="W33" s="90"/>
      <c r="X33" s="90"/>
      <c r="Y33" s="90"/>
      <c r="Z33" s="90"/>
      <c r="AA33" s="90"/>
      <c r="AB33" s="90"/>
    </row>
    <row r="34" spans="1:28" ht="1.9" customHeight="1" x14ac:dyDescent="0.25">
      <c r="A34" s="90"/>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90"/>
    </row>
    <row r="35" spans="1:28" ht="3"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row>
    <row r="36" spans="1:28" ht="14.45" customHeight="1" x14ac:dyDescent="0.25">
      <c r="A36" s="90"/>
      <c r="B36" s="852" t="s">
        <v>528</v>
      </c>
      <c r="C36" s="852"/>
      <c r="D36" s="852"/>
      <c r="E36" s="852"/>
      <c r="F36" s="852"/>
      <c r="G36" s="852"/>
      <c r="H36" s="852"/>
      <c r="I36" s="852"/>
      <c r="J36" s="852"/>
      <c r="K36" s="852"/>
      <c r="L36" s="852"/>
      <c r="M36" s="852"/>
      <c r="N36" s="852"/>
      <c r="O36" s="852"/>
      <c r="P36" s="852"/>
      <c r="Q36" s="852"/>
      <c r="R36" s="852"/>
      <c r="S36" s="101"/>
      <c r="T36" s="17" t="s">
        <v>529</v>
      </c>
      <c r="U36" s="17"/>
      <c r="V36" s="17"/>
      <c r="W36" s="17"/>
      <c r="X36" s="17"/>
      <c r="Y36" s="17"/>
      <c r="Z36" s="17"/>
      <c r="AA36" s="17"/>
      <c r="AB36" s="90"/>
    </row>
    <row r="37" spans="1:28" ht="19.899999999999999" customHeight="1" x14ac:dyDescent="0.25">
      <c r="A37" s="90"/>
      <c r="B37" s="852"/>
      <c r="C37" s="852"/>
      <c r="D37" s="852"/>
      <c r="E37" s="852"/>
      <c r="F37" s="852"/>
      <c r="G37" s="852"/>
      <c r="H37" s="852"/>
      <c r="I37" s="852"/>
      <c r="J37" s="852"/>
      <c r="K37" s="852"/>
      <c r="L37" s="852"/>
      <c r="M37" s="852"/>
      <c r="N37" s="852"/>
      <c r="O37" s="852"/>
      <c r="P37" s="852"/>
      <c r="Q37" s="852"/>
      <c r="R37" s="852"/>
      <c r="S37" s="101"/>
      <c r="T37" s="831"/>
      <c r="U37" s="831"/>
      <c r="V37" s="831"/>
      <c r="W37" s="831"/>
      <c r="X37" s="831"/>
      <c r="Y37" s="831"/>
      <c r="Z37" s="831"/>
      <c r="AA37" s="831"/>
      <c r="AB37" s="90"/>
    </row>
    <row r="38" spans="1:28" ht="5.45" customHeight="1" thickBot="1" x14ac:dyDescent="0.3">
      <c r="A38" s="90"/>
      <c r="B38" s="101"/>
      <c r="C38" s="101"/>
      <c r="D38" s="101"/>
      <c r="E38" s="101"/>
      <c r="F38" s="101"/>
      <c r="G38" s="101"/>
      <c r="H38" s="101"/>
      <c r="I38" s="101"/>
      <c r="J38" s="101"/>
      <c r="K38" s="101"/>
      <c r="L38" s="101"/>
      <c r="M38" s="101"/>
      <c r="N38" s="101"/>
      <c r="O38" s="101"/>
      <c r="P38" s="101"/>
      <c r="Q38" s="101"/>
      <c r="R38" s="101"/>
      <c r="S38" s="101"/>
      <c r="T38" s="831"/>
      <c r="U38" s="831"/>
      <c r="V38" s="831"/>
      <c r="W38" s="831"/>
      <c r="X38" s="831"/>
      <c r="Y38" s="831"/>
      <c r="Z38" s="831"/>
      <c r="AA38" s="831"/>
      <c r="AB38" s="90"/>
    </row>
    <row r="39" spans="1:28" ht="15" customHeight="1" thickBot="1" x14ac:dyDescent="0.3">
      <c r="A39" s="90"/>
      <c r="B39" s="854" t="s">
        <v>530</v>
      </c>
      <c r="C39" s="855"/>
      <c r="D39" s="855"/>
      <c r="E39" s="855"/>
      <c r="F39" s="855"/>
      <c r="G39" s="855"/>
      <c r="H39" s="855"/>
      <c r="I39" s="855"/>
      <c r="J39" s="855"/>
      <c r="K39" s="855"/>
      <c r="L39" s="855"/>
      <c r="M39" s="855"/>
      <c r="N39" s="855"/>
      <c r="O39" s="855"/>
      <c r="P39" s="855"/>
      <c r="Q39" s="855"/>
      <c r="R39" s="856"/>
      <c r="S39" s="102"/>
      <c r="T39" s="853"/>
      <c r="U39" s="853"/>
      <c r="V39" s="853"/>
      <c r="W39" s="853"/>
      <c r="X39" s="853"/>
      <c r="Y39" s="853"/>
      <c r="Z39" s="853"/>
      <c r="AA39" s="853"/>
      <c r="AB39" s="90"/>
    </row>
    <row r="40" spans="1:28" ht="24" customHeight="1" x14ac:dyDescent="0.25">
      <c r="A40" s="90"/>
      <c r="B40" s="857"/>
      <c r="C40" s="858"/>
      <c r="D40" s="858"/>
      <c r="E40" s="858"/>
      <c r="F40" s="858"/>
      <c r="G40" s="858"/>
      <c r="H40" s="858"/>
      <c r="I40" s="858"/>
      <c r="J40" s="858"/>
      <c r="K40" s="858"/>
      <c r="L40" s="858"/>
      <c r="M40" s="858"/>
      <c r="N40" s="858"/>
      <c r="O40" s="858"/>
      <c r="P40" s="858"/>
      <c r="Q40" s="858"/>
      <c r="R40" s="859"/>
      <c r="S40" s="102"/>
      <c r="T40" s="863" t="s">
        <v>60</v>
      </c>
      <c r="U40" s="863"/>
      <c r="V40" s="863"/>
      <c r="W40" s="864"/>
      <c r="X40" s="864"/>
      <c r="Y40" s="864"/>
      <c r="Z40" s="864"/>
      <c r="AA40" s="864"/>
      <c r="AB40" s="90"/>
    </row>
    <row r="41" spans="1:28" ht="15.75" thickBot="1" x14ac:dyDescent="0.3">
      <c r="A41" s="90"/>
      <c r="B41" s="860"/>
      <c r="C41" s="861"/>
      <c r="D41" s="861"/>
      <c r="E41" s="861"/>
      <c r="F41" s="861"/>
      <c r="G41" s="861"/>
      <c r="H41" s="861"/>
      <c r="I41" s="861"/>
      <c r="J41" s="861"/>
      <c r="K41" s="861"/>
      <c r="L41" s="861"/>
      <c r="M41" s="861"/>
      <c r="N41" s="861"/>
      <c r="O41" s="861"/>
      <c r="P41" s="861"/>
      <c r="Q41" s="861"/>
      <c r="R41" s="862"/>
      <c r="S41" s="102"/>
      <c r="T41" s="90"/>
      <c r="U41" s="90"/>
      <c r="V41" s="90"/>
      <c r="W41" s="90"/>
      <c r="X41" s="90"/>
      <c r="Y41" s="90"/>
      <c r="Z41" s="90"/>
      <c r="AA41" s="90"/>
      <c r="AB41" s="90"/>
    </row>
  </sheetData>
  <mergeCells count="46">
    <mergeCell ref="B36:R37"/>
    <mergeCell ref="T37:AA39"/>
    <mergeCell ref="B39:R41"/>
    <mergeCell ref="T40:V40"/>
    <mergeCell ref="W40:AA40"/>
    <mergeCell ref="P31:R31"/>
    <mergeCell ref="U31:W31"/>
    <mergeCell ref="Y31:AA31"/>
    <mergeCell ref="B32:N33"/>
    <mergeCell ref="P32:R32"/>
    <mergeCell ref="U32:W32"/>
    <mergeCell ref="Y32:AA32"/>
    <mergeCell ref="E26:L26"/>
    <mergeCell ref="B8:D8"/>
    <mergeCell ref="F8:H8"/>
    <mergeCell ref="J8:N8"/>
    <mergeCell ref="P8:S8"/>
    <mergeCell ref="D17:M19"/>
    <mergeCell ref="R19:T19"/>
    <mergeCell ref="R21:T21"/>
    <mergeCell ref="R23:T23"/>
    <mergeCell ref="R25:T25"/>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7109375" defaultRowHeight="15" x14ac:dyDescent="0.25"/>
  <cols>
    <col min="1" max="1" width="2.7109375" customWidth="1"/>
    <col min="3" max="3" width="7.7109375" customWidth="1"/>
    <col min="5" max="5" width="3.140625" customWidth="1"/>
    <col min="6" max="6" width="8.42578125" customWidth="1"/>
    <col min="7" max="7" width="5.5703125" customWidth="1"/>
    <col min="8" max="8" width="6.28515625" customWidth="1"/>
    <col min="9" max="9" width="9.7109375" customWidth="1"/>
    <col min="10" max="10" width="11.28515625" customWidth="1"/>
    <col min="11" max="11" width="4.42578125" customWidth="1"/>
    <col min="12" max="12" width="33.140625" customWidth="1"/>
    <col min="13" max="13" width="2.28515625" customWidth="1"/>
    <col min="19" max="19" width="33.140625" customWidth="1"/>
    <col min="20" max="20" width="7.7109375" customWidth="1"/>
    <col min="21" max="21" width="9.28515625" customWidth="1"/>
    <col min="22" max="22" width="6.28515625" customWidth="1"/>
    <col min="23" max="23" width="14.5703125" customWidth="1"/>
  </cols>
  <sheetData>
    <row r="1" spans="1:23" x14ac:dyDescent="0.25">
      <c r="N1" s="17"/>
      <c r="O1" s="17"/>
      <c r="P1" s="17"/>
      <c r="Q1" s="17"/>
      <c r="R1" s="17"/>
      <c r="S1" s="17"/>
      <c r="T1" s="17"/>
      <c r="U1" s="17"/>
      <c r="V1" s="17"/>
      <c r="W1" s="17"/>
    </row>
    <row r="2" spans="1:23" ht="21" x14ac:dyDescent="0.35">
      <c r="I2" s="845" t="s">
        <v>531</v>
      </c>
      <c r="J2" s="845"/>
      <c r="K2" s="845"/>
      <c r="L2" s="845"/>
      <c r="M2" s="94"/>
      <c r="N2" s="17"/>
      <c r="O2" s="17"/>
      <c r="P2" s="17"/>
      <c r="Q2" s="17"/>
      <c r="R2" s="17"/>
      <c r="S2" s="17"/>
      <c r="T2" s="17"/>
      <c r="U2" s="17"/>
      <c r="V2" s="17"/>
      <c r="W2" s="17"/>
    </row>
    <row r="3" spans="1:23" x14ac:dyDescent="0.25">
      <c r="N3" s="17"/>
      <c r="O3" s="17"/>
      <c r="P3" s="17"/>
      <c r="Q3" s="17"/>
      <c r="R3" s="17"/>
      <c r="S3" s="17"/>
      <c r="T3" s="17"/>
      <c r="U3" s="17"/>
      <c r="V3" s="17"/>
      <c r="W3" s="17"/>
    </row>
    <row r="4" spans="1:23" x14ac:dyDescent="0.25">
      <c r="N4" s="17"/>
      <c r="O4" s="17"/>
      <c r="P4" s="17"/>
      <c r="Q4" s="17"/>
      <c r="R4" s="17"/>
      <c r="S4" s="17"/>
      <c r="T4" s="17"/>
      <c r="U4" s="17"/>
      <c r="V4" s="17"/>
      <c r="W4" s="17"/>
    </row>
    <row r="5" spans="1:23" ht="26.25" x14ac:dyDescent="0.4">
      <c r="B5" s="894" t="s">
        <v>532</v>
      </c>
      <c r="C5" s="894"/>
      <c r="D5" s="770"/>
      <c r="E5" s="770"/>
      <c r="F5" s="770"/>
      <c r="G5" s="770"/>
      <c r="I5" s="59" t="s">
        <v>60</v>
      </c>
      <c r="J5" s="895">
        <f ca="1">TODAY()</f>
        <v>44583</v>
      </c>
      <c r="K5" s="895"/>
      <c r="L5" s="874"/>
      <c r="M5" s="4"/>
      <c r="N5" s="896" t="s">
        <v>533</v>
      </c>
      <c r="O5" s="896"/>
      <c r="P5" s="896"/>
      <c r="Q5" s="896"/>
      <c r="R5" s="896"/>
      <c r="S5" s="896"/>
      <c r="T5" s="896"/>
      <c r="U5" s="896"/>
      <c r="V5" s="896"/>
      <c r="W5" s="896"/>
    </row>
    <row r="6" spans="1:23" x14ac:dyDescent="0.25">
      <c r="B6" s="770" t="s">
        <v>501</v>
      </c>
      <c r="C6" s="770"/>
      <c r="D6" s="770"/>
      <c r="E6" s="770"/>
      <c r="F6" s="770"/>
      <c r="G6" s="770"/>
      <c r="I6" s="770" t="s">
        <v>534</v>
      </c>
      <c r="J6" s="893"/>
      <c r="K6" s="893"/>
      <c r="L6" s="893"/>
      <c r="N6" s="17"/>
      <c r="O6" s="17"/>
      <c r="P6" s="17"/>
      <c r="Q6" s="17"/>
      <c r="R6" s="17"/>
      <c r="S6" s="17"/>
      <c r="T6" s="17"/>
      <c r="U6" s="17"/>
      <c r="V6" s="17"/>
      <c r="W6" s="17"/>
    </row>
    <row r="7" spans="1:23" x14ac:dyDescent="0.25">
      <c r="B7" s="770"/>
      <c r="C7" s="770"/>
      <c r="D7" s="770"/>
      <c r="E7" s="770"/>
      <c r="F7" s="770"/>
      <c r="G7" s="770"/>
      <c r="I7" s="770"/>
      <c r="J7" s="893"/>
      <c r="K7" s="893"/>
      <c r="L7" s="893"/>
      <c r="M7" s="142"/>
      <c r="N7" s="889" t="s">
        <v>535</v>
      </c>
      <c r="O7" s="889"/>
      <c r="P7" s="888" t="str">
        <f>IF(D5="","",D5)</f>
        <v/>
      </c>
      <c r="Q7" s="888"/>
      <c r="R7" s="17"/>
      <c r="S7" s="889" t="s">
        <v>501</v>
      </c>
      <c r="T7" s="889"/>
      <c r="U7" s="888" t="str">
        <f>IF(D6="","",D6)</f>
        <v/>
      </c>
      <c r="V7" s="888"/>
      <c r="W7" s="888"/>
    </row>
    <row r="8" spans="1:23" x14ac:dyDescent="0.25">
      <c r="N8" s="17"/>
      <c r="O8" s="17"/>
      <c r="P8" s="17"/>
      <c r="Q8" s="17"/>
      <c r="R8" s="17"/>
      <c r="S8" s="17"/>
      <c r="T8" s="17"/>
      <c r="U8" s="17"/>
      <c r="V8" s="17"/>
      <c r="W8" s="17"/>
    </row>
    <row r="9" spans="1:23" ht="21" x14ac:dyDescent="0.35">
      <c r="B9" s="143" t="s">
        <v>536</v>
      </c>
      <c r="N9" s="881" t="s">
        <v>537</v>
      </c>
      <c r="O9" s="881"/>
      <c r="P9" s="881"/>
      <c r="Q9" s="881"/>
      <c r="R9" s="881"/>
      <c r="S9" s="881"/>
      <c r="T9" s="881"/>
      <c r="U9" s="881"/>
      <c r="V9" s="881"/>
      <c r="W9" s="881"/>
    </row>
    <row r="10" spans="1:23" ht="15.75" x14ac:dyDescent="0.25">
      <c r="B10" s="144" t="s">
        <v>538</v>
      </c>
      <c r="N10" s="881"/>
      <c r="O10" s="881"/>
      <c r="P10" s="881"/>
      <c r="Q10" s="881"/>
      <c r="R10" s="881"/>
      <c r="S10" s="881"/>
      <c r="T10" s="881"/>
      <c r="U10" s="881"/>
      <c r="V10" s="881"/>
      <c r="W10" s="881"/>
    </row>
    <row r="11" spans="1:23" x14ac:dyDescent="0.25">
      <c r="N11" s="881"/>
      <c r="O11" s="881"/>
      <c r="P11" s="881"/>
      <c r="Q11" s="881"/>
      <c r="R11" s="881"/>
      <c r="S11" s="881"/>
      <c r="T11" s="881"/>
      <c r="U11" s="881"/>
      <c r="V11" s="881"/>
      <c r="W11" s="881"/>
    </row>
    <row r="12" spans="1:23" ht="15" customHeight="1" x14ac:dyDescent="0.25">
      <c r="B12" s="804" t="s">
        <v>539</v>
      </c>
      <c r="C12" s="805"/>
      <c r="D12" s="805"/>
      <c r="E12" s="805"/>
      <c r="F12" s="890"/>
      <c r="G12" s="145"/>
      <c r="H12" s="892" t="s">
        <v>540</v>
      </c>
      <c r="I12" s="892"/>
      <c r="J12" s="892"/>
      <c r="K12" s="892"/>
      <c r="L12" s="892"/>
      <c r="M12" s="146"/>
      <c r="N12" s="881"/>
      <c r="O12" s="881"/>
      <c r="P12" s="881"/>
      <c r="Q12" s="881"/>
      <c r="R12" s="881"/>
      <c r="S12" s="881"/>
      <c r="T12" s="881"/>
      <c r="U12" s="881"/>
      <c r="V12" s="881"/>
      <c r="W12" s="881"/>
    </row>
    <row r="13" spans="1:23" x14ac:dyDescent="0.25">
      <c r="B13" s="807"/>
      <c r="C13" s="808"/>
      <c r="D13" s="808"/>
      <c r="E13" s="808"/>
      <c r="F13" s="891"/>
      <c r="G13" s="145"/>
      <c r="H13" s="892"/>
      <c r="I13" s="892"/>
      <c r="J13" s="892"/>
      <c r="K13" s="892"/>
      <c r="L13" s="892"/>
      <c r="M13" s="146"/>
      <c r="N13" s="881"/>
      <c r="O13" s="881"/>
      <c r="P13" s="881"/>
      <c r="Q13" s="881"/>
      <c r="R13" s="881"/>
      <c r="S13" s="881"/>
      <c r="T13" s="881"/>
      <c r="U13" s="881"/>
      <c r="V13" s="881"/>
      <c r="W13" s="881"/>
    </row>
    <row r="14" spans="1:23" x14ac:dyDescent="0.25">
      <c r="N14" s="881"/>
      <c r="O14" s="881"/>
      <c r="P14" s="881"/>
      <c r="Q14" s="881"/>
      <c r="R14" s="881"/>
      <c r="S14" s="881"/>
      <c r="T14" s="881"/>
      <c r="U14" s="881"/>
      <c r="V14" s="881"/>
      <c r="W14" s="881"/>
    </row>
    <row r="15" spans="1:23" ht="15.75" x14ac:dyDescent="0.25">
      <c r="A15" s="144" t="s">
        <v>541</v>
      </c>
      <c r="N15" s="881"/>
      <c r="O15" s="881"/>
      <c r="P15" s="881"/>
      <c r="Q15" s="881"/>
      <c r="R15" s="881"/>
      <c r="S15" s="881"/>
      <c r="T15" s="881"/>
      <c r="U15" s="881"/>
      <c r="V15" s="881"/>
      <c r="W15" s="881"/>
    </row>
    <row r="16" spans="1:23" x14ac:dyDescent="0.25">
      <c r="N16" s="881"/>
      <c r="O16" s="881"/>
      <c r="P16" s="881"/>
      <c r="Q16" s="881"/>
      <c r="R16" s="881"/>
      <c r="S16" s="881"/>
      <c r="T16" s="881"/>
      <c r="U16" s="881"/>
      <c r="V16" s="881"/>
      <c r="W16" s="881"/>
    </row>
    <row r="17" spans="1:23" x14ac:dyDescent="0.25">
      <c r="N17" s="881"/>
      <c r="O17" s="881"/>
      <c r="P17" s="881"/>
      <c r="Q17" s="881"/>
      <c r="R17" s="881"/>
      <c r="S17" s="881"/>
      <c r="T17" s="881"/>
      <c r="U17" s="881"/>
      <c r="V17" s="881"/>
      <c r="W17" s="881"/>
    </row>
    <row r="18" spans="1:23" x14ac:dyDescent="0.25">
      <c r="N18" s="881"/>
      <c r="O18" s="881"/>
      <c r="P18" s="881"/>
      <c r="Q18" s="881"/>
      <c r="R18" s="881"/>
      <c r="S18" s="881"/>
      <c r="T18" s="881"/>
      <c r="U18" s="881"/>
      <c r="V18" s="881"/>
      <c r="W18" s="881"/>
    </row>
    <row r="19" spans="1:23" x14ac:dyDescent="0.25">
      <c r="N19" s="881"/>
      <c r="O19" s="881"/>
      <c r="P19" s="881"/>
      <c r="Q19" s="881"/>
      <c r="R19" s="881"/>
      <c r="S19" s="881"/>
      <c r="T19" s="881"/>
      <c r="U19" s="881"/>
      <c r="V19" s="881"/>
      <c r="W19" s="881"/>
    </row>
    <row r="20" spans="1:23" x14ac:dyDescent="0.25">
      <c r="N20" s="881"/>
      <c r="O20" s="881"/>
      <c r="P20" s="881"/>
      <c r="Q20" s="881"/>
      <c r="R20" s="881"/>
      <c r="S20" s="881"/>
      <c r="T20" s="881"/>
      <c r="U20" s="881"/>
      <c r="V20" s="881"/>
      <c r="W20" s="881"/>
    </row>
    <row r="21" spans="1:23" x14ac:dyDescent="0.25">
      <c r="A21" s="147"/>
      <c r="N21" s="881"/>
      <c r="O21" s="881"/>
      <c r="P21" s="881"/>
      <c r="Q21" s="881"/>
      <c r="R21" s="881"/>
      <c r="S21" s="881"/>
      <c r="T21" s="881"/>
      <c r="U21" s="881"/>
      <c r="V21" s="881"/>
      <c r="W21" s="881"/>
    </row>
    <row r="22" spans="1:23" x14ac:dyDescent="0.25">
      <c r="N22" s="881"/>
      <c r="O22" s="881"/>
      <c r="P22" s="881"/>
      <c r="Q22" s="881"/>
      <c r="R22" s="881"/>
      <c r="S22" s="881"/>
      <c r="T22" s="881"/>
      <c r="U22" s="881"/>
      <c r="V22" s="881"/>
      <c r="W22" s="881"/>
    </row>
    <row r="23" spans="1:23" ht="15" customHeight="1" x14ac:dyDescent="0.25">
      <c r="N23" s="881"/>
      <c r="O23" s="881"/>
      <c r="P23" s="881"/>
      <c r="Q23" s="881"/>
      <c r="R23" s="881"/>
      <c r="S23" s="881"/>
      <c r="T23" s="881"/>
      <c r="U23" s="881"/>
      <c r="V23" s="881"/>
      <c r="W23" s="881"/>
    </row>
    <row r="24" spans="1:23" x14ac:dyDescent="0.25">
      <c r="N24" s="881"/>
      <c r="O24" s="881"/>
      <c r="P24" s="881"/>
      <c r="Q24" s="881"/>
      <c r="R24" s="881"/>
      <c r="S24" s="881"/>
      <c r="T24" s="881"/>
      <c r="U24" s="881"/>
      <c r="V24" s="881"/>
      <c r="W24" s="881"/>
    </row>
    <row r="25" spans="1:23" x14ac:dyDescent="0.25">
      <c r="N25" s="881"/>
      <c r="O25" s="881"/>
      <c r="P25" s="881"/>
      <c r="Q25" s="881"/>
      <c r="R25" s="881"/>
      <c r="S25" s="881"/>
      <c r="T25" s="881"/>
      <c r="U25" s="881"/>
      <c r="V25" s="881"/>
      <c r="W25" s="881"/>
    </row>
    <row r="26" spans="1:23" ht="15.75" x14ac:dyDescent="0.25">
      <c r="A26" s="144" t="s">
        <v>542</v>
      </c>
      <c r="N26" s="880" t="s">
        <v>543</v>
      </c>
      <c r="O26" s="880"/>
      <c r="P26" s="880"/>
      <c r="Q26" s="880"/>
      <c r="R26" s="880"/>
      <c r="S26" s="880"/>
      <c r="T26" s="880"/>
      <c r="U26" s="880"/>
      <c r="V26" s="880"/>
      <c r="W26" s="880"/>
    </row>
    <row r="27" spans="1:23" x14ac:dyDescent="0.25">
      <c r="N27" s="880"/>
      <c r="O27" s="880"/>
      <c r="P27" s="880"/>
      <c r="Q27" s="880"/>
      <c r="R27" s="880"/>
      <c r="S27" s="880"/>
      <c r="T27" s="880"/>
      <c r="U27" s="880"/>
      <c r="V27" s="880"/>
      <c r="W27" s="880"/>
    </row>
    <row r="28" spans="1:23" x14ac:dyDescent="0.25">
      <c r="M28" s="4"/>
      <c r="N28" s="880"/>
      <c r="O28" s="880"/>
      <c r="P28" s="880"/>
      <c r="Q28" s="880"/>
      <c r="R28" s="880"/>
      <c r="S28" s="880"/>
      <c r="T28" s="880"/>
      <c r="U28" s="880"/>
      <c r="V28" s="880"/>
      <c r="W28" s="880"/>
    </row>
    <row r="29" spans="1:23" x14ac:dyDescent="0.25">
      <c r="N29" s="880"/>
      <c r="O29" s="880"/>
      <c r="P29" s="880"/>
      <c r="Q29" s="880"/>
      <c r="R29" s="880"/>
      <c r="S29" s="880"/>
      <c r="T29" s="880"/>
      <c r="U29" s="880"/>
      <c r="V29" s="880"/>
      <c r="W29" s="880"/>
    </row>
    <row r="30" spans="1:23" x14ac:dyDescent="0.25">
      <c r="N30" s="880"/>
      <c r="O30" s="880"/>
      <c r="P30" s="880"/>
      <c r="Q30" s="880"/>
      <c r="R30" s="880"/>
      <c r="S30" s="880"/>
      <c r="T30" s="880"/>
      <c r="U30" s="880"/>
      <c r="V30" s="880"/>
      <c r="W30" s="880"/>
    </row>
    <row r="31" spans="1:23" x14ac:dyDescent="0.25">
      <c r="N31" s="880"/>
      <c r="O31" s="880"/>
      <c r="P31" s="880"/>
      <c r="Q31" s="880"/>
      <c r="R31" s="880"/>
      <c r="S31" s="880"/>
      <c r="T31" s="880"/>
      <c r="U31" s="880"/>
      <c r="V31" s="880"/>
      <c r="W31" s="880"/>
    </row>
    <row r="32" spans="1:23" x14ac:dyDescent="0.25">
      <c r="N32" s="880"/>
      <c r="O32" s="880"/>
      <c r="P32" s="880"/>
      <c r="Q32" s="880"/>
      <c r="R32" s="880"/>
      <c r="S32" s="880"/>
      <c r="T32" s="880"/>
      <c r="U32" s="880"/>
      <c r="V32" s="880"/>
      <c r="W32" s="880"/>
    </row>
    <row r="33" spans="1:23" x14ac:dyDescent="0.25">
      <c r="N33" s="880"/>
      <c r="O33" s="880"/>
      <c r="P33" s="880"/>
      <c r="Q33" s="880"/>
      <c r="R33" s="880"/>
      <c r="S33" s="880"/>
      <c r="T33" s="880"/>
      <c r="U33" s="880"/>
      <c r="V33" s="880"/>
      <c r="W33" s="880"/>
    </row>
    <row r="34" spans="1:23" x14ac:dyDescent="0.25">
      <c r="N34" s="880"/>
      <c r="O34" s="880"/>
      <c r="P34" s="880"/>
      <c r="Q34" s="880"/>
      <c r="R34" s="880"/>
      <c r="S34" s="880"/>
      <c r="T34" s="880"/>
      <c r="U34" s="880"/>
      <c r="V34" s="880"/>
      <c r="W34" s="880"/>
    </row>
    <row r="35" spans="1:23" x14ac:dyDescent="0.25">
      <c r="A35" s="7"/>
      <c r="B35" s="7"/>
      <c r="C35" s="7"/>
      <c r="D35" s="7"/>
      <c r="E35" s="7"/>
      <c r="F35" s="7"/>
      <c r="G35" s="148"/>
      <c r="H35" s="148"/>
      <c r="I35" s="148"/>
      <c r="J35" s="35"/>
      <c r="K35" s="35"/>
      <c r="L35" s="4"/>
      <c r="M35" s="4"/>
      <c r="N35" s="880"/>
      <c r="O35" s="880"/>
      <c r="P35" s="880"/>
      <c r="Q35" s="880"/>
      <c r="R35" s="880"/>
      <c r="S35" s="880"/>
      <c r="T35" s="880"/>
      <c r="U35" s="880"/>
      <c r="V35" s="880"/>
      <c r="W35" s="880"/>
    </row>
    <row r="36" spans="1:23" x14ac:dyDescent="0.25">
      <c r="N36" s="880"/>
      <c r="O36" s="880"/>
      <c r="P36" s="880"/>
      <c r="Q36" s="880"/>
      <c r="R36" s="880"/>
      <c r="S36" s="880"/>
      <c r="T36" s="880"/>
      <c r="U36" s="880"/>
      <c r="V36" s="880"/>
      <c r="W36" s="880"/>
    </row>
    <row r="37" spans="1:23" x14ac:dyDescent="0.25">
      <c r="A37" s="603" t="s">
        <v>544</v>
      </c>
      <c r="B37" s="603"/>
      <c r="C37" s="603"/>
      <c r="D37" s="603"/>
      <c r="E37" s="603"/>
      <c r="F37" s="603"/>
      <c r="G37" s="603"/>
      <c r="H37" s="603"/>
      <c r="I37" s="603"/>
      <c r="J37" s="603"/>
      <c r="K37" s="603"/>
      <c r="L37" s="603"/>
      <c r="N37" s="880"/>
      <c r="O37" s="880"/>
      <c r="P37" s="880"/>
      <c r="Q37" s="880"/>
      <c r="R37" s="880"/>
      <c r="S37" s="880"/>
      <c r="T37" s="880"/>
      <c r="U37" s="880"/>
      <c r="V37" s="880"/>
      <c r="W37" s="880"/>
    </row>
    <row r="38" spans="1:23" x14ac:dyDescent="0.25">
      <c r="N38" s="881" t="s">
        <v>545</v>
      </c>
      <c r="O38" s="881"/>
      <c r="P38" s="881"/>
      <c r="Q38" s="881"/>
      <c r="R38" s="881"/>
      <c r="S38" s="881"/>
      <c r="T38" s="881"/>
      <c r="U38" s="881"/>
      <c r="V38" s="881"/>
      <c r="W38" s="881"/>
    </row>
    <row r="39" spans="1:23" x14ac:dyDescent="0.25">
      <c r="A39" s="882" t="s">
        <v>546</v>
      </c>
      <c r="B39" s="882"/>
      <c r="N39" s="881"/>
      <c r="O39" s="881"/>
      <c r="P39" s="881"/>
      <c r="Q39" s="881"/>
      <c r="R39" s="881"/>
      <c r="S39" s="881"/>
      <c r="T39" s="881"/>
      <c r="U39" s="881"/>
      <c r="V39" s="881"/>
      <c r="W39" s="881"/>
    </row>
    <row r="40" spans="1:23" ht="15" customHeight="1" x14ac:dyDescent="0.25">
      <c r="A40" s="149"/>
      <c r="B40" s="149"/>
      <c r="C40" s="149"/>
      <c r="D40" s="150"/>
      <c r="E40" s="150"/>
      <c r="F40" s="150"/>
      <c r="G40" s="150"/>
      <c r="H40" s="150"/>
      <c r="I40" s="150"/>
      <c r="J40" s="151"/>
      <c r="K40" s="151"/>
      <c r="M40" s="4"/>
      <c r="N40" s="881"/>
      <c r="O40" s="881"/>
      <c r="P40" s="881"/>
      <c r="Q40" s="881"/>
      <c r="R40" s="881"/>
      <c r="S40" s="881"/>
      <c r="T40" s="881"/>
      <c r="U40" s="881"/>
      <c r="V40" s="881"/>
      <c r="W40" s="881"/>
    </row>
    <row r="41" spans="1:23" x14ac:dyDescent="0.25">
      <c r="A41" s="149"/>
      <c r="B41" s="149"/>
      <c r="C41" s="149"/>
      <c r="D41" s="150"/>
      <c r="E41" s="150"/>
      <c r="F41" s="150"/>
      <c r="G41" s="150"/>
      <c r="H41" s="150"/>
      <c r="I41" s="150"/>
      <c r="J41" s="151"/>
      <c r="K41" s="151"/>
      <c r="M41" s="4"/>
      <c r="N41" s="881"/>
      <c r="O41" s="881"/>
      <c r="P41" s="881"/>
      <c r="Q41" s="881"/>
      <c r="R41" s="881"/>
      <c r="S41" s="881"/>
      <c r="T41" s="881"/>
      <c r="U41" s="881"/>
      <c r="V41" s="881"/>
      <c r="W41" s="881"/>
    </row>
    <row r="42" spans="1:23" ht="15" customHeight="1" x14ac:dyDescent="0.25">
      <c r="A42" s="150"/>
      <c r="B42" s="150"/>
      <c r="C42" s="150"/>
      <c r="D42" s="150"/>
      <c r="E42" s="150"/>
      <c r="F42" s="150"/>
      <c r="G42" s="150"/>
      <c r="H42" s="150"/>
      <c r="I42" s="150"/>
      <c r="J42" s="149"/>
      <c r="K42" s="149"/>
      <c r="M42" s="4"/>
      <c r="N42" s="881"/>
      <c r="O42" s="881"/>
      <c r="P42" s="881"/>
      <c r="Q42" s="881"/>
      <c r="R42" s="881"/>
      <c r="S42" s="881"/>
      <c r="T42" s="881"/>
      <c r="U42" s="881"/>
      <c r="V42" s="881"/>
      <c r="W42" s="881"/>
    </row>
    <row r="43" spans="1:23" x14ac:dyDescent="0.25">
      <c r="A43" s="150"/>
      <c r="B43" s="150"/>
      <c r="C43" s="150"/>
      <c r="D43" s="150"/>
      <c r="E43" s="150"/>
      <c r="F43" s="150"/>
      <c r="G43" s="150"/>
      <c r="H43" s="150"/>
      <c r="I43" s="150"/>
      <c r="J43" s="149"/>
      <c r="K43" s="149"/>
      <c r="M43" s="4"/>
      <c r="N43" s="881"/>
      <c r="O43" s="881"/>
      <c r="P43" s="881"/>
      <c r="Q43" s="881"/>
      <c r="R43" s="881"/>
      <c r="S43" s="881"/>
      <c r="T43" s="881"/>
      <c r="U43" s="881"/>
      <c r="V43" s="881"/>
      <c r="W43" s="881"/>
    </row>
    <row r="44" spans="1:23" x14ac:dyDescent="0.25">
      <c r="N44" s="881"/>
      <c r="O44" s="881"/>
      <c r="P44" s="881"/>
      <c r="Q44" s="881"/>
      <c r="R44" s="881"/>
      <c r="S44" s="881"/>
      <c r="T44" s="881"/>
      <c r="U44" s="881"/>
      <c r="V44" s="881"/>
      <c r="W44" s="881"/>
    </row>
    <row r="45" spans="1:23" x14ac:dyDescent="0.25">
      <c r="A45" s="147" t="s">
        <v>547</v>
      </c>
      <c r="N45" s="881"/>
      <c r="O45" s="881"/>
      <c r="P45" s="881"/>
      <c r="Q45" s="881"/>
      <c r="R45" s="881"/>
      <c r="S45" s="881"/>
      <c r="T45" s="881"/>
      <c r="U45" s="881"/>
      <c r="V45" s="881"/>
      <c r="W45" s="881"/>
    </row>
    <row r="46" spans="1:23" x14ac:dyDescent="0.25">
      <c r="A46" s="34"/>
      <c r="B46" s="875" t="s">
        <v>548</v>
      </c>
      <c r="C46" s="883"/>
      <c r="D46" s="876"/>
      <c r="E46" s="607" t="s">
        <v>8</v>
      </c>
      <c r="F46" s="607"/>
      <c r="G46" s="607" t="s">
        <v>9</v>
      </c>
      <c r="H46" s="607"/>
      <c r="I46" s="607" t="s">
        <v>549</v>
      </c>
      <c r="J46" s="607"/>
      <c r="K46" s="607"/>
      <c r="L46" s="607"/>
      <c r="M46" s="4"/>
      <c r="N46" s="687" t="s">
        <v>550</v>
      </c>
      <c r="O46" s="688"/>
      <c r="P46" s="688"/>
      <c r="Q46" s="688"/>
      <c r="R46" s="688"/>
      <c r="S46" s="689"/>
      <c r="T46" s="886" t="s">
        <v>551</v>
      </c>
      <c r="U46" s="886"/>
      <c r="V46" s="886"/>
      <c r="W46" s="887"/>
    </row>
    <row r="47" spans="1:23" x14ac:dyDescent="0.25">
      <c r="A47" s="867">
        <v>1</v>
      </c>
      <c r="B47" s="869"/>
      <c r="C47" s="870"/>
      <c r="D47" s="871"/>
      <c r="E47" s="869"/>
      <c r="F47" s="871"/>
      <c r="G47" s="869"/>
      <c r="H47" s="871"/>
      <c r="I47" s="874"/>
      <c r="J47" s="874"/>
      <c r="K47" s="874"/>
      <c r="L47" s="874"/>
      <c r="M47" s="4"/>
      <c r="N47" s="884"/>
      <c r="O47" s="833"/>
      <c r="P47" s="833"/>
      <c r="Q47" s="833"/>
      <c r="R47" s="833"/>
      <c r="S47" s="885"/>
      <c r="T47" s="866" t="s">
        <v>552</v>
      </c>
      <c r="U47" s="877"/>
      <c r="V47" s="875"/>
      <c r="W47" s="876"/>
    </row>
    <row r="48" spans="1:23" x14ac:dyDescent="0.25">
      <c r="A48" s="868"/>
      <c r="B48" s="872"/>
      <c r="C48" s="865"/>
      <c r="D48" s="873"/>
      <c r="E48" s="872"/>
      <c r="F48" s="873"/>
      <c r="G48" s="872"/>
      <c r="H48" s="873"/>
      <c r="I48" s="874"/>
      <c r="J48" s="874"/>
      <c r="K48" s="874"/>
      <c r="L48" s="874"/>
      <c r="M48" s="4"/>
      <c r="N48" s="884"/>
      <c r="O48" s="833"/>
      <c r="P48" s="833"/>
      <c r="Q48" s="833"/>
      <c r="R48" s="833"/>
      <c r="S48" s="885"/>
      <c r="T48" s="866" t="s">
        <v>553</v>
      </c>
      <c r="U48" s="877"/>
      <c r="V48" s="875"/>
      <c r="W48" s="876"/>
    </row>
    <row r="49" spans="1:23" x14ac:dyDescent="0.25">
      <c r="A49" s="867">
        <v>2</v>
      </c>
      <c r="B49" s="869"/>
      <c r="C49" s="870"/>
      <c r="D49" s="871"/>
      <c r="E49" s="869"/>
      <c r="F49" s="871"/>
      <c r="G49" s="869"/>
      <c r="H49" s="871"/>
      <c r="I49" s="874"/>
      <c r="J49" s="874"/>
      <c r="K49" s="874"/>
      <c r="L49" s="874"/>
      <c r="M49" s="4"/>
      <c r="N49" s="884"/>
      <c r="O49" s="833"/>
      <c r="P49" s="833"/>
      <c r="Q49" s="833"/>
      <c r="R49" s="833"/>
      <c r="S49" s="885"/>
      <c r="T49" s="866" t="s">
        <v>554</v>
      </c>
      <c r="U49" s="877"/>
      <c r="V49" s="878"/>
      <c r="W49" s="879"/>
    </row>
    <row r="50" spans="1:23" x14ac:dyDescent="0.25">
      <c r="A50" s="868"/>
      <c r="B50" s="872"/>
      <c r="C50" s="865"/>
      <c r="D50" s="873"/>
      <c r="E50" s="872"/>
      <c r="F50" s="873"/>
      <c r="G50" s="872"/>
      <c r="H50" s="873"/>
      <c r="I50" s="874"/>
      <c r="J50" s="874"/>
      <c r="K50" s="874"/>
      <c r="L50" s="874"/>
      <c r="M50" s="4"/>
      <c r="N50" s="884"/>
      <c r="O50" s="833"/>
      <c r="P50" s="833"/>
      <c r="Q50" s="833"/>
      <c r="R50" s="833"/>
      <c r="S50" s="885"/>
      <c r="T50" s="866" t="s">
        <v>555</v>
      </c>
      <c r="U50" s="866"/>
      <c r="V50" s="607"/>
      <c r="W50" s="607"/>
    </row>
    <row r="51" spans="1:23" x14ac:dyDescent="0.25">
      <c r="A51" s="867">
        <v>3</v>
      </c>
      <c r="B51" s="869"/>
      <c r="C51" s="870"/>
      <c r="D51" s="871"/>
      <c r="E51" s="869"/>
      <c r="F51" s="871"/>
      <c r="G51" s="869"/>
      <c r="H51" s="871"/>
      <c r="I51" s="874"/>
      <c r="J51" s="874"/>
      <c r="K51" s="874"/>
      <c r="L51" s="874"/>
      <c r="M51" s="4"/>
      <c r="N51" s="884"/>
      <c r="O51" s="833"/>
      <c r="P51" s="833"/>
      <c r="Q51" s="833"/>
      <c r="R51" s="833"/>
      <c r="S51" s="885"/>
      <c r="T51" s="90" t="s">
        <v>556</v>
      </c>
      <c r="U51" s="90"/>
      <c r="V51" s="875"/>
      <c r="W51" s="876"/>
    </row>
    <row r="52" spans="1:23" x14ac:dyDescent="0.25">
      <c r="A52" s="868"/>
      <c r="B52" s="872"/>
      <c r="C52" s="865"/>
      <c r="D52" s="873"/>
      <c r="E52" s="872"/>
      <c r="F52" s="873"/>
      <c r="G52" s="872"/>
      <c r="H52" s="873"/>
      <c r="I52" s="874"/>
      <c r="J52" s="874"/>
      <c r="K52" s="874"/>
      <c r="L52" s="874"/>
      <c r="M52" s="4"/>
      <c r="N52" s="884"/>
      <c r="O52" s="833"/>
      <c r="P52" s="833"/>
      <c r="Q52" s="833"/>
      <c r="R52" s="833"/>
      <c r="S52" s="885"/>
      <c r="T52" s="90"/>
      <c r="U52" s="90"/>
      <c r="V52" s="90"/>
      <c r="W52" s="139"/>
    </row>
    <row r="53" spans="1:23" x14ac:dyDescent="0.25">
      <c r="N53" s="884"/>
      <c r="O53" s="833"/>
      <c r="P53" s="833"/>
      <c r="Q53" s="833"/>
      <c r="R53" s="833"/>
      <c r="S53" s="885"/>
      <c r="T53" s="90"/>
      <c r="U53" s="90"/>
      <c r="V53" s="90"/>
      <c r="W53" s="139"/>
    </row>
    <row r="54" spans="1:23" x14ac:dyDescent="0.25">
      <c r="A54" t="s">
        <v>557</v>
      </c>
      <c r="N54" s="884"/>
      <c r="O54" s="833"/>
      <c r="P54" s="833"/>
      <c r="Q54" s="833"/>
      <c r="R54" s="833"/>
      <c r="S54" s="885"/>
      <c r="T54" s="90"/>
      <c r="U54" s="90"/>
      <c r="V54" s="90"/>
      <c r="W54" s="139"/>
    </row>
    <row r="55" spans="1:23" x14ac:dyDescent="0.25">
      <c r="A55" t="s">
        <v>558</v>
      </c>
      <c r="N55" s="884"/>
      <c r="O55" s="833"/>
      <c r="P55" s="833"/>
      <c r="Q55" s="833"/>
      <c r="R55" s="833"/>
      <c r="S55" s="885"/>
      <c r="T55" s="90"/>
      <c r="U55" s="90"/>
      <c r="V55" s="90"/>
      <c r="W55" s="139"/>
    </row>
    <row r="56" spans="1:23" x14ac:dyDescent="0.25">
      <c r="N56" s="672"/>
      <c r="O56" s="675"/>
      <c r="P56" s="675"/>
      <c r="Q56" s="675"/>
      <c r="R56" s="675"/>
      <c r="S56" s="673"/>
      <c r="T56" s="152"/>
      <c r="U56" s="152"/>
      <c r="V56" s="152"/>
      <c r="W56" s="153"/>
    </row>
    <row r="57" spans="1:23" x14ac:dyDescent="0.25">
      <c r="A57" s="603" t="s">
        <v>559</v>
      </c>
      <c r="B57" s="603"/>
      <c r="C57" s="865"/>
      <c r="D57" s="865"/>
      <c r="E57" s="865"/>
      <c r="F57" s="865"/>
      <c r="G57" s="865"/>
      <c r="J57" s="4" t="s">
        <v>60</v>
      </c>
      <c r="K57" s="154"/>
      <c r="L57" s="154"/>
    </row>
  </sheetData>
  <mergeCells count="52">
    <mergeCell ref="I2:L2"/>
    <mergeCell ref="B5:C5"/>
    <mergeCell ref="D5:G5"/>
    <mergeCell ref="J5:L5"/>
    <mergeCell ref="N5:W5"/>
    <mergeCell ref="P7:Q7"/>
    <mergeCell ref="S7:T7"/>
    <mergeCell ref="U7:W7"/>
    <mergeCell ref="N9:W25"/>
    <mergeCell ref="B12:F13"/>
    <mergeCell ref="H12:L13"/>
    <mergeCell ref="B6:C7"/>
    <mergeCell ref="D6:G7"/>
    <mergeCell ref="I6:I7"/>
    <mergeCell ref="J6:L7"/>
    <mergeCell ref="N7:O7"/>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A47:A48"/>
    <mergeCell ref="B47:D48"/>
    <mergeCell ref="E47:F48"/>
    <mergeCell ref="G47:H48"/>
    <mergeCell ref="I47:L48"/>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13" ma:contentTypeDescription="Create a new document." ma:contentTypeScope="" ma:versionID="23fd4d4803728b06879edb92c2a9a4cd">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ca553ae3b1956363c9c55374c8668603"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9DB3A6-8DF1-47D9-8838-1F391854C19E}">
  <ds:schemaRefs>
    <ds:schemaRef ds:uri="http://schemas.microsoft.com/sharepoint/v3/contenttype/forms"/>
  </ds:schemaRefs>
</ds:datastoreItem>
</file>

<file path=customXml/itemProps2.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http://schemas.microsoft.com/office/infopath/2007/PartnerControls"/>
  </ds:schemaRefs>
</ds:datastoreItem>
</file>

<file path=customXml/itemProps3.xml><?xml version="1.0" encoding="utf-8"?>
<ds:datastoreItem xmlns:ds="http://schemas.openxmlformats.org/officeDocument/2006/customXml" ds:itemID="{6B9CA5C9-ED61-445A-A802-48FD2A8696ED}">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414</vt:i4>
      </vt:variant>
    </vt:vector>
  </HeadingPairs>
  <TitlesOfParts>
    <vt:vector size="424" baseType="lpstr">
      <vt:lpstr>Pricing</vt:lpstr>
      <vt:lpstr>Pro Quote</vt:lpstr>
      <vt:lpstr>Technical</vt:lpstr>
      <vt:lpstr>Job Sheet</vt:lpstr>
      <vt:lpstr>Antigua</vt:lpstr>
      <vt:lpstr>Bermuda</vt:lpstr>
      <vt:lpstr>Cuba</vt:lpstr>
      <vt:lpstr>Java</vt:lpstr>
      <vt:lpstr>Fiji</vt:lpstr>
      <vt:lpstr>Samoa</vt:lpstr>
      <vt:lpstr>AdjustableHinge</vt:lpstr>
      <vt:lpstr>Antigua!Alouvre</vt:lpstr>
      <vt:lpstr>Bermuda!Alouvre</vt:lpstr>
      <vt:lpstr>'CS2'!Alouvre</vt:lpstr>
      <vt:lpstr>Cuba!Alouvre</vt:lpstr>
      <vt:lpstr>Drawing!Alouvre</vt:lpstr>
      <vt:lpstr>Fiji!Alouvre</vt:lpstr>
      <vt:lpstr>Java!Alouvre</vt:lpstr>
      <vt:lpstr>Matrix!Alouvre</vt:lpstr>
      <vt:lpstr>Matrix2!Alouvre</vt:lpstr>
      <vt:lpstr>Pricing!Alouvre</vt:lpstr>
      <vt:lpstr>'Pro Quote'!Alouvre</vt:lpstr>
      <vt:lpstr>Samoa!Alouvre</vt:lpstr>
      <vt:lpstr>'Survey Front'!Alouvre</vt:lpstr>
      <vt:lpstr>Technical!Alouvre</vt:lpstr>
      <vt:lpstr>Alouvre</vt:lpstr>
      <vt:lpstr>Bermuda!Antigua</vt:lpstr>
      <vt:lpstr>Cuba!Antigua</vt:lpstr>
      <vt:lpstr>Fiji!Antigua</vt:lpstr>
      <vt:lpstr>Java!Antigua</vt:lpstr>
      <vt:lpstr>Pricing!Antigua</vt:lpstr>
      <vt:lpstr>Samoa!Antigua</vt:lpstr>
      <vt:lpstr>Antigua</vt:lpstr>
      <vt:lpstr>Pricing!AntiguaH</vt:lpstr>
      <vt:lpstr>AntiguaH</vt:lpstr>
      <vt:lpstr>Antigua!AntiguaL</vt:lpstr>
      <vt:lpstr>Bermuda!AntiguaL</vt:lpstr>
      <vt:lpstr>'CS2'!AntiguaL</vt:lpstr>
      <vt:lpstr>Cuba!AntiguaL</vt:lpstr>
      <vt:lpstr>Drawing!AntiguaL</vt:lpstr>
      <vt:lpstr>Fiji!AntiguaL</vt:lpstr>
      <vt:lpstr>Java!AntiguaL</vt:lpstr>
      <vt:lpstr>Matrix!AntiguaL</vt:lpstr>
      <vt:lpstr>Matrix2!AntiguaL</vt:lpstr>
      <vt:lpstr>Pricing!AntiguaL</vt:lpstr>
      <vt:lpstr>'Pro Quote'!AntiguaL</vt:lpstr>
      <vt:lpstr>Samoa!AntiguaL</vt:lpstr>
      <vt:lpstr>'Survey Front'!AntiguaL</vt:lpstr>
      <vt:lpstr>Technical!AntiguaL</vt:lpstr>
      <vt:lpstr>AntiguaL</vt:lpstr>
      <vt:lpstr>AntiguaPrice</vt:lpstr>
      <vt:lpstr>AntiguaRules</vt:lpstr>
      <vt:lpstr>AutoClose</vt:lpstr>
      <vt:lpstr>Bermuda!Bermuda</vt:lpstr>
      <vt:lpstr>Cuba!Bermuda</vt:lpstr>
      <vt:lpstr>Fiji!Bermuda</vt:lpstr>
      <vt:lpstr>Java!Bermuda</vt:lpstr>
      <vt:lpstr>Pricing!Bermuda</vt:lpstr>
      <vt:lpstr>Samoa!Bermuda</vt:lpstr>
      <vt:lpstr>Bermuda</vt:lpstr>
      <vt:lpstr>Pricing!BermudaH</vt:lpstr>
      <vt:lpstr>BermudaH</vt:lpstr>
      <vt:lpstr>Antigua!BermudaL</vt:lpstr>
      <vt:lpstr>Bermuda!BermudaL</vt:lpstr>
      <vt:lpstr>'CS2'!BermudaL</vt:lpstr>
      <vt:lpstr>Cuba!BermudaL</vt:lpstr>
      <vt:lpstr>Drawing!BermudaL</vt:lpstr>
      <vt:lpstr>Fiji!BermudaL</vt:lpstr>
      <vt:lpstr>Java!BermudaL</vt:lpstr>
      <vt:lpstr>Matrix!BermudaL</vt:lpstr>
      <vt:lpstr>Matrix2!BermudaL</vt:lpstr>
      <vt:lpstr>Pricing!BermudaL</vt:lpstr>
      <vt:lpstr>'Pro Quote'!BermudaL</vt:lpstr>
      <vt:lpstr>Samoa!BermudaL</vt:lpstr>
      <vt:lpstr>'Survey Front'!BermudaL</vt:lpstr>
      <vt:lpstr>Technical!BermudaL</vt:lpstr>
      <vt:lpstr>BermudaL</vt:lpstr>
      <vt:lpstr>BermudaPrice</vt:lpstr>
      <vt:lpstr>BermudaRules</vt:lpstr>
      <vt:lpstr>Bolt</vt:lpstr>
      <vt:lpstr>ConcealedHinge</vt:lpstr>
      <vt:lpstr>Antigua!Config</vt:lpstr>
      <vt:lpstr>Bermuda!Config</vt:lpstr>
      <vt:lpstr>'CS2'!Config</vt:lpstr>
      <vt:lpstr>Cuba!Config</vt:lpstr>
      <vt:lpstr>Drawing!Config</vt:lpstr>
      <vt:lpstr>Fiji!Config</vt:lpstr>
      <vt:lpstr>Java!Config</vt:lpstr>
      <vt:lpstr>Matrix!Config</vt:lpstr>
      <vt:lpstr>Matrix2!Config</vt:lpstr>
      <vt:lpstr>Pricing!Config</vt:lpstr>
      <vt:lpstr>'Pro Quote'!Config</vt:lpstr>
      <vt:lpstr>Samoa!Config</vt:lpstr>
      <vt:lpstr>'Survey Front'!Config</vt:lpstr>
      <vt:lpstr>Technical!Config</vt:lpstr>
      <vt:lpstr>Config</vt:lpstr>
      <vt:lpstr>Config1</vt:lpstr>
      <vt:lpstr>Bermuda!Cuba</vt:lpstr>
      <vt:lpstr>Cuba!Cuba</vt:lpstr>
      <vt:lpstr>Fiji!Cuba</vt:lpstr>
      <vt:lpstr>Java!Cuba</vt:lpstr>
      <vt:lpstr>Pricing!Cuba</vt:lpstr>
      <vt:lpstr>Samoa!Cuba</vt:lpstr>
      <vt:lpstr>Cuba</vt:lpstr>
      <vt:lpstr>Pricing!CubaH</vt:lpstr>
      <vt:lpstr>CubaH</vt:lpstr>
      <vt:lpstr>Antigua!CubaL</vt:lpstr>
      <vt:lpstr>Bermuda!CubaL</vt:lpstr>
      <vt:lpstr>'CS2'!CubaL</vt:lpstr>
      <vt:lpstr>Cuba!CubaL</vt:lpstr>
      <vt:lpstr>Drawing!CubaL</vt:lpstr>
      <vt:lpstr>Fiji!CubaL</vt:lpstr>
      <vt:lpstr>Java!CubaL</vt:lpstr>
      <vt:lpstr>Matrix!CubaL</vt:lpstr>
      <vt:lpstr>Matrix2!CubaL</vt:lpstr>
      <vt:lpstr>Pricing!CubaL</vt:lpstr>
      <vt:lpstr>'Pro Quote'!CubaL</vt:lpstr>
      <vt:lpstr>Samoa!CubaL</vt:lpstr>
      <vt:lpstr>'Survey Front'!CubaL</vt:lpstr>
      <vt:lpstr>Technical!CubaL</vt:lpstr>
      <vt:lpstr>CubaL</vt:lpstr>
      <vt:lpstr>CubaPrice</vt:lpstr>
      <vt:lpstr>CubaRules</vt:lpstr>
      <vt:lpstr>Antigua!Discounts</vt:lpstr>
      <vt:lpstr>Bermuda!Discounts</vt:lpstr>
      <vt:lpstr>'CS2'!Discounts</vt:lpstr>
      <vt:lpstr>Cuba!Discounts</vt:lpstr>
      <vt:lpstr>Drawing!Discounts</vt:lpstr>
      <vt:lpstr>Fiji!Discounts</vt:lpstr>
      <vt:lpstr>Java!Discounts</vt:lpstr>
      <vt:lpstr>Matrix!Discounts</vt:lpstr>
      <vt:lpstr>Matrix2!Discounts</vt:lpstr>
      <vt:lpstr>Pricing!Discounts</vt:lpstr>
      <vt:lpstr>'Pro Quote'!Discounts</vt:lpstr>
      <vt:lpstr>Samoa!Discounts</vt:lpstr>
      <vt:lpstr>'Survey Front'!Discounts</vt:lpstr>
      <vt:lpstr>Technical!Discounts</vt:lpstr>
      <vt:lpstr>Discounts</vt:lpstr>
      <vt:lpstr>Antigua!Fiji</vt:lpstr>
      <vt:lpstr>Bermuda!Fiji</vt:lpstr>
      <vt:lpstr>'CS2'!Fiji</vt:lpstr>
      <vt:lpstr>Cuba!Fiji</vt:lpstr>
      <vt:lpstr>Drawing!Fiji</vt:lpstr>
      <vt:lpstr>Fiji!Fiji</vt:lpstr>
      <vt:lpstr>Java!Fiji</vt:lpstr>
      <vt:lpstr>Matrix!Fiji</vt:lpstr>
      <vt:lpstr>Matrix2!Fiji</vt:lpstr>
      <vt:lpstr>Pricing!Fiji</vt:lpstr>
      <vt:lpstr>'Pro Quote'!Fiji</vt:lpstr>
      <vt:lpstr>Samoa!Fiji</vt:lpstr>
      <vt:lpstr>'Survey Front'!Fiji</vt:lpstr>
      <vt:lpstr>Technical!Fiji</vt:lpstr>
      <vt:lpstr>Fiji</vt:lpstr>
      <vt:lpstr>Pricing!FijiH</vt:lpstr>
      <vt:lpstr>FijiH</vt:lpstr>
      <vt:lpstr>Antigua!FijiL</vt:lpstr>
      <vt:lpstr>Bermuda!FijiL</vt:lpstr>
      <vt:lpstr>'CS2'!FijiL</vt:lpstr>
      <vt:lpstr>Cuba!FijiL</vt:lpstr>
      <vt:lpstr>Drawing!FijiL</vt:lpstr>
      <vt:lpstr>Fiji!FijiL</vt:lpstr>
      <vt:lpstr>Java!FijiL</vt:lpstr>
      <vt:lpstr>Matrix!FijiL</vt:lpstr>
      <vt:lpstr>Matrix2!FijiL</vt:lpstr>
      <vt:lpstr>Pricing!FijiL</vt:lpstr>
      <vt:lpstr>'Pro Quote'!FijiL</vt:lpstr>
      <vt:lpstr>Samoa!FijiL</vt:lpstr>
      <vt:lpstr>'Survey Front'!FijiL</vt:lpstr>
      <vt:lpstr>Technical!FijiL</vt:lpstr>
      <vt:lpstr>FijiL</vt:lpstr>
      <vt:lpstr>FijiPrice</vt:lpstr>
      <vt:lpstr>FijiRules</vt:lpstr>
      <vt:lpstr>Antigua!Frame</vt:lpstr>
      <vt:lpstr>Bermuda!Frame</vt:lpstr>
      <vt:lpstr>'CS2'!Frame</vt:lpstr>
      <vt:lpstr>Cuba!Frame</vt:lpstr>
      <vt:lpstr>Drawing!Frame</vt:lpstr>
      <vt:lpstr>Fiji!Frame</vt:lpstr>
      <vt:lpstr>Java!Frame</vt:lpstr>
      <vt:lpstr>Matrix!Frame</vt:lpstr>
      <vt:lpstr>Matrix2!Frame</vt:lpstr>
      <vt:lpstr>Pricing!Frame</vt:lpstr>
      <vt:lpstr>'Pro Quote'!Frame</vt:lpstr>
      <vt:lpstr>Samoa!Frame</vt:lpstr>
      <vt:lpstr>'Survey Front'!Frame</vt:lpstr>
      <vt:lpstr>Technical!Frame</vt:lpstr>
      <vt:lpstr>Frame</vt:lpstr>
      <vt:lpstr>Antigua!HorizontalPost</vt:lpstr>
      <vt:lpstr>Bermuda!HorizontalPost</vt:lpstr>
      <vt:lpstr>'CS2'!HorizontalPost</vt:lpstr>
      <vt:lpstr>Cuba!HorizontalPost</vt:lpstr>
      <vt:lpstr>Drawing!HorizontalPost</vt:lpstr>
      <vt:lpstr>Fiji!HorizontalPost</vt:lpstr>
      <vt:lpstr>Java!HorizontalPost</vt:lpstr>
      <vt:lpstr>Matrix!HorizontalPost</vt:lpstr>
      <vt:lpstr>Matrix2!HorizontalPost</vt:lpstr>
      <vt:lpstr>Pricing!HorizontalPost</vt:lpstr>
      <vt:lpstr>'Pro Quote'!HorizontalPost</vt:lpstr>
      <vt:lpstr>Samoa!HorizontalPost</vt:lpstr>
      <vt:lpstr>'Survey Front'!HorizontalPost</vt:lpstr>
      <vt:lpstr>Technical!HorizontalPost</vt:lpstr>
      <vt:lpstr>HorizontalPost</vt:lpstr>
      <vt:lpstr>Bermuda!Java</vt:lpstr>
      <vt:lpstr>Cuba!Java</vt:lpstr>
      <vt:lpstr>Fiji!Java</vt:lpstr>
      <vt:lpstr>Java!Java</vt:lpstr>
      <vt:lpstr>Pricing!Java</vt:lpstr>
      <vt:lpstr>Samoa!Java</vt:lpstr>
      <vt:lpstr>Java</vt:lpstr>
      <vt:lpstr>Pricing!JavaH</vt:lpstr>
      <vt:lpstr>JavaH</vt:lpstr>
      <vt:lpstr>Antigua!JavaL</vt:lpstr>
      <vt:lpstr>Bermuda!JavaL</vt:lpstr>
      <vt:lpstr>'CS2'!JavaL</vt:lpstr>
      <vt:lpstr>Cuba!JavaL</vt:lpstr>
      <vt:lpstr>Drawing!JavaL</vt:lpstr>
      <vt:lpstr>Fiji!JavaL</vt:lpstr>
      <vt:lpstr>Java!JavaL</vt:lpstr>
      <vt:lpstr>Matrix!JavaL</vt:lpstr>
      <vt:lpstr>Matrix2!JavaL</vt:lpstr>
      <vt:lpstr>Pricing!JavaL</vt:lpstr>
      <vt:lpstr>'Pro Quote'!JavaL</vt:lpstr>
      <vt:lpstr>Samoa!JavaL</vt:lpstr>
      <vt:lpstr>'Survey Front'!JavaL</vt:lpstr>
      <vt:lpstr>Technical!JavaL</vt:lpstr>
      <vt:lpstr>JavaL</vt:lpstr>
      <vt:lpstr>JavaPrice</vt:lpstr>
      <vt:lpstr>JavaRules</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Pricing!MMaterial</vt:lpstr>
      <vt:lpstr>'Pro Quote'!MMaterial</vt:lpstr>
      <vt:lpstr>Samoa!MMaterial</vt:lpstr>
      <vt:lpstr>'Survey Front'!MMaterial</vt:lpstr>
      <vt:lpstr>Technical!MMaterial</vt:lpstr>
      <vt:lpstr>MMaterial</vt:lpstr>
      <vt:lpstr>NickelKnobA</vt:lpstr>
      <vt:lpstr>NickelKnobB</vt:lpstr>
      <vt:lpstr>NoneStdShape</vt:lpstr>
      <vt:lpstr>PowerMotion</vt:lpstr>
      <vt:lpstr>PowerMotionRemote</vt:lpstr>
      <vt:lpstr>'Job Sheet'!Print_Area</vt:lpstr>
      <vt:lpstr>Pricing!Print_Area</vt:lpstr>
      <vt:lpstr>'Pro Quote'!Print_Area</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Pricing!RoomLoc</vt:lpstr>
      <vt:lpstr>'Pro Quote'!RoomLoc</vt:lpstr>
      <vt:lpstr>Samoa!RoomLoc</vt:lpstr>
      <vt:lpstr>'Survey Front'!RoomLoc</vt:lpstr>
      <vt:lpstr>Technical!RoomLoc</vt:lpstr>
      <vt:lpstr>RoomLoc</vt:lpstr>
      <vt:lpstr>Antigua!rooms</vt:lpstr>
      <vt:lpstr>Bermuda!rooms</vt:lpstr>
      <vt:lpstr>'CS2'!rooms</vt:lpstr>
      <vt:lpstr>Cuba!rooms</vt:lpstr>
      <vt:lpstr>Drawing!rooms</vt:lpstr>
      <vt:lpstr>Fiji!rooms</vt:lpstr>
      <vt:lpstr>Java!rooms</vt:lpstr>
      <vt:lpstr>Matrix!rooms</vt:lpstr>
      <vt:lpstr>Matrix2!rooms</vt:lpstr>
      <vt:lpstr>Pricing!rooms</vt:lpstr>
      <vt:lpstr>'Pro Quote'!rooms</vt:lpstr>
      <vt:lpstr>Samoa!rooms</vt:lpstr>
      <vt:lpstr>'Survey Front'!rooms</vt:lpstr>
      <vt:lpstr>Technical!rooms</vt:lpstr>
      <vt:lpstr>rooms</vt:lpstr>
      <vt:lpstr>SalesTeam</vt:lpstr>
      <vt:lpstr>Antigua!Samoa</vt:lpstr>
      <vt:lpstr>Bermuda!Samoa</vt:lpstr>
      <vt:lpstr>'CS2'!Samoa</vt:lpstr>
      <vt:lpstr>Cuba!Samoa</vt:lpstr>
      <vt:lpstr>Drawing!Samoa</vt:lpstr>
      <vt:lpstr>Fiji!Samoa</vt:lpstr>
      <vt:lpstr>Java!Samoa</vt:lpstr>
      <vt:lpstr>Matrix!Samoa</vt:lpstr>
      <vt:lpstr>Matrix2!Samoa</vt:lpstr>
      <vt:lpstr>Pricing!Samoa</vt:lpstr>
      <vt:lpstr>'Pro Quote'!Samoa</vt:lpstr>
      <vt:lpstr>Samoa!Samoa</vt:lpstr>
      <vt:lpstr>'Survey Front'!Samoa</vt:lpstr>
      <vt:lpstr>Technical!Samoa</vt:lpstr>
      <vt:lpstr>Samoa</vt:lpstr>
      <vt:lpstr>Antigua!SamoaH</vt:lpstr>
      <vt:lpstr>Bermuda!SamoaH</vt:lpstr>
      <vt:lpstr>'CS2'!SamoaH</vt:lpstr>
      <vt:lpstr>Cuba!SamoaH</vt:lpstr>
      <vt:lpstr>Drawing!SamoaH</vt:lpstr>
      <vt:lpstr>Fiji!SamoaH</vt:lpstr>
      <vt:lpstr>Java!SamoaH</vt:lpstr>
      <vt:lpstr>Matrix!SamoaH</vt:lpstr>
      <vt:lpstr>Matrix2!SamoaH</vt:lpstr>
      <vt:lpstr>Pricing!SamoaH</vt:lpstr>
      <vt:lpstr>'Pro Quote'!SamoaH</vt:lpstr>
      <vt:lpstr>Samoa!SamoaH</vt:lpstr>
      <vt:lpstr>'Survey Front'!SamoaH</vt:lpstr>
      <vt:lpstr>Technical!SamoaH</vt:lpstr>
      <vt:lpstr>SamoaH</vt:lpstr>
      <vt:lpstr>Antigua!SamoaL</vt:lpstr>
      <vt:lpstr>Bermuda!SamoaL</vt:lpstr>
      <vt:lpstr>'CS2'!SamoaL</vt:lpstr>
      <vt:lpstr>Cuba!SamoaL</vt:lpstr>
      <vt:lpstr>Drawing!SamoaL</vt:lpstr>
      <vt:lpstr>Fiji!SamoaL</vt:lpstr>
      <vt:lpstr>Java!SamoaL</vt:lpstr>
      <vt:lpstr>Matrix!SamoaL</vt:lpstr>
      <vt:lpstr>Matrix2!SamoaL</vt:lpstr>
      <vt:lpstr>Pricing!SamoaL</vt:lpstr>
      <vt:lpstr>'Pro Quote'!SamoaL</vt:lpstr>
      <vt:lpstr>Samoa!SamoaL</vt:lpstr>
      <vt:lpstr>'Survey Front'!SamoaL</vt:lpstr>
      <vt:lpstr>Technical!SamoaL</vt:lpstr>
      <vt:lpstr>SamoaL</vt:lpstr>
      <vt:lpstr>SamoaPrice</vt:lpstr>
      <vt:lpstr>Shapes</vt:lpstr>
      <vt:lpstr>Shuttype</vt:lpstr>
      <vt:lpstr>Antigua!Sides</vt:lpstr>
      <vt:lpstr>Bermuda!Sides</vt:lpstr>
      <vt:lpstr>'CS2'!Sides</vt:lpstr>
      <vt:lpstr>Cuba!Sides</vt:lpstr>
      <vt:lpstr>Drawing!Sides</vt:lpstr>
      <vt:lpstr>Fiji!Sides</vt:lpstr>
      <vt:lpstr>Java!Sides</vt:lpstr>
      <vt:lpstr>Matrix!Sides</vt:lpstr>
      <vt:lpstr>Matrix2!Sides</vt:lpstr>
      <vt:lpstr>Pricing!Sides</vt:lpstr>
      <vt:lpstr>'Pro Quote'!Sides</vt:lpstr>
      <vt:lpstr>Samoa!Sides</vt:lpstr>
      <vt:lpstr>'Survey Front'!Sides</vt:lpstr>
      <vt:lpstr>Technical!Sides</vt:lpstr>
      <vt:lpstr>Sides</vt:lpstr>
      <vt:lpstr>SSFrame</vt:lpstr>
      <vt:lpstr>Antigua!Style</vt:lpstr>
      <vt:lpstr>Bermuda!Style</vt:lpstr>
      <vt:lpstr>'CS2'!Style</vt:lpstr>
      <vt:lpstr>Cuba!Style</vt:lpstr>
      <vt:lpstr>Drawing!Style</vt:lpstr>
      <vt:lpstr>Fiji!Style</vt:lpstr>
      <vt:lpstr>Java!Style</vt:lpstr>
      <vt:lpstr>Matrix!Style</vt:lpstr>
      <vt:lpstr>Matrix2!Style</vt:lpstr>
      <vt:lpstr>Pricing!Style</vt:lpstr>
      <vt:lpstr>'Pro Quote'!Style</vt:lpstr>
      <vt:lpstr>Samoa!Style</vt:lpstr>
      <vt:lpstr>'Survey Front'!Style</vt:lpstr>
      <vt:lpstr>Technical!Style</vt:lpstr>
      <vt:lpstr>Style</vt:lpstr>
      <vt:lpstr>Antigua!Surveyors</vt:lpstr>
      <vt:lpstr>Bermuda!Surveyors</vt:lpstr>
      <vt:lpstr>'CS2'!Surveyors</vt:lpstr>
      <vt:lpstr>Cuba!Surveyors</vt:lpstr>
      <vt:lpstr>Drawing!Surveyors</vt:lpstr>
      <vt:lpstr>Fiji!Surveyors</vt:lpstr>
      <vt:lpstr>Java!Surveyors</vt:lpstr>
      <vt:lpstr>Matrix!Surveyors</vt:lpstr>
      <vt:lpstr>Matrix2!Surveyors</vt:lpstr>
      <vt:lpstr>Pricing!Surveyors</vt:lpstr>
      <vt:lpstr>'Pro Quote'!Surveyors</vt:lpstr>
      <vt:lpstr>Samoa!Surveyors</vt:lpstr>
      <vt:lpstr>'Survey Front'!Surveyors</vt:lpstr>
      <vt:lpstr>Technical!Surveyors</vt:lpstr>
      <vt:lpstr>Surveyors</vt:lpstr>
      <vt:lpstr>TelescopicWand</vt:lpstr>
      <vt:lpstr>TFrame</vt:lpstr>
      <vt:lpstr>Antigua!TFrames</vt:lpstr>
      <vt:lpstr>Bermuda!TFrames</vt:lpstr>
      <vt:lpstr>'CS2'!TFrames</vt:lpstr>
      <vt:lpstr>Cuba!TFrames</vt:lpstr>
      <vt:lpstr>Drawing!TFrames</vt:lpstr>
      <vt:lpstr>Fiji!TFrames</vt:lpstr>
      <vt:lpstr>Java!TFrames</vt:lpstr>
      <vt:lpstr>Matrix!TFrames</vt:lpstr>
      <vt:lpstr>Matrix2!TFrames</vt:lpstr>
      <vt:lpstr>Pricing!TFrames</vt:lpstr>
      <vt:lpstr>'Pro Quote'!TFrames</vt:lpstr>
      <vt:lpstr>Samoa!TFrames</vt:lpstr>
      <vt:lpstr>'Survey Front'!TFrames</vt:lpstr>
      <vt:lpstr>Technical!TFrames</vt:lpstr>
      <vt:lpstr>TFrames</vt:lpstr>
      <vt:lpstr>Antigua!TiltRod</vt:lpstr>
      <vt:lpstr>Bermuda!TiltRod</vt:lpstr>
      <vt:lpstr>'CS2'!TiltRod</vt:lpstr>
      <vt:lpstr>Cuba!TiltRod</vt:lpstr>
      <vt:lpstr>Drawing!TiltRod</vt:lpstr>
      <vt:lpstr>Fiji!TiltRod</vt:lpstr>
      <vt:lpstr>Java!TiltRod</vt:lpstr>
      <vt:lpstr>Matrix!TiltRod</vt:lpstr>
      <vt:lpstr>Matrix2!TiltRod</vt:lpstr>
      <vt:lpstr>Pricing!TiltRod</vt:lpstr>
      <vt:lpstr>'Pro Quote'!TiltRod</vt:lpstr>
      <vt:lpstr>Samoa!TiltRod</vt:lpstr>
      <vt:lpstr>'Survey Front'!TiltRod</vt:lpstr>
      <vt:lpstr>Technical!TiltRod</vt:lpstr>
      <vt:lpstr>TiltRod</vt:lpstr>
      <vt:lpstr>Antigua!Type</vt:lpstr>
      <vt:lpstr>Bermuda!Type</vt:lpstr>
      <vt:lpstr>'CS2'!Type</vt:lpstr>
      <vt:lpstr>Cuba!Type</vt:lpstr>
      <vt:lpstr>Drawing!Type</vt:lpstr>
      <vt:lpstr>Fiji!Type</vt:lpstr>
      <vt:lpstr>Java!Type</vt:lpstr>
      <vt:lpstr>Matrix!Type</vt:lpstr>
      <vt:lpstr>Matrix2!Type</vt:lpstr>
      <vt:lpstr>Pricing!Type</vt:lpstr>
      <vt:lpstr>'Pro Quote'!Type</vt:lpstr>
      <vt:lpstr>Samoa!Type</vt:lpstr>
      <vt:lpstr>'Survey Front'!Type</vt:lpstr>
      <vt:lpstr>Technical!Type</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Helen // PerfectShutters</cp:lastModifiedBy>
  <cp:revision/>
  <cp:lastPrinted>2022-01-13T17:49:57Z</cp:lastPrinted>
  <dcterms:created xsi:type="dcterms:W3CDTF">2021-08-08T18:00:44Z</dcterms:created>
  <dcterms:modified xsi:type="dcterms:W3CDTF">2022-01-22T13:49:37Z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ies>
</file>